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comments1.xml" ContentType="application/vnd.openxmlformats-officedocument.spreadsheetml.comments+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codeName="{DD97A8EA-9A9A-E61F-A557-7D5A7D7259CE}"/>
  <workbookPr updateLinks="always" codeName="ThisWorkbook"/>
  <mc:AlternateContent xmlns:mc="http://schemas.openxmlformats.org/markup-compatibility/2006">
    <mc:Choice Requires="x15">
      <x15ac:absPath xmlns:x15ac="http://schemas.microsoft.com/office/spreadsheetml/2010/11/ac" url="C:\Users\lcoughlin\OneDrive - Rhode Island Housing\H-Drive\ProLink\Proformas\Version 13\"/>
    </mc:Choice>
  </mc:AlternateContent>
  <xr:revisionPtr revIDLastSave="0" documentId="13_ncr:1_{C52E29F5-DAE5-462E-9BB0-FA56E49F7B67}" xr6:coauthVersionLast="47" xr6:coauthVersionMax="47" xr10:uidLastSave="{00000000-0000-0000-0000-000000000000}"/>
  <workbookProtection workbookAlgorithmName="SHA-512" workbookHashValue="QDZ1aPaJgkWyBrxJHFzJuki/1pSc49/5NiplMXGLrkA3OLw4Cep2yoI0C6qoYgm4I4zea6Ju0iRbrJZcNdqQZg==" workbookSaltValue="2xrOy9joHmiCzVdL7Ao8FA==" workbookSpinCount="100000" lockStructure="1"/>
  <bookViews>
    <workbookView xWindow="-120" yWindow="-120" windowWidth="29040" windowHeight="15720" xr2:uid="{8D16F16F-FD99-4456-A856-733C1DF65CB0}"/>
  </bookViews>
  <sheets>
    <sheet name="00_0_LogIn" sheetId="62" r:id="rId1"/>
    <sheet name="00_1_Model Progress" sheetId="1" state="veryHidden" r:id="rId2"/>
    <sheet name="00_2_Master Data Field List" sheetId="57" state="veryHidden" r:id="rId3"/>
    <sheet name="00_3_Drop Down" sheetId="55" state="veryHidden" r:id="rId4"/>
    <sheet name="00_4_Reference Tables" sheetId="28" state="veryHidden" r:id="rId5"/>
    <sheet name="00_5_LIHTC Data" sheetId="8" state="veryHidden" r:id="rId6"/>
    <sheet name="00_6_Instruction" sheetId="70" state="veryHidden" r:id="rId7"/>
    <sheet name="00_7_Instruction_RIH" sheetId="71" state="veryHidden" r:id="rId8"/>
    <sheet name="SD_Dropdowns" sheetId="74" state="veryHidden" r:id="rId9"/>
    <sheet name="Mapping" sheetId="73" state="veryHidden" r:id="rId10"/>
    <sheet name="01_1_General Data" sheetId="3" state="veryHidden" r:id="rId11"/>
    <sheet name="02_1_INCOME" sheetId="9" state="veryHidden" r:id="rId12"/>
    <sheet name="02_2_EXPENSE" sheetId="14" state="veryHidden" r:id="rId13"/>
    <sheet name="02_3_SOURCES" sheetId="5" state="veryHidden" r:id="rId14"/>
    <sheet name="02_4_USES" sheetId="22" state="veryHidden" r:id="rId15"/>
    <sheet name="02_5_LIHTC Proceeds" sheetId="17" state="veryHidden" r:id="rId16"/>
    <sheet name="02 _7_Operating Subsidy" sheetId="75" state="veryHidden" r:id="rId17"/>
    <sheet name="02 _8_PSH Units" sheetId="79" state="veryHidden" r:id="rId18"/>
    <sheet name="03_1_Construction Cost" sheetId="59" state="veryHidden" r:id="rId19"/>
    <sheet name="03_2_Construction Cashflow" sheetId="20" state="veryHidden" r:id="rId20"/>
    <sheet name="03_3_Amortizations" sheetId="27" state="veryHidden" r:id="rId21"/>
    <sheet name="03_4_NH-Assisted Living Data" sheetId="26" state="veryHidden" r:id="rId22"/>
    <sheet name="04_1_Pro Forma" sheetId="60" state="veryHidden" r:id="rId23"/>
    <sheet name="04_3_Reserves" sheetId="61" state="veryHidden" r:id="rId24"/>
    <sheet name="06_1_Summary Printout" sheetId="23" state="veryHidden" r:id="rId25"/>
    <sheet name="06_2_Credit Committee" sheetId="56" state="veryHidden" r:id="rId26"/>
    <sheet name="06_3_UWChecklist" sheetId="63" state="veryHidden" r:id="rId27"/>
    <sheet name="06_5_Subsidy Layer" sheetId="34" state="veryHidden" r:id="rId28"/>
    <sheet name="06_6_S&amp;U" sheetId="33" state="veryHidden" r:id="rId29"/>
    <sheet name="06_7_SLR" sheetId="32" state="veryHidden" r:id="rId30"/>
    <sheet name="07_1_HOME_Standard" sheetId="66" state="veryHidden" r:id="rId31"/>
  </sheets>
  <definedNames>
    <definedName name="_811_1BR_30">'02 _8_PSH Units'!$F$11</definedName>
    <definedName name="_811_2BR_30">'02 _8_PSH Units'!$F$12</definedName>
    <definedName name="_811_3BR_30">'02 _8_PSH Units'!$F$13</definedName>
    <definedName name="_811_4BR_30">'02 _8_PSH Units'!$F$14</definedName>
    <definedName name="_811_5BR_30">'02 _8_PSH Units'!$F$15</definedName>
    <definedName name="_811_EFF_30">'02 _8_PSH Units'!$F$10</definedName>
    <definedName name="_811_SRO_30">'02 _8_PSH Units'!$F$9</definedName>
    <definedName name="_811_Undefined_30">'02 _8_PSH Units'!$F$16</definedName>
    <definedName name="_811Program_Award">'02 _8_PSH Units'!$C$9</definedName>
    <definedName name="_811SPAddress">'02 _8_PSH Units'!$J$9</definedName>
    <definedName name="_811SPCityStateZip">'02 _8_PSH Units'!$J$10</definedName>
    <definedName name="_811SPCompanyName">'02 _8_PSH Units'!$J$8</definedName>
    <definedName name="_811SPContactEmail">'02 _8_PSH Units'!$J$13</definedName>
    <definedName name="_811SPContactName">'02 _8_PSH Units'!$J$11</definedName>
    <definedName name="_811SPContactPhone">'02 _8_PSH Units'!$J$12</definedName>
    <definedName name="_811Total_811_30__Units">'02 _8_PSH Units'!$C$10</definedName>
    <definedName name="_811Total_811_Units">'02 _8_PSH Units'!$C$11</definedName>
    <definedName name="_AMO_ContentDefinition_910637884" hidden="1">"'Partitions:13'"</definedName>
    <definedName name="_AMO_ContentDefinition_910637884.0" hidden="1">"'&lt;ContentDefinition name=""\\it172oafs-oa02\Home_B\burso300\FolderRedir\Win2008\Desktop\finalsubco_v2016.sas7bdat"" rsid=""910637884"" type=""DataSet"" format=""ReportXml"" imgfmt=""ActiveX"" created=""04/10/2017 17:02:50"" modifed=""04/10/2017 17:02'"</definedName>
    <definedName name="_AMO_ContentDefinition_910637884.1" hidden="1">"':50"" user=""Thomas R Burson"" apply=""False"" css=""C:\Program Files\SASHome\x86\SASAddinforMicrosoftOffice\5.1\Styles\AMODefault.css"" range=""__it172oafs_oa02_Home_B_burso300_FolderRedir_Win2008_Desktop_finalsubco_v2016_sas7bdat"" auto=""False"" x'"</definedName>
    <definedName name="_AMO_ContentDefinition_910637884.10" hidden="1">"';/RelativePath&amp;amp;gt;&amp;amp;#xD;&amp;amp;#xA;&amp;amp;lt;/DNA&amp;amp;gt;&amp;quot; Name=&amp;quot;\\it172oafs-oa02\Home_B\burso300\FolderRedir\Win2008\Desktop\finalsubco_v2016.sas7bdat&amp;quot; /&amp;gt;"" /&gt;_x000D_
  &lt;param n=""ExcelTableColumnCount"" v=""123"" /&gt;_x000D_
  &lt;param n=""Exce'"</definedName>
    <definedName name="_AMO_ContentDefinition_910637884.11" hidden="1">"'lTableRowCount"" v=""81701"" /&gt;_x000D_
  &lt;param n=""DataRowCount"" v=""81701"" /&gt;_x000D_
  &lt;param n=""DataColCount"" v=""123"" /&gt;_x000D_
  &lt;param n=""ObsColumn"" v=""false"" /&gt;_x000D_
  &lt;param n=""ExcelFormattingHash"" v=""-1917820902"" /&gt;_x000D_
  &lt;param n=""ExcelFormatting"" v'"</definedName>
    <definedName name="_AMO_ContentDefinition_910637884.12" hidden="1">"'=""Automatic"" /&gt;_x000D_
  &lt;ExcelXMLOptions AdjColWidths=""True"" RowOpt=""InsertCells"" ColOpt=""InsertCells"" /&gt;_x000D_
&lt;/ContentDefinition&gt;'"</definedName>
    <definedName name="_AMO_ContentDefinition_910637884.2" hidden="1">"'Time=""00:00:00.0150015"" rTime=""00:00:31.2571254"" bgnew=""False"" nFmt=""False"" grphSet=""True"" imgY=""0"" imgX=""0"" redirect=""False""&gt;_x000D_
  &lt;files /&gt;_x000D_
  &lt;parents /&gt;_x000D_
  &lt;children /&gt;_x000D_
  &lt;param n=""AMO_Version"" v=""7.1"" /&gt;_x000D_
  &lt;param n=""Display'"</definedName>
    <definedName name="_AMO_ContentDefinition_910637884.3" hidden="1">"'Name"" v=""\\it172oafs-oa02\Home_B\burso300\FolderRedir\Win2008\Desktop\finalsubco_v2016.sas7bdat"" /&gt;_x000D_
  &lt;param n=""DisplayType"" v=""Data Set"" /&gt;_x000D_
  &lt;param n=""DataSourceType"" v=""SAS DATASET"" /&gt;_x000D_
  &lt;param n=""SASFilter"" v="""" /&gt;_x000D_
  &lt;param n=""'"</definedName>
    <definedName name="_AMO_ContentDefinition_910637884.4" hidden="1">"'MoreSheetsForRows"" v=""True"" /&gt;_x000D_
  &lt;param n=""PageSize"" v=""1000000"" /&gt;_x000D_
  &lt;param n=""ShowRowNumbers"" v=""False"" /&gt;_x000D_
  &lt;param n=""ShowInfoInSheet"" v=""False"" /&gt;_x000D_
  &lt;param n=""CredKey"" v=""\\it172oafs-oa02\Home_B\burso300\FolderRedir\Win2008\D'"</definedName>
    <definedName name="_AMO_ContentDefinition_910637884.5" hidden="1">"'esktop\finalsubco_v2016.sas7bdat"" /&gt;_x000D_
  &lt;param n=""ClassName"" v=""SAS.OfficeAddin.DataViewItem"" /&gt;_x000D_
  &lt;param n=""ServerName"" v="""" /&gt;_x000D_
  &lt;param n=""DataSource"" v=""&amp;lt;SasDataSource Version=&amp;quot;4.2&amp;quot; Type=&amp;quot;SAS.Servers.Dataset&amp;quot; Fi'"</definedName>
    <definedName name="_AMO_ContentDefinition_910637884.6" hidden="1">"'lterDS=&amp;quot;&amp;amp;lt;?xml version=&amp;amp;quot;1.0&amp;amp;quot; encoding=&amp;amp;quot;utf-16&amp;amp;quot;?&amp;amp;gt;&amp;amp;lt;FilterTree&amp;amp;gt;&amp;amp;lt;TreeRoot /&amp;amp;gt;&amp;amp;lt;/FilterTree&amp;amp;gt;&amp;quot; ColSelFlg=&amp;quot;0&amp;quot; DNA=&amp;quot;&amp;amp;lt;DNA&amp;amp;gt;&amp;amp;#xD;&amp;'"</definedName>
    <definedName name="_AMO_ContentDefinition_910637884.7" hidden="1">"'amp;#xA;  &amp;amp;lt;Type&amp;amp;gt;LocalFile&amp;amp;lt;/Type&amp;amp;gt;&amp;amp;#xD;&amp;amp;#xA;  &amp;amp;lt;Name&amp;amp;gt;finalsubco_v2016.sas7bdat&amp;amp;lt;/Name&amp;amp;gt;&amp;amp;#xD;&amp;amp;#xA;  &amp;amp;lt;Version&amp;amp;gt;1&amp;amp;lt;/Version&amp;amp;gt;&amp;amp;#xD;&amp;amp;#xA;  &amp;amp;lt;Assembly '"</definedName>
    <definedName name="_AMO_ContentDefinition_910637884.8" hidden="1">"'/&amp;amp;gt;&amp;amp;#xD;&amp;amp;#xA;  &amp;amp;lt;Factory /&amp;amp;gt;&amp;amp;#xD;&amp;amp;#xA;  &amp;amp;lt;ParentName&amp;amp;gt;Desktop&amp;amp;lt;/ParentName&amp;amp;gt;&amp;amp;#xD;&amp;amp;#xA;  &amp;amp;lt;Delimiter&amp;amp;gt;\&amp;amp;lt;/Delimiter&amp;amp;gt;&amp;amp;#xD;&amp;amp;#xA;  &amp;amp;lt;FullPath&amp;amp;gt;\'"</definedName>
    <definedName name="_AMO_ContentDefinition_910637884.9" hidden="1">"'\it172oafs-oa02\Home_B\burso300\FolderRedir\Win2008\Desktop\finalsubco_v2016.sas7bdat&amp;amp;lt;/FullPath&amp;amp;gt;&amp;amp;#xD;&amp;amp;#xA;  &amp;amp;lt;RelativePath&amp;amp;gt;\\it172oafs-oa02\Home_B\burso300\FolderRedir\Win2008\Desktop\finalsubco_v2016.sas7bdat&amp;amp;lt'"</definedName>
    <definedName name="_AMO_ContentLocation_910637884__A1" hidden="1">"'Partitions:2'"</definedName>
    <definedName name="_AMO_ContentLocation_910637884__A1.0" hidden="1">"'&lt;ContentLocation path=""A1"" rsid=""910637884"" tag="""" fid=""0""&gt;_x000D_
  &lt;param n=""_NumRows"" v=""81702"" /&gt;_x000D_
  &lt;param n=""_NumCols"" v=""123"" /&gt;_x000D_
  &lt;param n=""SASDataState"" v=""none"" /&gt;_x000D_
  &lt;param n=""SASDataStart"" v=""1"" /&gt;_x000D_
  &lt;param n=""SASDa'"</definedName>
    <definedName name="_AMO_ContentLocation_910637884__A1.1" hidden="1">"'taEnd"" v=""81701"" /&gt;_x000D_
&lt;/ContentLocation&gt;'"</definedName>
    <definedName name="_AMO_XmlVersion" hidden="1">"'1'"</definedName>
    <definedName name="_xlnm._FilterDatabase" localSheetId="4" hidden="1">'00_4_Reference Tables'!$B$78:$H$322</definedName>
    <definedName name="_xleta.ISBLANK" hidden="1" xlm="1">#NAME?</definedName>
    <definedName name="AcquisitionTrigger">Mapping!$BT$582</definedName>
    <definedName name="AffMkt">'00_3_Drop Down'!$N$12:$N$13</definedName>
    <definedName name="Amenities">Mapping!$I$151:$I$158</definedName>
    <definedName name="AmenitiesTwo">Mapping!$AP$151:$AP$158</definedName>
    <definedName name="AMI">'02_1_INCOME'!$D$8:$D$37</definedName>
    <definedName name="City">'00_4_Reference Tables'!$C$7:$C$45</definedName>
    <definedName name="FourPercentTrigger">Mapping!$AO$582</definedName>
    <definedName name="HPFELI_1BR_30">'02 _7_Operating Subsidy'!$F$11</definedName>
    <definedName name="HPFELI_2BR_30">'02 _7_Operating Subsidy'!$F$12</definedName>
    <definedName name="HPFELI_3BR_30">'02 _7_Operating Subsidy'!$F$13</definedName>
    <definedName name="HPFELI_4BR_30">'02 _7_Operating Subsidy'!$F$14</definedName>
    <definedName name="HPFELI_5BR_30">'02 _7_Operating Subsidy'!$F$15</definedName>
    <definedName name="HPFELI_EFF_30">'02 _7_Operating Subsidy'!$F$10</definedName>
    <definedName name="HPFELI_Program_Award">'02 _7_Operating Subsidy'!$C$9</definedName>
    <definedName name="HPFELI_SRO_30">'02 _7_Operating Subsidy'!$F$9</definedName>
    <definedName name="HPFELI30">'02 _7_Operating Subsidy'!$F$9:$F$15</definedName>
    <definedName name="jhdsjhf" localSheetId="0" hidden="1">{#N/A,#N/A,FALSE,"Inspection Form";#N/A,#N/A,FALSE,"Underwriting Summary";#N/A,#N/A,FALSE,"MHP Financial Summary";#N/A,#N/A,FALSE,"Historical CF's";#N/A,#N/A,FALSE,"Cash Flow Projections";#N/A,#N/A,FALSE,"Operating Statements";#N/A,#N/A,FALSE,"Property Rent Roll";#N/A,#N/A,FALSE,"Appraisal Summary";#N/A,#N/A,FALSE,"Rental &amp; Sales Comps";#N/A,#N/A,FALSE,"Property Condition";#N/A,#N/A,FALSE,"Environmental Assessment"}</definedName>
    <definedName name="jhdsjhf" localSheetId="2" hidden="1">{#N/A,#N/A,FALSE,"Inspection Form";#N/A,#N/A,FALSE,"Underwriting Summary";#N/A,#N/A,FALSE,"MHP Financial Summary";#N/A,#N/A,FALSE,"Historical CF's";#N/A,#N/A,FALSE,"Cash Flow Projections";#N/A,#N/A,FALSE,"Operating Statements";#N/A,#N/A,FALSE,"Property Rent Roll";#N/A,#N/A,FALSE,"Appraisal Summary";#N/A,#N/A,FALSE,"Rental &amp; Sales Comps";#N/A,#N/A,FALSE,"Property Condition";#N/A,#N/A,FALSE,"Environmental Assessment"}</definedName>
    <definedName name="jhdsjhf" hidden="1">{#N/A,#N/A,FALSE,"Inspection Form";#N/A,#N/A,FALSE,"Underwriting Summary";#N/A,#N/A,FALSE,"MHP Financial Summary";#N/A,#N/A,FALSE,"Historical CF's";#N/A,#N/A,FALSE,"Cash Flow Projections";#N/A,#N/A,FALSE,"Operating Statements";#N/A,#N/A,FALSE,"Property Rent Roll";#N/A,#N/A,FALSE,"Appraisal Summary";#N/A,#N/A,FALSE,"Rental &amp; Sales Comps";#N/A,#N/A,FALSE,"Property Condition";#N/A,#N/A,FALSE,"Environmental Assessment"}</definedName>
    <definedName name="lkjds" localSheetId="0" hidden="1">{#N/A,#N/A,FALSE,"Inspection Form";#N/A,#N/A,FALSE,"Underwriting Summary";#N/A,#N/A,FALSE,"Multi Family Financial Summary";#N/A,#N/A,FALSE,"Historical CF's";#N/A,#N/A,FALSE,"Cash Flow Projections";#N/A,#N/A,FALSE,"Operating Statements";#N/A,#N/A,FALSE,"Property Rent Roll";#N/A,#N/A,FALSE,"Appraisal Summary";#N/A,#N/A,FALSE,"Rental &amp; Sales Comps";#N/A,#N/A,FALSE,"Property Condition";#N/A,#N/A,FALSE,"Environmental Assessment"}</definedName>
    <definedName name="lkjds" localSheetId="2" hidden="1">{#N/A,#N/A,FALSE,"Inspection Form";#N/A,#N/A,FALSE,"Underwriting Summary";#N/A,#N/A,FALSE,"Multi Family Financial Summary";#N/A,#N/A,FALSE,"Historical CF's";#N/A,#N/A,FALSE,"Cash Flow Projections";#N/A,#N/A,FALSE,"Operating Statements";#N/A,#N/A,FALSE,"Property Rent Roll";#N/A,#N/A,FALSE,"Appraisal Summary";#N/A,#N/A,FALSE,"Rental &amp; Sales Comps";#N/A,#N/A,FALSE,"Property Condition";#N/A,#N/A,FALSE,"Environmental Assessment"}</definedName>
    <definedName name="lkjds" hidden="1">{#N/A,#N/A,FALSE,"Inspection Form";#N/A,#N/A,FALSE,"Underwriting Summary";#N/A,#N/A,FALSE,"Multi Family Financial Summary";#N/A,#N/A,FALSE,"Historical CF's";#N/A,#N/A,FALSE,"Cash Flow Projections";#N/A,#N/A,FALSE,"Operating Statements";#N/A,#N/A,FALSE,"Property Rent Roll";#N/A,#N/A,FALSE,"Appraisal Summary";#N/A,#N/A,FALSE,"Rental &amp; Sales Comps";#N/A,#N/A,FALSE,"Property Condition";#N/A,#N/A,FALSE,"Environmental Assessment"}</definedName>
    <definedName name="LkUp_Proj_Amen">SD_Dropdowns!$C$59:$C$65</definedName>
    <definedName name="MAP_DealStageStatus">Mapping!$H$26</definedName>
    <definedName name="MSA">'00_3_Drop Down'!$P$12:$P$14</definedName>
    <definedName name="NinePercentTrigger">Mapping!$BE$582</definedName>
    <definedName name="Number_of_Units">'02_1_INCOME'!$F$8:$F$37</definedName>
    <definedName name="NumberofBedrooms">'02_1_INCOME'!$B$8:$B$37</definedName>
    <definedName name="Other_1">'02_4_USES'!$B$12</definedName>
    <definedName name="Other_2">'02_4_USES'!$B$13</definedName>
    <definedName name="Other_3">'02_4_USES'!$B$14</definedName>
    <definedName name="Other_4">'02_4_USES'!$B$54</definedName>
    <definedName name="Other_5">'02_4_USES'!$B$55</definedName>
    <definedName name="Other_6">'02_4_USES'!$B$56</definedName>
    <definedName name="Other_7">'02_4_USES'!$B$57</definedName>
    <definedName name="Other_Fees">'02_4_USES'!$B$25</definedName>
    <definedName name="OtherPSH_Program_Type">'02 _8_PSH Units'!$C$21</definedName>
    <definedName name="OtherPSHEmail">'02 _8_PSH Units'!$J$26</definedName>
    <definedName name="OtherPSHProgram_Award">'02 _8_PSH Units'!$C$22</definedName>
    <definedName name="OtherPSHSPAddress">'02 _8_PSH Units'!$J$22</definedName>
    <definedName name="OtherPSHSPCityStateZip">'02 _8_PSH Units'!$J$23</definedName>
    <definedName name="OtherPSHSPCompanyName">'02 _8_PSH Units'!$J$21</definedName>
    <definedName name="OtherPSHSPContactName">'02 _8_PSH Units'!$J$24</definedName>
    <definedName name="OtherPSHSPPhone">'02 _8_PSH Units'!$J$25</definedName>
    <definedName name="_xlnm.Print_Area" localSheetId="1">'00_1_Model Progress'!$B$2:$D$33</definedName>
    <definedName name="_xlnm.Print_Area" localSheetId="4">'00_4_Reference Tables'!$A$6:$AG$76</definedName>
    <definedName name="_xlnm.Print_Area" localSheetId="5">'00_5_LIHTC Data'!$A$2:$L$58</definedName>
    <definedName name="_xlnm.Print_Area" localSheetId="10">'01_1_General Data'!$A$8:$O$320</definedName>
    <definedName name="_xlnm.Print_Area" localSheetId="11">'02_1_INCOME'!$A$1:$T$115</definedName>
    <definedName name="_xlnm.Print_Area" localSheetId="12">'02_2_EXPENSE'!$A$1:$AK$101</definedName>
    <definedName name="_xlnm.Print_Area" localSheetId="13">'02_3_SOURCES'!$A$1:$K$47</definedName>
    <definedName name="_xlnm.Print_Area" localSheetId="14">'02_4_USES'!$A$1:$N$90</definedName>
    <definedName name="_xlnm.Print_Area" localSheetId="15">'02_5_LIHTC Proceeds'!$A$1:$D$36</definedName>
    <definedName name="_xlnm.Print_Area" localSheetId="18">'03_1_Construction Cost'!$B$5:$N$62</definedName>
    <definedName name="_xlnm.Print_Area" localSheetId="19">'03_2_Construction Cashflow'!$A$1:$AK$122</definedName>
    <definedName name="_xlnm.Print_Area" localSheetId="21">'03_4_NH-Assisted Living Data'!$A$1:$J$106</definedName>
    <definedName name="_xlnm.Print_Area" localSheetId="24">'06_1_Summary Printout'!$B$2:$L$85</definedName>
    <definedName name="_xlnm.Print_Area" localSheetId="25">'06_2_Credit Committee'!$A$1:$J$115</definedName>
    <definedName name="_xlnm.Print_Area" localSheetId="26">'06_3_UWChecklist'!$A$1:$H$43</definedName>
    <definedName name="_xlnm.Print_Area" localSheetId="27">'06_5_Subsidy Layer'!$A$1:$H$39</definedName>
    <definedName name="_xlnm.Print_Area" localSheetId="28">'06_6_S&amp;U'!$A$1:$K$103</definedName>
    <definedName name="_xlnm.Print_Area" localSheetId="29">'06_7_SLR'!$A$4:$E$52</definedName>
    <definedName name="_xlnm.Print_Area" localSheetId="30">'07_1_HOME_Standard'!$A$1:$H$67</definedName>
    <definedName name="_xlnm.Print_Titles" localSheetId="2">'00_2_Master Data Field List'!$2:$8</definedName>
    <definedName name="_xlnm.Print_Titles" localSheetId="11">'02_1_INCOME'!$1:$2</definedName>
    <definedName name="_xlnm.Print_Titles" localSheetId="12">'02_2_EXPENSE'!$A:$C,'02_2_EXPENSE'!$1:$10</definedName>
    <definedName name="_xlnm.Print_Titles" localSheetId="14">'02_4_USES'!$1:$6</definedName>
    <definedName name="_xlnm.Print_Titles" localSheetId="19">'03_2_Construction Cashflow'!$A:$C,'03_2_Construction Cashflow'!$1:$8</definedName>
    <definedName name="_xlnm.Print_Titles" localSheetId="21">'03_4_NH-Assisted Living Data'!$2:$3</definedName>
    <definedName name="_xlnm.Print_Titles" localSheetId="22">'04_1_Pro Forma'!$A:$B</definedName>
    <definedName name="_xlnm.Print_Titles" localSheetId="25">'06_2_Credit Committee'!$1:$2</definedName>
    <definedName name="ProjAmen">Mapping!$F$141:$F$151</definedName>
    <definedName name="ProjectBasedSubsidy">'02_1_INCOME'!$I$8:$I$37</definedName>
    <definedName name="PSH_1BR_100">'02 _8_PSH Units'!$F$40</definedName>
    <definedName name="PSH_1BR_120">'02 _8_PSH Units'!$F$41</definedName>
    <definedName name="PSH_1BR_20">'02 _8_PSH Units'!$F$33</definedName>
    <definedName name="PSH_1BR_30">'02 _8_PSH Units'!$F$34</definedName>
    <definedName name="PSH_1BR_40">'02 _8_PSH Units'!$F$35</definedName>
    <definedName name="PSH_1BR_50">'02 _8_PSH Units'!$F$36</definedName>
    <definedName name="PSH_1BR_60">'02 _8_PSH Units'!$F$37</definedName>
    <definedName name="PSH_1BR_70">'02 _8_PSH Units'!$F$38</definedName>
    <definedName name="PSH_1BR_80">'02 _8_PSH Units'!$F$39</definedName>
    <definedName name="PSH_1BR_MKT">'02 _8_PSH Units'!$F$42</definedName>
    <definedName name="PSH_1BR_SUM">'02 _8_PSH Units'!$F$43</definedName>
    <definedName name="PSH_2BR_100">'02 _8_PSH Units'!$G$40</definedName>
    <definedName name="PSH_2BR_120">'02 _8_PSH Units'!$G$41</definedName>
    <definedName name="PSH_2BR_20">'02 _8_PSH Units'!$G$33</definedName>
    <definedName name="PSH_2BR_30">'02 _8_PSH Units'!$G$34</definedName>
    <definedName name="PSH_2BR_40">'02 _8_PSH Units'!$G$35</definedName>
    <definedName name="PSH_2BR_50">'02 _8_PSH Units'!$G$36</definedName>
    <definedName name="PSH_2BR_60">'02 _8_PSH Units'!$G$37</definedName>
    <definedName name="PSH_2BR_70">'02 _8_PSH Units'!$G$38</definedName>
    <definedName name="PSH_2BR_80">'02 _8_PSH Units'!$G$39</definedName>
    <definedName name="PSH_2BR_MKT">'02 _8_PSH Units'!$G$42</definedName>
    <definedName name="PSH_2BR_SUM">'02 _8_PSH Units'!$G$43</definedName>
    <definedName name="PSH_3BR_100">'02 _8_PSH Units'!$H$40</definedName>
    <definedName name="PSH_3BR_120">'02 _8_PSH Units'!$H$41</definedName>
    <definedName name="PSH_3BR_20">'02 _8_PSH Units'!$H$33</definedName>
    <definedName name="PSH_3BR_30">'02 _8_PSH Units'!$H$34</definedName>
    <definedName name="PSH_3BR_40">'02 _8_PSH Units'!$H$35</definedName>
    <definedName name="PSH_3BR_50">'02 _8_PSH Units'!$H$36</definedName>
    <definedName name="PSH_3BR_60">'02 _8_PSH Units'!$H$37</definedName>
    <definedName name="PSH_3BR_70">'02 _8_PSH Units'!$H$38</definedName>
    <definedName name="PSH_3BR_80">'02 _8_PSH Units'!$H$39</definedName>
    <definedName name="PSH_3BR_MKT">'02 _8_PSH Units'!$H$42</definedName>
    <definedName name="PSH_3BR_SUM">'02 _8_PSH Units'!$H$43</definedName>
    <definedName name="PSH_4BR_100">'02 _8_PSH Units'!$I$40</definedName>
    <definedName name="PSH_4BR_120">'02 _8_PSH Units'!$I$41</definedName>
    <definedName name="PSH_4BR_20">'02 _8_PSH Units'!$I$33</definedName>
    <definedName name="PSH_4BR_30">'02 _8_PSH Units'!$I$34</definedName>
    <definedName name="PSH_4BR_40">'02 _8_PSH Units'!$I$35</definedName>
    <definedName name="PSH_4BR_50">'02 _8_PSH Units'!$I$36</definedName>
    <definedName name="PSH_4BR_60">'02 _8_PSH Units'!$I$37</definedName>
    <definedName name="PSH_4BR_70">'02 _8_PSH Units'!$I$38</definedName>
    <definedName name="PSH_4BR_80">'02 _8_PSH Units'!$I$39</definedName>
    <definedName name="PSH_4BR_MKT">'02 _8_PSH Units'!$I$42</definedName>
    <definedName name="PSH_4BR_SUM">'02 _8_PSH Units'!$I$43</definedName>
    <definedName name="PSH_5BR_100">'02 _8_PSH Units'!$J$40</definedName>
    <definedName name="PSH_5BR_120">'02 _8_PSH Units'!$J$41</definedName>
    <definedName name="PSH_5BR_20">'02 _8_PSH Units'!$J$33</definedName>
    <definedName name="PSH_5BR_30">'02 _8_PSH Units'!$J$34</definedName>
    <definedName name="PSH_5BR_40">'02 _8_PSH Units'!$J$35</definedName>
    <definedName name="PSH_5BR_50">'02 _8_PSH Units'!$J$36</definedName>
    <definedName name="PSH_5BR_60">'02 _8_PSH Units'!$J$37</definedName>
    <definedName name="PSH_5BR_70">'02 _8_PSH Units'!$J$38</definedName>
    <definedName name="PSH_5BR_80">'02 _8_PSH Units'!$J$39</definedName>
    <definedName name="PSH_5BR_MKT">'02 _8_PSH Units'!$J$42</definedName>
    <definedName name="PSH_5BR_SUM">'02 _8_PSH Units'!$J$43</definedName>
    <definedName name="PSH_EFF_100">'02 _8_PSH Units'!$E$40</definedName>
    <definedName name="PSH_EFF_120">'02 _8_PSH Units'!$E$41</definedName>
    <definedName name="PSH_EFF_20">'02 _8_PSH Units'!$E$33</definedName>
    <definedName name="PSH_EFF_30">'02 _8_PSH Units'!$E$34</definedName>
    <definedName name="PSH_EFF_40">'02 _8_PSH Units'!$E$35</definedName>
    <definedName name="PSH_EFF_50">'02 _8_PSH Units'!$E$36</definedName>
    <definedName name="PSH_EFF_60">'02 _8_PSH Units'!$E$37</definedName>
    <definedName name="PSH_EFF_70">'02 _8_PSH Units'!$E$38</definedName>
    <definedName name="PSH_EFF_80">'02 _8_PSH Units'!$E$39</definedName>
    <definedName name="PSH_EFF_MKT">'02 _8_PSH Units'!$E$42</definedName>
    <definedName name="PSH_EFF_SUM">'02 _8_PSH Units'!$E$43</definedName>
    <definedName name="PSH_Program_Type">'02 _8_PSH Units'!$C$21</definedName>
    <definedName name="PSH_SRO_100">'02 _8_PSH Units'!$D$40</definedName>
    <definedName name="PSH_SRO_120">'02 _8_PSH Units'!$D$41</definedName>
    <definedName name="PSH_SRO_20">'02 _8_PSH Units'!$D$33</definedName>
    <definedName name="PSH_SRO_30">'02 _8_PSH Units'!$D$34</definedName>
    <definedName name="PSH_SRO_40">'02 _8_PSH Units'!$D$35</definedName>
    <definedName name="PSH_SRO_50">'02 _8_PSH Units'!$D$36</definedName>
    <definedName name="PSH_SRO_60">'02 _8_PSH Units'!$D$37</definedName>
    <definedName name="PSH_SRO_70">'02 _8_PSH Units'!$D$38</definedName>
    <definedName name="PSH_SRO_80">'02 _8_PSH Units'!$D$39</definedName>
    <definedName name="PSH_SRO_MKT">'02 _8_PSH Units'!$D$42</definedName>
    <definedName name="PSH_SRO_SUM">'02 _8_PSH Units'!$D$43</definedName>
    <definedName name="PSH_Undefined_100">'02 _8_PSH Units'!$K$40</definedName>
    <definedName name="PSH_Undefined_120">'02 _8_PSH Units'!$K$41</definedName>
    <definedName name="PSH_Undefined_20">'02 _8_PSH Units'!$K$33</definedName>
    <definedName name="PSH_Undefined_30">'02 _8_PSH Units'!$K$34</definedName>
    <definedName name="PSH_Undefined_40">'02 _8_PSH Units'!$K$35</definedName>
    <definedName name="PSH_Undefined_50">'02 _8_PSH Units'!$K$36</definedName>
    <definedName name="PSH_Undefined_60">'02 _8_PSH Units'!$K$37</definedName>
    <definedName name="PSH_Undefined_70">'02 _8_PSH Units'!$K$38</definedName>
    <definedName name="PSH_Undefined_80">'02 _8_PSH Units'!$K$39</definedName>
    <definedName name="PSH_Undefined_MKT">'02 _8_PSH Units'!$K$42</definedName>
    <definedName name="PSH_Undefined_SUM">'02 _8_PSH Units'!$K$43</definedName>
    <definedName name="RIHELI_1BR_30">'02 _7_Operating Subsidy'!$F$23</definedName>
    <definedName name="RIHELI_2BR_30">'02 _7_Operating Subsidy'!$F$24</definedName>
    <definedName name="RIHELI_3BR_30">'02 _7_Operating Subsidy'!$F$25</definedName>
    <definedName name="RIHELI_4BR_30">'02 _7_Operating Subsidy'!$F$26</definedName>
    <definedName name="RIHELI_5BR_30">'02 _7_Operating Subsidy'!$F$27</definedName>
    <definedName name="RIHELI_EFF_30">'02 _7_Operating Subsidy'!$F$22</definedName>
    <definedName name="RIHELI_Program_Award">'02 _7_Operating Subsidy'!$C$21</definedName>
    <definedName name="RIHELI_SRO_30">'02 _7_Operating Subsidy'!$F$21</definedName>
    <definedName name="rng_Password" localSheetId="0">'00_0_LogIn'!$H$13</definedName>
    <definedName name="rng00_Area_Header">'00_3_Drop Down'!$B$11:$AG$11</definedName>
    <definedName name="rng00_DropdownList">'00_3_Drop Down'!$D$8</definedName>
    <definedName name="rng00_SaveFileDescription">'00_2_Master Data Field List'!$C$6</definedName>
    <definedName name="rng00_SaveFileLocation">'00_2_Master Data Field List'!$C$5</definedName>
    <definedName name="rng00_SaveFileName">'00_2_Master Data Field List'!$C$4</definedName>
    <definedName name="rng01_AccessibleUnits">'01_1_General Data'!$L$58</definedName>
    <definedName name="rng01_AdaptableUnits">'01_1_General Data'!$L$59</definedName>
    <definedName name="rng01_Address1">'01_1_General Data'!$C$12</definedName>
    <definedName name="rng01_Address10">'01_1_General Data'!$B$233</definedName>
    <definedName name="rng01_Address11">'01_1_General Data'!$B$234</definedName>
    <definedName name="rng01_Address12">'01_1_General Data'!$B$235</definedName>
    <definedName name="rng01_Address13">'01_1_General Data'!$B$236</definedName>
    <definedName name="rng01_Address14">'01_1_General Data'!$B$237</definedName>
    <definedName name="rng01_Address15">'01_1_General Data'!$B$238</definedName>
    <definedName name="rng01_Address16">'01_1_General Data'!$B$239</definedName>
    <definedName name="rng01_Address17">'01_1_General Data'!$B$240</definedName>
    <definedName name="rng01_Address18">'01_1_General Data'!$B$241</definedName>
    <definedName name="rng01_Address19">'01_1_General Data'!$B$242</definedName>
    <definedName name="rng01_Address2">'01_1_General Data'!$B$225</definedName>
    <definedName name="rng01_Address20">'01_1_General Data'!$B$243</definedName>
    <definedName name="rng01_Address21">'01_1_General Data'!$B$244</definedName>
    <definedName name="rng01_Address22">'01_1_General Data'!$B$245</definedName>
    <definedName name="rng01_Address23">'01_1_General Data'!$B$246</definedName>
    <definedName name="rng01_Address24">'01_1_General Data'!$B$247</definedName>
    <definedName name="rng01_Address25">'01_1_General Data'!$B$248</definedName>
    <definedName name="rng01_Address26">'01_1_General Data'!$B$249</definedName>
    <definedName name="rng01_Address27">'01_1_General Data'!$B$250</definedName>
    <definedName name="rng01_Address28">'01_1_General Data'!$B$251</definedName>
    <definedName name="rng01_Address29">'01_1_General Data'!$B$252</definedName>
    <definedName name="rng01_Address3">'01_1_General Data'!$B$226</definedName>
    <definedName name="rng01_Address30">'01_1_General Data'!$B$253</definedName>
    <definedName name="rng01_Address31">'01_1_General Data'!$B$254</definedName>
    <definedName name="rng01_Address32">'01_1_General Data'!$B$255</definedName>
    <definedName name="rng01_Address33">'01_1_General Data'!$B$256</definedName>
    <definedName name="rng01_Address34">'01_1_General Data'!$B$257</definedName>
    <definedName name="rng01_Address35">'01_1_General Data'!$B$258</definedName>
    <definedName name="rng01_Address36">'01_1_General Data'!$B$259</definedName>
    <definedName name="rng01_Address37">'01_1_General Data'!$B$260</definedName>
    <definedName name="rng01_Address38">'01_1_General Data'!$B$261</definedName>
    <definedName name="rng01_Address39">'01_1_General Data'!$B$262</definedName>
    <definedName name="rng01_Address4">'01_1_General Data'!$B$227</definedName>
    <definedName name="rng01_Address40">'01_1_General Data'!$B$263</definedName>
    <definedName name="rng01_Address41">'01_1_General Data'!$B$264</definedName>
    <definedName name="rng01_Address42">'01_1_General Data'!$B$265</definedName>
    <definedName name="rng01_Address43">'01_1_General Data'!$B$266</definedName>
    <definedName name="rng01_Address44">'01_1_General Data'!$B$267</definedName>
    <definedName name="rng01_Address45">'01_1_General Data'!$B$268</definedName>
    <definedName name="rng01_Address46">'01_1_General Data'!$B$269</definedName>
    <definedName name="rng01_Address47">'01_1_General Data'!$B$270</definedName>
    <definedName name="rng01_Address48">'01_1_General Data'!$B$271</definedName>
    <definedName name="rng01_Address49">'01_1_General Data'!$B$272</definedName>
    <definedName name="rng01_Address5">'01_1_General Data'!$B$228</definedName>
    <definedName name="rng01_Address50">'01_1_General Data'!$B$273</definedName>
    <definedName name="rng01_Address51">'01_1_General Data'!$B$274</definedName>
    <definedName name="rng01_Address52">'01_1_General Data'!$B$275</definedName>
    <definedName name="rng01_Address53">'01_1_General Data'!$B$276</definedName>
    <definedName name="rng01_Address54">'01_1_General Data'!$B$277</definedName>
    <definedName name="rng01_Address55">'01_1_General Data'!$B$278</definedName>
    <definedName name="rng01_Address56">'01_1_General Data'!$B$279</definedName>
    <definedName name="rng01_Address57">'01_1_General Data'!$B$280</definedName>
    <definedName name="rng01_Address58">'01_1_General Data'!$B$281</definedName>
    <definedName name="rng01_Address59">'01_1_General Data'!$B$282</definedName>
    <definedName name="rng01_Address6">'01_1_General Data'!$B$229</definedName>
    <definedName name="rng01_Address60">'01_1_General Data'!$B$283</definedName>
    <definedName name="rng01_Address61">'01_1_General Data'!$B$284</definedName>
    <definedName name="rng01_Address62">'01_1_General Data'!$B$285</definedName>
    <definedName name="rng01_Address63">'01_1_General Data'!$B$286</definedName>
    <definedName name="rng01_Address64">'01_1_General Data'!$B$287</definedName>
    <definedName name="rng01_Address65">'01_1_General Data'!$B$288</definedName>
    <definedName name="rng01_Address66">'01_1_General Data'!$B$289</definedName>
    <definedName name="rng01_Address67">'01_1_General Data'!$B$290</definedName>
    <definedName name="rng01_Address68">'01_1_General Data'!$B$291</definedName>
    <definedName name="rng01_Address69">'01_1_General Data'!$B$292</definedName>
    <definedName name="rng01_Address7">'01_1_General Data'!$B$230</definedName>
    <definedName name="rng01_Address70">'01_1_General Data'!$B$293</definedName>
    <definedName name="rng01_Address71">'01_1_General Data'!$B$294</definedName>
    <definedName name="rng01_Address72">'01_1_General Data'!$B$295</definedName>
    <definedName name="rng01_Address73">'01_1_General Data'!$B$296</definedName>
    <definedName name="rng01_Address74">'01_1_General Data'!$B$297</definedName>
    <definedName name="rng01_Address75">'01_1_General Data'!$B$298</definedName>
    <definedName name="rng01_Address76">'01_1_General Data'!$B$299</definedName>
    <definedName name="rng01_Address77">'01_1_General Data'!$B$300</definedName>
    <definedName name="rng01_Address78">'01_1_General Data'!$B$301</definedName>
    <definedName name="rng01_Address79">'01_1_General Data'!$B$302</definedName>
    <definedName name="rng01_Address8">'01_1_General Data'!$B$231</definedName>
    <definedName name="rng01_Address80">'01_1_General Data'!$B$303</definedName>
    <definedName name="rng01_Address9">'01_1_General Data'!$B$232</definedName>
    <definedName name="rng01_Amen_AC_Units">'01_1_General Data'!$C$75</definedName>
    <definedName name="rng01_Amen_Cab_Hkup">'01_1_General Data'!$C$76</definedName>
    <definedName name="rng01_Amen_Disposal">'01_1_General Data'!$C$78</definedName>
    <definedName name="rng01_Amen_DW">'01_1_General Data'!$C$77</definedName>
    <definedName name="rng01_Amen_Kit_Exhaust">'01_1_General Data'!$C$79</definedName>
    <definedName name="rng01_Amen_Lndry_Hkup">'01_1_General Data'!$C$80</definedName>
    <definedName name="rng01_Amen_Lndry_InUnit">'01_1_General Data'!$C$81</definedName>
    <definedName name="rng01_Amen_Other1">'01_1_General Data'!$C$83</definedName>
    <definedName name="rng01_Amen_Other2">'01_1_General Data'!$C$84</definedName>
    <definedName name="rng01_Amen_OtherDesc1">'01_1_General Data'!$B$83</definedName>
    <definedName name="rng01_Amen_OtherDesc2">'01_1_General Data'!$B$84</definedName>
    <definedName name="rng01_Amen_Security_Video_System">'01_1_General Data'!$C$82</definedName>
    <definedName name="rng01_Annual_Tax_Credit_Amount">'02_5_LIHTC Proceeds'!$C$28</definedName>
    <definedName name="rng01_Architect">'01_1_General Data'!$D$197</definedName>
    <definedName name="rng01_Architect_Address">'01_1_General Data'!$D$199</definedName>
    <definedName name="rng01_Architect_Cell">'01_1_General Data'!$D$204</definedName>
    <definedName name="rng01_Architect_City">'01_1_General Data'!$D$200</definedName>
    <definedName name="rng01_Architect_Email">'01_1_General Data'!$D$205</definedName>
    <definedName name="rng01_Architect_Fax">'01_1_General Data'!$D$203</definedName>
    <definedName name="rng01_Architect_Name">'01_1_General Data'!$D$198</definedName>
    <definedName name="rng01_Architect_Phone">'01_1_General Data'!$D$202</definedName>
    <definedName name="rng01_Architect_State">'01_1_General Data'!$D$201</definedName>
    <definedName name="rng01_Area_BuildingDetail">'01_1_General Data'!$B$55:$V$86</definedName>
    <definedName name="rng01_AsIsAppraised1">'01_1_General Data'!$C$224</definedName>
    <definedName name="rng01_AsIsAppraised10">'01_1_General Data'!$C$233</definedName>
    <definedName name="rng01_AsIsAppraised11">'01_1_General Data'!$C$234</definedName>
    <definedName name="rng01_AsIsAppraised12">'01_1_General Data'!$C$235</definedName>
    <definedName name="rng01_AsIsAppraised13">'01_1_General Data'!$C$236</definedName>
    <definedName name="rng01_AsIsAppraised14">'01_1_General Data'!$C$237</definedName>
    <definedName name="rng01_AsIsAppraised15">'01_1_General Data'!$C$238</definedName>
    <definedName name="rng01_AsIsAppraised16">'01_1_General Data'!$C$239</definedName>
    <definedName name="rng01_AsIsAppraised17">'01_1_General Data'!$C$240</definedName>
    <definedName name="rng01_AsIsAppraised18">'01_1_General Data'!$C$241</definedName>
    <definedName name="rng01_AsIsAppraised19">'01_1_General Data'!$C$242</definedName>
    <definedName name="rng01_AsIsAppraised2">'01_1_General Data'!$C$225</definedName>
    <definedName name="rng01_AsIsAppraised20">'01_1_General Data'!$C$243</definedName>
    <definedName name="rng01_AsIsAppraised21">'01_1_General Data'!$C$244</definedName>
    <definedName name="rng01_AsIsAppraised22">'01_1_General Data'!$C$245</definedName>
    <definedName name="rng01_AsIsAppraised23">'01_1_General Data'!$C$246</definedName>
    <definedName name="rng01_AsIsAppraised24">'01_1_General Data'!$C$247</definedName>
    <definedName name="rng01_AsIsAppraised25">'01_1_General Data'!$C$248</definedName>
    <definedName name="rng01_AsIsAppraised26">'01_1_General Data'!$C$249</definedName>
    <definedName name="rng01_AsIsAppraised27">'01_1_General Data'!$C$250</definedName>
    <definedName name="rng01_AsIsAppraised28">'01_1_General Data'!$C$251</definedName>
    <definedName name="rng01_AsIsAppraised29">'01_1_General Data'!$C$252</definedName>
    <definedName name="rng01_AsIsAppraised3">'01_1_General Data'!$C$226</definedName>
    <definedName name="rng01_AsIsAppraised30">'01_1_General Data'!$C$253</definedName>
    <definedName name="rng01_AsIsAppraised31">'01_1_General Data'!$C$254</definedName>
    <definedName name="rng01_AsIsAppraised32">'01_1_General Data'!$C$255</definedName>
    <definedName name="rng01_AsIsAppraised33">'01_1_General Data'!$C$256</definedName>
    <definedName name="rng01_AsIsAppraised34">'01_1_General Data'!$C$257</definedName>
    <definedName name="rng01_AsIsAppraised35">'01_1_General Data'!$C$258</definedName>
    <definedName name="rng01_AsIsAppraised36">'01_1_General Data'!$C$259</definedName>
    <definedName name="rng01_AsIsAppraised37">'01_1_General Data'!$C$260</definedName>
    <definedName name="rng01_AsIsAppraised38">'01_1_General Data'!$C$261</definedName>
    <definedName name="rng01_AsIsAppraised39">'01_1_General Data'!$C$262</definedName>
    <definedName name="rng01_AsIsAppraised4">'01_1_General Data'!$C$227</definedName>
    <definedName name="rng01_AsIsAppraised40">'01_1_General Data'!$C$263</definedName>
    <definedName name="rng01_AsIsAppraised41">'01_1_General Data'!$C$264</definedName>
    <definedName name="rng01_AsIsAppraised42">'01_1_General Data'!$C$265</definedName>
    <definedName name="rng01_AsIsAppraised43">'01_1_General Data'!$C$266</definedName>
    <definedName name="rng01_AsIsAppraised44">'01_1_General Data'!$C$267</definedName>
    <definedName name="rng01_AsIsAppraised45">'01_1_General Data'!$C$268</definedName>
    <definedName name="rng01_AsIsAppraised46">'01_1_General Data'!$C$269</definedName>
    <definedName name="rng01_AsIsAppraised47">'01_1_General Data'!$C$270</definedName>
    <definedName name="rng01_AsIsAppraised48">'01_1_General Data'!$C$271</definedName>
    <definedName name="rng01_AsIsAppraised49">'01_1_General Data'!$C$272</definedName>
    <definedName name="rng01_AsIsAppraised5">'01_1_General Data'!$C$228</definedName>
    <definedName name="rng01_AsIsAppraised50">'01_1_General Data'!$C$273</definedName>
    <definedName name="rng01_AsIsAppraised51">'01_1_General Data'!$C$274</definedName>
    <definedName name="rng01_AsIsAppraised52">'01_1_General Data'!$C$275</definedName>
    <definedName name="rng01_AsIsAppraised53">'01_1_General Data'!$C$276</definedName>
    <definedName name="rng01_AsIsAppraised54">'01_1_General Data'!$C$277</definedName>
    <definedName name="rng01_AsIsAppraised55">'01_1_General Data'!$C$278</definedName>
    <definedName name="rng01_AsIsAppraised56">'01_1_General Data'!$C$279</definedName>
    <definedName name="rng01_AsIsAppraised57">'01_1_General Data'!$C$280</definedName>
    <definedName name="rng01_AsIsAppraised58">'01_1_General Data'!$C$281</definedName>
    <definedName name="rng01_AsIsAppraised59">'01_1_General Data'!$C$282</definedName>
    <definedName name="rng01_AsIsAppraised6">'01_1_General Data'!$C$229</definedName>
    <definedName name="rng01_AsIsAppraised60">'01_1_General Data'!$C$283</definedName>
    <definedName name="rng01_AsIsAppraised61">'01_1_General Data'!$C$284</definedName>
    <definedName name="rng01_AsIsAppraised62">'01_1_General Data'!$C$285</definedName>
    <definedName name="rng01_AsIsAppraised63">'01_1_General Data'!$C$286</definedName>
    <definedName name="rng01_AsIsAppraised64">'01_1_General Data'!$C$287</definedName>
    <definedName name="rng01_AsIsAppraised65">'01_1_General Data'!$C$288</definedName>
    <definedName name="rng01_AsIsAppraised66">'01_1_General Data'!$C$289</definedName>
    <definedName name="rng01_AsIsAppraised67">'01_1_General Data'!$C$290</definedName>
    <definedName name="rng01_AsIsAppraised68">'01_1_General Data'!$C$291</definedName>
    <definedName name="rng01_AsIsAppraised69">'01_1_General Data'!$C$292</definedName>
    <definedName name="rng01_AsIsAppraised7">'01_1_General Data'!$C$230</definedName>
    <definedName name="rng01_AsIsAppraised70">'01_1_General Data'!$C$293</definedName>
    <definedName name="rng01_AsIsAppraised71">'01_1_General Data'!$C$294</definedName>
    <definedName name="rng01_AsIsAppraised72">'01_1_General Data'!$C$295</definedName>
    <definedName name="rng01_AsIsAppraised73">'01_1_General Data'!$C$296</definedName>
    <definedName name="rng01_AsIsAppraised74">'01_1_General Data'!$C$297</definedName>
    <definedName name="rng01_AsIsAppraised75">'01_1_General Data'!$C$298</definedName>
    <definedName name="rng01_AsIsAppraised76">'01_1_General Data'!$C$299</definedName>
    <definedName name="rng01_AsIsAppraised77">'01_1_General Data'!$C$300</definedName>
    <definedName name="rng01_AsIsAppraised78">'01_1_General Data'!$C$301</definedName>
    <definedName name="rng01_AsIsAppraised79">'01_1_General Data'!$C$302</definedName>
    <definedName name="rng01_AsIsAppraised8">'01_1_General Data'!$C$231</definedName>
    <definedName name="rng01_AsIsAppraised80">'01_1_General Data'!$C$303</definedName>
    <definedName name="rng01_AsIsAppraised9">'01_1_General Data'!$C$232</definedName>
    <definedName name="rng01_AssistedLiving_Rate">'01_1_General Data'!$B$116</definedName>
    <definedName name="rng01_AssistedLiving_Vacancy">'01_1_General Data'!$B$126</definedName>
    <definedName name="rng01_Borrower_Address">'01_1_General Data'!$K$30</definedName>
    <definedName name="rng01_Borrower_City">'01_1_General Data'!$K$31</definedName>
    <definedName name="rng01_Borrower_Maj_Prin_1">'01_1_General Data'!$K$36</definedName>
    <definedName name="rng01_Borrower_Maj_Prin_2">'01_1_General Data'!$K$37</definedName>
    <definedName name="rng01_Borrower_Maj_Prin_3">'01_1_General Data'!$K$38</definedName>
    <definedName name="rng01_Borrower_Maj_Prin_4">'01_1_General Data'!$K$39</definedName>
    <definedName name="rng01_Borrower_Name">'01_1_General Data'!$K$29</definedName>
    <definedName name="rng01_Borrower_State">'01_1_General Data'!$K$32</definedName>
    <definedName name="rng01_Borrower_Tele_Num">'01_1_General Data'!$K$34</definedName>
    <definedName name="rng01_Borrower_Zip">'01_1_General Data'!$K$33</definedName>
    <definedName name="rng01_Borrowing_Entity">'01_1_General Data'!$K$41</definedName>
    <definedName name="rng01_Brownfield_Site">'01_1_General Data'!$C$34</definedName>
    <definedName name="rng01_BuildingList">'01_1_General Data'!$B$224:$B$303</definedName>
    <definedName name="rng01_CensusTract">'01_1_General Data'!$C$16</definedName>
    <definedName name="rng01_CensusTract1">'01_1_General Data'!$G$224</definedName>
    <definedName name="rng01_CensusTract10">'01_1_General Data'!$G$233</definedName>
    <definedName name="rng01_CensusTract11">'01_1_General Data'!$G$234</definedName>
    <definedName name="rng01_CensusTract12">'01_1_General Data'!$G$235</definedName>
    <definedName name="rng01_CensusTract13">'01_1_General Data'!$G$236</definedName>
    <definedName name="rng01_CensusTract14">'01_1_General Data'!$G$237</definedName>
    <definedName name="rng01_CensusTract15">'01_1_General Data'!$G$238</definedName>
    <definedName name="rng01_CensusTract16">'01_1_General Data'!$G$239</definedName>
    <definedName name="rng01_CensusTract17">'01_1_General Data'!$G$240</definedName>
    <definedName name="rng01_CensusTract18">'01_1_General Data'!$G$241</definedName>
    <definedName name="rng01_CensusTract19">'01_1_General Data'!$G$242</definedName>
    <definedName name="rng01_CensusTract2">'01_1_General Data'!$G$225</definedName>
    <definedName name="rng01_CensusTract20">'01_1_General Data'!$G$243</definedName>
    <definedName name="rng01_CensusTract21">'01_1_General Data'!$G$244</definedName>
    <definedName name="rng01_CensusTract22">'01_1_General Data'!$G$245</definedName>
    <definedName name="rng01_CensusTract23">'01_1_General Data'!$G$246</definedName>
    <definedName name="rng01_CensusTract24">'01_1_General Data'!$G$247</definedName>
    <definedName name="rng01_CensusTract25">'01_1_General Data'!$G$248</definedName>
    <definedName name="rng01_CensusTract26">'01_1_General Data'!$G$249</definedName>
    <definedName name="rng01_CensusTract27">'01_1_General Data'!$G$250</definedName>
    <definedName name="rng01_CensusTract28">'01_1_General Data'!$G$251</definedName>
    <definedName name="rng01_CensusTract29">'01_1_General Data'!$G$252</definedName>
    <definedName name="rng01_CensusTract3">'01_1_General Data'!$G$226</definedName>
    <definedName name="rng01_CensusTract30">'01_1_General Data'!$G$253</definedName>
    <definedName name="rng01_CensusTract31">'01_1_General Data'!$G$254</definedName>
    <definedName name="rng01_CensusTract32">'01_1_General Data'!$G$255</definedName>
    <definedName name="rng01_CensusTract33">'01_1_General Data'!$G$256</definedName>
    <definedName name="rng01_CensusTract34">'01_1_General Data'!$G$257</definedName>
    <definedName name="rng01_CensusTract35">'01_1_General Data'!$G$258</definedName>
    <definedName name="rng01_CensusTract36">'01_1_General Data'!$G$259</definedName>
    <definedName name="rng01_CensusTract37">'01_1_General Data'!$G$260</definedName>
    <definedName name="rng01_CensusTract38">'01_1_General Data'!$G$261</definedName>
    <definedName name="rng01_CensusTract39">'01_1_General Data'!$G$262</definedName>
    <definedName name="rng01_CensusTract4">'01_1_General Data'!$G$227</definedName>
    <definedName name="rng01_CensusTract40">'01_1_General Data'!$G$263</definedName>
    <definedName name="rng01_CensusTract41">'01_1_General Data'!$G$264</definedName>
    <definedName name="rng01_CensusTract42">'01_1_General Data'!$G$265</definedName>
    <definedName name="rng01_CensusTract43">'01_1_General Data'!$G$266</definedName>
    <definedName name="rng01_CensusTract44">'01_1_General Data'!$G$267</definedName>
    <definedName name="rng01_CensusTract45">'01_1_General Data'!$G$268</definedName>
    <definedName name="rng01_CensusTract46">'01_1_General Data'!$G$269</definedName>
    <definedName name="rng01_CensusTract47">'01_1_General Data'!$G$270</definedName>
    <definedName name="rng01_CensusTract48">'01_1_General Data'!$G$271</definedName>
    <definedName name="rng01_CensusTract49">'01_1_General Data'!$G$272</definedName>
    <definedName name="rng01_CensusTract5">'01_1_General Data'!$G$228</definedName>
    <definedName name="rng01_CensusTract50">'01_1_General Data'!$G$273</definedName>
    <definedName name="rng01_CensusTract51">'01_1_General Data'!$G$274</definedName>
    <definedName name="rng01_CensusTract52">'01_1_General Data'!$G$275</definedName>
    <definedName name="rng01_CensusTract53">'01_1_General Data'!$G$276</definedName>
    <definedName name="rng01_CensusTract54">'01_1_General Data'!$G$277</definedName>
    <definedName name="rng01_CensusTract55">'01_1_General Data'!$G$278</definedName>
    <definedName name="rng01_CensusTract56">'01_1_General Data'!$G$279</definedName>
    <definedName name="rng01_CensusTract57">'01_1_General Data'!$G$280</definedName>
    <definedName name="rng01_CensusTract58">'01_1_General Data'!$G$281</definedName>
    <definedName name="rng01_CensusTract59">'01_1_General Data'!$G$282</definedName>
    <definedName name="rng01_CensusTract6">'01_1_General Data'!$G$229</definedName>
    <definedName name="rng01_CensusTract60">'01_1_General Data'!$G$283</definedName>
    <definedName name="rng01_CensusTract61">'01_1_General Data'!$G$284</definedName>
    <definedName name="rng01_CensusTract62">'01_1_General Data'!$G$285</definedName>
    <definedName name="rng01_CensusTract63">'01_1_General Data'!$G$286</definedName>
    <definedName name="rng01_CensusTract64">'01_1_General Data'!$G$287</definedName>
    <definedName name="rng01_CensusTract65">'01_1_General Data'!$G$288</definedName>
    <definedName name="rng01_CensusTract66">'01_1_General Data'!$G$289</definedName>
    <definedName name="rng01_CensusTract67">'01_1_General Data'!$G$290</definedName>
    <definedName name="rng01_CensusTract68">'01_1_General Data'!$G$291</definedName>
    <definedName name="rng01_CensusTract69">'01_1_General Data'!$G$292</definedName>
    <definedName name="rng01_CensusTract7">'01_1_General Data'!$G$230</definedName>
    <definedName name="rng01_CensusTract70">'01_1_General Data'!$G$293</definedName>
    <definedName name="rng01_CensusTract71">'01_1_General Data'!$G$294</definedName>
    <definedName name="rng01_CensusTract72">'01_1_General Data'!$G$295</definedName>
    <definedName name="rng01_CensusTract73">'01_1_General Data'!$G$296</definedName>
    <definedName name="rng01_CensusTract74">'01_1_General Data'!$G$297</definedName>
    <definedName name="rng01_CensusTract75">'01_1_General Data'!$G$298</definedName>
    <definedName name="rng01_CensusTract76">'01_1_General Data'!$G$299</definedName>
    <definedName name="rng01_CensusTract77">'01_1_General Data'!$G$300</definedName>
    <definedName name="rng01_CensusTract78">'01_1_General Data'!$G$301</definedName>
    <definedName name="rng01_CensusTract79">'01_1_General Data'!$G$302</definedName>
    <definedName name="rng01_CensusTract8">'01_1_General Data'!$G$231</definedName>
    <definedName name="rng01_CensusTract80">'01_1_General Data'!$G$303</definedName>
    <definedName name="rng01_CensusTract9">'01_1_General Data'!$G$232</definedName>
    <definedName name="rng01_City1">'01_1_General Data'!$C$13</definedName>
    <definedName name="rng01_City10">'01_1_General Data'!$E$233</definedName>
    <definedName name="rng01_City11">'01_1_General Data'!$E$234</definedName>
    <definedName name="rng01_City12">'01_1_General Data'!$E$235</definedName>
    <definedName name="rng01_City13">'01_1_General Data'!$E$236</definedName>
    <definedName name="rng01_City14">'01_1_General Data'!$E$237</definedName>
    <definedName name="rng01_City15">'01_1_General Data'!$E$238</definedName>
    <definedName name="rng01_City16">'01_1_General Data'!$E$239</definedName>
    <definedName name="rng01_City17">'01_1_General Data'!$E$240</definedName>
    <definedName name="rng01_City18">'01_1_General Data'!$E$241</definedName>
    <definedName name="rng01_City19">'01_1_General Data'!$E$242</definedName>
    <definedName name="rng01_City2">'01_1_General Data'!$E$225</definedName>
    <definedName name="rng01_City20">'01_1_General Data'!$E$243</definedName>
    <definedName name="rng01_City21">'01_1_General Data'!$E$244</definedName>
    <definedName name="rng01_City22">'01_1_General Data'!$E$245</definedName>
    <definedName name="rng01_City23">'01_1_General Data'!$E$246</definedName>
    <definedName name="rng01_City24">'01_1_General Data'!$E$247</definedName>
    <definedName name="rng01_City25">'01_1_General Data'!$E$248</definedName>
    <definedName name="rng01_City26">'01_1_General Data'!$E$249</definedName>
    <definedName name="rng01_City27">'01_1_General Data'!$E$250</definedName>
    <definedName name="rng01_City28">'01_1_General Data'!$E$251</definedName>
    <definedName name="rng01_City29">'01_1_General Data'!$E$252</definedName>
    <definedName name="rng01_City3">'01_1_General Data'!$E$226</definedName>
    <definedName name="rng01_City30">'01_1_General Data'!$E$253</definedName>
    <definedName name="rng01_City31">'01_1_General Data'!$E$254</definedName>
    <definedName name="rng01_City32">'01_1_General Data'!$E$255</definedName>
    <definedName name="rng01_City33">'01_1_General Data'!$E$256</definedName>
    <definedName name="rng01_City34">'01_1_General Data'!$E$257</definedName>
    <definedName name="rng01_City35">'01_1_General Data'!$E$258</definedName>
    <definedName name="rng01_City36">'01_1_General Data'!$E$259</definedName>
    <definedName name="rng01_City37">'01_1_General Data'!$E$260</definedName>
    <definedName name="rng01_City38">'01_1_General Data'!$E$261</definedName>
    <definedName name="rng01_City39">'01_1_General Data'!$E$262</definedName>
    <definedName name="rng01_City4">'01_1_General Data'!$E$227</definedName>
    <definedName name="rng01_City40">'01_1_General Data'!$E$263</definedName>
    <definedName name="rng01_City41">'01_1_General Data'!$E$264</definedName>
    <definedName name="rng01_City42">'01_1_General Data'!$E$265</definedName>
    <definedName name="rng01_City43">'01_1_General Data'!$E$266</definedName>
    <definedName name="rng01_City44">'01_1_General Data'!$E$267</definedName>
    <definedName name="rng01_City45">'01_1_General Data'!$E$268</definedName>
    <definedName name="rng01_City46">'01_1_General Data'!$E$269</definedName>
    <definedName name="rng01_City47">'01_1_General Data'!$E$270</definedName>
    <definedName name="rng01_City48">'01_1_General Data'!$E$271</definedName>
    <definedName name="rng01_City49">'01_1_General Data'!$E$272</definedName>
    <definedName name="rng01_City5">'01_1_General Data'!$E$228</definedName>
    <definedName name="rng01_City50">'01_1_General Data'!$E$273</definedName>
    <definedName name="rng01_City51">'01_1_General Data'!$E$274</definedName>
    <definedName name="rng01_City52">'01_1_General Data'!$E$275</definedName>
    <definedName name="rng01_City53">'01_1_General Data'!$E$276</definedName>
    <definedName name="rng01_City54">'01_1_General Data'!$E$277</definedName>
    <definedName name="rng01_City55">'01_1_General Data'!$E$278</definedName>
    <definedName name="rng01_City56">'01_1_General Data'!$E$279</definedName>
    <definedName name="rng01_City57">'01_1_General Data'!$E$280</definedName>
    <definedName name="rng01_City58">'01_1_General Data'!$E$281</definedName>
    <definedName name="rng01_City59">'01_1_General Data'!$E$282</definedName>
    <definedName name="rng01_City6">'01_1_General Data'!$E$229</definedName>
    <definedName name="rng01_City60">'01_1_General Data'!$E$283</definedName>
    <definedName name="rng01_City61">'01_1_General Data'!$E$284</definedName>
    <definedName name="rng01_City62">'01_1_General Data'!$E$285</definedName>
    <definedName name="rng01_City63">'01_1_General Data'!$E$286</definedName>
    <definedName name="rng01_City64">'01_1_General Data'!$E$287</definedName>
    <definedName name="rng01_City65">'01_1_General Data'!$E$288</definedName>
    <definedName name="rng01_City66">'01_1_General Data'!$E$289</definedName>
    <definedName name="rng01_City67">'01_1_General Data'!$E$290</definedName>
    <definedName name="rng01_City68">'01_1_General Data'!$E$291</definedName>
    <definedName name="rng01_City69">'01_1_General Data'!$E$292</definedName>
    <definedName name="rng01_City7">'01_1_General Data'!$E$230</definedName>
    <definedName name="rng01_City70">'01_1_General Data'!$E$293</definedName>
    <definedName name="rng01_City71">'01_1_General Data'!$E$294</definedName>
    <definedName name="rng01_City72">'01_1_General Data'!$E$295</definedName>
    <definedName name="rng01_City73">'01_1_General Data'!$E$296</definedName>
    <definedName name="rng01_City74">'01_1_General Data'!$E$297</definedName>
    <definedName name="rng01_City75">'01_1_General Data'!$E$298</definedName>
    <definedName name="rng01_City76">'01_1_General Data'!$E$299</definedName>
    <definedName name="rng01_City77">'01_1_General Data'!$E$300</definedName>
    <definedName name="rng01_City78">'01_1_General Data'!$E$301</definedName>
    <definedName name="rng01_City79">'01_1_General Data'!$E$302</definedName>
    <definedName name="rng01_City8">'01_1_General Data'!$E$231</definedName>
    <definedName name="rng01_City80">'01_1_General Data'!$E$303</definedName>
    <definedName name="rng01_City9">'01_1_General Data'!$E$232</definedName>
    <definedName name="rng01_ClosingDate">'01_1_General Data'!$C$90</definedName>
    <definedName name="rng01_Co_Developer">'01_1_General Data'!$D$177</definedName>
    <definedName name="rng01_Co_Developer_Address">'01_1_General Data'!$D$179</definedName>
    <definedName name="rng01_Co_Developer_Cell">'01_1_General Data'!$D$184</definedName>
    <definedName name="rng01_Co_Developer_City">'01_1_General Data'!$D$180</definedName>
    <definedName name="rng01_Co_Developer_Email">'01_1_General Data'!$D$185</definedName>
    <definedName name="rng01_Co_Developer_Fax">'01_1_General Data'!$D$183</definedName>
    <definedName name="rng01_Co_Developer_Name">'01_1_General Data'!$D$178</definedName>
    <definedName name="rng01_Co_Developer_Phone">'01_1_General Data'!$D$182</definedName>
    <definedName name="rng01_Co_Developer_State">'01_1_General Data'!$D$181</definedName>
    <definedName name="rng01_Commercial_Building_Type">'01_1_General Data'!$H$60</definedName>
    <definedName name="rng01_Commercial_Ext_Finish">'01_1_General Data'!$F$60</definedName>
    <definedName name="rng01_Commercial_GSF">'01_1_General Data'!$I$60</definedName>
    <definedName name="rng01_Commercial_No_Buildings">'01_1_General Data'!$C$60</definedName>
    <definedName name="rng01_Commercial_No_Stoires">'01_1_General Data'!$D$60</definedName>
    <definedName name="rng01_Commercial_No_Struct_Sys">'01_1_General Data'!$E$60</definedName>
    <definedName name="rng01_Community_Building_Type">'01_1_General Data'!$H$61</definedName>
    <definedName name="rng01_Community_Ext_Finish">'01_1_General Data'!$F$61</definedName>
    <definedName name="rng01_Community_GSF">'01_1_General Data'!$I$61</definedName>
    <definedName name="rng01_Community_No_Buildings">'01_1_General Data'!$C$61</definedName>
    <definedName name="rng01_Community_No_Stoires">'01_1_General Data'!$D$61</definedName>
    <definedName name="rng01_Community_No_Struct_Sys">'01_1_General Data'!$E$61</definedName>
    <definedName name="rng01_ConstructionLoan">'01_1_General Data'!$K$24</definedName>
    <definedName name="rng01_ConstructionLoanInterest">'01_1_General Data'!$K$25</definedName>
    <definedName name="rng01_ConstructionLoanLender">'01_1_General Data'!$K$23</definedName>
    <definedName name="rng01_ConstructionType">'01_1_General Data'!$C$22</definedName>
    <definedName name="rng01_Consultant1">'01_1_General Data'!$D$207</definedName>
    <definedName name="rng01_Consultant1_Address">'01_1_General Data'!$D$209</definedName>
    <definedName name="rng01_Consultant1_Cell">'01_1_General Data'!$D$214</definedName>
    <definedName name="rng01_Consultant1_City">'01_1_General Data'!$D$210</definedName>
    <definedName name="rng01_Consultant1_Email">'01_1_General Data'!$D$215</definedName>
    <definedName name="rng01_Consultant1_Fax">'01_1_General Data'!$D$213</definedName>
    <definedName name="rng01_Consultant1_Name">'01_1_General Data'!$D$208</definedName>
    <definedName name="rng01_Consultant1_Phone">'01_1_General Data'!$D$212</definedName>
    <definedName name="rng01_Consultant1_State">'01_1_General Data'!$D$211</definedName>
    <definedName name="rng01_Consultant2">'01_1_General Data'!$I$207</definedName>
    <definedName name="rng01_Consultant2_Address">'01_1_General Data'!$I$209</definedName>
    <definedName name="rng01_Consultant2_Cell">'01_1_General Data'!$I$214</definedName>
    <definedName name="rng01_Consultant2_City">'01_1_General Data'!$I$210</definedName>
    <definedName name="rng01_Consultant2_Email">'01_1_General Data'!$I$215</definedName>
    <definedName name="rng01_Consultant2_Fax">'01_1_General Data'!$I$213</definedName>
    <definedName name="rng01_Consultant2_Name">'01_1_General Data'!$I$208</definedName>
    <definedName name="rng01_Consultant2_Phone">'01_1_General Data'!$I$212</definedName>
    <definedName name="rng01_Consultant2_State">'01_1_General Data'!$I$211</definedName>
    <definedName name="rng01_Contractor">'01_1_General Data'!$I$187</definedName>
    <definedName name="rng01_Contractor_Address">'01_1_General Data'!$I$189</definedName>
    <definedName name="rng01_Contractor_Cell">'01_1_General Data'!$I$194</definedName>
    <definedName name="rng01_Contractor_City">'01_1_General Data'!$I$190</definedName>
    <definedName name="rng01_Contractor_Email">'01_1_General Data'!$I$195</definedName>
    <definedName name="rng01_Contractor_Fax">'01_1_General Data'!$I$193</definedName>
    <definedName name="rng01_Contractor_Name">'01_1_General Data'!$I$188</definedName>
    <definedName name="rng01_Contractor_Phone">'01_1_General Data'!$I$192</definedName>
    <definedName name="rng01_Contractor_State">'01_1_General Data'!$I$191</definedName>
    <definedName name="rng01_CreditType">'01_1_General Data'!$C$21</definedName>
    <definedName name="rng01_Date_Acquired">'01_1_General Data'!$C$30</definedName>
    <definedName name="rng01_Date_LeaseUp">'01_1_General Data'!$C$98</definedName>
    <definedName name="rng01_DealStageStatus">'01_1_General Data'!$C$24</definedName>
    <definedName name="rng01_Developer">'01_1_General Data'!$D$167</definedName>
    <definedName name="rng01_Developer_Address">'01_1_General Data'!$D$169</definedName>
    <definedName name="rng01_Developer_Cell">'01_1_General Data'!$D$174</definedName>
    <definedName name="rng01_Developer_City">'01_1_General Data'!$D$170</definedName>
    <definedName name="rng01_Developer_Email">'01_1_General Data'!$D$175</definedName>
    <definedName name="rng01_Developer_Fax">'01_1_General Data'!$D$173</definedName>
    <definedName name="rng01_Developer_Name">'01_1_General Data'!$D$168</definedName>
    <definedName name="rng01_Developer_Phone">'01_1_General Data'!$D$172</definedName>
    <definedName name="rng01_Developer_State">'01_1_General Data'!$D$171</definedName>
    <definedName name="rng01_DevelopmentType">'01_1_General Data'!$C$18</definedName>
    <definedName name="rng01_DSCR">'01_1_General Data'!$K$14</definedName>
    <definedName name="rng01_FinancingType">'01_1_General Data'!$K$16</definedName>
    <definedName name="rng01_FirstLeaseUpYear_Affordable">'01_1_General Data'!$C$140:$N$140</definedName>
    <definedName name="rng01_FirstLeaseUpYear_Market">'01_1_General Data'!$C$141:$N$141</definedName>
    <definedName name="rng01_FirstYearProforma">'01_1_General Data'!$D$111</definedName>
    <definedName name="rng01_Gr_Sq_Ft_Comcl">'01_1_General Data'!$C$67</definedName>
    <definedName name="rng01_Gr_Sq_Ft_Community">'01_1_General Data'!$C$68</definedName>
    <definedName name="rng01_Gr_Sq_Ft_Res">'01_1_General Data'!$C$66</definedName>
    <definedName name="rng01_Gr_Sq_Ft_Unfinished">'01_1_General Data'!$C$69</definedName>
    <definedName name="rng01_Ground_Lease_Fee_Other">'01_1_General Data'!$C$33</definedName>
    <definedName name="rng01_Header_Absorption">'01_1_General Data'!$B$134</definedName>
    <definedName name="rng01_Header_Acquisition">'01_1_General Data'!$B$218</definedName>
    <definedName name="rng01_Header_BuildingDetail">'01_1_General Data'!$B$55</definedName>
    <definedName name="rng01_Header_DeveloperInfo">'01_1_General Data'!$B$163</definedName>
    <definedName name="rng01_Header_EquityPayIn">'01_1_General Data'!$B$87</definedName>
    <definedName name="rng01_Header_GenInfo">'01_1_General Data'!$B$8</definedName>
    <definedName name="rng01_Header_TrendAssump">'01_1_General Data'!$B$107</definedName>
    <definedName name="rng01_Historic_Credit">'01_1_General Data'!$C$35</definedName>
    <definedName name="rng01_Legal">'01_1_General Data'!$I$167</definedName>
    <definedName name="rng01_Legal_Address">'01_1_General Data'!$I$169</definedName>
    <definedName name="rng01_Legal_Cell">'01_1_General Data'!$I$174</definedName>
    <definedName name="rng01_Legal_City">'01_1_General Data'!$I$170</definedName>
    <definedName name="rng01_Legal_Email">'01_1_General Data'!$I$175</definedName>
    <definedName name="rng01_Legal_Fax">'01_1_General Data'!$I$173</definedName>
    <definedName name="rng01_Legal_Name">'01_1_General Data'!$I$168</definedName>
    <definedName name="rng01_Legal_Phone">'01_1_General Data'!$I$172</definedName>
    <definedName name="rng01_Legal_State">'01_1_General Data'!$I$171</definedName>
    <definedName name="rng01_LIHTC_Legal">'01_1_General Data'!$I$177</definedName>
    <definedName name="rng01_LIHTC_Legal_Address">'01_1_General Data'!$I$179</definedName>
    <definedName name="rng01_LIHTC_Legal_Cell">'01_1_General Data'!$I$184</definedName>
    <definedName name="rng01_LIHTC_Legal_City">'01_1_General Data'!$I$180</definedName>
    <definedName name="rng01_LIHTC_Legal_Email">'01_1_General Data'!$I$185</definedName>
    <definedName name="rng01_LIHTC_Legal_Fax">'01_1_General Data'!$I$183</definedName>
    <definedName name="rng01_LIHTC_Legal_Name">'01_1_General Data'!$I$178</definedName>
    <definedName name="rng01_LIHTC_Legal_Phone">'01_1_General Data'!$I$182</definedName>
    <definedName name="rng01_LIHTC_Legal_State">'01_1_General Data'!$I$181</definedName>
    <definedName name="rng01_ManagementFee">'01_1_General Data'!$D$120</definedName>
    <definedName name="rng01_Manager">'01_1_General Data'!$D$187</definedName>
    <definedName name="rng01_Manager_Address">'01_1_General Data'!$D$189</definedName>
    <definedName name="rng01_Manager_Cell">'01_1_General Data'!$D$194</definedName>
    <definedName name="rng01_Manager_City">'01_1_General Data'!$D$190</definedName>
    <definedName name="rng01_Manager_Email">'01_1_General Data'!$D$195</definedName>
    <definedName name="rng01_Manager_Fax">'01_1_General Data'!$D$193</definedName>
    <definedName name="rng01_Manager_Name">'01_1_General Data'!$D$188</definedName>
    <definedName name="rng01_Manager_Phone">'01_1_General Data'!$D$192</definedName>
    <definedName name="rng01_Manager_State">'01_1_General Data'!$D$191</definedName>
    <definedName name="rng01_Milestones_Closing_EquityPayIn">'01_1_General Data'!$D$90</definedName>
    <definedName name="rng01_Milestones_ConstructionBegins">'01_1_General Data'!$C$91</definedName>
    <definedName name="rng01_Milestones_ConstructionBegins_EquityPayIn">'01_1_General Data'!$D$91</definedName>
    <definedName name="rng01_Milestones_ConstructionCompletion">'01_1_General Data'!$C$95</definedName>
    <definedName name="rng01_Milestones_ConstructionCompletion_EquityPayIn">'01_1_General Data'!$D$95</definedName>
    <definedName name="rng01_Milestones_LeaseUpStart_EquityPayIn">'01_1_General Data'!$D$98</definedName>
    <definedName name="rng01_Milestones_Other1">'01_1_General Data'!$C$92</definedName>
    <definedName name="rng01_Milestones_Other1_EquityPayIn">'01_1_General Data'!$D$92</definedName>
    <definedName name="rng01_Milestones_Other2">'01_1_General Data'!$C$93</definedName>
    <definedName name="rng01_Milestones_Other2_EquityPayIn">'01_1_General Data'!$D$93</definedName>
    <definedName name="rng01_Milestones_Other3">'01_1_General Data'!$C$94</definedName>
    <definedName name="rng01_Milestones_Other3_EquityPayIn">'01_1_General Data'!$D$94</definedName>
    <definedName name="rng01_Milestones_Other4">'01_1_General Data'!$C$96</definedName>
    <definedName name="rng01_Milestones_Other4_EquityPayIn">'01_1_General Data'!$D$96</definedName>
    <definedName name="rng01_Milestones_Other5">'01_1_General Data'!$C$97</definedName>
    <definedName name="rng01_Milestones_Other5_EquityPayIn">'01_1_General Data'!$D$97</definedName>
    <definedName name="rng01_Milestones_Other6">'01_1_General Data'!$C$99</definedName>
    <definedName name="rng01_Milestones_Other6_EquityPayIn">'01_1_General Data'!$D$99</definedName>
    <definedName name="rng01_Milestones_Other7">'01_1_General Data'!$C$100</definedName>
    <definedName name="rng01_Milestones_Other7_EquityPayIn">'01_1_General Data'!$D$100</definedName>
    <definedName name="rng01_Milestones_Other8">'01_1_General Data'!$C$103</definedName>
    <definedName name="rng01_Milestones_Other8_EquityPayIn">'01_1_General Data'!$D$103</definedName>
    <definedName name="rng01_Milestones_RentalAchievement">'01_1_General Data'!$C$102</definedName>
    <definedName name="rng01_Milestones_RentalAchievement_EquityPayIn">'01_1_General Data'!$D$102</definedName>
    <definedName name="rng01_Milestones_Stabilization">'01_1_General Data'!$C$101</definedName>
    <definedName name="rng01_Milestones_Stabilization_EquityPayIn">'01_1_General Data'!$D$101</definedName>
    <definedName name="rng01_Mod_Rev_Date">'01_1_General Data'!$C$25</definedName>
    <definedName name="rng01_Mod_Ver_Num">'01_1_General Data'!$C$26</definedName>
    <definedName name="rng01_Mort_Prog_Type">'01_1_General Data'!$K$18</definedName>
    <definedName name="rng01_MortgageInsurangePremium">'01_1_General Data'!$K$17</definedName>
    <definedName name="rng01_NonProfit">'01_1_General Data'!$K$40</definedName>
    <definedName name="rng01_NRSF_Commercial">'01_1_General Data'!$G$67</definedName>
    <definedName name="rng01_NRSF_Commercial_Percent">'01_1_General Data'!$G$70</definedName>
    <definedName name="rng01_NRSF_Res">'01_1_General Data'!$G$66</definedName>
    <definedName name="rng01_NRSF_Res_Percent">'01_1_General Data'!$G$69</definedName>
    <definedName name="rng01_Num_Elevators">'01_1_General Data'!$C$41</definedName>
    <definedName name="rng01_Num_ParkingSpaces">'01_1_General Data'!$C$43</definedName>
    <definedName name="rng01_NumberOfBuildings">'01_1_General Data'!$C$220</definedName>
    <definedName name="rng01_NumOfBuildings">'01_1_General Data'!$C$40</definedName>
    <definedName name="rng01_OpExRate">'01_1_General Data'!$D$119</definedName>
    <definedName name="rng01_Other_Assistance">'01_1_General Data'!$C$50</definedName>
    <definedName name="rng01_Other_Assistance_Type">'01_1_General Data'!$C$51</definedName>
    <definedName name="rng01_Other_Building_Type">'01_1_General Data'!$H$62</definedName>
    <definedName name="rng01_Other_Ext_Finish">'01_1_General Data'!$F$62</definedName>
    <definedName name="rng01_Other_GSF">'01_1_General Data'!$I$62</definedName>
    <definedName name="rng01_Other_No_Buildings">'01_1_General Data'!$C$62</definedName>
    <definedName name="rng01_Other_No_Stoires">'01_1_General Data'!$D$62</definedName>
    <definedName name="rng01_Other_No_Struct_Sys">'01_1_General Data'!$E$62</definedName>
    <definedName name="rng01_ProgramType">'01_1_General Data'!$C$48</definedName>
    <definedName name="rng01_Proj_Amen1">'01_1_General Data'!$E$75</definedName>
    <definedName name="rng01_Proj_Amen1_Comments">'01_1_General Data'!$G$75</definedName>
    <definedName name="rng01_Proj_Amen2">'01_1_General Data'!$E$76</definedName>
    <definedName name="rng01_Proj_Amen2_Comments">'01_1_General Data'!$G$76</definedName>
    <definedName name="rng01_Proj_Amen3">'01_1_General Data'!$E$77</definedName>
    <definedName name="rng01_Proj_Amen3_Comments">'01_1_General Data'!$G$77</definedName>
    <definedName name="rng01_Proj_Amen4">'01_1_General Data'!$E$78</definedName>
    <definedName name="rng01_Proj_Amen4_Comments">'01_1_General Data'!$G$78</definedName>
    <definedName name="rng01_Proj_Amen5">'01_1_General Data'!$E$79</definedName>
    <definedName name="rng01_Proj_Amen5_Comments">'01_1_General Data'!$G$79</definedName>
    <definedName name="rng01_Proj_Amen6">'01_1_General Data'!$E$80</definedName>
    <definedName name="rng01_Proj_Amen6_Comments">'01_1_General Data'!$G$80</definedName>
    <definedName name="rng01_Proj_Amen7">'01_1_General Data'!$E$81</definedName>
    <definedName name="rng01_Proj_Amen7_Comments">'01_1_General Data'!$G$81</definedName>
    <definedName name="rng01_Proj_Amen8">'01_1_General Data'!$E$82</definedName>
    <definedName name="rng01_Proj_Amen8_Comments">'01_1_General Data'!$G$82</definedName>
    <definedName name="rng01_ProjectCurrModProgressDate" localSheetId="16">'02 _7_Operating Subsidy'!$F$2</definedName>
    <definedName name="rng01_ProjectCurrModProgressDate" localSheetId="17">'02 _8_PSH Units'!$F$2</definedName>
    <definedName name="rng01_ProjectCurrModProgressDate">'01_1_General Data'!$F$2</definedName>
    <definedName name="rng01_ProjectID">'00_2_Master Data Field List'!$D$11</definedName>
    <definedName name="rng01_ProjectName">'01_1_General Data'!$C$11</definedName>
    <definedName name="rng01_ProjectType">'01_1_General Data'!$C$39</definedName>
    <definedName name="rng01_PropertyType">'01_1_General Data'!$C$17</definedName>
    <definedName name="rng01_Public_Sewer">'01_1_General Data'!$C$37</definedName>
    <definedName name="rng01_Public_Water">'01_1_General Data'!$C$36</definedName>
    <definedName name="rng01_QCTDDA1">'01_1_General Data'!$H$224</definedName>
    <definedName name="rng01_QCTDDA10">'01_1_General Data'!$H$233</definedName>
    <definedName name="rng01_QCTDDA11">'01_1_General Data'!$H$234</definedName>
    <definedName name="rng01_QCTDDA12">'01_1_General Data'!$H$235</definedName>
    <definedName name="rng01_QCTDDA13">'01_1_General Data'!$H$236</definedName>
    <definedName name="rng01_QCTDDA14">'01_1_General Data'!$H$237</definedName>
    <definedName name="rng01_QCTDDA15">'01_1_General Data'!$H$238</definedName>
    <definedName name="rng01_QCTDDA16">'01_1_General Data'!$H$239</definedName>
    <definedName name="rng01_QCTDDA17">'01_1_General Data'!$H$240</definedName>
    <definedName name="rng01_QCTDDA18">'01_1_General Data'!$H$241</definedName>
    <definedName name="rng01_QCTDDA19">'01_1_General Data'!$H$242</definedName>
    <definedName name="rng01_QCTDDA2">'01_1_General Data'!$H$225</definedName>
    <definedName name="rng01_QCTDDA20">'01_1_General Data'!$H$243</definedName>
    <definedName name="rng01_QCTDDA21">'01_1_General Data'!$H$244</definedName>
    <definedName name="rng01_QCTDDA22">'01_1_General Data'!$H$245</definedName>
    <definedName name="rng01_QCTDDA23">'01_1_General Data'!$H$246</definedName>
    <definedName name="rng01_QCTDDA24">'01_1_General Data'!$H$247</definedName>
    <definedName name="rng01_QCTDDA25">'01_1_General Data'!$H$248</definedName>
    <definedName name="rng01_QCTDDA26">'01_1_General Data'!$H$249</definedName>
    <definedName name="rng01_QCTDDA27">'01_1_General Data'!$H$250</definedName>
    <definedName name="rng01_QCTDDA28">'01_1_General Data'!$H$251</definedName>
    <definedName name="rng01_QCTDDA29">'01_1_General Data'!$H$252</definedName>
    <definedName name="rng01_QCTDDA3">'01_1_General Data'!$H$226</definedName>
    <definedName name="rng01_QCTDDA30">'01_1_General Data'!$H$253</definedName>
    <definedName name="rng01_QCTDDA31">'01_1_General Data'!$H$254</definedName>
    <definedName name="rng01_QCTDDA32">'01_1_General Data'!$H$255</definedName>
    <definedName name="rng01_QCTDDA33">'01_1_General Data'!$H$256</definedName>
    <definedName name="rng01_QCTDDA34">'01_1_General Data'!$H$257</definedName>
    <definedName name="rng01_QCTDDA35">'01_1_General Data'!$H$258</definedName>
    <definedName name="rng01_QCTDDA36">'01_1_General Data'!$H$259</definedName>
    <definedName name="rng01_QCTDDA37">'01_1_General Data'!$H$260</definedName>
    <definedName name="rng01_QCTDDA38">'01_1_General Data'!$H$261</definedName>
    <definedName name="rng01_QCTDDA39">'01_1_General Data'!$H$262</definedName>
    <definedName name="rng01_QCTDDA4">'01_1_General Data'!$H$227</definedName>
    <definedName name="rng01_QCTDDA40">'01_1_General Data'!$H$263</definedName>
    <definedName name="rng01_QCTDDA41">'01_1_General Data'!$H$264</definedName>
    <definedName name="rng01_QCTDDA42">'01_1_General Data'!$H$265</definedName>
    <definedName name="rng01_QCTDDA43">'01_1_General Data'!$H$266</definedName>
    <definedName name="rng01_QCTDDA44">'01_1_General Data'!$H$267</definedName>
    <definedName name="rng01_QCTDDA45">'01_1_General Data'!$H$268</definedName>
    <definedName name="rng01_QCTDDA46">'01_1_General Data'!$H$269</definedName>
    <definedName name="rng01_QCTDDA47">'01_1_General Data'!$H$270</definedName>
    <definedName name="rng01_QCTDDA48">'01_1_General Data'!$H$271</definedName>
    <definedName name="rng01_QCTDDA49">'01_1_General Data'!$H$272</definedName>
    <definedName name="rng01_QCTDDA5">'01_1_General Data'!$H$228</definedName>
    <definedName name="rng01_QCTDDA50">'01_1_General Data'!$H$273</definedName>
    <definedName name="rng01_QCTDDA51">'01_1_General Data'!$H$274</definedName>
    <definedName name="rng01_QCTDDA52">'01_1_General Data'!$H$275</definedName>
    <definedName name="rng01_QCTDDA53">'01_1_General Data'!$H$276</definedName>
    <definedName name="rng01_QCTDDA54">'01_1_General Data'!$H$277</definedName>
    <definedName name="rng01_QCTDDA55">'01_1_General Data'!$H$278</definedName>
    <definedName name="rng01_QCTDDA56">'01_1_General Data'!$H$279</definedName>
    <definedName name="rng01_QCTDDA57">'01_1_General Data'!$H$280</definedName>
    <definedName name="rng01_QCTDDA58">'01_1_General Data'!$H$281</definedName>
    <definedName name="rng01_QCTDDA59">'01_1_General Data'!$H$282</definedName>
    <definedName name="rng01_QCTDDA6">'01_1_General Data'!$H$229</definedName>
    <definedName name="rng01_QCTDDA60">'01_1_General Data'!$H$283</definedName>
    <definedName name="rng01_QCTDDA61">'01_1_General Data'!$H$284</definedName>
    <definedName name="rng01_QCTDDA62">'01_1_General Data'!$H$285</definedName>
    <definedName name="rng01_QCTDDA63">'01_1_General Data'!$H$286</definedName>
    <definedName name="rng01_QCTDDA64">'01_1_General Data'!$H$287</definedName>
    <definedName name="rng01_QCTDDA65">'01_1_General Data'!$H$288</definedName>
    <definedName name="rng01_QCTDDA66">'01_1_General Data'!$H$289</definedName>
    <definedName name="rng01_QCTDDA67">'01_1_General Data'!$H$290</definedName>
    <definedName name="rng01_QCTDDA68">'01_1_General Data'!$H$291</definedName>
    <definedName name="rng01_QCTDDA69">'01_1_General Data'!$H$292</definedName>
    <definedName name="rng01_QCTDDA7">'01_1_General Data'!$H$230</definedName>
    <definedName name="rng01_QCTDDA70">'01_1_General Data'!$H$293</definedName>
    <definedName name="rng01_QCTDDA71">'01_1_General Data'!$H$294</definedName>
    <definedName name="rng01_QCTDDA72">'01_1_General Data'!$H$295</definedName>
    <definedName name="rng01_QCTDDA73">'01_1_General Data'!$H$296</definedName>
    <definedName name="rng01_QCTDDA74">'01_1_General Data'!$H$297</definedName>
    <definedName name="rng01_QCTDDA75">'01_1_General Data'!$H$298</definedName>
    <definedName name="rng01_QCTDDA76">'01_1_General Data'!$H$299</definedName>
    <definedName name="rng01_QCTDDA77">'01_1_General Data'!$H$300</definedName>
    <definedName name="rng01_QCTDDA78">'01_1_General Data'!$H$301</definedName>
    <definedName name="rng01_QCTDDA79">'01_1_General Data'!$H$302</definedName>
    <definedName name="rng01_QCTDDA8">'01_1_General Data'!$H$231</definedName>
    <definedName name="rng01_QCTDDA80">'01_1_General Data'!$H$303</definedName>
    <definedName name="rng01_QCTDDA9">'01_1_General Data'!$H$232</definedName>
    <definedName name="rng01_RentalIncomeRate">'01_1_General Data'!$D$113</definedName>
    <definedName name="rng01_Res1_Building_Type">'01_1_General Data'!$H$58</definedName>
    <definedName name="rng01_Res1_Ext_Finish">'01_1_General Data'!$F$58</definedName>
    <definedName name="rng01_Res1_GSF">'01_1_General Data'!$I$58</definedName>
    <definedName name="rng01_Res1_No_Buildings">'01_1_General Data'!$C$58</definedName>
    <definedName name="rng01_Res1_No_Stoires">'01_1_General Data'!$D$58</definedName>
    <definedName name="rng01_Res1_No_Struct_Sys">'01_1_General Data'!$E$58</definedName>
    <definedName name="rng01_Res2_Building_Type">'01_1_General Data'!$H$59</definedName>
    <definedName name="rng01_Res2_Ext_Finish">'01_1_General Data'!$F$59</definedName>
    <definedName name="rng01_Res2_GSF">'01_1_General Data'!$I$59</definedName>
    <definedName name="rng01_Res2_No_Buildings">'01_1_General Data'!$C$59</definedName>
    <definedName name="rng01_Res2_No_Stoires">'01_1_General Data'!$D$59</definedName>
    <definedName name="rng01_Res2_No_Struct_Sys">'01_1_General Data'!$E$59</definedName>
    <definedName name="rng01_ReserveInterest">'01_1_General Data'!$D$131</definedName>
    <definedName name="rng01_RIH_Mort_Int_Rate">'01_1_General Data'!$K$13</definedName>
    <definedName name="rng01_RIH_Mort_Term_Ys">'01_1_General Data'!$K$15</definedName>
    <definedName name="rng01_RIH_Mortgage">'01_1_General Data'!$K$11</definedName>
    <definedName name="rng01_RIH_Underwriter">'01_1_General Data'!$C$23</definedName>
    <definedName name="rng01_Risk_Sharing">'01_1_General Data'!$K$12</definedName>
    <definedName name="rng01_SalesPrice1">'01_1_General Data'!$D$224</definedName>
    <definedName name="rng01_SalesPrice10">'01_1_General Data'!$D$233</definedName>
    <definedName name="rng01_SalesPrice11">'01_1_General Data'!$D$234</definedName>
    <definedName name="rng01_SalesPrice12">'01_1_General Data'!$D$235</definedName>
    <definedName name="rng01_SalesPrice13">'01_1_General Data'!$D$236</definedName>
    <definedName name="rng01_SalesPrice14">'01_1_General Data'!$D$237</definedName>
    <definedName name="rng01_SalesPrice15">'01_1_General Data'!$D$238</definedName>
    <definedName name="rng01_SalesPrice16">'01_1_General Data'!$D$239</definedName>
    <definedName name="rng01_SalesPrice17">'01_1_General Data'!$D$240</definedName>
    <definedName name="rng01_SalesPrice18">'01_1_General Data'!$D$241</definedName>
    <definedName name="rng01_SalesPrice19">'01_1_General Data'!$D$242</definedName>
    <definedName name="rng01_SalesPrice2">'01_1_General Data'!$D$225</definedName>
    <definedName name="rng01_SalesPrice20">'01_1_General Data'!$D$243</definedName>
    <definedName name="rng01_SalesPrice21">'01_1_General Data'!$D$244</definedName>
    <definedName name="rng01_SalesPrice22">'01_1_General Data'!$D$245</definedName>
    <definedName name="rng01_SalesPrice23">'01_1_General Data'!$D$246</definedName>
    <definedName name="rng01_SalesPrice24">'01_1_General Data'!$D$247</definedName>
    <definedName name="rng01_SalesPrice25">'01_1_General Data'!$D$248</definedName>
    <definedName name="rng01_SalesPrice26">'01_1_General Data'!$D$249</definedName>
    <definedName name="rng01_SalesPrice27">'01_1_General Data'!$D$250</definedName>
    <definedName name="rng01_SalesPrice28">'01_1_General Data'!$D$251</definedName>
    <definedName name="rng01_SalesPrice29">'01_1_General Data'!$D$252</definedName>
    <definedName name="rng01_SalesPrice3">'01_1_General Data'!$D$226</definedName>
    <definedName name="rng01_SalesPrice30">'01_1_General Data'!$D$253</definedName>
    <definedName name="rng01_SalesPrice31">'01_1_General Data'!$D$254</definedName>
    <definedName name="rng01_SalesPrice32">'01_1_General Data'!$D$255</definedName>
    <definedName name="rng01_SalesPrice33">'01_1_General Data'!$D$256</definedName>
    <definedName name="rng01_SalesPrice34">'01_1_General Data'!$D$257</definedName>
    <definedName name="rng01_SalesPrice35">'01_1_General Data'!$D$258</definedName>
    <definedName name="rng01_SalesPrice36">'01_1_General Data'!$D$259</definedName>
    <definedName name="rng01_SalesPrice37">'01_1_General Data'!$D$260</definedName>
    <definedName name="rng01_SalesPrice38">'01_1_General Data'!$D$261</definedName>
    <definedName name="rng01_SalesPrice39">'01_1_General Data'!$D$262</definedName>
    <definedName name="rng01_SalesPrice4">'01_1_General Data'!$D$227</definedName>
    <definedName name="rng01_SalesPrice40">'01_1_General Data'!$D$263</definedName>
    <definedName name="rng01_SalesPrice41">'01_1_General Data'!$D$264</definedName>
    <definedName name="rng01_SalesPrice42">'01_1_General Data'!$D$265</definedName>
    <definedName name="rng01_SalesPrice43">'01_1_General Data'!$D$266</definedName>
    <definedName name="rng01_SalesPrice44">'01_1_General Data'!$D$267</definedName>
    <definedName name="rng01_SalesPrice45">'01_1_General Data'!$D$268</definedName>
    <definedName name="rng01_SalesPrice46">'01_1_General Data'!$D$269</definedName>
    <definedName name="rng01_SalesPrice47">'01_1_General Data'!$D$270</definedName>
    <definedName name="rng01_SalesPrice48">'01_1_General Data'!$D$271</definedName>
    <definedName name="rng01_SalesPrice49">'01_1_General Data'!$D$272</definedName>
    <definedName name="rng01_SalesPrice5">'01_1_General Data'!$D$228</definedName>
    <definedName name="rng01_SalesPrice50">'01_1_General Data'!$D$273</definedName>
    <definedName name="rng01_SalesPrice51">'01_1_General Data'!$D$274</definedName>
    <definedName name="rng01_SalesPrice52">'01_1_General Data'!$D$275</definedName>
    <definedName name="rng01_SalesPrice53">'01_1_General Data'!$D$276</definedName>
    <definedName name="rng01_SalesPrice54">'01_1_General Data'!$D$277</definedName>
    <definedName name="rng01_SalesPrice55">'01_1_General Data'!$D$278</definedName>
    <definedName name="rng01_SalesPrice56">'01_1_General Data'!$D$279</definedName>
    <definedName name="rng01_SalesPrice57">'01_1_General Data'!$D$280</definedName>
    <definedName name="rng01_SalesPrice58">'01_1_General Data'!$D$281</definedName>
    <definedName name="rng01_SalesPrice59">'01_1_General Data'!$D$282</definedName>
    <definedName name="rng01_SalesPrice6">'01_1_General Data'!$D$229</definedName>
    <definedName name="rng01_SalesPrice60">'01_1_General Data'!$D$283</definedName>
    <definedName name="rng01_SalesPrice61">'01_1_General Data'!$D$284</definedName>
    <definedName name="rng01_SalesPrice62">'01_1_General Data'!$D$285</definedName>
    <definedName name="rng01_SalesPrice63">'01_1_General Data'!$D$286</definedName>
    <definedName name="rng01_SalesPrice64">'01_1_General Data'!$D$287</definedName>
    <definedName name="rng01_SalesPrice65">'01_1_General Data'!$D$288</definedName>
    <definedName name="rng01_SalesPrice66">'01_1_General Data'!$D$289</definedName>
    <definedName name="rng01_SalesPrice67">'01_1_General Data'!$D$290</definedName>
    <definedName name="rng01_SalesPrice68">'01_1_General Data'!$D$291</definedName>
    <definedName name="rng01_SalesPrice69">'01_1_General Data'!$D$292</definedName>
    <definedName name="rng01_SalesPrice7">'01_1_General Data'!$D$230</definedName>
    <definedName name="rng01_SalesPrice70">'01_1_General Data'!$D$293</definedName>
    <definedName name="rng01_SalesPrice71">'01_1_General Data'!$D$294</definedName>
    <definedName name="rng01_SalesPrice72">'01_1_General Data'!$D$295</definedName>
    <definedName name="rng01_SalesPrice73">'01_1_General Data'!$D$296</definedName>
    <definedName name="rng01_SalesPrice74">'01_1_General Data'!$D$297</definedName>
    <definedName name="rng01_SalesPrice75">'01_1_General Data'!$D$298</definedName>
    <definedName name="rng01_SalesPrice76">'01_1_General Data'!$D$299</definedName>
    <definedName name="rng01_SalesPrice77">'01_1_General Data'!$D$300</definedName>
    <definedName name="rng01_SalesPrice78">'01_1_General Data'!$D$301</definedName>
    <definedName name="rng01_SalesPrice79">'01_1_General Data'!$D$302</definedName>
    <definedName name="rng01_SalesPrice8">'01_1_General Data'!$D$231</definedName>
    <definedName name="rng01_SalesPrice80">'01_1_General Data'!$D$303</definedName>
    <definedName name="rng01_SalesPrice9">'01_1_General Data'!$D$232</definedName>
    <definedName name="rng01_Section_8">'01_1_General Data'!$C$49</definedName>
    <definedName name="rng01_SetAside">'01_1_General Data'!$C$52</definedName>
    <definedName name="rng01_Single_Asset_Entity">'01_1_General Data'!$K$42</definedName>
    <definedName name="rng01_Sprinklers">'01_1_General Data'!$C$42</definedName>
    <definedName name="rng01_State">'01_1_General Data'!$C$14</definedName>
    <definedName name="rng01_Syndicator">'01_1_General Data'!$I$197</definedName>
    <definedName name="rng01_Syndicator_Address">'01_1_General Data'!$I$199</definedName>
    <definedName name="rng01_Syndicator_Cell">'01_1_General Data'!$I$204</definedName>
    <definedName name="rng01_Syndicator_City">'01_1_General Data'!$I$200</definedName>
    <definedName name="rng01_Syndicator_Email">'01_1_General Data'!$I$205</definedName>
    <definedName name="rng01_Syndicator_Fax">'01_1_General Data'!$I$203</definedName>
    <definedName name="rng01_Syndicator_Name">'01_1_General Data'!$I$198</definedName>
    <definedName name="rng01_Syndicator_Phone">'01_1_General Data'!$I$202</definedName>
    <definedName name="rng01_Syndicator_State">'01_1_General Data'!$I$201</definedName>
    <definedName name="rng01_TenancyType">'01_1_General Data'!$C$19</definedName>
    <definedName name="rng01_TenantStatus">'01_1_General Data'!$C$20</definedName>
    <definedName name="rng01_TLA_sf">'01_1_General Data'!$C$31</definedName>
    <definedName name="rng01_Total_Gr_Sq_Ft">'01_1_General Data'!$C$70</definedName>
    <definedName name="rng01_Total_NRSF">'01_1_General Data'!$G$68</definedName>
    <definedName name="rng01_TrendingAssumption">'01_1_General Data'!$I$113:$AX$119</definedName>
    <definedName name="rng01_Util_CableTV_Enegry_Type">'01_1_General Data'!$M$79</definedName>
    <definedName name="rng01_Util_CableTV_HeatingSys">'01_1_General Data'!$N$79</definedName>
    <definedName name="rng01_Util_Cent_AC_Energy_Type">'01_1_General Data'!$M$78</definedName>
    <definedName name="rng01_Util_Cent_AC_HeatingSys">'01_1_General Data'!$N$78</definedName>
    <definedName name="rng01_Util_Cooking_Energy_Type">'01_1_General Data'!$M$77</definedName>
    <definedName name="rng01_Util_Cooking_HeatingSys">'01_1_General Data'!$N$77</definedName>
    <definedName name="rng01_Util_Electricity_Energy_Type">'01_1_General Data'!$M$80</definedName>
    <definedName name="rng01_Util_Electricity_HeatingSys">'01_1_General Data'!$N$80</definedName>
    <definedName name="rng01_Util_Heat_Energy_Type">'01_1_General Data'!$M$75</definedName>
    <definedName name="rng01_Util_Heat_HeatingSys">'01_1_General Data'!$N$75</definedName>
    <definedName name="rng01_Util_Hot_Water_Energy_Type">'01_1_General Data'!$M$76</definedName>
    <definedName name="rng01_Util_Hot_Water_HeatingSys">'01_1_General Data'!$N$76</definedName>
    <definedName name="rng01_Util_Included_CableTV">'01_1_General Data'!$L$79</definedName>
    <definedName name="rng01_Util_Included_Cent_AC">'01_1_General Data'!$L$78</definedName>
    <definedName name="rng01_Util_Included_Cooking">'01_1_General Data'!$L$77</definedName>
    <definedName name="rng01_Util_Included_Electricity">'01_1_General Data'!$L$80</definedName>
    <definedName name="rng01_Util_Included_Heat">'01_1_General Data'!$L$75</definedName>
    <definedName name="rng01_Util_Included_Hot_Water">'01_1_General Data'!$L$76</definedName>
    <definedName name="rng01_Util_Included_Sewer">'01_1_General Data'!$L$82</definedName>
    <definedName name="rng01_Util_Included_Water">'01_1_General Data'!$L$81</definedName>
    <definedName name="rng01_Util_Provided_CableTV">'01_1_General Data'!$K$79</definedName>
    <definedName name="rng01_Util_Provided_Cent_AC">'01_1_General Data'!$K$78</definedName>
    <definedName name="rng01_Util_Provided_Cooking">'01_1_General Data'!$K$77</definedName>
    <definedName name="rng01_Util_Provided_Electricity">'01_1_General Data'!$K$80</definedName>
    <definedName name="rng01_Util_Provided_Heat">'01_1_General Data'!$K$75</definedName>
    <definedName name="rng01_Util_Provided_Hot_Water">'01_1_General Data'!$K$76</definedName>
    <definedName name="rng01_Util_Provided_Sewer">'01_1_General Data'!$K$82</definedName>
    <definedName name="rng01_Util_Provided_Water">'01_1_General Data'!$K$81</definedName>
    <definedName name="rng01_Util_Sewer_Energy_Type">'01_1_General Data'!$M$82</definedName>
    <definedName name="rng01_Util_Sewer_HeatingSys">'01_1_General Data'!$N$82</definedName>
    <definedName name="rng01_Util_Water_Energy_Type">'01_1_General Data'!$M$81</definedName>
    <definedName name="rng01_Util_Water_HeatingSys">'01_1_General Data'!$N$81</definedName>
    <definedName name="rng01_Yr_Built">'01_1_General Data'!$C$38</definedName>
    <definedName name="rng01_Zip1">'01_1_General Data'!$C$15</definedName>
    <definedName name="rng01_Zip10">'01_1_General Data'!$F$233</definedName>
    <definedName name="rng01_Zip11">'01_1_General Data'!$F$234</definedName>
    <definedName name="rng01_Zip12">'01_1_General Data'!$F$235</definedName>
    <definedName name="rng01_Zip13">'01_1_General Data'!$F$236</definedName>
    <definedName name="rng01_Zip14">'01_1_General Data'!$F$237</definedName>
    <definedName name="rng01_Zip15">'01_1_General Data'!$F$238</definedName>
    <definedName name="rng01_Zip16">'01_1_General Data'!$F$239</definedName>
    <definedName name="rng01_Zip17">'01_1_General Data'!$F$240</definedName>
    <definedName name="rng01_Zip18">'01_1_General Data'!$F$241</definedName>
    <definedName name="rng01_Zip19">'01_1_General Data'!$F$242</definedName>
    <definedName name="rng01_Zip2">'01_1_General Data'!$F$225</definedName>
    <definedName name="rng01_Zip20">'01_1_General Data'!$F$243</definedName>
    <definedName name="rng01_Zip21">'01_1_General Data'!$F$244</definedName>
    <definedName name="rng01_Zip22">'01_1_General Data'!$F$245</definedName>
    <definedName name="rng01_Zip23">'01_1_General Data'!$F$246</definedName>
    <definedName name="rng01_Zip24">'01_1_General Data'!$F$247</definedName>
    <definedName name="rng01_Zip25">'01_1_General Data'!$F$248</definedName>
    <definedName name="rng01_Zip26">'01_1_General Data'!$F$249</definedName>
    <definedName name="rng01_Zip27">'01_1_General Data'!$F$250</definedName>
    <definedName name="rng01_Zip28">'01_1_General Data'!$F$251</definedName>
    <definedName name="rng01_Zip29">'01_1_General Data'!$F$252</definedName>
    <definedName name="rng01_Zip3">'01_1_General Data'!$F$226</definedName>
    <definedName name="rng01_Zip30">'01_1_General Data'!$F$253</definedName>
    <definedName name="rng01_Zip31">'01_1_General Data'!$F$254</definedName>
    <definedName name="rng01_Zip32">'01_1_General Data'!$F$255</definedName>
    <definedName name="rng01_Zip33">'01_1_General Data'!$F$256</definedName>
    <definedName name="rng01_Zip34">'01_1_General Data'!$F$257</definedName>
    <definedName name="rng01_Zip35">'01_1_General Data'!$F$258</definedName>
    <definedName name="rng01_Zip36">'01_1_General Data'!$F$259</definedName>
    <definedName name="rng01_Zip37">'01_1_General Data'!$F$260</definedName>
    <definedName name="rng01_Zip38">'01_1_General Data'!$F$261</definedName>
    <definedName name="rng01_Zip39">'01_1_General Data'!$F$262</definedName>
    <definedName name="rng01_Zip4">'01_1_General Data'!$F$227</definedName>
    <definedName name="rng01_Zip40">'01_1_General Data'!$F$263</definedName>
    <definedName name="rng01_Zip41">'01_1_General Data'!$F$264</definedName>
    <definedName name="rng01_Zip42">'01_1_General Data'!$F$265</definedName>
    <definedName name="rng01_Zip43">'01_1_General Data'!$F$266</definedName>
    <definedName name="rng01_Zip44">'01_1_General Data'!$F$267</definedName>
    <definedName name="rng01_Zip45">'01_1_General Data'!$F$268</definedName>
    <definedName name="rng01_Zip46">'01_1_General Data'!$F$269</definedName>
    <definedName name="rng01_Zip47">'01_1_General Data'!$F$270</definedName>
    <definedName name="rng01_Zip48">'01_1_General Data'!$F$271</definedName>
    <definedName name="rng01_Zip49">'01_1_General Data'!$F$272</definedName>
    <definedName name="rng01_Zip5">'01_1_General Data'!$F$228</definedName>
    <definedName name="rng01_Zip50">'01_1_General Data'!$F$273</definedName>
    <definedName name="rng01_Zip51">'01_1_General Data'!$F$274</definedName>
    <definedName name="rng01_Zip52">'01_1_General Data'!$F$275</definedName>
    <definedName name="rng01_Zip53">'01_1_General Data'!$F$276</definedName>
    <definedName name="rng01_Zip54">'01_1_General Data'!$F$277</definedName>
    <definedName name="rng01_Zip55">'01_1_General Data'!$F$278</definedName>
    <definedName name="rng01_Zip56">'01_1_General Data'!$F$279</definedName>
    <definedName name="rng01_Zip57">'01_1_General Data'!$F$280</definedName>
    <definedName name="rng01_Zip58">'01_1_General Data'!$F$281</definedName>
    <definedName name="rng01_Zip59">'01_1_General Data'!$F$282</definedName>
    <definedName name="rng01_Zip6">'01_1_General Data'!$F$229</definedName>
    <definedName name="rng01_Zip60">'01_1_General Data'!$F$283</definedName>
    <definedName name="rng01_Zip61">'01_1_General Data'!$F$284</definedName>
    <definedName name="rng01_Zip62">'01_1_General Data'!$F$285</definedName>
    <definedName name="rng01_Zip63">'01_1_General Data'!$F$286</definedName>
    <definedName name="rng01_Zip64">'01_1_General Data'!$F$287</definedName>
    <definedName name="rng01_Zip65">'01_1_General Data'!$F$288</definedName>
    <definedName name="rng01_Zip66">'01_1_General Data'!$F$289</definedName>
    <definedName name="rng01_Zip67">'01_1_General Data'!$F$290</definedName>
    <definedName name="rng01_Zip68">'01_1_General Data'!$F$291</definedName>
    <definedName name="rng01_Zip69">'01_1_General Data'!$F$292</definedName>
    <definedName name="rng01_Zip7">'01_1_General Data'!$F$230</definedName>
    <definedName name="rng01_Zip70">'01_1_General Data'!$F$293</definedName>
    <definedName name="rng01_Zip71">'01_1_General Data'!$F$294</definedName>
    <definedName name="rng01_Zip72">'01_1_General Data'!$F$295</definedName>
    <definedName name="rng01_Zip73">'01_1_General Data'!$F$296</definedName>
    <definedName name="rng01_Zip74">'01_1_General Data'!$F$297</definedName>
    <definedName name="rng01_Zip75">'01_1_General Data'!$F$298</definedName>
    <definedName name="rng01_Zip76">'01_1_General Data'!$F$299</definedName>
    <definedName name="rng01_Zip77">'01_1_General Data'!$F$300</definedName>
    <definedName name="rng01_Zip78">'01_1_General Data'!$F$301</definedName>
    <definedName name="rng01_Zip79">'01_1_General Data'!$F$302</definedName>
    <definedName name="rng01_Zip8">'01_1_General Data'!$F$231</definedName>
    <definedName name="rng01_Zip80">'01_1_General Data'!$F$303</definedName>
    <definedName name="rng01_Zip9">'01_1_General Data'!$F$232</definedName>
    <definedName name="rng01_Zoning_Status">'01_1_General Data'!$C$32</definedName>
    <definedName name="rng02_4_Uses_TotalDevCosts">'02_4_USES'!$I$90</definedName>
    <definedName name="rng02_AssistedLiving">'02_2_EXPENSE'!$86:$87</definedName>
    <definedName name="rng02_Comm_Income_Type1">'02_1_INCOME'!$B$48</definedName>
    <definedName name="rng02_Comm_Income_Type1_NoOfUnits">'02_1_INCOME'!$E$48</definedName>
    <definedName name="rng02_Comm_Income_Type1_NRSFperUnit">'02_1_INCOME'!$F$48</definedName>
    <definedName name="rng02_Comm_Income_Type1_RentsperUnit">'02_1_INCOME'!$G$48</definedName>
    <definedName name="rng02_Comm_Income_Type1_YearlyRent">'02_1_INCOME'!$H$48</definedName>
    <definedName name="rng02_Comm_Income_Type10">'02_1_INCOME'!$B$57</definedName>
    <definedName name="rng02_Comm_Income_Type10_NoOfUnits">'02_1_INCOME'!$E$57</definedName>
    <definedName name="rng02_Comm_Income_Type10_NRSFperUnit">'02_1_INCOME'!$F$57</definedName>
    <definedName name="rng02_Comm_Income_Type10_RentperUnits">'02_1_INCOME'!$G$57</definedName>
    <definedName name="rng02_Comm_Income_Type10_YearlyRent">'02_1_INCOME'!$H$57</definedName>
    <definedName name="rng02_Comm_Income_Type11">'02_1_INCOME'!$B$58</definedName>
    <definedName name="rng02_Comm_Income_Type11_NoOfUnits">'02_1_INCOME'!$E$58</definedName>
    <definedName name="rng02_Comm_Income_Type11_NRSFperUnit">'02_1_INCOME'!$F$58</definedName>
    <definedName name="rng02_Comm_Income_Type11_RentperUnits">'02_1_INCOME'!$G$58</definedName>
    <definedName name="rng02_Comm_Income_Type11_YearlyRent">'02_1_INCOME'!$H$58</definedName>
    <definedName name="rng02_Comm_Income_Type12">'02_1_INCOME'!$B$59</definedName>
    <definedName name="rng02_Comm_Income_Type12_NoOfUnits">'02_1_INCOME'!$E$59</definedName>
    <definedName name="rng02_Comm_Income_Type12_NRSFperUnit">'02_1_INCOME'!$F$59</definedName>
    <definedName name="rng02_Comm_Income_Type12_RentperUnits">'02_1_INCOME'!$G$59</definedName>
    <definedName name="rng02_Comm_Income_Type12_YearlyRent">'02_1_INCOME'!$H$59</definedName>
    <definedName name="rng02_Comm_Income_Type2">'02_1_INCOME'!$B$49</definedName>
    <definedName name="rng02_Comm_Income_Type2_NoOfUnits">'02_1_INCOME'!$E$49</definedName>
    <definedName name="rng02_Comm_Income_Type2_NRSFperUnit">'02_1_INCOME'!$F$49</definedName>
    <definedName name="rng02_Comm_Income_Type2_RentsperUnit">'02_1_INCOME'!$G$49</definedName>
    <definedName name="rng02_Comm_Income_Type2_YearlyRent">'02_1_INCOME'!$H$49</definedName>
    <definedName name="rng02_Comm_Income_Type3">'02_1_INCOME'!$B$50</definedName>
    <definedName name="rng02_Comm_Income_Type3_NoOfUnits">'02_1_INCOME'!$E$50</definedName>
    <definedName name="rng02_Comm_Income_Type3_NRSFperUnit">'02_1_INCOME'!$F$50</definedName>
    <definedName name="rng02_Comm_Income_Type3_RentsperUnits">'02_1_INCOME'!$G$50</definedName>
    <definedName name="rng02_Comm_Income_Type3_YearlyRent">'02_1_INCOME'!$H$50</definedName>
    <definedName name="rng02_Comm_Income_Type4">'02_1_INCOME'!$B$51</definedName>
    <definedName name="rng02_Comm_Income_Type4_NoOfUnits">'02_1_INCOME'!$E$51</definedName>
    <definedName name="rng02_Comm_Income_Type4_NRSFperUnit">'02_1_INCOME'!$F$51</definedName>
    <definedName name="rng02_Comm_Income_Type4_RentperUnits">'02_1_INCOME'!$G$51</definedName>
    <definedName name="rng02_Comm_Income_Type4_YearlyRent">'02_1_INCOME'!$H$51</definedName>
    <definedName name="rng02_Comm_Income_Type5">'02_1_INCOME'!$B$52</definedName>
    <definedName name="rng02_Comm_Income_Type5_NoOfUnits">'02_1_INCOME'!$E$52</definedName>
    <definedName name="rng02_Comm_Income_Type5_NRSFperUnit">'02_1_INCOME'!$F$52</definedName>
    <definedName name="rng02_Comm_Income_Type5_RentperUnits">'02_1_INCOME'!$G$52</definedName>
    <definedName name="rng02_Comm_Income_Type5_YearlyRent">'02_1_INCOME'!$H$52</definedName>
    <definedName name="rng02_Comm_Income_Type6">'02_1_INCOME'!$B$53</definedName>
    <definedName name="rng02_Comm_Income_Type6_NoOfUnits">'02_1_INCOME'!$E$53</definedName>
    <definedName name="rng02_Comm_Income_Type6_NRSFperUnit">'02_1_INCOME'!$F$53</definedName>
    <definedName name="rng02_Comm_Income_Type6_RentperUnits">'02_1_INCOME'!$G$53</definedName>
    <definedName name="rng02_Comm_Income_Type6_YearlyRent">'02_1_INCOME'!$H$53</definedName>
    <definedName name="rng02_Comm_Income_Type7">'02_1_INCOME'!$B$54</definedName>
    <definedName name="rng02_Comm_Income_Type7_NoOfUnits">'02_1_INCOME'!$E$54</definedName>
    <definedName name="rng02_Comm_Income_Type7_NRSFperUnit">'02_1_INCOME'!$F$54</definedName>
    <definedName name="rng02_Comm_Income_Type7_RentperUnits">'02_1_INCOME'!$G$54</definedName>
    <definedName name="rng02_Comm_Income_Type7_YearlyRent">'02_1_INCOME'!$H$54</definedName>
    <definedName name="rng02_Comm_Income_Type8">'02_1_INCOME'!$B$55</definedName>
    <definedName name="rng02_Comm_Income_Type8_NoOfUnits">'02_1_INCOME'!$E$55</definedName>
    <definedName name="rng02_Comm_Income_Type8_NRSFperUnit">'02_1_INCOME'!$F$55</definedName>
    <definedName name="rng02_Comm_Income_Type8_RentperUnits">'02_1_INCOME'!$G$55</definedName>
    <definedName name="rng02_Comm_Income_Type8_YearlyRent">'02_1_INCOME'!$H$55</definedName>
    <definedName name="rng02_Comm_Income_Type9">'02_1_INCOME'!$B$56</definedName>
    <definedName name="rng02_Comm_Income_Type9_NoOfUnits">'02_1_INCOME'!$E$56</definedName>
    <definedName name="rng02_Comm_Income_Type9_NRSFperUnit">'02_1_INCOME'!$F$56</definedName>
    <definedName name="rng02_Comm_Income_Type9_RentperUnit">'02_1_INCOME'!$G$56</definedName>
    <definedName name="rng02_Comm_Income_Type9_YearlyRent">'02_1_INCOME'!$H$56</definedName>
    <definedName name="rng02_Eligible">'02_4_USES'!$I$5:$L$5</definedName>
    <definedName name="rng02_Expense_DebtServiceFirstMortgageDebtSrvc">'02_2_EXPENSE'!$D$95</definedName>
    <definedName name="rng02_Expense_DebtServiceFirstMortgageInPremium">'02_2_EXPENSE'!$D$96</definedName>
    <definedName name="rng02_Expense_DebtServiceFirtMortgageDSCR">'02_2_EXPENSE'!$D$101</definedName>
    <definedName name="rng02_Expense_DebtServiceOtherDebtSrvc">'02_2_EXPENSE'!$D$98</definedName>
    <definedName name="rng02_Expense_DebtServiceSecondMortgageDebtSrvc">'02_2_EXPENSE'!$D$97</definedName>
    <definedName name="rng02_Expense_IncTable_EffGrossIncome">'02_2_EXPENSE'!$D$17</definedName>
    <definedName name="rng02_Expense_IncTable_OtherRev">'02_2_EXPENSE'!$D$16</definedName>
    <definedName name="rng02_Expense_IncTable_RentRev">'02_2_EXPENSE'!$D$12</definedName>
    <definedName name="rng02_Expense_IncTable_StoresCommRev">'02_2_EXPENSE'!$D$13</definedName>
    <definedName name="rng02_Expense_IncTable_TotNHAstLivElderCare">'02_2_EXPENSE'!$D$15</definedName>
    <definedName name="rng02_Expense_IncTable_Vacancies">'02_2_EXPENSE'!$D$14</definedName>
    <definedName name="rng02_Expense_NetOperatingIncome">'02_2_EXPENSE'!$D$92</definedName>
    <definedName name="rng02_Expense_OpEx_AccntngFees">'02_2_EXPENSE'!$D$33</definedName>
    <definedName name="rng02_Expense_OpEx_AdminRentFreeUnit">'02_2_EXPENSE'!$D$30</definedName>
    <definedName name="rng02_Expense_OpEx_Advertising">'02_2_EXPENSE'!$D$22</definedName>
    <definedName name="rng02_Expense_OpEx_AuditExpense">'02_2_EXPENSE'!$D$32</definedName>
    <definedName name="rng02_Expense_OpEx_BadDebts">'02_2_EXPENSE'!$D$37</definedName>
    <definedName name="rng02_Expense_OpEx_ConSultFees">'02_2_EXPENSE'!$D$21</definedName>
    <definedName name="rng02_Expense_OpEx_ConvMeetings">'02_2_EXPENSE'!$D$20</definedName>
    <definedName name="rng02_Expense_OpEx_LegalExpense">'02_2_EXPENSE'!$D$31</definedName>
    <definedName name="rng02_Expense_OpEx_MgmntFee">'02_2_EXPENSE'!$D$28</definedName>
    <definedName name="rng02_Expense_OpEx_MiscAdminExpenses">'02_2_EXPENSE'!$D$38</definedName>
    <definedName name="rng02_Expense_OpEx_MngrsSalary">'02_2_EXPENSE'!$D$29</definedName>
    <definedName name="rng02_Expense_OpEx_OffExpense">'02_2_EXPENSE'!$D$25</definedName>
    <definedName name="rng02_Expense_OpEx_OfficeEquipLease">'02_2_EXPENSE'!$D$36</definedName>
    <definedName name="rng02_Expense_OpEx_OfficeSal">'02_2_EXPENSE'!$D$24</definedName>
    <definedName name="rng02_Expense_OpEx_OffModelApptmntRent">'02_2_EXPENSE'!$D$26</definedName>
    <definedName name="rng02_Expense_OpEx_Postage">'02_2_EXPENSE'!$D$27</definedName>
    <definedName name="rng02_Expense_OpEx_RentExpense">'02_2_EXPENSE'!$D$23</definedName>
    <definedName name="rng02_Expense_OpEx_TCMonitoring">'02_2_EXPENSE'!$D$35</definedName>
    <definedName name="rng02_Expense_OpEx_TeleAnswSrvc">'02_2_EXPENSE'!$D$34</definedName>
    <definedName name="rng02_Expense_OpEx_TotAdminExpenses">'02_2_EXPENSE'!$D$39</definedName>
    <definedName name="rng02_Expense_OpMaintExpenses_ApplianceReplacement">'02_2_EXPENSE'!$D$69</definedName>
    <definedName name="rng02_Expense_OpMaintExpenses_Contracts">'02_2_EXPENSE'!$D$51</definedName>
    <definedName name="rng02_Expense_OpMaintExpenses_DecoratingPR">'02_2_EXPENSE'!$D$70</definedName>
    <definedName name="rng02_Expense_OpMaintExpenses_DecoratingSupplies">'02_2_EXPENSE'!$D$71</definedName>
    <definedName name="rng02_Expense_OpMaintExpenses_ElectricalMaint">'02_2_EXPENSE'!$D$64</definedName>
    <definedName name="rng02_Expense_OpMaintExpenses_ElevatorMaint">'02_2_EXPENSE'!$D$65</definedName>
    <definedName name="rng02_Expense_OpMaintExpenses_GroundsContracts">'02_2_EXPENSE'!$D$59</definedName>
    <definedName name="rng02_Expense_OpMaintExpenses_GroundsPayroll">'02_2_EXPENSE'!$D$57</definedName>
    <definedName name="rng02_Expense_OpMaintExpenses_GroundsSupplies">'02_2_EXPENSE'!$D$58</definedName>
    <definedName name="rng02_Expense_OpMaintExpenses_HVACMaint">'02_2_EXPENSE'!$D$66</definedName>
    <definedName name="rng02_Expense_OpMaintExpenses_MaintRentFreeUnit">'02_2_EXPENSE'!$D$54</definedName>
    <definedName name="rng02_Expense_OpMaintExpenses_MiscOpsMaintExpenses">'02_2_EXPENSE'!$D$73</definedName>
    <definedName name="rng02_Expense_OpMaintExpenses_Payroll">'02_2_EXPENSE'!$D$49</definedName>
    <definedName name="rng02_Expense_OpMaintExpenses_PlumbingMaint">'02_2_EXPENSE'!$D$63</definedName>
    <definedName name="rng02_Expense_OpMaintExpenses_PlumbingPayroll">'02_2_EXPENSE'!$D$63</definedName>
    <definedName name="rng02_Expense_OpMaintExpenses_REAC">'02_2_EXPENSE'!$D$67</definedName>
    <definedName name="rng02_Expense_OpMaintExpenses_RepairsContracts">'02_2_EXPENSE'!$D$62</definedName>
    <definedName name="rng02_Expense_OpMaintExpenses_RepairsPayroll">'02_2_EXPENSE'!$D$60</definedName>
    <definedName name="rng02_Expense_OpMaintExpenses_RepairsSupplies">'02_2_EXPENSE'!$D$61</definedName>
    <definedName name="rng02_Expense_OpMaintExpenses_SecurityPayrollContract">'02_2_EXPENSE'!$D$56</definedName>
    <definedName name="rng02_Expense_OpMaintExpenses_SnowRemoval">'02_2_EXPENSE'!$D$68</definedName>
    <definedName name="rng02_Expense_OpMaintExpenses_Supplies">'02_2_EXPENSE'!$D$50</definedName>
    <definedName name="rng02_Expense_OpMaintExpenses_TerminatingContract">'02_2_EXPENSE'!$D$52</definedName>
    <definedName name="rng02_Expense_OpMaintExpenses_TerminatingSupplies">'02_2_EXPENSE'!$D$53</definedName>
    <definedName name="rng02_Expense_OpMaintExpenses_TotalOpsMaintExpenses">'02_2_EXPENSE'!$D$74</definedName>
    <definedName name="rng02_Expense_OpMaintExpenses_TrashRemoval">'02_2_EXPENSE'!$D$55</definedName>
    <definedName name="rng02_Expense_OpMaintExpenses_VehicleEquipOpsRepairs">'02_2_EXPENSE'!$D$72</definedName>
    <definedName name="rng02_Expense_ReplacementReserves">'02_2_EXPENSE'!$D$89</definedName>
    <definedName name="rng02_Expense_TaxesInsurance_FidelityBondInsurance">'02_2_EXPENSE'!$D$80</definedName>
    <definedName name="rng02_Expense_TaxesInsurance_HealthInsOtherEmpBenefits">'02_2_EXPENSE'!$D$82</definedName>
    <definedName name="rng02_Expense_TaxesInsurance_Misc">'02_2_EXPENSE'!$D$84</definedName>
    <definedName name="rng02_Expense_TaxesInsurance_MiscTaxesLicensesPermits">'02_2_EXPENSE'!$D$78</definedName>
    <definedName name="rng02_Expense_TaxesInsurance_OtherIns">'02_2_EXPENSE'!$D$83</definedName>
    <definedName name="rng02_Expense_TaxesInsurance_PayrollTaxes">'02_2_EXPENSE'!$D$77</definedName>
    <definedName name="rng02_Expense_TaxesInsurance_PropertyLiabilityInsurance">'02_2_EXPENSE'!$D$79</definedName>
    <definedName name="rng02_Expense_TaxesInsurance_RETaxes">'02_2_EXPENSE'!$D$76</definedName>
    <definedName name="rng02_Expense_TaxesInsurance_TotTaxesInsurance">'02_2_EXPENSE'!$D$85</definedName>
    <definedName name="rng02_Expense_TaxesInsurance_WorkComp">'02_2_EXPENSE'!$D$81</definedName>
    <definedName name="rng02_Expense_TotalMortgageDebtSrvc">'02_2_EXPENSE'!$D$99</definedName>
    <definedName name="rng02_Expense_TotalNetOperatingExpenses">'02_2_EXPENSE'!$D$91</definedName>
    <definedName name="rng02_Expense_UtilExpense_CableTVInternet">'02_2_EXPENSE'!$D$46</definedName>
    <definedName name="rng02_Expense_UtilExpense_Electricity">'02_2_EXPENSE'!$D$42</definedName>
    <definedName name="rng02_Expense_UtilExpense_FuelOilCoal">'02_2_EXPENSE'!$D$41</definedName>
    <definedName name="rng02_Expense_UtilExpense_Gas">'02_2_EXPENSE'!$D$44</definedName>
    <definedName name="rng02_Expense_UtilExpense_Sewer">'02_2_EXPENSE'!$D$45</definedName>
    <definedName name="rng02_Expense_UtilExpense_TotUtilExpenses">'02_2_EXPENSE'!$D$47</definedName>
    <definedName name="rng02_Expense_UtilExpense_Water">'02_2_EXPENSE'!$D$43</definedName>
    <definedName name="rng02_Header_TabExpenses">'02_2_EXPENSE'!$A$1</definedName>
    <definedName name="rng02_Header_TabIncome">'02_1_INCOME'!$A$1</definedName>
    <definedName name="rng02_Header_TabSources">'02_3_SOURCES'!$A$1</definedName>
    <definedName name="rng02_Header_TabUses">'02_4_USES'!$A$1</definedName>
    <definedName name="rng02_HistoricalComparison">'02_2_EXPENSE'!$J:$K</definedName>
    <definedName name="rng02_OtherCredits">'02_5_LIHTC Proceeds'!$F$7:$G$7</definedName>
    <definedName name="rng02_OtherProjectionsCount">'02_2_EXPENSE'!$L$6:$AJ$6</definedName>
    <definedName name="rng02_Projections_1">'02_2_EXPENSE'!$M$6</definedName>
    <definedName name="rng02_Projections_10">'02_2_EXPENSE'!$AE$6</definedName>
    <definedName name="rng02_Projections_11">'02_2_EXPENSE'!$AG$6</definedName>
    <definedName name="rng02_Projections_12">'02_2_EXPENSE'!$AI$6</definedName>
    <definedName name="rng02_Projections_2">'02_2_EXPENSE'!$O$6</definedName>
    <definedName name="rng02_Projections_3">'02_2_EXPENSE'!$Q$6</definedName>
    <definedName name="rng02_Projections_4">'02_2_EXPENSE'!$S$6</definedName>
    <definedName name="rng02_Projections_5">'02_2_EXPENSE'!$U$6</definedName>
    <definedName name="rng02_Projections_6">'02_2_EXPENSE'!$W$6</definedName>
    <definedName name="rng02_Projections_7">'02_2_EXPENSE'!$Y$6</definedName>
    <definedName name="rng02_Projections_8">'02_2_EXPENSE'!$AA$6</definedName>
    <definedName name="rng02_Projections_9">'02_2_EXPENSE'!$AC$6</definedName>
    <definedName name="rng02_Projections_AreaNetIncome_1">'02_2_EXPENSE'!$L$92:$M$101</definedName>
    <definedName name="rng02_Projections_AreaNetIncome_10">'02_2_EXPENSE'!$AD$92:$AE$101</definedName>
    <definedName name="rng02_Projections_AreaNetIncome_11">'02_2_EXPENSE'!$AF$92:$AG$101</definedName>
    <definedName name="rng02_Projections_AreaNetIncome_12">'02_2_EXPENSE'!$AH$92:$AI$101</definedName>
    <definedName name="rng02_Projections_AreaNetIncome_2">'02_2_EXPENSE'!$N$92:$O$101</definedName>
    <definedName name="rng02_Projections_AreaNetIncome_3">'02_2_EXPENSE'!$P$92:$Q$101</definedName>
    <definedName name="rng02_Projections_AreaNetIncome_4">'02_2_EXPENSE'!$R$92:$S$101</definedName>
    <definedName name="rng02_Projections_AreaNetIncome_5">'02_2_EXPENSE'!$T$92:$U$101</definedName>
    <definedName name="rng02_Projections_AreaNetIncome_6">'02_2_EXPENSE'!$V$92:$W$101</definedName>
    <definedName name="rng02_Projections_AreaNetIncome_7">'02_2_EXPENSE'!$X$92:$Y$101</definedName>
    <definedName name="rng02_Projections_AreaNetIncome_8">'02_2_EXPENSE'!$Z$92:$AA$101</definedName>
    <definedName name="rng02_Projections_AreaNetIncome_9">'02_2_EXPENSE'!$AB$92:$AC$101</definedName>
    <definedName name="rng02_Projections_DebtService_1">'02_2_EXPENSE'!$L$95:$L$98</definedName>
    <definedName name="rng02_Projections_DebtService_10">'02_2_EXPENSE'!$AD$95:$AD$98</definedName>
    <definedName name="rng02_Projections_DebtService_11">'02_2_EXPENSE'!$AF$95:$AF$98</definedName>
    <definedName name="rng02_Projections_DebtService_12">'02_2_EXPENSE'!$AH$95:$AH$98</definedName>
    <definedName name="rng02_Projections_DebtService_2">'02_2_EXPENSE'!$N$95:$N$98</definedName>
    <definedName name="rng02_Projections_DebtService_3">'02_2_EXPENSE'!$P$95:$P$98</definedName>
    <definedName name="rng02_Projections_DebtService_4">'02_2_EXPENSE'!$R$95:$R$98</definedName>
    <definedName name="rng02_Projections_DebtService_5">'02_2_EXPENSE'!$T$95:$T$98</definedName>
    <definedName name="rng02_Projections_DebtService_6">'02_2_EXPENSE'!$V$95:$V$98</definedName>
    <definedName name="rng02_Projections_DebtService_7">'02_2_EXPENSE'!$X$95:$X$98</definedName>
    <definedName name="rng02_Projections_DebtService_8">'02_2_EXPENSE'!$Z$95:$Z$98</definedName>
    <definedName name="rng02_Projections_DebtService_9">'02_2_EXPENSE'!$AB$95:$AB$98</definedName>
    <definedName name="rng02_Projections_EGI_1">'02_2_EXPENSE'!$L$12:$L$16</definedName>
    <definedName name="rng02_Projections_EGI_10">'02_2_EXPENSE'!$AD$12:$AD$16</definedName>
    <definedName name="rng02_Projections_EGI_11">'02_2_EXPENSE'!$AF$12:$AF$16</definedName>
    <definedName name="rng02_Projections_EGI_12">'02_2_EXPENSE'!$AH$12:$AH$16</definedName>
    <definedName name="rng02_Projections_EGI_2">'02_2_EXPENSE'!$N$12:$N$16</definedName>
    <definedName name="rng02_Projections_EGI_3">'02_2_EXPENSE'!$P$12:$P$16</definedName>
    <definedName name="rng02_Projections_EGI_4">'02_2_EXPENSE'!$R$12:$R$16</definedName>
    <definedName name="rng02_Projections_EGI_5">'02_2_EXPENSE'!$T$12:$T$16</definedName>
    <definedName name="rng02_Projections_EGI_6">'02_2_EXPENSE'!$V$12:$V$16</definedName>
    <definedName name="rng02_Projections_EGI_7">'02_2_EXPENSE'!$X$12:$X$16</definedName>
    <definedName name="rng02_Projections_EGI_8">'02_2_EXPENSE'!$Z$12:$Z$16</definedName>
    <definedName name="rng02_Projections_EGI_9">'02_2_EXPENSE'!$AB$12:$AB$16</definedName>
    <definedName name="rng02_Projections_EGIunit_1">'02_2_EXPENSE'!$M$12:$M$16</definedName>
    <definedName name="rng02_Projections_EGIunit_10">'02_2_EXPENSE'!$AE$12:$AE$16</definedName>
    <definedName name="rng02_Projections_EGIunit_11">'02_2_EXPENSE'!$AG$12:$AG$16</definedName>
    <definedName name="rng02_Projections_EGIunit_12">'02_2_EXPENSE'!$AI$12:$AI$16</definedName>
    <definedName name="rng02_Projections_EGIunit_2">'02_2_EXPENSE'!$O$12:$O$16</definedName>
    <definedName name="rng02_Projections_EGIunit_3">'02_2_EXPENSE'!$Q$12:$Q$16</definedName>
    <definedName name="rng02_Projections_EGIunit_4">'02_2_EXPENSE'!$S$12:$S$16</definedName>
    <definedName name="rng02_Projections_EGIunit_5">'02_2_EXPENSE'!$U$12:$U$16</definedName>
    <definedName name="rng02_Projections_EGIunit_6">'02_2_EXPENSE'!$W$12:$W$16</definedName>
    <definedName name="rng02_Projections_EGIunit_7">'02_2_EXPENSE'!$Y$12:$Y$16</definedName>
    <definedName name="rng02_Projections_EGIunit_8">'02_2_EXPENSE'!$AA$12:$AA$16</definedName>
    <definedName name="rng02_Projections_EGIunit_9">'02_2_EXPENSE'!$AC$12:$AC$16</definedName>
    <definedName name="rng02_Projections_NetIncome_1">'02_2_EXPENSE'!$L$92:$M$92</definedName>
    <definedName name="rng02_Projections_NetIncome_10">'02_2_EXPENSE'!$AD$92:$AE$92</definedName>
    <definedName name="rng02_Projections_NetIncome_11">'02_2_EXPENSE'!$AF$92:$AG$92</definedName>
    <definedName name="rng02_Projections_NetIncome_12">'02_2_EXPENSE'!$AH$92:$AI$92</definedName>
    <definedName name="rng02_Projections_NetIncome_2">'02_2_EXPENSE'!$N$92:$O$92</definedName>
    <definedName name="rng02_Projections_NetIncome_3">'02_2_EXPENSE'!$P$92:$Q$92</definedName>
    <definedName name="rng02_Projections_NetIncome_4">'02_2_EXPENSE'!$R$92:$S$92</definedName>
    <definedName name="rng02_Projections_NetIncome_5">'02_2_EXPENSE'!$T$92:$U$92</definedName>
    <definedName name="rng02_Projections_NetIncome_6">'02_2_EXPENSE'!$V$92:$W$92</definedName>
    <definedName name="rng02_Projections_NetIncome_7">'02_2_EXPENSE'!$X$92:$Y$92</definedName>
    <definedName name="rng02_Projections_NetIncome_8">'02_2_EXPENSE'!$Z$92:$AA$92</definedName>
    <definedName name="rng02_Projections_NetIncome_9">'02_2_EXPENSE'!$AB$92:$AC$92</definedName>
    <definedName name="rng02_Projections_Unit_1">'02_2_EXPENSE'!$M$8</definedName>
    <definedName name="rng02_Projections_Unit_10">'02_2_EXPENSE'!$AE$8</definedName>
    <definedName name="rng02_Projections_Unit_11">'02_2_EXPENSE'!$AG$8</definedName>
    <definedName name="rng02_Projections_Unit_12">'02_2_EXPENSE'!$AI$8</definedName>
    <definedName name="rng02_Projections_Unit_2">'02_2_EXPENSE'!$O$8</definedName>
    <definedName name="rng02_Projections_Unit_3">'02_2_EXPENSE'!$Q$8</definedName>
    <definedName name="rng02_Projections_Unit_4">'02_2_EXPENSE'!$S$8</definedName>
    <definedName name="rng02_Projections_Unit_5">'02_2_EXPENSE'!$U$8</definedName>
    <definedName name="rng02_Projections_Unit_6">'02_2_EXPENSE'!$W$8</definedName>
    <definedName name="rng02_Projections_Unit_7">'02_2_EXPENSE'!$Y$8</definedName>
    <definedName name="rng02_Projections_Unit_8">'02_2_EXPENSE'!$AA$8</definedName>
    <definedName name="rng02_Projections_Unit_9">'02_2_EXPENSE'!$AC$8</definedName>
    <definedName name="rng02_Projections_Year_1">'02_2_EXPENSE'!$M$9</definedName>
    <definedName name="rng02_Projections_Year_10">'02_2_EXPENSE'!$AE$9</definedName>
    <definedName name="rng02_Projections_Year_11">'02_2_EXPENSE'!$AG$9</definedName>
    <definedName name="rng02_Projections_Year_12">'02_2_EXPENSE'!$AI$9</definedName>
    <definedName name="rng02_Projections_Year_2">'02_2_EXPENSE'!$O$9</definedName>
    <definedName name="rng02_Projections_Year_3">'02_2_EXPENSE'!$Q$9</definedName>
    <definedName name="rng02_Projections_Year_4">'02_2_EXPENSE'!$S$9</definedName>
    <definedName name="rng02_Projections_Year_5">'02_2_EXPENSE'!$U$9</definedName>
    <definedName name="rng02_Projections_Year_6">'02_2_EXPENSE'!$W$9</definedName>
    <definedName name="rng02_Projections_Year_7">'02_2_EXPENSE'!$Y$9</definedName>
    <definedName name="rng02_Projections_Year_8">'02_2_EXPENSE'!$AA$9</definedName>
    <definedName name="rng02_Projections_Year_9">'02_2_EXPENSE'!$AC$9</definedName>
    <definedName name="rng02_Res_Summary_AMI1">'02_1_INCOME'!$D$8</definedName>
    <definedName name="rng02_Res_Summary_AMI10">'02_1_INCOME'!$D$17</definedName>
    <definedName name="rng02_Res_Summary_AMI11">'02_1_INCOME'!$D$18</definedName>
    <definedName name="rng02_Res_Summary_AMI12">'02_1_INCOME'!$D$19</definedName>
    <definedName name="rng02_Res_Summary_AMI13">'02_1_INCOME'!$D$20</definedName>
    <definedName name="rng02_Res_Summary_AMI14">'02_1_INCOME'!$D$21</definedName>
    <definedName name="rng02_Res_Summary_AMI15">'02_1_INCOME'!$D$22</definedName>
    <definedName name="rng02_Res_Summary_AMI16">'02_1_INCOME'!$D$23</definedName>
    <definedName name="rng02_Res_Summary_AMI17">'02_1_INCOME'!$D$24</definedName>
    <definedName name="rng02_Res_Summary_AMI18">'02_1_INCOME'!$D$25</definedName>
    <definedName name="rng02_Res_Summary_AMI19">'02_1_INCOME'!$D$26</definedName>
    <definedName name="rng02_Res_Summary_AMI2">'02_1_INCOME'!$D$9</definedName>
    <definedName name="rng02_Res_Summary_AMI20">'02_1_INCOME'!$D$27</definedName>
    <definedName name="rng02_Res_Summary_AMI21">'02_1_INCOME'!$D$28</definedName>
    <definedName name="rng02_Res_Summary_AMI22">'02_1_INCOME'!$D$29</definedName>
    <definedName name="rng02_Res_Summary_AMI23">'02_1_INCOME'!$D$30</definedName>
    <definedName name="rng02_Res_Summary_AMI24">'02_1_INCOME'!$D$31</definedName>
    <definedName name="rng02_Res_Summary_AMI25">'02_1_INCOME'!$D$32</definedName>
    <definedName name="rng02_Res_Summary_AMI26">'02_1_INCOME'!$D$33</definedName>
    <definedName name="rng02_Res_Summary_AMI27">'02_1_INCOME'!$D$34</definedName>
    <definedName name="rng02_Res_Summary_AMI28">'02_1_INCOME'!$D$35</definedName>
    <definedName name="rng02_Res_Summary_AMI29">'02_1_INCOME'!$D$36</definedName>
    <definedName name="rng02_Res_Summary_AMI3">'02_1_INCOME'!$D$10</definedName>
    <definedName name="rng02_Res_Summary_AMI30">'02_1_INCOME'!$D$37</definedName>
    <definedName name="rng02_Res_Summary_AMI4">'02_1_INCOME'!$D$11</definedName>
    <definedName name="rng02_Res_Summary_AMI5">'02_1_INCOME'!$D$12</definedName>
    <definedName name="rng02_Res_Summary_AMI6">'02_1_INCOME'!$D$13</definedName>
    <definedName name="rng02_Res_Summary_AMI7">'02_1_INCOME'!$D$14</definedName>
    <definedName name="rng02_Res_Summary_AMI8">'02_1_INCOME'!$D$15</definedName>
    <definedName name="rng02_Res_Summary_AMI9">'02_1_INCOME'!$D$16</definedName>
    <definedName name="rng02_Res_Summary_ConstType1">'02_1_INCOME'!$E$8</definedName>
    <definedName name="rng02_Res_Summary_ConstType10">'02_1_INCOME'!$E$17</definedName>
    <definedName name="rng02_Res_Summary_ConstType11">'02_1_INCOME'!$E$18</definedName>
    <definedName name="rng02_Res_Summary_ConstType12">'02_1_INCOME'!$E$19</definedName>
    <definedName name="rng02_Res_Summary_ConstType13">'02_1_INCOME'!$E$20</definedName>
    <definedName name="rng02_Res_Summary_ConstType14">'02_1_INCOME'!$E$21</definedName>
    <definedName name="rng02_Res_Summary_ConstType15">'02_1_INCOME'!$E$22</definedName>
    <definedName name="rng02_Res_Summary_ConstType16">'02_1_INCOME'!$E$23</definedName>
    <definedName name="rng02_Res_Summary_ConstType17">'02_1_INCOME'!$E$24</definedName>
    <definedName name="rng02_Res_Summary_ConstType18">'02_1_INCOME'!$E$25</definedName>
    <definedName name="rng02_Res_Summary_ConstType19">'02_1_INCOME'!$E$26</definedName>
    <definedName name="rng02_Res_Summary_ConstType2">'02_1_INCOME'!$E$9</definedName>
    <definedName name="rng02_Res_Summary_ConstType20">'02_1_INCOME'!$E$27</definedName>
    <definedName name="rng02_Res_Summary_ConstType21">'02_1_INCOME'!$E$28</definedName>
    <definedName name="rng02_Res_Summary_ConstType22">'02_1_INCOME'!$E$29</definedName>
    <definedName name="rng02_Res_Summary_ConstType23">'02_1_INCOME'!$E$30</definedName>
    <definedName name="rng02_Res_Summary_ConstType24">'02_1_INCOME'!$E$31</definedName>
    <definedName name="rng02_Res_Summary_ConstType25">'02_1_INCOME'!$E$32</definedName>
    <definedName name="rng02_Res_Summary_ConstType26">'02_1_INCOME'!$E$33</definedName>
    <definedName name="rng02_Res_Summary_ConstType27">'02_1_INCOME'!$E$34</definedName>
    <definedName name="rng02_Res_Summary_ConstType28">'02_1_INCOME'!$E$35</definedName>
    <definedName name="rng02_Res_Summary_ConstType29">'02_1_INCOME'!$E$36</definedName>
    <definedName name="rng02_Res_Summary_ConstType3">'02_1_INCOME'!$E$10</definedName>
    <definedName name="rng02_Res_Summary_ConstType30">'02_1_INCOME'!$E$37</definedName>
    <definedName name="rng02_Res_Summary_ConstType4">'02_1_INCOME'!$E$11</definedName>
    <definedName name="rng02_Res_Summary_ConstType5">'02_1_INCOME'!$E$12</definedName>
    <definedName name="rng02_Res_Summary_ConstType6">'02_1_INCOME'!$E$13</definedName>
    <definedName name="rng02_Res_Summary_ConstType7">'02_1_INCOME'!$E$14</definedName>
    <definedName name="rng02_Res_Summary_ConstType8">'02_1_INCOME'!$E$15</definedName>
    <definedName name="rng02_Res_Summary_ConstType9">'02_1_INCOME'!$E$16</definedName>
    <definedName name="rng02_Res_Summary_ContractAdmin1">'02_1_INCOME'!$K$8</definedName>
    <definedName name="rng02_Res_Summary_ContractAdmin10">'02_1_INCOME'!$K$17</definedName>
    <definedName name="rng02_Res_Summary_ContractAdmin11">'02_1_INCOME'!$K$18</definedName>
    <definedName name="rng02_Res_Summary_ContractAdmin12">'02_1_INCOME'!$K$19</definedName>
    <definedName name="rng02_Res_Summary_ContractAdmin13">'02_1_INCOME'!$K$20</definedName>
    <definedName name="rng02_Res_Summary_ContractAdmin14">'02_1_INCOME'!$K$21</definedName>
    <definedName name="rng02_Res_Summary_ContractAdmin15">'02_1_INCOME'!$K$22</definedName>
    <definedName name="rng02_Res_Summary_ContractAdmin16">'02_1_INCOME'!$K$23</definedName>
    <definedName name="rng02_Res_Summary_ContractAdmin17">'02_1_INCOME'!$K$24</definedName>
    <definedName name="rng02_Res_Summary_ContractAdmin18">'02_1_INCOME'!$K$25</definedName>
    <definedName name="rng02_Res_Summary_ContractAdmin19">'02_1_INCOME'!$K$26</definedName>
    <definedName name="rng02_Res_Summary_ContractAdmin2">'02_1_INCOME'!$K$9</definedName>
    <definedName name="rng02_Res_Summary_ContractAdmin20">'02_1_INCOME'!$K$27</definedName>
    <definedName name="rng02_Res_Summary_ContractAdmin21">'02_1_INCOME'!$K$28</definedName>
    <definedName name="rng02_Res_Summary_ContractAdmin22">'02_1_INCOME'!$K$29</definedName>
    <definedName name="rng02_Res_Summary_ContractAdmin23">'02_1_INCOME'!$K$30</definedName>
    <definedName name="rng02_Res_Summary_ContractAdmin24">'02_1_INCOME'!$K$31</definedName>
    <definedName name="rng02_Res_Summary_ContractAdmin25">'02_1_INCOME'!$K$32</definedName>
    <definedName name="rng02_Res_Summary_ContractAdmin26">'02_1_INCOME'!$K$33</definedName>
    <definedName name="rng02_Res_Summary_ContractAdmin27">'02_1_INCOME'!$K$34</definedName>
    <definedName name="rng02_Res_Summary_ContractAdmin28">'02_1_INCOME'!$K$35</definedName>
    <definedName name="rng02_Res_Summary_ContractAdmin29">'02_1_INCOME'!$K$36</definedName>
    <definedName name="rng02_Res_Summary_ContractAdmin3">'02_1_INCOME'!$K$10</definedName>
    <definedName name="rng02_Res_Summary_ContractAdmin30">'02_1_INCOME'!$K$37</definedName>
    <definedName name="rng02_Res_Summary_ContractAdmin4">'02_1_INCOME'!$K$11</definedName>
    <definedName name="rng02_Res_Summary_ContractAdmin5">'02_1_INCOME'!$K$12</definedName>
    <definedName name="rng02_Res_Summary_ContractAdmin6">'02_1_INCOME'!$K$13</definedName>
    <definedName name="rng02_Res_Summary_ContractAdmin7">'02_1_INCOME'!$K$14</definedName>
    <definedName name="rng02_Res_Summary_ContractAdmin8">'02_1_INCOME'!$K$15</definedName>
    <definedName name="rng02_Res_Summary_ContractAdmin9">'02_1_INCOME'!$K$16</definedName>
    <definedName name="rng02_Res_Summary_ContractExpiration1">'02_1_INCOME'!$J$8</definedName>
    <definedName name="rng02_Res_Summary_ContractExpiration10">'02_1_INCOME'!$J$17</definedName>
    <definedName name="rng02_Res_Summary_ContractExpiration11">'02_1_INCOME'!$J$18</definedName>
    <definedName name="rng02_Res_Summary_ContractExpiration12">'02_1_INCOME'!$J$19</definedName>
    <definedName name="rng02_Res_Summary_ContractExpiration13">'02_1_INCOME'!$J$20</definedName>
    <definedName name="rng02_Res_Summary_ContractExpiration14">'02_1_INCOME'!$J$21</definedName>
    <definedName name="rng02_Res_Summary_ContractExpiration15">'02_1_INCOME'!$J$22</definedName>
    <definedName name="rng02_Res_Summary_ContractExpiration16">'02_1_INCOME'!$J$23</definedName>
    <definedName name="rng02_Res_Summary_ContractExpiration17">'02_1_INCOME'!$J$24</definedName>
    <definedName name="rng02_Res_Summary_ContractExpiration18">'02_1_INCOME'!$J$25</definedName>
    <definedName name="rng02_Res_Summary_ContractExpiration19">'02_1_INCOME'!$J$26</definedName>
    <definedName name="rng02_Res_Summary_ContractExpiration2">'02_1_INCOME'!$J$9</definedName>
    <definedName name="rng02_Res_Summary_ContractExpiration20">'02_1_INCOME'!$J$27</definedName>
    <definedName name="rng02_Res_Summary_ContractExpiration21">'02_1_INCOME'!$J$28</definedName>
    <definedName name="rng02_Res_Summary_ContractExpiration22">'02_1_INCOME'!$J$29</definedName>
    <definedName name="rng02_Res_Summary_ContractExpiration23">'02_1_INCOME'!$J$30</definedName>
    <definedName name="rng02_Res_Summary_ContractExpiration24">'02_1_INCOME'!$J$31</definedName>
    <definedName name="rng02_Res_Summary_ContractExpiration25">'02_1_INCOME'!$J$32</definedName>
    <definedName name="rng02_Res_Summary_ContractExpiration26">'02_1_INCOME'!$J$33</definedName>
    <definedName name="rng02_Res_Summary_ContractExpiration27">'02_1_INCOME'!$J$34</definedName>
    <definedName name="rng02_Res_Summary_ContractExpiration28">'02_1_INCOME'!$J$35</definedName>
    <definedName name="rng02_Res_Summary_ContractExpiration29">'02_1_INCOME'!$J$36</definedName>
    <definedName name="rng02_Res_Summary_ContractExpiration3">'02_1_INCOME'!$J$10</definedName>
    <definedName name="rng02_Res_Summary_ContractExpiration30">'02_1_INCOME'!$J$37</definedName>
    <definedName name="rng02_Res_Summary_ContractExpiration4">'02_1_INCOME'!$J$11</definedName>
    <definedName name="rng02_Res_Summary_ContractExpiration5">'02_1_INCOME'!$J$12</definedName>
    <definedName name="rng02_Res_Summary_ContractExpiration6">'02_1_INCOME'!$J$13</definedName>
    <definedName name="rng02_Res_Summary_ContractExpiration7">'02_1_INCOME'!$J$14</definedName>
    <definedName name="rng02_Res_Summary_ContractExpiration8">'02_1_INCOME'!$J$15</definedName>
    <definedName name="rng02_Res_Summary_ContractExpiration9">'02_1_INCOME'!$J$16</definedName>
    <definedName name="rng02_Res_Summary_DeedRestricted1">'02_1_INCOME'!$G$8</definedName>
    <definedName name="rng02_Res_Summary_DeedRestricted10">'02_1_INCOME'!$G$17</definedName>
    <definedName name="rng02_Res_Summary_DeedRestricted11">'02_1_INCOME'!$G$18</definedName>
    <definedName name="rng02_Res_Summary_DeedRestricted12">'02_1_INCOME'!$G$19</definedName>
    <definedName name="rng02_Res_Summary_DeedRestricted13">'02_1_INCOME'!$G$20</definedName>
    <definedName name="rng02_Res_Summary_DeedRestricted14">'02_1_INCOME'!$G$21</definedName>
    <definedName name="rng02_Res_Summary_DeedRestricted15">'02_1_INCOME'!$G$22</definedName>
    <definedName name="rng02_Res_Summary_DeedRestricted16">'02_1_INCOME'!$G$23</definedName>
    <definedName name="rng02_Res_Summary_DeedRestricted17">'02_1_INCOME'!$G$24</definedName>
    <definedName name="rng02_Res_Summary_DeedRestricted18">'02_1_INCOME'!$G$25</definedName>
    <definedName name="rng02_Res_Summary_DeedRestricted19">'02_1_INCOME'!$G$26</definedName>
    <definedName name="rng02_Res_Summary_DeedRestricted2">'02_1_INCOME'!$G$9</definedName>
    <definedName name="rng02_Res_Summary_DeedRestricted20">'02_1_INCOME'!$G$27</definedName>
    <definedName name="rng02_Res_Summary_DeedRestricted21">'02_1_INCOME'!$G$28</definedName>
    <definedName name="rng02_Res_Summary_DeedRestricted22">'02_1_INCOME'!$G$29</definedName>
    <definedName name="rng02_Res_Summary_DeedRestricted23">'02_1_INCOME'!$G$30</definedName>
    <definedName name="rng02_Res_Summary_DeedRestricted24">'02_1_INCOME'!$G$31</definedName>
    <definedName name="rng02_Res_Summary_DeedRestricted25">'02_1_INCOME'!$G$32</definedName>
    <definedName name="rng02_Res_Summary_DeedRestricted26">'02_1_INCOME'!$G$33</definedName>
    <definedName name="rng02_Res_Summary_DeedRestricted27">'02_1_INCOME'!$G$34</definedName>
    <definedName name="rng02_Res_Summary_DeedRestricted28">'02_1_INCOME'!$G$35</definedName>
    <definedName name="rng02_Res_Summary_DeedRestricted29">'02_1_INCOME'!$G$36</definedName>
    <definedName name="rng02_Res_Summary_DeedRestricted3">'02_1_INCOME'!$G$10</definedName>
    <definedName name="rng02_Res_Summary_DeedRestricted30">'02_1_INCOME'!$G$37</definedName>
    <definedName name="rng02_Res_Summary_DeedRestricted4">'02_1_INCOME'!$G$11</definedName>
    <definedName name="rng02_Res_Summary_DeedRestricted5">'02_1_INCOME'!$G$12</definedName>
    <definedName name="rng02_Res_Summary_DeedRestricted6">'02_1_INCOME'!$G$13</definedName>
    <definedName name="rng02_Res_Summary_DeedRestricted7">'02_1_INCOME'!$G$14</definedName>
    <definedName name="rng02_Res_Summary_DeedRestricted8">'02_1_INCOME'!$G$15</definedName>
    <definedName name="rng02_Res_Summary_DeedRestricted9">'02_1_INCOME'!$G$16</definedName>
    <definedName name="rng02_Res_Summary_GrossMarketRent1">'02_1_INCOME'!$O$8</definedName>
    <definedName name="rng02_Res_Summary_GrossMarketRent10">'02_1_INCOME'!$O$17</definedName>
    <definedName name="rng02_Res_Summary_GrossMarketRent11">'02_1_INCOME'!$O$18</definedName>
    <definedName name="rng02_Res_Summary_GrossMarketRent12">'02_1_INCOME'!$O$19</definedName>
    <definedName name="rng02_Res_Summary_GrossMarketRent13">'02_1_INCOME'!$O$20</definedName>
    <definedName name="rng02_Res_Summary_GrossMarketRent14">'02_1_INCOME'!$O$21</definedName>
    <definedName name="rng02_Res_Summary_GrossMarketRent15">'02_1_INCOME'!$O$22</definedName>
    <definedName name="rng02_Res_Summary_GrossMarketRent16">'02_1_INCOME'!$O$23</definedName>
    <definedName name="rng02_Res_Summary_GrossMarketRent17">'02_1_INCOME'!$O$24</definedName>
    <definedName name="rng02_Res_Summary_GrossMarketRent18">'02_1_INCOME'!$O$25</definedName>
    <definedName name="rng02_Res_Summary_GrossMarketRent19">'02_1_INCOME'!$O$26</definedName>
    <definedName name="rng02_Res_Summary_GrossMarketRent2">'02_1_INCOME'!$O$9</definedName>
    <definedName name="rng02_Res_Summary_GrossMarketRent20">'02_1_INCOME'!$O$27</definedName>
    <definedName name="rng02_Res_Summary_GrossMarketRent21">'02_1_INCOME'!$O$28</definedName>
    <definedName name="rng02_Res_Summary_GrossMarketRent22">'02_1_INCOME'!$O$29</definedName>
    <definedName name="rng02_Res_Summary_GrossMarketRent23">'02_1_INCOME'!$O$30</definedName>
    <definedName name="rng02_Res_Summary_GrossMarketRent24">'02_1_INCOME'!$O$31</definedName>
    <definedName name="rng02_Res_Summary_GrossMarketRent25">'02_1_INCOME'!$O$32</definedName>
    <definedName name="rng02_Res_Summary_GrossMarketRent26">'02_1_INCOME'!$O$33</definedName>
    <definedName name="rng02_Res_Summary_GrossMarketRent27">'02_1_INCOME'!$O$34</definedName>
    <definedName name="rng02_Res_Summary_GrossMarketRent28">'02_1_INCOME'!$O$35</definedName>
    <definedName name="rng02_Res_Summary_GrossMarketRent29">'02_1_INCOME'!$O$36</definedName>
    <definedName name="rng02_Res_Summary_GrossMarketRent3">'02_1_INCOME'!$O$10</definedName>
    <definedName name="rng02_Res_Summary_GrossMarketRent30">'02_1_INCOME'!$O$37</definedName>
    <definedName name="rng02_Res_Summary_GrossMarketRent4">'02_1_INCOME'!$O$11</definedName>
    <definedName name="rng02_Res_Summary_GrossMarketRent5">'02_1_INCOME'!$O$12</definedName>
    <definedName name="rng02_Res_Summary_GrossMarketRent6">'02_1_INCOME'!$O$13</definedName>
    <definedName name="rng02_Res_Summary_GrossMarketRent7">'02_1_INCOME'!$O$14</definedName>
    <definedName name="rng02_Res_Summary_GrossMarketRent8">'02_1_INCOME'!$O$15</definedName>
    <definedName name="rng02_Res_Summary_GrossMarketRent9">'02_1_INCOME'!$O$16</definedName>
    <definedName name="rng02_Res_Summary_NetMarketRent1">'02_1_INCOME'!$P$8</definedName>
    <definedName name="rng02_Res_Summary_NetMarketRent10">'02_1_INCOME'!$P$17</definedName>
    <definedName name="rng02_Res_Summary_NetMarketRent11">'02_1_INCOME'!$P$18</definedName>
    <definedName name="rng02_Res_Summary_NetMarketRent12">'02_1_INCOME'!$P$19</definedName>
    <definedName name="rng02_Res_Summary_NetMarketRent13">'02_1_INCOME'!$P$20</definedName>
    <definedName name="rng02_Res_Summary_NetMarketRent14">'02_1_INCOME'!$P$21</definedName>
    <definedName name="rng02_Res_Summary_NetMarketRent15">'02_1_INCOME'!$P$22</definedName>
    <definedName name="rng02_Res_Summary_NetMarketRent16">'02_1_INCOME'!$P$23</definedName>
    <definedName name="rng02_Res_Summary_NetMarketRent17">'02_1_INCOME'!$P$24</definedName>
    <definedName name="rng02_Res_Summary_NetMarketRent18">'02_1_INCOME'!$P$25</definedName>
    <definedName name="rng02_Res_Summary_NetMarketRent19">'02_1_INCOME'!$P$26</definedName>
    <definedName name="rng02_Res_Summary_NetMarketRent2">'02_1_INCOME'!$P$9</definedName>
    <definedName name="rng02_Res_Summary_NetMarketRent20">'02_1_INCOME'!$P$27</definedName>
    <definedName name="rng02_Res_Summary_NetMarketRent21">'02_1_INCOME'!$P$28</definedName>
    <definedName name="rng02_Res_Summary_NetMarketRent22">'02_1_INCOME'!$P$29</definedName>
    <definedName name="rng02_Res_Summary_NetMarketRent23">'02_1_INCOME'!$P$30</definedName>
    <definedName name="rng02_Res_Summary_NetMarketRent24">'02_1_INCOME'!$P$31</definedName>
    <definedName name="rng02_Res_Summary_NetMarketRent25">'02_1_INCOME'!$P$32</definedName>
    <definedName name="rng02_Res_Summary_NetMarketRent26">'02_1_INCOME'!$P$33</definedName>
    <definedName name="rng02_Res_Summary_NetMarketRent27">'02_1_INCOME'!$P$34</definedName>
    <definedName name="rng02_Res_Summary_NetMarketRent28">'02_1_INCOME'!$P$35</definedName>
    <definedName name="rng02_Res_Summary_NetMarketRent29">'02_1_INCOME'!$P$36</definedName>
    <definedName name="rng02_Res_Summary_NetMarketRent3">'02_1_INCOME'!$P$10</definedName>
    <definedName name="rng02_Res_Summary_NetMarketRent30">'02_1_INCOME'!$P$37</definedName>
    <definedName name="rng02_Res_Summary_NetMarketRent4">'02_1_INCOME'!$P$11</definedName>
    <definedName name="rng02_Res_Summary_NetMarketRent5">'02_1_INCOME'!$P$12</definedName>
    <definedName name="rng02_Res_Summary_NetMarketRent6">'02_1_INCOME'!$P$13</definedName>
    <definedName name="rng02_Res_Summary_NetMarketRent7">'02_1_INCOME'!$P$14</definedName>
    <definedName name="rng02_Res_Summary_NetMarketRent8">'02_1_INCOME'!$P$15</definedName>
    <definedName name="rng02_Res_Summary_NetMarketRent9">'02_1_INCOME'!$P$16</definedName>
    <definedName name="rng02_Res_Summary_NoBaths1">'02_1_INCOME'!$C$8</definedName>
    <definedName name="rng02_Res_Summary_NoBaths10">'02_1_INCOME'!$C$17</definedName>
    <definedName name="rng02_Res_Summary_NoBaths11">'02_1_INCOME'!$C$18</definedName>
    <definedName name="rng02_Res_Summary_NoBaths12">'02_1_INCOME'!$C$19</definedName>
    <definedName name="rng02_Res_Summary_NoBaths13">'02_1_INCOME'!$C$20</definedName>
    <definedName name="rng02_Res_Summary_NoBaths14">'02_1_INCOME'!$C$21</definedName>
    <definedName name="rng02_Res_Summary_NoBaths15">'02_1_INCOME'!$C$22</definedName>
    <definedName name="rng02_Res_Summary_NoBaths16">'02_1_INCOME'!$C$23</definedName>
    <definedName name="rng02_Res_Summary_NoBaths17">'02_1_INCOME'!$C$24</definedName>
    <definedName name="rng02_Res_Summary_NoBaths18">'02_1_INCOME'!$C$25</definedName>
    <definedName name="rng02_Res_Summary_NoBaths19">'02_1_INCOME'!$C$26</definedName>
    <definedName name="rng02_Res_Summary_NoBaths2">'02_1_INCOME'!$C$9</definedName>
    <definedName name="rng02_Res_Summary_NoBaths20">'02_1_INCOME'!$C$27</definedName>
    <definedName name="rng02_Res_Summary_NoBaths21">'02_1_INCOME'!$C$28</definedName>
    <definedName name="rng02_Res_Summary_NoBaths22">'02_1_INCOME'!$C$29</definedName>
    <definedName name="rng02_Res_Summary_NoBaths23">'02_1_INCOME'!$C$30</definedName>
    <definedName name="rng02_Res_Summary_NoBaths24">'02_1_INCOME'!$C$31</definedName>
    <definedName name="rng02_Res_Summary_NoBaths25">'02_1_INCOME'!$C$32</definedName>
    <definedName name="rng02_Res_Summary_NoBaths26">'02_1_INCOME'!$C$33</definedName>
    <definedName name="rng02_Res_Summary_NoBaths27">'02_1_INCOME'!$C$34</definedName>
    <definedName name="rng02_Res_Summary_NoBaths28">'02_1_INCOME'!$C$35</definedName>
    <definedName name="rng02_Res_Summary_NoBaths29">'02_1_INCOME'!$C$36</definedName>
    <definedName name="rng02_Res_Summary_NoBaths3">'02_1_INCOME'!$C$10</definedName>
    <definedName name="rng02_Res_Summary_NoBaths30">'02_1_INCOME'!$C$37</definedName>
    <definedName name="rng02_Res_Summary_NoBaths4">'02_1_INCOME'!$C$11</definedName>
    <definedName name="rng02_Res_Summary_NoBaths5">'02_1_INCOME'!$C$12</definedName>
    <definedName name="rng02_Res_Summary_NoBaths6">'02_1_INCOME'!$C$13</definedName>
    <definedName name="rng02_Res_Summary_NoBaths7">'02_1_INCOME'!$C$14</definedName>
    <definedName name="rng02_Res_Summary_NoBaths8">'02_1_INCOME'!$C$15</definedName>
    <definedName name="rng02_Res_Summary_NoBaths9">'02_1_INCOME'!$C$16</definedName>
    <definedName name="rng02_Res_Summary_NoBedrooms1">'02_1_INCOME'!$B$8</definedName>
    <definedName name="rng02_Res_Summary_NoBedrooms10">'02_1_INCOME'!$B$17</definedName>
    <definedName name="rng02_Res_Summary_NoBedrooms11">'02_1_INCOME'!$B$18</definedName>
    <definedName name="rng02_Res_Summary_NoBedrooms12">'02_1_INCOME'!$B$19</definedName>
    <definedName name="rng02_Res_Summary_NoBedrooms13">'02_1_INCOME'!$B$20</definedName>
    <definedName name="rng02_Res_Summary_NoBedrooms14">'02_1_INCOME'!$B$21</definedName>
    <definedName name="rng02_Res_Summary_NoBedrooms15">'02_1_INCOME'!$B$22</definedName>
    <definedName name="rng02_Res_Summary_NoBedrooms16">'02_1_INCOME'!$B$23</definedName>
    <definedName name="rng02_Res_Summary_NoBedrooms17">'02_1_INCOME'!$B$24</definedName>
    <definedName name="rng02_Res_Summary_NoBedrooms18">'02_1_INCOME'!$B$25</definedName>
    <definedName name="rng02_Res_Summary_NoBedrooms19">'02_1_INCOME'!$B$26</definedName>
    <definedName name="rng02_Res_Summary_NoBedrooms2">'02_1_INCOME'!$B$9</definedName>
    <definedName name="rng02_Res_Summary_NoBedrooms20">'02_1_INCOME'!$B$27</definedName>
    <definedName name="rng02_Res_Summary_NoBedrooms21">'02_1_INCOME'!$B$28</definedName>
    <definedName name="rng02_Res_Summary_NoBedrooms22">'02_1_INCOME'!$B$29</definedName>
    <definedName name="rng02_Res_Summary_NoBedrooms23">'02_1_INCOME'!$B$30</definedName>
    <definedName name="rng02_Res_Summary_NoBedrooms24">'02_1_INCOME'!$B$31</definedName>
    <definedName name="rng02_Res_Summary_NoBedrooms25">'02_1_INCOME'!$B$32</definedName>
    <definedName name="rng02_Res_Summary_NoBedrooms26">'02_1_INCOME'!$B$33</definedName>
    <definedName name="rng02_Res_Summary_NoBedrooms27">'02_1_INCOME'!$B$34</definedName>
    <definedName name="rng02_Res_Summary_NoBedrooms28">'02_1_INCOME'!$B$35</definedName>
    <definedName name="rng02_Res_Summary_NoBedrooms29">'02_1_INCOME'!$B$36</definedName>
    <definedName name="rng02_Res_Summary_NoBedrooms3">'02_1_INCOME'!$B$10</definedName>
    <definedName name="rng02_Res_Summary_NoBedrooms30">'02_1_INCOME'!$B$37</definedName>
    <definedName name="rng02_Res_Summary_NoBedrooms4">'02_1_INCOME'!$B$11</definedName>
    <definedName name="rng02_Res_Summary_NoBedrooms5">'02_1_INCOME'!$B$12</definedName>
    <definedName name="rng02_Res_Summary_NoBedrooms6">'02_1_INCOME'!$B$13</definedName>
    <definedName name="rng02_Res_Summary_NoBedrooms7">'02_1_INCOME'!$B$14</definedName>
    <definedName name="rng02_Res_Summary_NoBedrooms8">'02_1_INCOME'!$B$15</definedName>
    <definedName name="rng02_Res_Summary_NoBedrooms9">'02_1_INCOME'!$B$16</definedName>
    <definedName name="rng02_Res_Summary_NoUnit1">'02_1_INCOME'!$F$8</definedName>
    <definedName name="rng02_Res_Summary_NoUnit10">'02_1_INCOME'!$F$17</definedName>
    <definedName name="rng02_Res_Summary_NoUnit11">'02_1_INCOME'!$F$18</definedName>
    <definedName name="rng02_Res_Summary_NoUnit12">'02_1_INCOME'!$F$19</definedName>
    <definedName name="rng02_Res_Summary_NoUnit13">'02_1_INCOME'!$F$20</definedName>
    <definedName name="rng02_Res_Summary_NoUnit14">'02_1_INCOME'!$F$21</definedName>
    <definedName name="rng02_Res_Summary_NoUnit15">'02_1_INCOME'!$F$22</definedName>
    <definedName name="rng02_Res_Summary_NoUnit16">'02_1_INCOME'!$F$23</definedName>
    <definedName name="rng02_Res_Summary_NoUnit17">'02_1_INCOME'!$F$24</definedName>
    <definedName name="rng02_Res_Summary_NoUnit18">'02_1_INCOME'!$F$25</definedName>
    <definedName name="rng02_Res_Summary_NoUnit19">'02_1_INCOME'!$F$26</definedName>
    <definedName name="rng02_Res_Summary_NoUnit2">'02_1_INCOME'!$F$9</definedName>
    <definedName name="rng02_Res_Summary_NoUnit20">'02_1_INCOME'!$F$27</definedName>
    <definedName name="rng02_Res_Summary_NoUnit21">'02_1_INCOME'!$F$28</definedName>
    <definedName name="rng02_Res_Summary_NoUnit22">'02_1_INCOME'!$F$29</definedName>
    <definedName name="rng02_Res_Summary_NoUnit23">'02_1_INCOME'!$F$30</definedName>
    <definedName name="rng02_Res_Summary_NoUnit24">'02_1_INCOME'!$F$31</definedName>
    <definedName name="rng02_Res_Summary_NoUnit25">'02_1_INCOME'!$F$32</definedName>
    <definedName name="rng02_Res_Summary_NoUnit26">'02_1_INCOME'!$F$33</definedName>
    <definedName name="rng02_Res_Summary_NoUnit27">'02_1_INCOME'!$F$34</definedName>
    <definedName name="rng02_Res_Summary_NoUnit28">'02_1_INCOME'!$F$35</definedName>
    <definedName name="rng02_Res_Summary_NoUnit29">'02_1_INCOME'!$F$36</definedName>
    <definedName name="rng02_Res_Summary_NoUnit3">'02_1_INCOME'!$F$10</definedName>
    <definedName name="rng02_Res_Summary_NoUnit30">'02_1_INCOME'!$F$37</definedName>
    <definedName name="rng02_Res_Summary_NoUnit4">'02_1_INCOME'!$F$11</definedName>
    <definedName name="rng02_Res_Summary_NoUnit5">'02_1_INCOME'!$F$12</definedName>
    <definedName name="rng02_Res_Summary_NoUnit6">'02_1_INCOME'!$F$13</definedName>
    <definedName name="rng02_Res_Summary_NoUnit7">'02_1_INCOME'!$F$14</definedName>
    <definedName name="rng02_Res_Summary_NoUnit8">'02_1_INCOME'!$F$15</definedName>
    <definedName name="rng02_Res_Summary_NoUnit9">'02_1_INCOME'!$F$16</definedName>
    <definedName name="rng02_Res_Summary_NRSFperUnit1">'02_1_INCOME'!$H$8</definedName>
    <definedName name="rng02_Res_Summary_NRSFperUnit10">'02_1_INCOME'!$H$17</definedName>
    <definedName name="rng02_Res_Summary_NRSFperUnit11">'02_1_INCOME'!$H$18</definedName>
    <definedName name="rng02_Res_Summary_NRSFperUnit12">'02_1_INCOME'!$H$19</definedName>
    <definedName name="rng02_Res_Summary_NRSFperUnit13">'02_1_INCOME'!$H$20</definedName>
    <definedName name="rng02_Res_Summary_NRSFperUnit14">'02_1_INCOME'!$H$21</definedName>
    <definedName name="rng02_Res_Summary_NRSFperUnit15">'02_1_INCOME'!$H$22</definedName>
    <definedName name="rng02_Res_Summary_NRSFperUnit16">'02_1_INCOME'!$H$23</definedName>
    <definedName name="rng02_Res_Summary_NRSFperUnit17">'02_1_INCOME'!$H$24</definedName>
    <definedName name="rng02_Res_Summary_NRSFperUnit18">'02_1_INCOME'!$H$25</definedName>
    <definedName name="rng02_Res_Summary_NRSFperUnit19">'02_1_INCOME'!$H$26</definedName>
    <definedName name="rng02_Res_Summary_NRSFperUnit2">'02_1_INCOME'!$H$9</definedName>
    <definedName name="rng02_Res_Summary_NRSFperUnit20">'02_1_INCOME'!$H$27</definedName>
    <definedName name="rng02_Res_Summary_NRSFperUnit21">'02_1_INCOME'!$H$28</definedName>
    <definedName name="rng02_Res_Summary_NRSFperUnit22">'02_1_INCOME'!$H$29</definedName>
    <definedName name="rng02_Res_Summary_NRSFperUnit23">'02_1_INCOME'!$H$30</definedName>
    <definedName name="rng02_Res_Summary_NRSFperUnit24">'02_1_INCOME'!$H$31</definedName>
    <definedName name="rng02_Res_Summary_NRSFperUnit25">'02_1_INCOME'!$H$32</definedName>
    <definedName name="rng02_Res_Summary_NRSFperUnit26">'02_1_INCOME'!$H$33</definedName>
    <definedName name="rng02_Res_Summary_NRSFperUnit27">'02_1_INCOME'!$H$34</definedName>
    <definedName name="rng02_Res_Summary_NRSFperUnit28">'02_1_INCOME'!$H$35</definedName>
    <definedName name="rng02_Res_Summary_NRSFperUnit29">'02_1_INCOME'!$H$36</definedName>
    <definedName name="rng02_Res_Summary_NRSFperUnit3">'02_1_INCOME'!$H$10</definedName>
    <definedName name="rng02_Res_Summary_NRSFperUnit30">'02_1_INCOME'!$H$37</definedName>
    <definedName name="rng02_Res_Summary_NRSFperUnit4">'02_1_INCOME'!$H$11</definedName>
    <definedName name="rng02_Res_Summary_NRSFperUnit5">'02_1_INCOME'!$H$12</definedName>
    <definedName name="rng02_Res_Summary_NRSFperUnit6">'02_1_INCOME'!$H$13</definedName>
    <definedName name="rng02_Res_Summary_NRSFperUnit7">'02_1_INCOME'!$H$14</definedName>
    <definedName name="rng02_Res_Summary_NRSFperUnit8">'02_1_INCOME'!$H$15</definedName>
    <definedName name="rng02_Res_Summary_NRSFperUnit9">'02_1_INCOME'!$H$16</definedName>
    <definedName name="rng02_Res_Summary_ProjBasedSubsidy1">'02_1_INCOME'!$I$8</definedName>
    <definedName name="rng02_Res_Summary_ProjBasedSubsidy10">'02_1_INCOME'!$I$17</definedName>
    <definedName name="rng02_Res_Summary_ProjBasedSubsidy11">'02_1_INCOME'!$I$18</definedName>
    <definedName name="rng02_Res_Summary_ProjBasedSubsidy12">'02_1_INCOME'!$I$19</definedName>
    <definedName name="rng02_Res_Summary_ProjBasedSubsidy13">'02_1_INCOME'!$I$20</definedName>
    <definedName name="rng02_Res_Summary_ProjBasedSubsidy14">'02_1_INCOME'!$I$21</definedName>
    <definedName name="rng02_Res_Summary_ProjBasedSubsidy15">'02_1_INCOME'!$I$22</definedName>
    <definedName name="rng02_Res_Summary_ProjBasedSubsidy16">'02_1_INCOME'!$I$23</definedName>
    <definedName name="rng02_Res_Summary_ProjBasedSubsidy17">'02_1_INCOME'!$I$24</definedName>
    <definedName name="rng02_Res_Summary_ProjBasedSubsidy18">'02_1_INCOME'!$I$25</definedName>
    <definedName name="rng02_Res_Summary_ProjBasedSubsidy19">'02_1_INCOME'!$I$26</definedName>
    <definedName name="rng02_Res_Summary_ProjBasedSubsidy2">'02_1_INCOME'!$I$9</definedName>
    <definedName name="rng02_Res_Summary_ProjBasedSubsidy20">'02_1_INCOME'!$I$27</definedName>
    <definedName name="rng02_Res_Summary_ProjBasedSubsidy21">'02_1_INCOME'!$I$28</definedName>
    <definedName name="rng02_Res_Summary_ProjBasedSubsidy22">'02_1_INCOME'!$I$29</definedName>
    <definedName name="rng02_Res_Summary_ProjBasedSubsidy23">'02_1_INCOME'!$I$30</definedName>
    <definedName name="rng02_Res_Summary_ProjBasedSubsidy24">'02_1_INCOME'!$I$31</definedName>
    <definedName name="rng02_Res_Summary_ProjBasedSubsidy25">'02_1_INCOME'!$I$32</definedName>
    <definedName name="rng02_Res_Summary_ProjBasedSubsidy26">'02_1_INCOME'!$I$33</definedName>
    <definedName name="rng02_Res_Summary_ProjBasedSubsidy27">'02_1_INCOME'!$I$34</definedName>
    <definedName name="rng02_Res_Summary_ProjBasedSubsidy28">'02_1_INCOME'!$I$35</definedName>
    <definedName name="rng02_Res_Summary_ProjBasedSubsidy29">'02_1_INCOME'!$I$36</definedName>
    <definedName name="rng02_Res_Summary_ProjBasedSubsidy3">'02_1_INCOME'!$I$10</definedName>
    <definedName name="rng02_Res_Summary_ProjBasedSubsidy30">'02_1_INCOME'!$I$37</definedName>
    <definedName name="rng02_Res_Summary_ProjBasedSubsidy4">'02_1_INCOME'!$I$11</definedName>
    <definedName name="rng02_Res_Summary_ProjBasedSubsidy5">'02_1_INCOME'!$I$12</definedName>
    <definedName name="rng02_Res_Summary_ProjBasedSubsidy6">'02_1_INCOME'!$I$13</definedName>
    <definedName name="rng02_Res_Summary_ProjBasedSubsidy7">'02_1_INCOME'!$I$14</definedName>
    <definedName name="rng02_Res_Summary_ProjBasedSubsidy8">'02_1_INCOME'!$I$15</definedName>
    <definedName name="rng02_Res_Summary_ProjBasedSubsidy9">'02_1_INCOME'!$I$16</definedName>
    <definedName name="rng02_Res_Summary_TenPdUtil1">'02_1_INCOME'!$L$8</definedName>
    <definedName name="rng02_Res_Summary_TenPdUtil10">'02_1_INCOME'!$L$17</definedName>
    <definedName name="rng02_Res_Summary_TenPdUtil11">'02_1_INCOME'!$L$18</definedName>
    <definedName name="rng02_Res_Summary_TenPdUtil12">'02_1_INCOME'!$L$19</definedName>
    <definedName name="rng02_Res_Summary_TenPdUtil120">'02_1_INCOME'!$L$27</definedName>
    <definedName name="rng02_Res_Summary_TenPdUtil121">'02_1_INCOME'!$L$28</definedName>
    <definedName name="rng02_Res_Summary_TenPdUtil122">'02_1_INCOME'!$L$29</definedName>
    <definedName name="rng02_Res_Summary_TenPdUtil123">'02_1_INCOME'!$L$30</definedName>
    <definedName name="rng02_Res_Summary_TenPdUtil124">'02_1_INCOME'!$L$31</definedName>
    <definedName name="rng02_Res_Summary_TenPdUtil125">'02_1_INCOME'!$L$32</definedName>
    <definedName name="rng02_Res_Summary_TenPdUtil126">'02_1_INCOME'!$L$33</definedName>
    <definedName name="rng02_Res_Summary_TenPdUtil127">'02_1_INCOME'!$L$34</definedName>
    <definedName name="rng02_Res_Summary_TenPdUtil128">'02_1_INCOME'!$L$35</definedName>
    <definedName name="rng02_Res_Summary_TenPdUtil129">'02_1_INCOME'!$L$36</definedName>
    <definedName name="rng02_Res_Summary_TenPdUtil13">'02_1_INCOME'!$L$20</definedName>
    <definedName name="rng02_Res_Summary_TenPdUtil130">'02_1_INCOME'!$L$37</definedName>
    <definedName name="rng02_Res_Summary_TenPdUtil14">'02_1_INCOME'!$L$21</definedName>
    <definedName name="rng02_Res_Summary_TenPdUtil15">'02_1_INCOME'!$L$22</definedName>
    <definedName name="rng02_Res_Summary_TenPdUtil16">'02_1_INCOME'!$L$23</definedName>
    <definedName name="rng02_Res_Summary_TenPdUtil17">'02_1_INCOME'!$L$24</definedName>
    <definedName name="rng02_Res_Summary_TenPdUtil18">'02_1_INCOME'!$L$25</definedName>
    <definedName name="rng02_Res_Summary_TenPdUtil19">'02_1_INCOME'!$L$26</definedName>
    <definedName name="rng02_Res_Summary_TenPdUtil2">'02_1_INCOME'!$L$9</definedName>
    <definedName name="rng02_Res_Summary_TenPdUtil3">'02_1_INCOME'!$L$10</definedName>
    <definedName name="rng02_Res_Summary_TenPdUtil4">'02_1_INCOME'!$L$11</definedName>
    <definedName name="rng02_Res_Summary_TenPdUtil5">'02_1_INCOME'!$L$12</definedName>
    <definedName name="rng02_Res_Summary_TenPdUtil6">'02_1_INCOME'!$L$13</definedName>
    <definedName name="rng02_Res_Summary_TenPdUtil7">'02_1_INCOME'!$L$14</definedName>
    <definedName name="rng02_Res_Summary_TenPdUtil8">'02_1_INCOME'!$L$15</definedName>
    <definedName name="rng02_Res_Summary_TenPdUtil9">'02_1_INCOME'!$L$16</definedName>
    <definedName name="rng02_Rows">'02_1_INCOME'!$D$4</definedName>
    <definedName name="rng02_Sources_Debt_AmortStartDate1">'02_3_SOURCES'!$F$9</definedName>
    <definedName name="rng02_Sources_Debt_AmortStartDate10">'02_3_SOURCES'!$F$18</definedName>
    <definedName name="rng02_Sources_Debt_AmortStartDate11">'02_3_SOURCES'!$F$19</definedName>
    <definedName name="rng02_Sources_Debt_AmortStartDate12">'02_3_SOURCES'!$F$20</definedName>
    <definedName name="rng02_Sources_Debt_AmortStartDate13">'02_3_SOURCES'!$F$21</definedName>
    <definedName name="rng02_Sources_Debt_AmortStartDate14">'02_3_SOURCES'!$F$22</definedName>
    <definedName name="rng02_Sources_Debt_AmortStartDate2">'02_3_SOURCES'!$F$10</definedName>
    <definedName name="rng02_Sources_Debt_AmortStartDate3">'02_3_SOURCES'!$F$11</definedName>
    <definedName name="rng02_Sources_Debt_AmortStartDate4">'02_3_SOURCES'!$F$12</definedName>
    <definedName name="rng02_Sources_Debt_AmortStartDate5">'02_3_SOURCES'!$F$13</definedName>
    <definedName name="rng02_Sources_Debt_AmortStartDate6">'02_3_SOURCES'!$F$14</definedName>
    <definedName name="rng02_Sources_Debt_AmortStartDate7">'02_3_SOURCES'!$F$15</definedName>
    <definedName name="rng02_Sources_Debt_AmortStartDate8">'02_3_SOURCES'!$F$16</definedName>
    <definedName name="rng02_Sources_Debt_AmortStartDate9">'02_3_SOURCES'!$F$17</definedName>
    <definedName name="rng02_Sources_Debt_AnDebtServPayment1">'02_3_SOURCES'!$L$9</definedName>
    <definedName name="rng02_Sources_Debt_AnDebtServPayment10">'02_3_SOURCES'!$L$18</definedName>
    <definedName name="rng02_Sources_Debt_AnDebtServPayment11">'02_3_SOURCES'!$L$19</definedName>
    <definedName name="rng02_Sources_Debt_AnDebtServPayment12">'02_3_SOURCES'!$L$20</definedName>
    <definedName name="rng02_Sources_Debt_AnDebtServPayment13">'02_3_SOURCES'!$L$21</definedName>
    <definedName name="rng02_Sources_Debt_AnDebtServPayment14">'02_3_SOURCES'!$L$22</definedName>
    <definedName name="rng02_Sources_Debt_AnDebtServPayment2">'02_3_SOURCES'!$L$10</definedName>
    <definedName name="rng02_Sources_Debt_AnDebtServPayment3">'02_3_SOURCES'!$L$11</definedName>
    <definedName name="rng02_Sources_Debt_AnDebtServPayment4">'02_3_SOURCES'!$L$12</definedName>
    <definedName name="rng02_Sources_Debt_AnDebtServPayment5">'02_3_SOURCES'!$L$13</definedName>
    <definedName name="rng02_Sources_Debt_AnDebtServPayment6">'02_3_SOURCES'!$L$14</definedName>
    <definedName name="rng02_Sources_Debt_AnDebtServPayment7">'02_3_SOURCES'!$L$15</definedName>
    <definedName name="rng02_Sources_Debt_AnDebtServPayment8">'02_3_SOURCES'!$L$16</definedName>
    <definedName name="rng02_Sources_Debt_AnDebtServPayment9">'02_3_SOURCES'!$L$17</definedName>
    <definedName name="rng02_Sources_Debt_DebtServ_CashFlow1">'02_3_SOURCES'!$G$9</definedName>
    <definedName name="rng02_Sources_Debt_DebtServ_CashFlow10">'02_3_SOURCES'!$G$18</definedName>
    <definedName name="rng02_Sources_Debt_DebtServ_CashFlow11">'02_3_SOURCES'!$G$19</definedName>
    <definedName name="rng02_Sources_Debt_DebtServ_CashFlow12">'02_3_SOURCES'!$G$20</definedName>
    <definedName name="rng02_Sources_Debt_DebtServ_CashFlow13">'02_3_SOURCES'!$G$21</definedName>
    <definedName name="rng02_Sources_Debt_DebtServ_CashFlow14">'02_3_SOURCES'!$G$22</definedName>
    <definedName name="rng02_Sources_Debt_DebtServ_CashFlow2">'02_3_SOURCES'!$G$10</definedName>
    <definedName name="rng02_Sources_Debt_DebtServ_CashFlow3">'02_3_SOURCES'!$G$11</definedName>
    <definedName name="rng02_Sources_Debt_DebtServ_CashFlow4">'02_3_SOURCES'!$G$12</definedName>
    <definedName name="rng02_Sources_Debt_DebtServ_CashFlow5">'02_3_SOURCES'!$G$13</definedName>
    <definedName name="rng02_Sources_Debt_DebtServ_CashFlow6">'02_3_SOURCES'!$G$14</definedName>
    <definedName name="rng02_Sources_Debt_DebtServ_CashFlow7">'02_3_SOURCES'!$G$15</definedName>
    <definedName name="rng02_Sources_Debt_DebtServ_CashFlow8">'02_3_SOURCES'!$G$16</definedName>
    <definedName name="rng02_Sources_Debt_DebtServ_CashFlow9">'02_3_SOURCES'!$G$17</definedName>
    <definedName name="rng02_Sources_Debt_DebtServ_CoverageRatio1">'02_3_SOURCES'!$H$9</definedName>
    <definedName name="rng02_Sources_Debt_DebtServ_CoverageRatio10">'02_3_SOURCES'!$H$18</definedName>
    <definedName name="rng02_Sources_Debt_DebtServ_CoverageRatio11">'02_3_SOURCES'!$H$19</definedName>
    <definedName name="rng02_Sources_Debt_DebtServ_CoverageRatio12">'02_3_SOURCES'!$H$20</definedName>
    <definedName name="rng02_Sources_Debt_DebtServ_CoverageRatio13">'02_3_SOURCES'!$H$21</definedName>
    <definedName name="rng02_Sources_Debt_DebtServ_CoverageRatio14">'02_3_SOURCES'!$H$22</definedName>
    <definedName name="rng02_Sources_Debt_DebtServ_CoverageRatio2">'02_3_SOURCES'!$H$10</definedName>
    <definedName name="rng02_Sources_Debt_DebtServ_CoverageRatio3">'02_3_SOURCES'!$H$11</definedName>
    <definedName name="rng02_Sources_Debt_DebtServ_CoverageRatio4">'02_3_SOURCES'!$H$12</definedName>
    <definedName name="rng02_Sources_Debt_DebtServ_CoverageRatio5">'02_3_SOURCES'!$H$13</definedName>
    <definedName name="rng02_Sources_Debt_DebtServ_CoverageRatio6">'02_3_SOURCES'!$H$14</definedName>
    <definedName name="rng02_Sources_Debt_DebtServ_CoverageRatio7">'02_3_SOURCES'!$H$15</definedName>
    <definedName name="rng02_Sources_Debt_DebtServ_CoverageRatio8">'02_3_SOURCES'!$H$16</definedName>
    <definedName name="rng02_Sources_Debt_DebtServ_CoverageRatio9">'02_3_SOURCES'!$H$17</definedName>
    <definedName name="rng02_Sources_Debt_PercCashFlow1">'02_3_SOURCES'!$I$9</definedName>
    <definedName name="rng02_Sources_Debt_PercCashFlow10">'02_3_SOURCES'!$I$18</definedName>
    <definedName name="rng02_Sources_Debt_PercCashFlow11">'02_3_SOURCES'!$I$19</definedName>
    <definedName name="rng02_Sources_Debt_PercCashFlow12">'02_3_SOURCES'!$I$20</definedName>
    <definedName name="rng02_Sources_Debt_PercCashFlow13">'02_3_SOURCES'!$I$21</definedName>
    <definedName name="rng02_Sources_Debt_PercCashFlow14">'02_3_SOURCES'!$I$22</definedName>
    <definedName name="rng02_Sources_Debt_PercCashFlow2">'02_3_SOURCES'!$I$10</definedName>
    <definedName name="rng02_Sources_Debt_PercCashFlow3">'02_3_SOURCES'!$I$11</definedName>
    <definedName name="rng02_Sources_Debt_PercCashFlow4">'02_3_SOURCES'!$I$12</definedName>
    <definedName name="rng02_Sources_Debt_PercCashFlow5">'02_3_SOURCES'!$I$13</definedName>
    <definedName name="rng02_Sources_Debt_PercCashFlow6">'02_3_SOURCES'!$I$14</definedName>
    <definedName name="rng02_Sources_Debt_PercCashFlow7">'02_3_SOURCES'!$I$15</definedName>
    <definedName name="rng02_Sources_Debt_PercCashFlow8">'02_3_SOURCES'!$I$16</definedName>
    <definedName name="rng02_Sources_Debt_PercCashFlow9">'02_3_SOURCES'!$I$17</definedName>
    <definedName name="rng02_Sources_Debt_Rate1">'02_3_SOURCES'!$D$9</definedName>
    <definedName name="rng02_Sources_Debt_Rate10">'02_3_SOURCES'!$D$18</definedName>
    <definedName name="rng02_Sources_Debt_Rate11">'02_3_SOURCES'!$D$19</definedName>
    <definedName name="rng02_Sources_Debt_Rate12">'02_3_SOURCES'!$D$20</definedName>
    <definedName name="rng02_Sources_Debt_Rate13">'02_3_SOURCES'!$D$21</definedName>
    <definedName name="rng02_Sources_Debt_Rate14">'02_3_SOURCES'!$D$22</definedName>
    <definedName name="rng02_Sources_Debt_Rate2">'02_3_SOURCES'!$D$10</definedName>
    <definedName name="rng02_Sources_Debt_Rate3">'02_3_SOURCES'!$D$11</definedName>
    <definedName name="rng02_Sources_Debt_Rate4">'02_3_SOURCES'!$D$12</definedName>
    <definedName name="rng02_Sources_Debt_Rate5">'02_3_SOURCES'!$D$13</definedName>
    <definedName name="rng02_Sources_Debt_Rate6">'02_3_SOURCES'!$D$14</definedName>
    <definedName name="rng02_Sources_Debt_Rate7">'02_3_SOURCES'!$D$15</definedName>
    <definedName name="rng02_Sources_Debt_Rate8">'02_3_SOURCES'!$D$16</definedName>
    <definedName name="rng02_Sources_Debt_Rate9">'02_3_SOURCES'!$D$17</definedName>
    <definedName name="rng02_Sources_Debt_Taxable_TaxExempt1">'02_3_SOURCES'!$J$9</definedName>
    <definedName name="rng02_Sources_Debt_Taxable_TaxExempt10">'02_3_SOURCES'!$J$18</definedName>
    <definedName name="rng02_Sources_Debt_Taxable_TaxExempt11">'02_3_SOURCES'!$J$19</definedName>
    <definedName name="rng02_Sources_Debt_Taxable_TaxExempt12">'02_3_SOURCES'!$J$20</definedName>
    <definedName name="rng02_Sources_Debt_Taxable_TaxExempt13">'02_3_SOURCES'!$J$21</definedName>
    <definedName name="rng02_Sources_Debt_Taxable_TaxExempt14">'02_3_SOURCES'!$J$22</definedName>
    <definedName name="rng02_Sources_Debt_Taxable_TaxExempt2">'02_3_SOURCES'!$J$10</definedName>
    <definedName name="rng02_Sources_Debt_Taxable_TaxExempt3">'02_3_SOURCES'!$J$11</definedName>
    <definedName name="rng02_Sources_Debt_Taxable_TaxExempt4">'02_3_SOURCES'!$J$12</definedName>
    <definedName name="rng02_Sources_Debt_Taxable_TaxExempt5">'02_3_SOURCES'!$J$13</definedName>
    <definedName name="rng02_Sources_Debt_Taxable_TaxExempt6">'02_3_SOURCES'!$J$14</definedName>
    <definedName name="rng02_Sources_Debt_Taxable_TaxExempt7">'02_3_SOURCES'!$J$15</definedName>
    <definedName name="rng02_Sources_Debt_Taxable_TaxExempt8">'02_3_SOURCES'!$J$16</definedName>
    <definedName name="rng02_Sources_Debt_Taxable_TaxExempt9">'02_3_SOURCES'!$J$17</definedName>
    <definedName name="rng02_Sources_Debt_Term1">'02_3_SOURCES'!$E$9</definedName>
    <definedName name="rng02_Sources_Debt_Term10">'02_3_SOURCES'!$E$18</definedName>
    <definedName name="rng02_Sources_Debt_Term11">'02_3_SOURCES'!$E$19</definedName>
    <definedName name="rng02_Sources_Debt_Term12">'02_3_SOURCES'!$E$20</definedName>
    <definedName name="rng02_Sources_Debt_Term13">'02_3_SOURCES'!$E$21</definedName>
    <definedName name="rng02_Sources_Debt_Term14">'02_3_SOURCES'!$E$22</definedName>
    <definedName name="rng02_Sources_Debt_Term2">'02_3_SOURCES'!$E$10</definedName>
    <definedName name="rng02_Sources_Debt_Term3">'02_3_SOURCES'!$E$11</definedName>
    <definedName name="rng02_Sources_Debt_Term4">'02_3_SOURCES'!$E$12</definedName>
    <definedName name="rng02_Sources_Debt_Term5">'02_3_SOURCES'!$E$13</definedName>
    <definedName name="rng02_Sources_Debt_Term6">'02_3_SOURCES'!$E$14</definedName>
    <definedName name="rng02_Sources_Debt_Term7">'02_3_SOURCES'!$E$15</definedName>
    <definedName name="rng02_Sources_Debt_Term8">'02_3_SOURCES'!$E$16</definedName>
    <definedName name="rng02_Sources_Debt_Term9">'02_3_SOURCES'!$E$17</definedName>
    <definedName name="rng02_Sources_Debt_Total1">'02_3_SOURCES'!$K$9</definedName>
    <definedName name="rng02_Sources_Debt_Total10">'02_3_SOURCES'!$K$18</definedName>
    <definedName name="rng02_Sources_Debt_Total11">'02_3_SOURCES'!$K$19</definedName>
    <definedName name="rng02_Sources_Debt_Total12">'02_3_SOURCES'!$K$20</definedName>
    <definedName name="rng02_Sources_Debt_Total13">'02_3_SOURCES'!$K$21</definedName>
    <definedName name="rng02_Sources_Debt_Total14">'02_3_SOURCES'!$K$22</definedName>
    <definedName name="rng02_Sources_Debt_Total2">'02_3_SOURCES'!$K$10</definedName>
    <definedName name="rng02_Sources_Debt_Total3">'02_3_SOURCES'!$K$11</definedName>
    <definedName name="rng02_Sources_Debt_Total4">'02_3_SOURCES'!$K$12</definedName>
    <definedName name="rng02_Sources_Debt_Total5">'02_3_SOURCES'!$K$13</definedName>
    <definedName name="rng02_Sources_Debt_Total6">'02_3_SOURCES'!$K$14</definedName>
    <definedName name="rng02_Sources_Debt_Total7">'02_3_SOURCES'!$K$15</definedName>
    <definedName name="rng02_Sources_Debt_Total8">'02_3_SOURCES'!$K$16</definedName>
    <definedName name="rng02_Sources_Debt_Total9">'02_3_SOURCES'!$K$17</definedName>
    <definedName name="rng02_Sources_Debt1">'02_3_SOURCES'!$B$9</definedName>
    <definedName name="rng02_Sources_Debt10">'02_3_SOURCES'!$B$18</definedName>
    <definedName name="rng02_Sources_Debt11">'02_3_SOURCES'!$B$19</definedName>
    <definedName name="rng02_Sources_Debt12">'02_3_SOURCES'!$B$20</definedName>
    <definedName name="rng02_Sources_Debt13">'02_3_SOURCES'!$B$21</definedName>
    <definedName name="rng02_Sources_Debt14">'02_3_SOURCES'!$B$22</definedName>
    <definedName name="rng02_Sources_Debt2">'02_3_SOURCES'!$B$10</definedName>
    <definedName name="rng02_Sources_Debt3">'02_3_SOURCES'!$B$11</definedName>
    <definedName name="rng02_Sources_Debt4">'02_3_SOURCES'!$B$12</definedName>
    <definedName name="rng02_Sources_Debt5">'02_3_SOURCES'!$B$13</definedName>
    <definedName name="rng02_Sources_Debt6">'02_3_SOURCES'!$B$14</definedName>
    <definedName name="rng02_Sources_Debt7">'02_3_SOURCES'!$B$15</definedName>
    <definedName name="rng02_Sources_Debt8">'02_3_SOURCES'!$B$16</definedName>
    <definedName name="rng02_Sources_Debt9">'02_3_SOURCES'!$B$17</definedName>
    <definedName name="rng02_Sources_Equity_GenPartCap_Tot">'02_3_SOURCES'!$F$29</definedName>
    <definedName name="rng02_Sources_Equity_LIHTCProceeds_Tot">'02_3_SOURCES'!$F$27</definedName>
    <definedName name="rng02_Sources_Equity_Other_Tot">'02_3_SOURCES'!$F$32</definedName>
    <definedName name="rng02_Sources_Equity_StateHistTCProceeds_Tot">'02_3_SOURCES'!$F$30</definedName>
    <definedName name="rng02_Sources_Equity_Total_Equity">'02_3_SOURCES'!$F$33</definedName>
    <definedName name="rng02_Sources_Equiy_FedHistTaxCredProceeds_Tot">'02_3_SOURCES'!$F$28</definedName>
    <definedName name="rng02_Sources_TotalSources">'02_3_SOURCES'!$F$45</definedName>
    <definedName name="rng02_Sources_TotalTaxExemptSources">'02_3_SOURCES'!$F$44</definedName>
    <definedName name="rng02_Sources_TotalUses">'02_3_SOURCES'!$F$46</definedName>
    <definedName name="rng02_Summary_Res_Config_CurrContractRent_1BR">'02_1_INCOME'!$J$106</definedName>
    <definedName name="rng02_Summary_Res_Config_CurrContractRent_2BR">'02_1_INCOME'!$J$107</definedName>
    <definedName name="rng02_Summary_Res_Config_CurrContractRent_3BR">'02_1_INCOME'!$J$108</definedName>
    <definedName name="rng02_Summary_Res_Config_CurrContractRent_4BR">'02_1_INCOME'!$J$109</definedName>
    <definedName name="rng02_Summary_Res_Config_CurrContractRent_5BR">'02_1_INCOME'!$J$110</definedName>
    <definedName name="rng02_Summary_Res_Config_CurrContractRent_EFF">'02_1_INCOME'!$J$105</definedName>
    <definedName name="rng02_Summary_Res_Config_CurrContractRent_SRO">'02_1_INCOME'!$J$104</definedName>
    <definedName name="rng02_Summary_Res_Config_NoMktUnit1BR">'02_1_INCOME'!$D$106</definedName>
    <definedName name="rng02_Summary_Res_Config_NoMktUnit2BR">'02_1_INCOME'!$D$107</definedName>
    <definedName name="rng02_Summary_Res_Config_NoMktUnit3BR">'02_1_INCOME'!$D$108</definedName>
    <definedName name="rng02_Summary_Res_Config_NoMktUnit4BR">'02_1_INCOME'!$D$109</definedName>
    <definedName name="rng02_Summary_Res_Config_NoMktUnit5BR">'02_1_INCOME'!$D$110</definedName>
    <definedName name="rng02_Summary_Res_Config_NoMktUnitEFF">'02_1_INCOME'!$D$105</definedName>
    <definedName name="rng02_Summary_Res_Config_NoMktUnitSRO">'02_1_INCOME'!$D$104</definedName>
    <definedName name="rng02_Summary_Res_Config_NoUnit_Total">'02_1_INCOME'!$C$111</definedName>
    <definedName name="rng02_Summary_Res_Config_NoUnit1BR">'02_1_INCOME'!$C$106</definedName>
    <definedName name="rng02_Summary_Res_Config_NoUnit2BR">'02_1_INCOME'!$C$107</definedName>
    <definedName name="rng02_Summary_Res_Config_NoUnit3BR">'02_1_INCOME'!$C$108</definedName>
    <definedName name="rng02_Summary_Res_Config_NoUnit4BR">'02_1_INCOME'!$C$109</definedName>
    <definedName name="rng02_Summary_Res_Config_NoUnit5BR">'02_1_INCOME'!$C$110</definedName>
    <definedName name="rng02_Summary_Res_Config_NoUnitsEfficiency">'02_1_INCOME'!$C$105</definedName>
    <definedName name="rng02_Summary_Res_Config_NoUnitSRO">'02_1_INCOME'!$C$104</definedName>
    <definedName name="rng02_Summary_Res_Config_NRSFLIHTC_1BR">'02_1_INCOME'!$F$106</definedName>
    <definedName name="rng02_Summary_Res_Config_NRSFLIHTC_2BR">'02_1_INCOME'!$F$107</definedName>
    <definedName name="rng02_Summary_Res_Config_NRSFLIHTC_3BR">'02_1_INCOME'!$F$108</definedName>
    <definedName name="rng02_Summary_Res_Config_NRSFLIHTC_4BR">'02_1_INCOME'!$F$109</definedName>
    <definedName name="rng02_Summary_Res_Config_NRSFLIHTC_5BR">'02_1_INCOME'!$F$110</definedName>
    <definedName name="rng02_Summary_Res_Config_NRSFLIHTC_EFF">'02_1_INCOME'!$F$105</definedName>
    <definedName name="rng02_Summary_Res_Config_NRSFLIHTC_SRO">'02_1_INCOME'!$F$104</definedName>
    <definedName name="rng02_Summary_Res_Config_NRSFLIHTC_TOTAL">'02_1_INCOME'!$F$111</definedName>
    <definedName name="rng02_Summary_Res_Config_NRSFMkt_1BR">'02_1_INCOME'!$G$106</definedName>
    <definedName name="rng02_Summary_Res_Config_NRSFMkt_2BR">'02_1_INCOME'!$G$107</definedName>
    <definedName name="rng02_Summary_Res_Config_NRSFMkt_3BR">'02_1_INCOME'!$G$108</definedName>
    <definedName name="rng02_Summary_Res_Config_NRSFMkt_4BR">'02_1_INCOME'!$G$109</definedName>
    <definedName name="rng02_Summary_Res_Config_NRSFMkt_5BR">'02_1_INCOME'!$G$110</definedName>
    <definedName name="rng02_Summary_Res_Config_NRSFMkt_EFF">'02_1_INCOME'!$G$105</definedName>
    <definedName name="rng02_Summary_Res_Config_NRSFMkt_SRO">'02_1_INCOME'!$G$104</definedName>
    <definedName name="rng02_Summary_Res_Config_NRSFMkt_TOTAL">'02_1_INCOME'!$G$111</definedName>
    <definedName name="rng02_Summary_Res_Config_NRSFPerUnit1BR">'02_1_INCOME'!$E$106</definedName>
    <definedName name="rng02_Summary_Res_Config_NRSFPerUnit2BR">'02_1_INCOME'!$E$107</definedName>
    <definedName name="rng02_Summary_Res_Config_NRSFPerUnit3BR">'02_1_INCOME'!$E$108</definedName>
    <definedName name="rng02_Summary_Res_Config_NRSFPerUnit4BR">'02_1_INCOME'!$E$109</definedName>
    <definedName name="rng02_Summary_Res_Config_NRSFPerUnit5BR">'02_1_INCOME'!$E$110</definedName>
    <definedName name="rng02_Summary_Res_Config_NRSFPerUnitEFF">'02_1_INCOME'!$E$105</definedName>
    <definedName name="rng02_Summary_Res_Config_NRSFPerUnitSRO">'02_1_INCOME'!$E$104</definedName>
    <definedName name="rng02_Summary_Res_Config_PropRentMkt_1BR">'02_1_INCOME'!$I$106</definedName>
    <definedName name="rng02_Summary_Res_Config_PropRentMkt_2BR">'02_1_INCOME'!$I$107</definedName>
    <definedName name="rng02_Summary_Res_Config_PropRentMkt_3BR">'02_1_INCOME'!$I$108</definedName>
    <definedName name="rng02_Summary_Res_Config_PropRentMkt_4BR">'02_1_INCOME'!$I$109</definedName>
    <definedName name="rng02_Summary_Res_Config_PropRentMkt_5BR">'02_1_INCOME'!$I$110</definedName>
    <definedName name="rng02_Summary_Res_Config_PropRentMkt_EFF">'02_1_INCOME'!$I$105</definedName>
    <definedName name="rng02_Summary_Res_Config_PropRentMkt_SRO">'02_1_INCOME'!$I$104</definedName>
    <definedName name="rng02_Summary_Res_Config_PropRentMkt_TOTAL">'02_1_INCOME'!$I$111</definedName>
    <definedName name="rng02_Summary_Res_Config_RIHPropRent_1BR">'02_1_INCOME'!$H$106</definedName>
    <definedName name="rng02_Summary_Res_Config_RIHPropRent_2BR">'02_1_INCOME'!$H$107</definedName>
    <definedName name="rng02_Summary_Res_Config_RIHPropRent_3BR">'02_1_INCOME'!$H$108</definedName>
    <definedName name="rng02_Summary_Res_Config_RIHPropRent_4BR">'02_1_INCOME'!$H$109</definedName>
    <definedName name="rng02_Summary_Res_Config_RIHPropRent_5BR">'02_1_INCOME'!$H$110</definedName>
    <definedName name="rng02_Summary_Res_Config_RIHPropRent_EFF">'02_1_INCOME'!$H$105</definedName>
    <definedName name="rng02_Summary_Res_Config_RIHPropRent_SRO">'02_1_INCOME'!$H$104</definedName>
    <definedName name="rng02_Summary_Res_Config_RIHPropRent_TOTAL">'02_1_INCOME'!$H$111</definedName>
    <definedName name="rng02_TotalUnit">'02_1_INCOME'!$F$38</definedName>
    <definedName name="rng02_TotalUnit_New">'02_1_INCOME'!$M$44</definedName>
    <definedName name="rng02_TotalUnit_Rehab">'02_1_INCOME'!$M$45</definedName>
    <definedName name="rng02_TotalUnits_LIHTC">'02_1_INCOME'!$C$111</definedName>
    <definedName name="rng02_TotalUnits_Market">'02_1_INCOME'!$D$111</definedName>
    <definedName name="rng02_UnitMix">'02_1_INCOME'!$B$8:$B$37</definedName>
    <definedName name="rng02_Uses_DevRehabCosts_ACQCosts_Demo">'02_4_USES'!$F$11</definedName>
    <definedName name="rng02_Uses_DevRehabCosts_ACQCosts_ExistingStructures">'02_4_USES'!$F$9</definedName>
    <definedName name="rng02_Uses_DevRehabCosts_ACQCosts_LandCost">'02_4_USES'!$F$8</definedName>
    <definedName name="rng02_Uses_DevRehabCosts_ACQCosts_OffSiteImp">'02_4_USES'!$F$10</definedName>
    <definedName name="rng02_Uses_DevRehabCosts_ACQCosts_Other1">'02_4_USES'!$F$12</definedName>
    <definedName name="rng02_Uses_DevRehabCosts_ACQCosts_Other2">'02_4_USES'!$F$13</definedName>
    <definedName name="rng02_Uses_DevRehabCosts_ACQCosts_Other3">'02_4_USES'!$F$14</definedName>
    <definedName name="rng02_Uses_DevRehabCosts_ACQCosts_TotalAcq">'02_4_USES'!$F$15</definedName>
    <definedName name="rng02_Uses_DevRehabCosts_ConstRehabCosts_BondPrem">'02_4_USES'!$F$23</definedName>
    <definedName name="rng02_Uses_DevRehabCosts_ConstRehabCosts_BuildersGenOverhead">'02_4_USES'!$F$21</definedName>
    <definedName name="rng02_Uses_DevRehabCosts_ConstRehabCosts_BuildersProfit">'02_4_USES'!$F$22</definedName>
    <definedName name="rng02_Uses_DevRehabCosts_ConstRehabCosts_Buildings">'02_4_USES'!$F$18</definedName>
    <definedName name="rng02_Uses_DevRehabCosts_ConstRehabCosts_ConstructContigency">'02_4_USES'!$F$27</definedName>
    <definedName name="rng02_Uses_DevRehabCosts_ConstRehabCosts_ExtraConditions">'02_4_USES'!$F$24</definedName>
    <definedName name="rng02_Uses_DevRehabCosts_ConstRehabCosts_GenReq">'02_4_USES'!$F$20</definedName>
    <definedName name="rng02_Uses_DevRehabCosts_ConstRehabCosts_OtherFees">'02_4_USES'!$F$25</definedName>
    <definedName name="rng02_Uses_DevRehabCosts_ConstRehabCosts_SiteWork">'02_4_USES'!$F$19</definedName>
    <definedName name="rng02_Uses_DevRehabCosts_ConstRehabCosts_TotalConstRehab">'02_4_USES'!$F$28</definedName>
    <definedName name="rng02_Uses_DevRehabCosts_ConstRehabCosts_TotalHardCosts">'02_4_USES'!$F$26</definedName>
    <definedName name="rng02_Uses_DevRehabCosts_DevFee_BaseDevFee">'02_4_USES'!$F$86</definedName>
    <definedName name="rng02_Uses_DevRehabCosts_DevFee_EligIncDevFee">'02_4_USES'!$F$87</definedName>
    <definedName name="rng02_Uses_DevRehabCosts_DevFee_TotDevFee">'02_4_USES'!$F$88</definedName>
    <definedName name="rng02_Uses_DevRehabCosts_Financing_ConstructLoanInt">'02_4_USES'!$F$64</definedName>
    <definedName name="rng02_Uses_DevRehabCosts_Financing_ConstructLoanOrigFee">'02_4_USES'!$F$65</definedName>
    <definedName name="rng02_Uses_DevRehabCosts_Financing_CostofIns">'02_4_USES'!$F$68</definedName>
    <definedName name="rng02_Uses_DevRehabCosts_Financing_CostofIss">'02_4_USES'!$F$68</definedName>
    <definedName name="rng02_Uses_DevRehabCosts_Financing_Other1">'02_4_USES'!$F$70</definedName>
    <definedName name="rng02_Uses_DevRehabCosts_Financing_Other2">'02_4_USES'!$F$71</definedName>
    <definedName name="rng02_Uses_DevRehabCosts_Financing_Other3">'02_4_USES'!$F$72</definedName>
    <definedName name="rng02_Uses_DevRehabCosts_Financing_Other4">'02_4_USES'!$F$73</definedName>
    <definedName name="rng02_Uses_DevRehabCosts_Financing_OtherLenderOrigFee">'02_4_USES'!$F$67</definedName>
    <definedName name="rng02_Uses_DevRehabCosts_Financing_RIHOrigFee">'02_4_USES'!$F$66</definedName>
    <definedName name="rng02_Uses_DevRehabCosts_Financing_RiskSharingPrem">'02_4_USES'!$F$63</definedName>
    <definedName name="rng02_Uses_DevRehabCosts_Financing_TaxDurConstruct">'02_4_USES'!$F$62</definedName>
    <definedName name="rng02_Uses_DevRehabCosts_Financing_TCAFee">'02_4_USES'!$F$69</definedName>
    <definedName name="rng02_Uses_DevRehabCosts_Financing_TotFinCosts">'02_4_USES'!$F$74</definedName>
    <definedName name="rng02_Uses_DevRehabCosts_Reserves_1YrInsEscrow">'02_4_USES'!$F$78</definedName>
    <definedName name="rng02_Uses_DevRehabCosts_Reserves_1YrPropTaxEscrow">'02_4_USES'!$F$77</definedName>
    <definedName name="rng02_Uses_DevRehabCosts_Reserves_LeaseUpReserve">'02_4_USES'!$F$81</definedName>
    <definedName name="rng02_Uses_DevRehabCosts_Reserves_OperatingReserve">'02_4_USES'!$F$79</definedName>
    <definedName name="rng02_Uses_DevRehabCosts_Reserves_Other1">'02_4_USES'!$F$82</definedName>
    <definedName name="rng02_Uses_DevRehabCosts_Reserves_ReplacementReserve">'02_4_USES'!$F$80</definedName>
    <definedName name="rng02_Uses_DevRehabCosts_Reserves_TotReserves">'02_4_USES'!$F$83</definedName>
    <definedName name="rng02_Uses_DevRehabCosts_SoftCosts_Appraisal">'02_4_USES'!$F$45</definedName>
    <definedName name="rng02_Uses_DevRehabCosts_SoftCosts_ArchFeeDesign">'02_4_USES'!$F$31</definedName>
    <definedName name="rng02_Uses_DevRehabCosts_SoftCosts_ArchFeeSup">'02_4_USES'!$F$32</definedName>
    <definedName name="rng02_Uses_DevRehabCosts_SoftCosts_BuildersRiskIns">'02_4_USES'!$F$37</definedName>
    <definedName name="rng02_Uses_DevRehabCosts_SoftCosts_CapNeedsAssess">'02_4_USES'!$F$47</definedName>
    <definedName name="rng02_Uses_DevRehabCosts_SoftCosts_ClerkofWorks">'02_4_USES'!$F$38</definedName>
    <definedName name="rng02_Uses_DevRehabCosts_SoftCosts_CostCert">'02_4_USES'!$F$43</definedName>
    <definedName name="rng02_Uses_DevRehabCosts_SoftCosts_CreditRpt">'02_4_USES'!$F$53</definedName>
    <definedName name="rng02_Uses_DevRehabCosts_SoftCosts_Environmental">'02_4_USES'!$F$34</definedName>
    <definedName name="rng02_Uses_DevRehabCosts_SoftCosts_FireCodeCompRpt">'02_4_USES'!$F$36</definedName>
    <definedName name="rng02_Uses_DevRehabCosts_SoftCosts_FurnFixEquip">'02_4_USES'!$F$48</definedName>
    <definedName name="rng02_Uses_DevRehabCosts_SoftCosts_LIHTCAccounting">'02_4_USES'!$F$44</definedName>
    <definedName name="rng02_Uses_DevRehabCosts_SoftCosts_MktngLeaseUp">'02_4_USES'!$F$49</definedName>
    <definedName name="rng02_Uses_DevRehabCosts_SoftCosts_MktStdy">'02_4_USES'!$F$46</definedName>
    <definedName name="rng02_Uses_DevRehabCosts_SoftCosts_Other1">'02_4_USES'!$F$54</definedName>
    <definedName name="rng02_Uses_DevRehabCosts_SoftCosts_Other2">'02_4_USES'!$F$55</definedName>
    <definedName name="rng02_Uses_DevRehabCosts_SoftCosts_Other3">'02_4_USES'!$F$56</definedName>
    <definedName name="rng02_Uses_DevRehabCosts_SoftCosts_Other4">'02_4_USES'!$F$57</definedName>
    <definedName name="rng02_Uses_DevRehabCosts_SoftCosts_OwnerLegalFees">'02_4_USES'!$F$39</definedName>
    <definedName name="rng02_Uses_DevRehabCosts_SoftCosts_Relocation">'02_4_USES'!$F$51</definedName>
    <definedName name="rng02_Uses_DevRehabCosts_SoftCosts_RETaxFeeSetUp">'02_4_USES'!$F$52</definedName>
    <definedName name="rng02_Uses_DevRehabCosts_SoftCosts_RIHLegalFees">'02_4_USES'!$F$40</definedName>
    <definedName name="rng02_Uses_DevRehabCosts_SoftCosts_SCContigency">'02_4_USES'!$F$58</definedName>
    <definedName name="rng02_Uses_DevRehabCosts_SoftCosts_SewerWaterUtilHkUps">'02_4_USES'!$F$50</definedName>
    <definedName name="rng02_Uses_DevRehabCosts_SoftCosts_StructEngReports">'02_4_USES'!$F$35</definedName>
    <definedName name="rng02_Uses_DevRehabCosts_SoftCosts_Survey">'02_4_USES'!$F$33</definedName>
    <definedName name="rng02_Uses_DevRehabCosts_SoftCosts_SyndicatorLegal">'02_4_USES'!$F$41</definedName>
    <definedName name="rng02_Uses_DevRehabCosts_SoftCosts_TitleRecording">'02_4_USES'!$F$42</definedName>
    <definedName name="rng02_Uses_DevRehabCosts_SoftCosts_TotalSC">'02_4_USES'!$F$59</definedName>
    <definedName name="rng02_Uses_DevRehabCosts_SubtotalConstructionCosts">'02_4_USES'!$F$89</definedName>
    <definedName name="rng02_Uses_DevRehabCosts_TotDevCosts">'02_4_USES'!$F$90</definedName>
    <definedName name="rng02_Utilities_Table_1_1BedUnit">'02_1_INCOME'!$E$88</definedName>
    <definedName name="rng02_Utilities_Table_1_2BedUnit">'02_1_INCOME'!$F$88</definedName>
    <definedName name="rng02_Utilities_Table_1_3BedUnit">'02_1_INCOME'!$G$88</definedName>
    <definedName name="rng02_Utilities_Table_1_4BedUnit">'02_1_INCOME'!$H$88</definedName>
    <definedName name="rng02_Utilities_Table_1_5BedUnit">'02_1_INCOME'!$I$88</definedName>
    <definedName name="rng02_Utilities_Table_10_1BedUnit">'02_1_INCOME'!$E$97</definedName>
    <definedName name="rng02_Utilities_Table_10_2BedUnit">'02_1_INCOME'!$F$97</definedName>
    <definedName name="rng02_Utilities_Table_10_3BedUnit">'02_1_INCOME'!$G$97</definedName>
    <definedName name="rng02_Utilities_Table_10_4BedUnit">'02_1_INCOME'!$H$97</definedName>
    <definedName name="rng02_Utilities_Table_10_5BedUnit">'02_1_INCOME'!$I$97</definedName>
    <definedName name="rng02_Utilities_Table_11_1BedUnit">'02_1_INCOME'!$E$98</definedName>
    <definedName name="rng02_Utilities_Table_11_2BedUnit">'02_1_INCOME'!$F$98</definedName>
    <definedName name="rng02_Utilities_Table_11_3BedUnit">'02_1_INCOME'!$G$98</definedName>
    <definedName name="rng02_Utilities_Table_11_4BedUnit">'02_1_INCOME'!$H$99</definedName>
    <definedName name="rng02_Utilities_Table_11_5BedUnit">'02_1_INCOME'!$I$98</definedName>
    <definedName name="rng02_Utilities_Table_2_1BedUnit">'02_1_INCOME'!$E$89</definedName>
    <definedName name="rng02_Utilities_Table_2_2BedUnit">'02_1_INCOME'!$F$89</definedName>
    <definedName name="rng02_Utilities_Table_2_3BedUnit">'02_1_INCOME'!$G$89</definedName>
    <definedName name="rng02_Utilities_Table_2_4BedUnit">'02_1_INCOME'!$H$89</definedName>
    <definedName name="rng02_Utilities_Table_2_5BedUnit">'02_1_INCOME'!$I$89</definedName>
    <definedName name="rng02_Utilities_Table_3_1BedUnit">'02_1_INCOME'!$E$90</definedName>
    <definedName name="rng02_Utilities_Table_3_2BedUnit">'02_1_INCOME'!$F$90</definedName>
    <definedName name="rng02_Utilities_Table_3_3BedUnit">'02_1_INCOME'!$G$90</definedName>
    <definedName name="rng02_Utilities_Table_3_4BedUnit">'02_1_INCOME'!$H$90</definedName>
    <definedName name="rng02_Utilities_Table_3_5BedUnit">'02_1_INCOME'!$I$90</definedName>
    <definedName name="rng02_Utilities_Table_4_1BedUnit">'02_1_INCOME'!$E$91</definedName>
    <definedName name="rng02_Utilities_Table_4_2BedUnit">'02_1_INCOME'!$F$91</definedName>
    <definedName name="rng02_Utilities_Table_4_3BedUnit">'02_1_INCOME'!$G$91</definedName>
    <definedName name="rng02_Utilities_Table_4_4BedUnit">'02_1_INCOME'!$H$91</definedName>
    <definedName name="rng02_Utilities_Table_4_5BedUnit">'02_1_INCOME'!$I$91</definedName>
    <definedName name="rng02_Utilities_Table_5_1BedUnit">'02_1_INCOME'!$E$92</definedName>
    <definedName name="rng02_Utilities_Table_5_2BedUnit">'02_1_INCOME'!$F$92</definedName>
    <definedName name="rng02_Utilities_Table_5_3BedUnit">'02_1_INCOME'!$G$92</definedName>
    <definedName name="rng02_Utilities_Table_5_4BedUnit">'02_1_INCOME'!$H$92</definedName>
    <definedName name="rng02_Utilities_Table_5_5BedUnit">'02_1_INCOME'!$I$92</definedName>
    <definedName name="rng02_Utilities_Table_6_1BedUnit">'02_1_INCOME'!$E$93</definedName>
    <definedName name="rng02_Utilities_Table_6_2BedUnit">'02_1_INCOME'!$F$93</definedName>
    <definedName name="rng02_Utilities_Table_6_3BedUnit">'02_1_INCOME'!$G$93</definedName>
    <definedName name="rng02_Utilities_Table_6_4BedUnit">'02_1_INCOME'!$H$93</definedName>
    <definedName name="rng02_Utilities_Table_6_5BedUnit">'02_1_INCOME'!$I$93</definedName>
    <definedName name="rng02_Utilities_Table_7_1BedUnit">'02_1_INCOME'!$E$94</definedName>
    <definedName name="rng02_Utilities_Table_7_2BedUnit">'02_1_INCOME'!$F$94</definedName>
    <definedName name="rng02_Utilities_Table_7_3BedUnit">'02_1_INCOME'!$G$94</definedName>
    <definedName name="rng02_Utilities_Table_7_4BedUnit">'02_1_INCOME'!$H$94</definedName>
    <definedName name="rng02_Utilities_Table_7_5BedUnit">'02_1_INCOME'!$I$94</definedName>
    <definedName name="rng02_Utilities_Table_8_1BedUnit">'02_1_INCOME'!$E$95</definedName>
    <definedName name="rng02_Utilities_Table_8_2BedUnit">'02_1_INCOME'!$F$95</definedName>
    <definedName name="rng02_Utilities_Table_8_3BedUnit">'02_1_INCOME'!$G$95</definedName>
    <definedName name="rng02_Utilities_Table_8_4BedUnit">'02_1_INCOME'!$H$95</definedName>
    <definedName name="rng02_Utilities_Table_8_5BedUnit">'02_1_INCOME'!$I$95</definedName>
    <definedName name="rng02_Utilities_Table_9_1BedUnit">'02_1_INCOME'!$E$96</definedName>
    <definedName name="rng02_Utilities_Table_9_2BedUnit">'02_1_INCOME'!$F$96</definedName>
    <definedName name="rng02_Utilities_Table_9_3BedUnit">'02_1_INCOME'!$G$96</definedName>
    <definedName name="rng02_Utilities_Table_9_4BedUnit">'02_1_INCOME'!$H$96</definedName>
    <definedName name="rng02_Utilities_Table_9_5BedUnit">'02_1_INCOME'!$I$96</definedName>
    <definedName name="rng02_Utilities_Table_DataYear1">'02_1_INCOME'!$K$88</definedName>
    <definedName name="rng02_Utilities_Table_DataYear10">'02_1_INCOME'!$K$97</definedName>
    <definedName name="rng02_Utilities_Table_DataYear11">'02_1_INCOME'!$K$98</definedName>
    <definedName name="rng02_Utilities_Table_DataYear2">'02_1_INCOME'!$K$89</definedName>
    <definedName name="rng02_Utilities_Table_DataYear3">'02_1_INCOME'!$K$90</definedName>
    <definedName name="rng02_Utilities_Table_DataYear4">'02_1_INCOME'!$K$91</definedName>
    <definedName name="rng02_Utilities_Table_DataYear5">'02_1_INCOME'!$K$92</definedName>
    <definedName name="rng02_Utilities_Table_DataYear6">'02_1_INCOME'!$K$93</definedName>
    <definedName name="rng02_Utilities_Table_DataYear7">'02_1_INCOME'!$K$94</definedName>
    <definedName name="rng02_Utilities_Table_DataYear8">'02_1_INCOME'!$K$95</definedName>
    <definedName name="rng02_Utilities_Table_DataYear9">'02_1_INCOME'!$K$96</definedName>
    <definedName name="rng02_Utilities_Table_EFF1">'02_1_INCOME'!$D$88</definedName>
    <definedName name="rng02_Utilities_Table_EFF10">'02_1_INCOME'!$D$97</definedName>
    <definedName name="rng02_Utilities_Table_EFF11">'02_1_INCOME'!$D$98</definedName>
    <definedName name="rng02_Utilities_Table_EFF2">'02_1_INCOME'!$D$89</definedName>
    <definedName name="rng02_Utilities_Table_EFF3">'02_1_INCOME'!$D$90</definedName>
    <definedName name="rng02_Utilities_Table_EFF4">'02_1_INCOME'!$D$91</definedName>
    <definedName name="rng02_Utilities_Table_EFF5">'02_1_INCOME'!$D$92</definedName>
    <definedName name="rng02_Utilities_Table_EFF6">'02_1_INCOME'!$D$93</definedName>
    <definedName name="rng02_Utilities_Table_EFF7">'02_1_INCOME'!$D$94</definedName>
    <definedName name="rng02_Utilities_Table_EFF8">'02_1_INCOME'!$D$95</definedName>
    <definedName name="rng02_Utilities_Table_EFF9">'02_1_INCOME'!$D$96</definedName>
    <definedName name="rng02_Utilities_Table_SRO1">'02_1_INCOME'!$C$88</definedName>
    <definedName name="rng02_Utilities_Table_SRO10">'02_1_INCOME'!$C$97</definedName>
    <definedName name="rng02_Utilities_Table_SRO11">'02_1_INCOME'!$C$98</definedName>
    <definedName name="rng02_Utilities_Table_SRO2">'02_1_INCOME'!$C$89</definedName>
    <definedName name="rng02_Utilities_Table_SRO3">'02_1_INCOME'!$C$90</definedName>
    <definedName name="rng02_Utilities_Table_SRO4">'02_1_INCOME'!$C$91</definedName>
    <definedName name="rng02_Utilities_Table_SRO5">'02_1_INCOME'!$C$92</definedName>
    <definedName name="rng02_Utilities_Table_SRO6">'02_1_INCOME'!$C$93</definedName>
    <definedName name="rng02_Utilities_Table_SRO7">'02_1_INCOME'!$C$94</definedName>
    <definedName name="rng02_Utilities_Table_SRO8">'02_1_INCOME'!$C$95</definedName>
    <definedName name="rng02_Utilities_Table_SRO9">'02_1_INCOME'!$C$96</definedName>
    <definedName name="rng02_Utilities_Table_TenantPaid1">'02_1_INCOME'!$J$88</definedName>
    <definedName name="rng02_Utilities_Table_TenantPaid10">'02_1_INCOME'!$J$97</definedName>
    <definedName name="rng02_Utilities_Table_TenantPaid11">'02_1_INCOME'!$J$98</definedName>
    <definedName name="rng02_Utilities_Table_TenantPaid2">'02_1_INCOME'!$J$89</definedName>
    <definedName name="rng02_Utilities_Table_TenantPaid3">'02_1_INCOME'!$J$90</definedName>
    <definedName name="rng02_Utilities_Table_TenantPaid4">'02_1_INCOME'!$J$91</definedName>
    <definedName name="rng02_Utilities_Table_TenantPaid5">'02_1_INCOME'!$J$92</definedName>
    <definedName name="rng02_Utilities_Table_TenantPaid6">'02_1_INCOME'!$J$93</definedName>
    <definedName name="rng02_Utilities_Table_TenantPaid7">'02_1_INCOME'!$J$94</definedName>
    <definedName name="rng02_Utilities_Table_TenantPaid8">'02_1_INCOME'!$J$95</definedName>
    <definedName name="rng02_Utilities_Table_TenantPaid9">'02_1_INCOME'!$J$96</definedName>
    <definedName name="rng02_Utilities_Table_UtilType1">'02_1_INCOME'!$B$88</definedName>
    <definedName name="rng02_Utilities_Table_UtilType10">'02_1_INCOME'!$B$97</definedName>
    <definedName name="rng02_Utilities_Table_UtilType11">'02_1_INCOME'!$B$98</definedName>
    <definedName name="rng02_Utilities_Table_UtilType2">'02_1_INCOME'!$B$89</definedName>
    <definedName name="rng02_Utilities_Table_UtilType3">'02_1_INCOME'!$B$90</definedName>
    <definedName name="rng02_Utilities_Table_UtilType4">'02_1_INCOME'!$B$91</definedName>
    <definedName name="rng02_Utilities_Table_UtilType5">'02_1_INCOME'!$B$92</definedName>
    <definedName name="rng02_Utilities_Table_UtilType6">'02_1_INCOME'!$B$93</definedName>
    <definedName name="rng02_Utilities_Table_UtilType7">'02_1_INCOME'!$B$94</definedName>
    <definedName name="rng02_Utilities_Table_UtilType8">'02_1_INCOME'!$B$95</definedName>
    <definedName name="rng02_Utilities_Table_UtilType9">'02_1_INCOME'!$B$96</definedName>
    <definedName name="rng03_TaxCreditPercentage">'02_5_LIHTC Proceeds'!$D$16:$G$16</definedName>
    <definedName name="rng04_AssistedLiving_Proforma">'04_1_Pro Forma'!$A$25</definedName>
    <definedName name="rng05_Area_ConstructionMonth">'03_2_Construction Cashflow'!$F$8:$AJ$8</definedName>
    <definedName name="rng05_ConstructionBudget">'03_2_Construction Cashflow'!$C$8:$C$109</definedName>
    <definedName name="rng05_ConstructionPeriod">'03_2_Construction Cashflow'!$E$4</definedName>
    <definedName name="rng05_Proceeds_Acq_TotalCreditSyndicatedProceeds">'02_5_LIHTC Proceeds'!$C$24</definedName>
    <definedName name="rng05_Proceeds_AdjustedProjectCosts">'02_5_LIHTC Proceeds'!$C$11</definedName>
    <definedName name="rng05_Proceeds_TotalEligibleUses">'02_5_LIHTC Proceeds'!$C$8</definedName>
    <definedName name="rng06_Area_LTVitems">'06_2_Credit Committee'!$9:$24</definedName>
    <definedName name="rng06_CriteriaCatg">'06_3_UWChecklist'!$I$8:$I$43</definedName>
    <definedName name="rng06_SourcesUses">'06_2_Credit Committee'!$D$38:$D$77</definedName>
    <definedName name="rng06_SourcesUsesFirm">'06_2_Credit Committee'!$G$38:$G$77</definedName>
    <definedName name="rng06_SU_Preliminary">'06_2_Credit Committee'!$D$36:$E$78</definedName>
    <definedName name="rng06_UnitType">'06_2_Credit Committee'!$D$84:$D$114</definedName>
    <definedName name="rng06_UnitType2">'06_2_Credit Committee'!$D$119:$D$149</definedName>
    <definedName name="SD_123_S_1" localSheetId="9" hidden="1">Mapping!$H$26</definedName>
    <definedName name="SD_133_S_1" localSheetId="9">Mapping!$H$23</definedName>
    <definedName name="SD_161x1_120_S_1" localSheetId="9">Mapping!$K$163</definedName>
    <definedName name="SD_161x1_122_S_1" localSheetId="9">Mapping!$K$165</definedName>
    <definedName name="SD_161x1_123_S_1" localSheetId="9">Mapping!$K$164</definedName>
    <definedName name="SD_161x1_124_S_0" localSheetId="9">Mapping!$J$169</definedName>
    <definedName name="SD_161x1_125_S_0" localSheetId="9">Mapping!$J$170</definedName>
    <definedName name="SD_161x1_127_S_0" localSheetId="9">Mapping!$J$168</definedName>
    <definedName name="SD_161x1_128_S_0" localSheetId="9">Mapping!$J$167</definedName>
    <definedName name="SD_161x1_129_S_0" localSheetId="9">Mapping!$J$163</definedName>
    <definedName name="SD_161x1_130_S_0" localSheetId="9">Mapping!$J$166</definedName>
    <definedName name="SD_161x1_131_S_0" localSheetId="9">Mapping!$J$164</definedName>
    <definedName name="SD_161x1_132_S_0" localSheetId="9">Mapping!$J$165</definedName>
    <definedName name="SD_161x1_133_S_0" localSheetId="9">Mapping!$H$44</definedName>
    <definedName name="SD_161x1_136_S_0" localSheetId="9">Mapping!$H$143</definedName>
    <definedName name="SD_161x1_140_S_0" localSheetId="9">Mapping!$H$144</definedName>
    <definedName name="SD_161x1_141_S_0" localSheetId="9">Mapping!$H$142</definedName>
    <definedName name="SD_161x1_142_S_0" localSheetId="9">Mapping!$H$145</definedName>
    <definedName name="SD_161x1_148_S_0" localSheetId="9">Mapping!$H$141</definedName>
    <definedName name="SD_161x1_154_S_0" localSheetId="9">Mapping!$K$151</definedName>
    <definedName name="SD_161x1_155_S_0" localSheetId="9">Mapping!$M$151</definedName>
    <definedName name="SD_161x1_156_S_0" localSheetId="9">Mapping!$K$152</definedName>
    <definedName name="SD_161x1_157_S_0" localSheetId="9">Mapping!$M$152</definedName>
    <definedName name="SD_161x1_158_S_0" localSheetId="9">Mapping!$K$153</definedName>
    <definedName name="SD_161x1_159_S_0" localSheetId="9">Mapping!$M$153</definedName>
    <definedName name="SD_161x1_160_S_0" localSheetId="9">Mapping!$K$154</definedName>
    <definedName name="SD_161x1_161_S_0" localSheetId="9">Mapping!$M$154</definedName>
    <definedName name="SD_161x1_162_S_0" localSheetId="9">Mapping!$K$155</definedName>
    <definedName name="SD_161x1_163_S_0" localSheetId="9">Mapping!$M$155</definedName>
    <definedName name="SD_161x1_17_S_0" localSheetId="9">Mapping!$H$13</definedName>
    <definedName name="SD_161x1_19_S_0" localSheetId="9">Mapping!$H$14</definedName>
    <definedName name="SD_161x1_21_S_0" localSheetId="9">Mapping!$H$17</definedName>
    <definedName name="SD_161x1_26_S_0" localSheetId="9">Mapping!$J$357</definedName>
    <definedName name="SD_161x1_2935x1_2951x1_109_S_1" localSheetId="9">Mapping!$J$323</definedName>
    <definedName name="SD_161x1_2935x1_2951x1_52_S_0" localSheetId="9">Mapping!$L$323</definedName>
    <definedName name="SD_161x1_2935x1_2951x1_53_S_0" localSheetId="9" hidden="1">Mapping!$N$323</definedName>
    <definedName name="SD_161x1_2935x1_2951x1_91_S_1" localSheetId="9">Mapping!$I$323</definedName>
    <definedName name="SD_161x1_2935x1_2951x1_9600x1_100_S_0" localSheetId="9" hidden="1">Mapping!$M$323</definedName>
    <definedName name="SD_161x1_2935x1_2951x10_109_S_1" localSheetId="9">Mapping!$J$332</definedName>
    <definedName name="SD_161x1_2935x1_2951x10_52_S_0" localSheetId="9">Mapping!$L$332</definedName>
    <definedName name="SD_161x1_2935x1_2951x10_53_S_0" localSheetId="9" hidden="1">Mapping!$N$332</definedName>
    <definedName name="SD_161x1_2935x1_2951x10_91_S_1" localSheetId="9">Mapping!$I$332</definedName>
    <definedName name="SD_161x1_2935x1_2951x10_9600x1_100_S_0" localSheetId="9" hidden="1">Mapping!$M$332</definedName>
    <definedName name="SD_161x1_2935x1_2951x11_109_S_1" localSheetId="9">Mapping!$J$333</definedName>
    <definedName name="SD_161x1_2935x1_2951x11_52_S_0" localSheetId="9">Mapping!$L$333</definedName>
    <definedName name="SD_161x1_2935x1_2951x11_53_S_0" localSheetId="9" hidden="1">Mapping!$N$333</definedName>
    <definedName name="SD_161x1_2935x1_2951x11_91_S_1" localSheetId="9">Mapping!$I$333</definedName>
    <definedName name="SD_161x1_2935x1_2951x11_9600x1_100_S_0" localSheetId="9" hidden="1">Mapping!$M$333</definedName>
    <definedName name="SD_161x1_2935x1_2951x12_109_S_1" localSheetId="9">Mapping!$J$334</definedName>
    <definedName name="SD_161x1_2935x1_2951x12_52_S_0" localSheetId="9">Mapping!$L$334</definedName>
    <definedName name="SD_161x1_2935x1_2951x12_53_S_0" localSheetId="9" hidden="1">Mapping!$N$334</definedName>
    <definedName name="SD_161x1_2935x1_2951x12_91_S_1" localSheetId="9">Mapping!$I$334</definedName>
    <definedName name="SD_161x1_2935x1_2951x12_9600x1_100_S_0" localSheetId="9" hidden="1">Mapping!$M$334</definedName>
    <definedName name="SD_161x1_2935x1_2951x13_109_S_1" localSheetId="9">Mapping!$J$335</definedName>
    <definedName name="SD_161x1_2935x1_2951x13_52_S_0" localSheetId="9">Mapping!$L$335</definedName>
    <definedName name="SD_161x1_2935x1_2951x13_53_S_0" localSheetId="9" hidden="1">Mapping!$N$335</definedName>
    <definedName name="SD_161x1_2935x1_2951x13_91_S_1" localSheetId="9">Mapping!$I$335</definedName>
    <definedName name="SD_161x1_2935x1_2951x13_9600x1_100_S_0" localSheetId="9" hidden="1">Mapping!$M$335</definedName>
    <definedName name="SD_161x1_2935x1_2951x14_109_S_1" localSheetId="9">Mapping!$J$336</definedName>
    <definedName name="SD_161x1_2935x1_2951x14_52_S_0" localSheetId="9">Mapping!$L$336</definedName>
    <definedName name="SD_161x1_2935x1_2951x14_53_S_0" localSheetId="9" hidden="1">Mapping!$N$336</definedName>
    <definedName name="SD_161x1_2935x1_2951x14_91_S_1" localSheetId="9">Mapping!$I$336</definedName>
    <definedName name="SD_161x1_2935x1_2951x14_9600x1_100_S_0" localSheetId="9" hidden="1">Mapping!$M$336</definedName>
    <definedName name="SD_161x1_2935x1_2951x15_109_S_1" localSheetId="9">Mapping!$J$337</definedName>
    <definedName name="SD_161x1_2935x1_2951x15_52_S_0" localSheetId="9">Mapping!$L$337</definedName>
    <definedName name="SD_161x1_2935x1_2951x15_53_S_0" localSheetId="9" hidden="1">Mapping!$N$337</definedName>
    <definedName name="SD_161x1_2935x1_2951x15_91_S_1" localSheetId="9">Mapping!$I$337</definedName>
    <definedName name="SD_161x1_2935x1_2951x15_9600x1_100_S_0" localSheetId="9" hidden="1">Mapping!$M$337</definedName>
    <definedName name="SD_161x1_2935x1_2951x16_109_S_1" localSheetId="9">Mapping!$J$338</definedName>
    <definedName name="SD_161x1_2935x1_2951x16_52_S_0" localSheetId="9">Mapping!$L$338</definedName>
    <definedName name="SD_161x1_2935x1_2951x16_53_S_0" localSheetId="9" hidden="1">Mapping!$N$338</definedName>
    <definedName name="SD_161x1_2935x1_2951x16_91_S_1" localSheetId="9">Mapping!$I$338</definedName>
    <definedName name="SD_161x1_2935x1_2951x16_9600x1_100_S_0" localSheetId="9" hidden="1">Mapping!$M$338</definedName>
    <definedName name="SD_161x1_2935x1_2951x17_109_S_1" localSheetId="9">Mapping!$J$339</definedName>
    <definedName name="SD_161x1_2935x1_2951x17_52_S_0" localSheetId="9">Mapping!$L$339</definedName>
    <definedName name="SD_161x1_2935x1_2951x17_53_S_0" localSheetId="9" hidden="1">Mapping!$N$339</definedName>
    <definedName name="SD_161x1_2935x1_2951x17_91_S_1" localSheetId="9">Mapping!$I$339</definedName>
    <definedName name="SD_161x1_2935x1_2951x17_9600x1_100_S_0" localSheetId="9" hidden="1">Mapping!$M$339</definedName>
    <definedName name="SD_161x1_2935x1_2951x18_109_S_1" localSheetId="9">Mapping!$J$340</definedName>
    <definedName name="SD_161x1_2935x1_2951x18_52_S_0" localSheetId="9">Mapping!$L$340</definedName>
    <definedName name="SD_161x1_2935x1_2951x18_53_S_0" localSheetId="9" hidden="1">Mapping!$N$340</definedName>
    <definedName name="SD_161x1_2935x1_2951x18_91_S_1" localSheetId="9">Mapping!$I$340</definedName>
    <definedName name="SD_161x1_2935x1_2951x18_9600x1_100_S_0" localSheetId="9" hidden="1">Mapping!$M$340</definedName>
    <definedName name="SD_161x1_2935x1_2951x19_109_S_1" localSheetId="9">Mapping!$J$341</definedName>
    <definedName name="SD_161x1_2935x1_2951x19_52_S_0" localSheetId="9">Mapping!$L$341</definedName>
    <definedName name="SD_161x1_2935x1_2951x19_53_S_0" localSheetId="9" hidden="1">Mapping!$N$341</definedName>
    <definedName name="SD_161x1_2935x1_2951x19_91_S_1" localSheetId="9">Mapping!$I$341</definedName>
    <definedName name="SD_161x1_2935x1_2951x19_9600x1_100_S_0" localSheetId="9" hidden="1">Mapping!$M$341</definedName>
    <definedName name="SD_161x1_2935x1_2951x2_109_S_1" localSheetId="9">Mapping!$J$324</definedName>
    <definedName name="SD_161x1_2935x1_2951x2_52_S_0" localSheetId="9">Mapping!$L$324</definedName>
    <definedName name="SD_161x1_2935x1_2951x2_53_S_0" localSheetId="9" hidden="1">Mapping!$N$324</definedName>
    <definedName name="SD_161x1_2935x1_2951x2_91_S_1" localSheetId="9">Mapping!$I$324</definedName>
    <definedName name="SD_161x1_2935x1_2951x2_9600x1_100_S_0" localSheetId="9" hidden="1">Mapping!$M$324</definedName>
    <definedName name="SD_161x1_2935x1_2951x20_109_S_1" localSheetId="9">Mapping!$J$342</definedName>
    <definedName name="SD_161x1_2935x1_2951x20_52_S_0" localSheetId="9">Mapping!$L$342</definedName>
    <definedName name="SD_161x1_2935x1_2951x20_53_S_0" localSheetId="9" hidden="1">Mapping!$N$342</definedName>
    <definedName name="SD_161x1_2935x1_2951x20_91_S_1" localSheetId="9">Mapping!$I$342</definedName>
    <definedName name="SD_161x1_2935x1_2951x20_9600x1_100_S_0" localSheetId="9" hidden="1">Mapping!$M$342</definedName>
    <definedName name="SD_161x1_2935x1_2951x21_109_S_1" localSheetId="9">Mapping!$J$343</definedName>
    <definedName name="SD_161x1_2935x1_2951x21_52_S_0" localSheetId="9">Mapping!$L$343</definedName>
    <definedName name="SD_161x1_2935x1_2951x21_53_S_0" localSheetId="9" hidden="1">Mapping!$N$343</definedName>
    <definedName name="SD_161x1_2935x1_2951x21_91_S_1" localSheetId="9">Mapping!$I$343</definedName>
    <definedName name="SD_161x1_2935x1_2951x21_9600x1_100_S_0" localSheetId="9" hidden="1">Mapping!$M$343</definedName>
    <definedName name="SD_161x1_2935x1_2951x22_109_S_1" localSheetId="9">Mapping!$J$344</definedName>
    <definedName name="SD_161x1_2935x1_2951x22_52_S_0" localSheetId="9">Mapping!$L$344</definedName>
    <definedName name="SD_161x1_2935x1_2951x22_53_S_0" localSheetId="9" hidden="1">Mapping!$N$344</definedName>
    <definedName name="SD_161x1_2935x1_2951x22_91_S_1" localSheetId="9">Mapping!$I$344</definedName>
    <definedName name="SD_161x1_2935x1_2951x22_9600x1_100_S_0" localSheetId="9" hidden="1">Mapping!$M$344</definedName>
    <definedName name="SD_161x1_2935x1_2951x23_109_S_1" localSheetId="9">Mapping!$J$345</definedName>
    <definedName name="SD_161x1_2935x1_2951x23_52_S_0" localSheetId="9">Mapping!$L$345</definedName>
    <definedName name="SD_161x1_2935x1_2951x23_53_S_0" localSheetId="9" hidden="1">Mapping!$N$345</definedName>
    <definedName name="SD_161x1_2935x1_2951x23_91_S_1" localSheetId="9">Mapping!$I$345</definedName>
    <definedName name="SD_161x1_2935x1_2951x23_9600x1_100_S_0" localSheetId="9" hidden="1">Mapping!$M$345</definedName>
    <definedName name="SD_161x1_2935x1_2951x24_109_S_1" localSheetId="9">Mapping!$J$346</definedName>
    <definedName name="SD_161x1_2935x1_2951x24_52_S_0" localSheetId="9">Mapping!$L$346</definedName>
    <definedName name="SD_161x1_2935x1_2951x24_53_S_0" localSheetId="9" hidden="1">Mapping!$N$346</definedName>
    <definedName name="SD_161x1_2935x1_2951x24_91_S_1" localSheetId="9">Mapping!$I$346</definedName>
    <definedName name="SD_161x1_2935x1_2951x24_9600x1_100_S_0" localSheetId="9" hidden="1">Mapping!$M$346</definedName>
    <definedName name="SD_161x1_2935x1_2951x25_109_S_1" localSheetId="9">Mapping!$J$347</definedName>
    <definedName name="SD_161x1_2935x1_2951x25_52_S_0" localSheetId="9">Mapping!$L$347</definedName>
    <definedName name="SD_161x1_2935x1_2951x25_53_S_0" localSheetId="9" hidden="1">Mapping!$N$347</definedName>
    <definedName name="SD_161x1_2935x1_2951x25_91_S_1" localSheetId="9">Mapping!$I$347</definedName>
    <definedName name="SD_161x1_2935x1_2951x25_9600x1_100_S_0" localSheetId="9" hidden="1">Mapping!$M$347</definedName>
    <definedName name="SD_161x1_2935x1_2951x26_109_S_1" localSheetId="9">Mapping!$J$348</definedName>
    <definedName name="SD_161x1_2935x1_2951x26_52_S_0" localSheetId="9">Mapping!$L$348</definedName>
    <definedName name="SD_161x1_2935x1_2951x26_53_S_0" localSheetId="9" hidden="1">Mapping!$N$348</definedName>
    <definedName name="SD_161x1_2935x1_2951x26_91_S_1" localSheetId="9">Mapping!$I$348</definedName>
    <definedName name="SD_161x1_2935x1_2951x26_9600x1_100_S_0" localSheetId="9" hidden="1">Mapping!$M$348</definedName>
    <definedName name="SD_161x1_2935x1_2951x27_109_S_1" localSheetId="9">Mapping!$J$349</definedName>
    <definedName name="SD_161x1_2935x1_2951x27_52_S_0" localSheetId="9">Mapping!$L$349</definedName>
    <definedName name="SD_161x1_2935x1_2951x27_53_S_0" localSheetId="9" hidden="1">Mapping!$N$349</definedName>
    <definedName name="SD_161x1_2935x1_2951x27_91_S_1" localSheetId="9">Mapping!$I$349</definedName>
    <definedName name="SD_161x1_2935x1_2951x27_9600x1_100_S_0" localSheetId="9" hidden="1">Mapping!$M$349</definedName>
    <definedName name="SD_161x1_2935x1_2951x28_109_S_1" localSheetId="9">Mapping!$J$350</definedName>
    <definedName name="SD_161x1_2935x1_2951x28_52_S_0" localSheetId="9">Mapping!$L$350</definedName>
    <definedName name="SD_161x1_2935x1_2951x28_53_S_0" localSheetId="9" hidden="1">Mapping!$N$350</definedName>
    <definedName name="SD_161x1_2935x1_2951x28_91_S_1" localSheetId="9">Mapping!$I$350</definedName>
    <definedName name="SD_161x1_2935x1_2951x28_9600x1_100_S_0" localSheetId="9" hidden="1">Mapping!$M$350</definedName>
    <definedName name="SD_161x1_2935x1_2951x29_109_S_1" localSheetId="9">Mapping!$J$351</definedName>
    <definedName name="SD_161x1_2935x1_2951x29_52_S_0" localSheetId="9">Mapping!$L$351</definedName>
    <definedName name="SD_161x1_2935x1_2951x29_53_S_0" localSheetId="9" hidden="1">Mapping!$N$351</definedName>
    <definedName name="SD_161x1_2935x1_2951x29_91_S_1" localSheetId="9">Mapping!$I$351</definedName>
    <definedName name="SD_161x1_2935x1_2951x29_9600x1_100_S_0" localSheetId="9" hidden="1">Mapping!$M$351</definedName>
    <definedName name="SD_161x1_2935x1_2951x3_109_S_1" localSheetId="9">Mapping!$J$325</definedName>
    <definedName name="SD_161x1_2935x1_2951x3_52_S_0" localSheetId="9">Mapping!$L$325</definedName>
    <definedName name="SD_161x1_2935x1_2951x3_53_S_0" localSheetId="9" hidden="1">Mapping!$N$325</definedName>
    <definedName name="SD_161x1_2935x1_2951x3_91_S_1" localSheetId="9">Mapping!$I$325</definedName>
    <definedName name="SD_161x1_2935x1_2951x3_9600x1_100_S_0" localSheetId="9" hidden="1">Mapping!$M$325</definedName>
    <definedName name="SD_161x1_2935x1_2951x30_109_S_1" localSheetId="9">Mapping!$J$352</definedName>
    <definedName name="SD_161x1_2935x1_2951x30_52_S_0" localSheetId="9">Mapping!$L$352</definedName>
    <definedName name="SD_161x1_2935x1_2951x30_53_S_0" localSheetId="9" hidden="1">Mapping!$N$352</definedName>
    <definedName name="SD_161x1_2935x1_2951x30_91_S_1" localSheetId="9">Mapping!$I$352</definedName>
    <definedName name="SD_161x1_2935x1_2951x30_9600x1_100_S_0" localSheetId="9" hidden="1">Mapping!$M$352</definedName>
    <definedName name="SD_161x1_2935x1_2951x4_109_S_1" localSheetId="9">Mapping!$J$326</definedName>
    <definedName name="SD_161x1_2935x1_2951x4_52_S_0" localSheetId="9">Mapping!$L$326</definedName>
    <definedName name="SD_161x1_2935x1_2951x4_53_S_0" localSheetId="9" hidden="1">Mapping!$N$326</definedName>
    <definedName name="SD_161x1_2935x1_2951x4_91_S_1" localSheetId="9">Mapping!$I$326</definedName>
    <definedName name="SD_161x1_2935x1_2951x4_9600x1_100_S_0" localSheetId="9" hidden="1">Mapping!$M$326</definedName>
    <definedName name="SD_161x1_2935x1_2951x5_109_S_1" localSheetId="9">Mapping!$J$327</definedName>
    <definedName name="SD_161x1_2935x1_2951x5_52_S_0" localSheetId="9">Mapping!$L$327</definedName>
    <definedName name="SD_161x1_2935x1_2951x5_53_S_0" localSheetId="9" hidden="1">Mapping!$N$327</definedName>
    <definedName name="SD_161x1_2935x1_2951x5_91_S_1" localSheetId="9">Mapping!$I$327</definedName>
    <definedName name="SD_161x1_2935x1_2951x5_9600x1_100_S_0" localSheetId="9" hidden="1">Mapping!$M$327</definedName>
    <definedName name="SD_161x1_2935x1_2951x6_109_S_1" localSheetId="9">Mapping!$J$328</definedName>
    <definedName name="SD_161x1_2935x1_2951x6_52_S_0" localSheetId="9">Mapping!$L$328</definedName>
    <definedName name="SD_161x1_2935x1_2951x6_53_S_0" localSheetId="9" hidden="1">Mapping!$N$328</definedName>
    <definedName name="SD_161x1_2935x1_2951x6_91_S_1" localSheetId="9">Mapping!$I$328</definedName>
    <definedName name="SD_161x1_2935x1_2951x6_9600x1_100_S_0" localSheetId="9" hidden="1">Mapping!$M$328</definedName>
    <definedName name="SD_161x1_2935x1_2951x7_109_S_1" localSheetId="9">Mapping!$J$329</definedName>
    <definedName name="SD_161x1_2935x1_2951x7_52_S_0" localSheetId="9">Mapping!$L$329</definedName>
    <definedName name="SD_161x1_2935x1_2951x7_53_S_0" localSheetId="9" hidden="1">Mapping!$N$329</definedName>
    <definedName name="SD_161x1_2935x1_2951x7_91_S_1" localSheetId="9">Mapping!$I$329</definedName>
    <definedName name="SD_161x1_2935x1_2951x7_9600x1_100_S_0" localSheetId="9" hidden="1">Mapping!$M$329</definedName>
    <definedName name="SD_161x1_2935x1_2951x8_109_S_1" localSheetId="9">Mapping!$J$330</definedName>
    <definedName name="SD_161x1_2935x1_2951x8_52_S_0" localSheetId="9">Mapping!$L$330</definedName>
    <definedName name="SD_161x1_2935x1_2951x8_53_S_0" localSheetId="9" hidden="1">Mapping!$N$330</definedName>
    <definedName name="SD_161x1_2935x1_2951x8_91_S_1" localSheetId="9">Mapping!$I$330</definedName>
    <definedName name="SD_161x1_2935x1_2951x8_9600x1_100_S_0" localSheetId="9" hidden="1">Mapping!$M$330</definedName>
    <definedName name="SD_161x1_2935x1_2951x9_109_S_1" localSheetId="9">Mapping!$J$331</definedName>
    <definedName name="SD_161x1_2935x1_2951x9_52_S_0" localSheetId="9">Mapping!$L$331</definedName>
    <definedName name="SD_161x1_2935x1_2951x9_53_S_0" localSheetId="9" hidden="1">Mapping!$N$331</definedName>
    <definedName name="SD_161x1_2935x1_2951x9_91_S_1" localSheetId="9">Mapping!$I$331</definedName>
    <definedName name="SD_161x1_2935x1_2951x9_9600x1_100_S_0" localSheetId="9" hidden="1">Mapping!$M$331</definedName>
    <definedName name="SD_161x1_41_S_0" localSheetId="9">Mapping!$H$32</definedName>
    <definedName name="SD_161x1_48_S_0" localSheetId="9">Mapping!$H$39</definedName>
    <definedName name="SD_161x1_5330x1_100_B_0" localSheetId="9" hidden="1">Mapping!$I$421</definedName>
    <definedName name="SD_161x1_5330x1_101_B_0" localSheetId="9" hidden="1">Mapping!$I$423</definedName>
    <definedName name="SD_161x1_5330x1_102_B_0" localSheetId="9" hidden="1">Mapping!$I$422</definedName>
    <definedName name="SD_161x1_5330x1_103_B_0" localSheetId="9" hidden="1">Mapping!$I$424</definedName>
    <definedName name="SD_161x1_5330x1_104_B_0" localSheetId="9" hidden="1">Mapping!$I$425</definedName>
    <definedName name="SD_161x1_5330x1_105_B_0" localSheetId="9" hidden="1">Mapping!$I$426</definedName>
    <definedName name="SD_161x1_5330x1_106_B_0" localSheetId="9" hidden="1">Mapping!$I$427</definedName>
    <definedName name="SD_161x1_5330x1_108_S_0" localSheetId="9" hidden="1">Mapping!$M$353</definedName>
    <definedName name="SD_161x1_76_S_1" localSheetId="9">Mapping!$H$16</definedName>
    <definedName name="SD_161x1_77_S_1" localSheetId="9">Mapping!$H$19</definedName>
    <definedName name="SD_161x1_81_S_1" localSheetId="9" hidden="1">Mapping!$H$15</definedName>
    <definedName name="SD_161x1_84_B_1" localSheetId="9" hidden="1">Mapping!$H$22</definedName>
    <definedName name="SD_181_S_1" localSheetId="9">Mapping!$H$20</definedName>
    <definedName name="SD_192_S_0" localSheetId="9" hidden="1">Mapping!$L$26</definedName>
    <definedName name="SD_20_G_0" localSheetId="9">Mapping!$B$4</definedName>
    <definedName name="SD_21_G_0" localSheetId="9">Mapping!$B$2</definedName>
    <definedName name="SD_2357x1_39_S_1" localSheetId="9" hidden="1">Mapping!$R$547</definedName>
    <definedName name="SD_2357x1_5_S_0" localSheetId="9" hidden="1">Mapping!$O$547</definedName>
    <definedName name="SD_2357x1_56_S_0" localSheetId="9" hidden="1">Mapping!$Q$547</definedName>
    <definedName name="SD_2357x1_6_S_0" localSheetId="9">Mapping!$P$547</definedName>
    <definedName name="SD_2357x1_7_S_0" localSheetId="9">Mapping!$N$547</definedName>
    <definedName name="SD_2357x1_71_G_1" localSheetId="13" hidden="1">'02_3_SOURCES'!$B$9</definedName>
    <definedName name="SD_2357x1_71_S_1" localSheetId="9" hidden="1">Mapping!$M$547</definedName>
    <definedName name="SD_2357x10_39_S_1" localSheetId="9" hidden="1">Mapping!$R$556</definedName>
    <definedName name="SD_2357x10_5_S_0" localSheetId="9" hidden="1">Mapping!$O$556</definedName>
    <definedName name="SD_2357x10_56_S_0" localSheetId="9" hidden="1">Mapping!$Q$556</definedName>
    <definedName name="SD_2357x10_6_S_0" localSheetId="9">Mapping!$P$556</definedName>
    <definedName name="SD_2357x10_7_S_0" localSheetId="9">Mapping!$N$556</definedName>
    <definedName name="SD_2357x10_71_G_1" localSheetId="13" hidden="1">'02_3_SOURCES'!$B$18</definedName>
    <definedName name="SD_2357x10_71_S_1" localSheetId="9" hidden="1">Mapping!$M$556</definedName>
    <definedName name="SD_2357x11_39_S_1" localSheetId="9" hidden="1">Mapping!$R$557</definedName>
    <definedName name="SD_2357x11_5_S_0" localSheetId="9" hidden="1">Mapping!$O$557</definedName>
    <definedName name="SD_2357x11_56_S_0" localSheetId="9" hidden="1">Mapping!$Q$557</definedName>
    <definedName name="SD_2357x11_6_S_0" localSheetId="9">Mapping!$P$557</definedName>
    <definedName name="SD_2357x11_7_S_0" localSheetId="9">Mapping!$N$557</definedName>
    <definedName name="SD_2357x11_71_G_1" localSheetId="13" hidden="1">'02_3_SOURCES'!$B$19</definedName>
    <definedName name="SD_2357x11_71_S_1" localSheetId="9" hidden="1">Mapping!$M$557</definedName>
    <definedName name="SD_2357x12_39_S_1" localSheetId="9" hidden="1">Mapping!$R$558</definedName>
    <definedName name="SD_2357x12_5_S_0" localSheetId="9" hidden="1">Mapping!$O$558</definedName>
    <definedName name="SD_2357x12_56_S_0" localSheetId="9" hidden="1">Mapping!$Q$558</definedName>
    <definedName name="SD_2357x12_6_S_0" localSheetId="9">Mapping!$P$558</definedName>
    <definedName name="SD_2357x12_7_S_0" localSheetId="9">Mapping!$N$558</definedName>
    <definedName name="SD_2357x12_71_G_1" localSheetId="13" hidden="1">'02_3_SOURCES'!$B$20</definedName>
    <definedName name="SD_2357x12_71_S_1" localSheetId="9" hidden="1">Mapping!$M$558</definedName>
    <definedName name="SD_2357x13_39_S_1" localSheetId="9" hidden="1">Mapping!$R$559</definedName>
    <definedName name="SD_2357x13_5_S_0" localSheetId="9" hidden="1">Mapping!$O$559</definedName>
    <definedName name="SD_2357x13_56_S_0" localSheetId="9" hidden="1">Mapping!$Q$559</definedName>
    <definedName name="SD_2357x13_6_S_0" localSheetId="9">Mapping!$P$559</definedName>
    <definedName name="SD_2357x13_7_S_0" localSheetId="9">Mapping!$N$559</definedName>
    <definedName name="SD_2357x13_71_G_1" localSheetId="13" hidden="1">'02_3_SOURCES'!$B$21</definedName>
    <definedName name="SD_2357x13_71_S_1" localSheetId="9" hidden="1">Mapping!$M$559</definedName>
    <definedName name="SD_2357x14_39_S_1" localSheetId="9" hidden="1">Mapping!$R$560</definedName>
    <definedName name="SD_2357x14_5_S_0" localSheetId="9" hidden="1">Mapping!$O$560</definedName>
    <definedName name="SD_2357x14_56_S_0" localSheetId="9" hidden="1">Mapping!$Q$560</definedName>
    <definedName name="SD_2357x14_6_S_0" localSheetId="9">Mapping!$P$560</definedName>
    <definedName name="SD_2357x14_7_S_0" localSheetId="9">Mapping!$N$560</definedName>
    <definedName name="SD_2357x14_71_G_1" localSheetId="13" hidden="1">'02_3_SOURCES'!$B$22</definedName>
    <definedName name="SD_2357x14_71_S_1" localSheetId="9" hidden="1">Mapping!$M$560</definedName>
    <definedName name="SD_2357x15_39_S_1" localSheetId="9" hidden="1">Mapping!$R$561</definedName>
    <definedName name="SD_2357x15_5_S_0" localSheetId="9" hidden="1">Mapping!$O$561</definedName>
    <definedName name="SD_2357x15_56_S_0" localSheetId="9" hidden="1">Mapping!$Q$561</definedName>
    <definedName name="SD_2357x15_6_S_0" localSheetId="9">Mapping!$P$561</definedName>
    <definedName name="SD_2357x15_7_S_0" localSheetId="9">Mapping!$N$561</definedName>
    <definedName name="SD_2357x15_71_G_1" localSheetId="13" hidden="1">'02_3_SOURCES'!$B$27</definedName>
    <definedName name="SD_2357x15_71_S_1" localSheetId="9" hidden="1">Mapping!$M$561</definedName>
    <definedName name="SD_2357x16_39_S_1" localSheetId="9" hidden="1">Mapping!$R$562</definedName>
    <definedName name="SD_2357x16_5_S_0" localSheetId="9" hidden="1">Mapping!$O$562</definedName>
    <definedName name="SD_2357x16_56_S_0" localSheetId="9" hidden="1">Mapping!$Q$562</definedName>
    <definedName name="SD_2357x16_6_S_0" localSheetId="9">Mapping!$P$562</definedName>
    <definedName name="SD_2357x16_7_S_0" localSheetId="9">Mapping!$N$562</definedName>
    <definedName name="SD_2357x16_71_G_1" localSheetId="13" hidden="1">'02_3_SOURCES'!$B$28</definedName>
    <definedName name="SD_2357x16_71_S_1" localSheetId="9" hidden="1">Mapping!$M$562</definedName>
    <definedName name="SD_2357x17_39_S_1" localSheetId="9" hidden="1">Mapping!$R$563</definedName>
    <definedName name="SD_2357x17_5_S_0" localSheetId="9" hidden="1">Mapping!$O$563</definedName>
    <definedName name="SD_2357x17_56_S_0" localSheetId="9" hidden="1">Mapping!$Q$563</definedName>
    <definedName name="SD_2357x17_6_S_0" localSheetId="9">Mapping!$P$563</definedName>
    <definedName name="SD_2357x17_7_S_0" localSheetId="9">Mapping!$N$563</definedName>
    <definedName name="SD_2357x17_71_G_1" localSheetId="13" hidden="1">'02_3_SOURCES'!$B$29</definedName>
    <definedName name="SD_2357x17_71_S_1" localSheetId="9" hidden="1">Mapping!$M$563</definedName>
    <definedName name="SD_2357x18_39_S_1" localSheetId="9" hidden="1">Mapping!$R$564</definedName>
    <definedName name="SD_2357x18_5_S_0" localSheetId="9" hidden="1">Mapping!$O$564</definedName>
    <definedName name="SD_2357x18_56_S_0" localSheetId="9" hidden="1">Mapping!$Q$564</definedName>
    <definedName name="SD_2357x18_6_S_0" localSheetId="9">Mapping!$P$564</definedName>
    <definedName name="SD_2357x18_7_S_0" localSheetId="9">Mapping!$N$564</definedName>
    <definedName name="SD_2357x18_71_G_1" localSheetId="13" hidden="1">'02_3_SOURCES'!$B$30</definedName>
    <definedName name="SD_2357x18_71_S_1" localSheetId="9" hidden="1">Mapping!$M$564</definedName>
    <definedName name="SD_2357x19_39_S_1" localSheetId="9" hidden="1">Mapping!$R$565</definedName>
    <definedName name="SD_2357x19_5_S_0" localSheetId="9" hidden="1">Mapping!$O$565</definedName>
    <definedName name="SD_2357x19_56_S_0" localSheetId="9" hidden="1">Mapping!$Q$565</definedName>
    <definedName name="SD_2357x19_6_S_0" localSheetId="9">Mapping!$P$565</definedName>
    <definedName name="SD_2357x19_7_S_0" localSheetId="9">Mapping!$N$565</definedName>
    <definedName name="SD_2357x19_71_G_1" localSheetId="13" hidden="1">'02_3_SOURCES'!$B$32</definedName>
    <definedName name="SD_2357x19_71_S_1" localSheetId="9" hidden="1">Mapping!$M$565</definedName>
    <definedName name="SD_2357x2_39_S_1" localSheetId="9" hidden="1">Mapping!$R$548</definedName>
    <definedName name="SD_2357x2_5_S_0" localSheetId="9" hidden="1">Mapping!$O$548</definedName>
    <definedName name="SD_2357x2_56_S_0" localSheetId="9" hidden="1">Mapping!$Q$548</definedName>
    <definedName name="SD_2357x2_6_S_0" localSheetId="9">Mapping!$P$548</definedName>
    <definedName name="SD_2357x2_7_S_0" localSheetId="9">Mapping!$N$548</definedName>
    <definedName name="SD_2357x2_71_G_1" localSheetId="13" hidden="1">'02_3_SOURCES'!$B$10</definedName>
    <definedName name="SD_2357x2_71_S_1" localSheetId="9" hidden="1">Mapping!$M$548</definedName>
    <definedName name="SD_2357x20_39_S_1" localSheetId="9" hidden="1">Mapping!$R$566</definedName>
    <definedName name="SD_2357x20_5_S_0" localSheetId="9" hidden="1">Mapping!$O$566</definedName>
    <definedName name="SD_2357x20_56_S_0" localSheetId="9" hidden="1">Mapping!$Q$566</definedName>
    <definedName name="SD_2357x20_6_S_0" localSheetId="9">Mapping!$P$566</definedName>
    <definedName name="SD_2357x20_7_S_0" localSheetId="9">Mapping!$N$566</definedName>
    <definedName name="SD_2357x20_71_G_1" localSheetId="13" hidden="1">'02_3_SOURCES'!$B$37</definedName>
    <definedName name="SD_2357x20_71_S_1" localSheetId="9" hidden="1">Mapping!$M$566</definedName>
    <definedName name="SD_2357x21_39_S_1" localSheetId="9" hidden="1">Mapping!$R$567</definedName>
    <definedName name="SD_2357x21_5_S_0" localSheetId="9" hidden="1">Mapping!$O$567</definedName>
    <definedName name="SD_2357x21_56_S_0" localSheetId="9" hidden="1">Mapping!$Q$567</definedName>
    <definedName name="SD_2357x21_6_S_0" localSheetId="9">Mapping!$P$567</definedName>
    <definedName name="SD_2357x21_7_S_0" localSheetId="9">Mapping!$N$567</definedName>
    <definedName name="SD_2357x21_71_G_1" localSheetId="13" hidden="1">'02_3_SOURCES'!$B$38</definedName>
    <definedName name="SD_2357x21_71_S_1" localSheetId="9" hidden="1">Mapping!$M$567</definedName>
    <definedName name="SD_2357x22_39_S_1" localSheetId="9" hidden="1">Mapping!$R$568</definedName>
    <definedName name="SD_2357x22_5_S_0" localSheetId="9" hidden="1">Mapping!$O$568</definedName>
    <definedName name="SD_2357x22_56_S_0" localSheetId="9" hidden="1">Mapping!$Q$568</definedName>
    <definedName name="SD_2357x22_6_S_0" localSheetId="9">Mapping!$P$568</definedName>
    <definedName name="SD_2357x22_7_S_0" localSheetId="9">Mapping!$N$568</definedName>
    <definedName name="SD_2357x22_71_G_1" localSheetId="13" hidden="1">'02_3_SOURCES'!$B$39</definedName>
    <definedName name="SD_2357x22_71_S_1" localSheetId="9" hidden="1">Mapping!$M$568</definedName>
    <definedName name="SD_2357x23_39_S_1" localSheetId="9" hidden="1">Mapping!$R$569</definedName>
    <definedName name="SD_2357x23_5_S_0" localSheetId="9" hidden="1">Mapping!$O$569</definedName>
    <definedName name="SD_2357x23_56_S_0" localSheetId="9" hidden="1">Mapping!$Q$569</definedName>
    <definedName name="SD_2357x23_6_S_0" localSheetId="9">Mapping!$P$569</definedName>
    <definedName name="SD_2357x23_7_S_0" localSheetId="9">Mapping!$N$569</definedName>
    <definedName name="SD_2357x23_71_G_1" localSheetId="13" hidden="1">'02_3_SOURCES'!$B$40</definedName>
    <definedName name="SD_2357x23_71_S_1" localSheetId="9" hidden="1">Mapping!$M$569</definedName>
    <definedName name="SD_2357x24_39_S_1" localSheetId="9" hidden="1">Mapping!$R$570</definedName>
    <definedName name="SD_2357x24_5_S_0" localSheetId="9" hidden="1">Mapping!$O$570</definedName>
    <definedName name="SD_2357x24_56_S_0" localSheetId="9" hidden="1">Mapping!$Q$570</definedName>
    <definedName name="SD_2357x24_6_S_0" localSheetId="9">Mapping!$P$570</definedName>
    <definedName name="SD_2357x24_7_S_0" localSheetId="9">Mapping!$N$570</definedName>
    <definedName name="SD_2357x24_71_G_1" localSheetId="13" hidden="1">'02_3_SOURCES'!$B$41</definedName>
    <definedName name="SD_2357x24_71_S_1" localSheetId="9" hidden="1">Mapping!$M$570</definedName>
    <definedName name="SD_2357x3_39_S_1" localSheetId="9" hidden="1">Mapping!$R$549</definedName>
    <definedName name="SD_2357x3_5_S_0" localSheetId="9" hidden="1">Mapping!$O$549</definedName>
    <definedName name="SD_2357x3_56_S_0" localSheetId="9" hidden="1">Mapping!$Q$549</definedName>
    <definedName name="SD_2357x3_6_S_0" localSheetId="9">Mapping!$P$549</definedName>
    <definedName name="SD_2357x3_7_S_0" localSheetId="9">Mapping!$N$549</definedName>
    <definedName name="SD_2357x3_71_G_1" localSheetId="13" hidden="1">'02_3_SOURCES'!$B$11</definedName>
    <definedName name="SD_2357x3_71_S_1" localSheetId="9" hidden="1">Mapping!$M$549</definedName>
    <definedName name="SD_2357x4_39_S_1" localSheetId="9" hidden="1">Mapping!$R$550</definedName>
    <definedName name="SD_2357x4_5_S_0" localSheetId="9" hidden="1">Mapping!$O$550</definedName>
    <definedName name="SD_2357x4_56_S_0" localSheetId="9" hidden="1">Mapping!$Q$550</definedName>
    <definedName name="SD_2357x4_6_S_0" localSheetId="9">Mapping!$P$550</definedName>
    <definedName name="SD_2357x4_7_S_0" localSheetId="9">Mapping!$N$550</definedName>
    <definedName name="SD_2357x4_71_G_1" localSheetId="13" hidden="1">'02_3_SOURCES'!$B$12</definedName>
    <definedName name="SD_2357x4_71_S_1" localSheetId="9" hidden="1">Mapping!$M$550</definedName>
    <definedName name="SD_2357x5_39_S_1" localSheetId="9" hidden="1">Mapping!$R$551</definedName>
    <definedName name="SD_2357x5_5_S_0" localSheetId="9" hidden="1">Mapping!$O$551</definedName>
    <definedName name="SD_2357x5_56_S_0" localSheetId="9" hidden="1">Mapping!$Q$551</definedName>
    <definedName name="SD_2357x5_6_S_0" localSheetId="9">Mapping!$P$551</definedName>
    <definedName name="SD_2357x5_7_S_0" localSheetId="9">Mapping!$N$551</definedName>
    <definedName name="SD_2357x5_71_G_1" localSheetId="13" hidden="1">'02_3_SOURCES'!$B$13</definedName>
    <definedName name="SD_2357x5_71_S_1" localSheetId="9" hidden="1">Mapping!$M$551</definedName>
    <definedName name="SD_2357x6_39_S_1" localSheetId="9" hidden="1">Mapping!$R$552</definedName>
    <definedName name="SD_2357x6_5_S_0" localSheetId="9" hidden="1">Mapping!$O$552</definedName>
    <definedName name="SD_2357x6_56_S_0" localSheetId="9" hidden="1">Mapping!$Q$552</definedName>
    <definedName name="SD_2357x6_6_S_0" localSheetId="9">Mapping!$P$552</definedName>
    <definedName name="SD_2357x6_7_S_0" localSheetId="9">Mapping!$N$552</definedName>
    <definedName name="SD_2357x6_71_G_1" localSheetId="13" hidden="1">'02_3_SOURCES'!$B$14</definedName>
    <definedName name="SD_2357x6_71_S_1" localSheetId="9" hidden="1">Mapping!$M$552</definedName>
    <definedName name="SD_2357x7_39_S_1" localSheetId="9" hidden="1">Mapping!$R$553</definedName>
    <definedName name="SD_2357x7_5_S_0" localSheetId="9" hidden="1">Mapping!$O$553</definedName>
    <definedName name="SD_2357x7_56_S_0" localSheetId="9" hidden="1">Mapping!$Q$553</definedName>
    <definedName name="SD_2357x7_6_S_0" localSheetId="9">Mapping!$P$553</definedName>
    <definedName name="SD_2357x7_7_S_0" localSheetId="9">Mapping!$N$553</definedName>
    <definedName name="SD_2357x7_71_G_1" localSheetId="13" hidden="1">'02_3_SOURCES'!$B$15</definedName>
    <definedName name="SD_2357x7_71_S_1" localSheetId="9" hidden="1">Mapping!$M$553</definedName>
    <definedName name="SD_2357x8_39_S_1" localSheetId="9" hidden="1">Mapping!$R$554</definedName>
    <definedName name="SD_2357x8_5_S_0" localSheetId="9" hidden="1">Mapping!$O$554</definedName>
    <definedName name="SD_2357x8_56_S_0" localSheetId="9" hidden="1">Mapping!$Q$554</definedName>
    <definedName name="SD_2357x8_6_S_0" localSheetId="9">Mapping!$P$554</definedName>
    <definedName name="SD_2357x8_7_S_0" localSheetId="9">Mapping!$N$554</definedName>
    <definedName name="SD_2357x8_71_G_1" localSheetId="13" hidden="1">'02_3_SOURCES'!$B$16</definedName>
    <definedName name="SD_2357x8_71_S_1" localSheetId="9" hidden="1">Mapping!$M$554</definedName>
    <definedName name="SD_2357x9_39_S_1" localSheetId="9" hidden="1">Mapping!$R$555</definedName>
    <definedName name="SD_2357x9_5_S_0" localSheetId="9" hidden="1">Mapping!$O$555</definedName>
    <definedName name="SD_2357x9_56_S_0" localSheetId="9" hidden="1">Mapping!$Q$555</definedName>
    <definedName name="SD_2357x9_6_S_0" localSheetId="9">Mapping!$P$555</definedName>
    <definedName name="SD_2357x9_7_S_0" localSheetId="9">Mapping!$N$555</definedName>
    <definedName name="SD_2357x9_71_G_1" localSheetId="13" hidden="1">'02_3_SOURCES'!$B$17</definedName>
    <definedName name="SD_2357x9_71_S_1" localSheetId="9" hidden="1">Mapping!$M$555</definedName>
    <definedName name="SD_3946x1_100_S_0" localSheetId="9" hidden="1">Mapping!$H$173</definedName>
    <definedName name="SD_3946x1_124_S_0" localSheetId="9" hidden="1">Mapping!$H$174</definedName>
    <definedName name="SD_3946x1_125_S_0" localSheetId="9" hidden="1">Mapping!$H$711</definedName>
    <definedName name="SD_3946x1_126_S_0" localSheetId="9" hidden="1">Mapping!$H$713</definedName>
    <definedName name="SD_3946x1_127_S_0" localSheetId="9" hidden="1">Mapping!$H$716</definedName>
    <definedName name="SD_3946x1_128_S_0" localSheetId="9" hidden="1">Mapping!$H$717</definedName>
    <definedName name="SD_3946x1_129_S_0" localSheetId="9" hidden="1">Mapping!$H$718</definedName>
    <definedName name="SD_3946x1_130_S_0" localSheetId="9" hidden="1">Mapping!$H$719</definedName>
    <definedName name="SD_3946x1_131_S_0" localSheetId="9" hidden="1">Mapping!$H$720</definedName>
    <definedName name="SD_3946x1_132_S_0" localSheetId="9" hidden="1">Mapping!$H$721</definedName>
    <definedName name="SD_3946x1_133_S_0" localSheetId="9" hidden="1">Mapping!$H$722</definedName>
    <definedName name="SD_3946x1_135_S_0" localSheetId="9" hidden="1">Mapping!$H$55</definedName>
    <definedName name="SD_3946x1_164_S_0" localSheetId="9" hidden="1">Mapping!$H$725</definedName>
    <definedName name="SD_3946x1_165_S_0" localSheetId="9" hidden="1">Mapping!$H$727</definedName>
    <definedName name="SD_3946x1_166_S_0" localSheetId="9" hidden="1">Mapping!$H$730</definedName>
    <definedName name="SD_3946x1_167_S_0" localSheetId="9" hidden="1">Mapping!$H$731</definedName>
    <definedName name="SD_3946x1_168_S_0" localSheetId="9" hidden="1">Mapping!$H$732</definedName>
    <definedName name="SD_3946x1_169_S_0" localSheetId="9" hidden="1">Mapping!$H$733</definedName>
    <definedName name="SD_3946x1_170_S_0" localSheetId="9" hidden="1">Mapping!$H$734</definedName>
    <definedName name="SD_3946x1_171_S_0" localSheetId="9" hidden="1">Mapping!$H$735</definedName>
    <definedName name="SD_3946x1_172_S_0" localSheetId="9" hidden="1">Mapping!$H$736</definedName>
    <definedName name="SD_3946x1_173_S_0" localSheetId="9" hidden="1">Mapping!$H$99</definedName>
    <definedName name="SD_3946x1_174_S_0" localSheetId="9" hidden="1">Mapping!$H$100</definedName>
    <definedName name="SD_3946x1_183_S_0" localSheetId="9" hidden="1">Mapping!$H$743</definedName>
    <definedName name="SD_3946x1_184_S_0" localSheetId="9" hidden="1">Mapping!$H$744</definedName>
    <definedName name="SD_3946x1_185_S_0" localSheetId="9" hidden="1">Mapping!$H$745</definedName>
    <definedName name="SD_3946x1_186_S_0" localSheetId="9" hidden="1">Mapping!$H$746</definedName>
    <definedName name="SD_3946x1_187_S_0" localSheetId="9" hidden="1">Mapping!$H$747</definedName>
    <definedName name="SD_3946x1_188_S_0" localSheetId="9" hidden="1">Mapping!$H$748</definedName>
    <definedName name="SD_3946x1_189_S_0" localSheetId="9" hidden="1">Mapping!$H$749</definedName>
    <definedName name="SD_3946x1_190_S_0" localSheetId="9" hidden="1">Mapping!$H$750</definedName>
    <definedName name="SD_3946x1_191_S_0" localSheetId="9" hidden="1">Mapping!$H$798</definedName>
    <definedName name="SD_3946x1_192_S_0" localSheetId="9" hidden="1">Mapping!$H$799</definedName>
    <definedName name="SD_3946x1_193_S_0" localSheetId="9" hidden="1">Mapping!$H$800</definedName>
    <definedName name="SD_3946x1_194_S_0" localSheetId="9" hidden="1">Mapping!$H$801</definedName>
    <definedName name="SD_3946x1_195_S_0" localSheetId="9" hidden="1">Mapping!$H$802</definedName>
    <definedName name="SD_3946x1_196_S_0" localSheetId="9" hidden="1">Mapping!$H$803</definedName>
    <definedName name="SD_3946x1_197_S_0" localSheetId="9" hidden="1">Mapping!$H$804</definedName>
    <definedName name="SD_3946x1_198_S_0" localSheetId="9" hidden="1">Mapping!$H$805</definedName>
    <definedName name="SD_3946x1_199_S_0" localSheetId="9" hidden="1">Mapping!$H$806</definedName>
    <definedName name="SD_3946x1_200_S_0" localSheetId="9" hidden="1">Mapping!$H$807</definedName>
    <definedName name="SD_3946x1_201_S_0" localSheetId="9" hidden="1">Mapping!$I$798</definedName>
    <definedName name="SD_3946x1_202_S_0" localSheetId="9" hidden="1">Mapping!$I$799</definedName>
    <definedName name="SD_3946x1_203_S_0" localSheetId="9" hidden="1">Mapping!$I$800</definedName>
    <definedName name="SD_3946x1_204_S_0" localSheetId="9" hidden="1">Mapping!$I$802</definedName>
    <definedName name="SD_3946x1_205_S_0" localSheetId="9" hidden="1">Mapping!$I$803</definedName>
    <definedName name="SD_3946x1_206_S_0" localSheetId="9" hidden="1">Mapping!$I$804</definedName>
    <definedName name="SD_3946x1_207_S_0" localSheetId="9" hidden="1">Mapping!$I$805</definedName>
    <definedName name="SD_3946x1_208_S_0" localSheetId="9" hidden="1">Mapping!$I$806</definedName>
    <definedName name="SD_3946x1_209_S_0" localSheetId="9" hidden="1">Mapping!$I$807</definedName>
    <definedName name="SD_3946x1_210_S_0" localSheetId="9" hidden="1">Mapping!$I$801</definedName>
    <definedName name="SD_3946x1_211_S_0" localSheetId="9" hidden="1">Mapping!$J$798</definedName>
    <definedName name="SD_3946x1_212_S_0" localSheetId="9" hidden="1">Mapping!$J$799</definedName>
    <definedName name="SD_3946x1_213_S_0" localSheetId="9" hidden="1">Mapping!$J$800</definedName>
    <definedName name="SD_3946x1_214_S_0" localSheetId="9" hidden="1">Mapping!$J$801</definedName>
    <definedName name="SD_3946x1_215_S_0" localSheetId="9" hidden="1">Mapping!$J$802</definedName>
    <definedName name="SD_3946x1_216_S_0" localSheetId="9" hidden="1">Mapping!$J$803</definedName>
    <definedName name="SD_3946x1_217_S_0" localSheetId="9" hidden="1">Mapping!$J$804</definedName>
    <definedName name="SD_3946x1_218_S_0" localSheetId="9" hidden="1">Mapping!$J$805</definedName>
    <definedName name="SD_3946x1_219_S_0" localSheetId="9" hidden="1">Mapping!$J$806</definedName>
    <definedName name="SD_3946x1_220_S_0" localSheetId="9" hidden="1">Mapping!$J$807</definedName>
    <definedName name="SD_3946x1_221_S_0" localSheetId="9" hidden="1">Mapping!$K$798</definedName>
    <definedName name="SD_3946x1_222_S_0" localSheetId="9" hidden="1">Mapping!$K$799</definedName>
    <definedName name="SD_3946x1_223_S_0" localSheetId="9" hidden="1">Mapping!$K$800</definedName>
    <definedName name="SD_3946x1_224_S_0" localSheetId="9" hidden="1">Mapping!$K$801</definedName>
    <definedName name="SD_3946x1_225_S_0" localSheetId="9" hidden="1">Mapping!$K$802</definedName>
    <definedName name="SD_3946x1_226_S_0" localSheetId="9" hidden="1">Mapping!$K$803</definedName>
    <definedName name="SD_3946x1_227_S_0" localSheetId="9" hidden="1">Mapping!$K$804</definedName>
    <definedName name="SD_3946x1_228_S_0" localSheetId="9" hidden="1">Mapping!$K$805</definedName>
    <definedName name="SD_3946x1_229_S_0" localSheetId="9" hidden="1">Mapping!$K$806</definedName>
    <definedName name="SD_3946x1_230_S_0" localSheetId="9" hidden="1">Mapping!$K$807</definedName>
    <definedName name="SD_3946x1_231_S_0" localSheetId="9" hidden="1">Mapping!$L$798</definedName>
    <definedName name="SD_3946x1_232_S_0" localSheetId="9" hidden="1">Mapping!$L$799</definedName>
    <definedName name="SD_3946x1_233_S_0" localSheetId="9" hidden="1">Mapping!$L$800</definedName>
    <definedName name="SD_3946x1_234_S_0" localSheetId="9" hidden="1">Mapping!$L$801</definedName>
    <definedName name="SD_3946x1_235_S_0" localSheetId="9" hidden="1">Mapping!$L$802</definedName>
    <definedName name="SD_3946x1_236_S_0" localSheetId="9" hidden="1">Mapping!$L$803</definedName>
    <definedName name="SD_3946x1_237_S_0" localSheetId="9" hidden="1">Mapping!$L$804</definedName>
    <definedName name="SD_3946x1_238_S_0" localSheetId="9" hidden="1">Mapping!$L$805</definedName>
    <definedName name="SD_3946x1_239_S_0" localSheetId="9" hidden="1">Mapping!$L$806</definedName>
    <definedName name="SD_3946x1_240_S_0" localSheetId="9" hidden="1">Mapping!$L$807</definedName>
    <definedName name="SD_3946x1_241_S_0" localSheetId="9" hidden="1">Mapping!$M$798</definedName>
    <definedName name="SD_3946x1_242_S_0" localSheetId="9" hidden="1">Mapping!$M$799</definedName>
    <definedName name="SD_3946x1_243_S_0" localSheetId="9" hidden="1">Mapping!$M$800</definedName>
    <definedName name="SD_3946x1_244_S_0" localSheetId="9" hidden="1">Mapping!$M$801</definedName>
    <definedName name="SD_3946x1_245_S_0" localSheetId="9" hidden="1">Mapping!$M$802</definedName>
    <definedName name="SD_3946x1_246_S_0" localSheetId="9" hidden="1">Mapping!$M$803</definedName>
    <definedName name="SD_3946x1_247_S_0" localSheetId="9" hidden="1">Mapping!$M$804</definedName>
    <definedName name="SD_3946x1_248_S_0" localSheetId="9" hidden="1">Mapping!$M$805</definedName>
    <definedName name="SD_3946x1_249_S_0" localSheetId="9" hidden="1">Mapping!$M$806</definedName>
    <definedName name="SD_3946x1_250_S_0" localSheetId="9" hidden="1">Mapping!$M$807</definedName>
    <definedName name="SD_3946x1_251_S_0" localSheetId="9" hidden="1">Mapping!$N$798</definedName>
    <definedName name="SD_3946x1_252_S_0" localSheetId="9" hidden="1">Mapping!$N$799</definedName>
    <definedName name="SD_3946x1_253_S_0" localSheetId="9" hidden="1">Mapping!$N$800</definedName>
    <definedName name="SD_3946x1_254_S_0" localSheetId="9" hidden="1">Mapping!$N$801</definedName>
    <definedName name="SD_3946x1_255_S_0" localSheetId="9" hidden="1">Mapping!$N$802</definedName>
    <definedName name="SD_3946x1_256_S_0" localSheetId="9" hidden="1">Mapping!$N$803</definedName>
    <definedName name="SD_3946x1_257_S_0" localSheetId="9" hidden="1">Mapping!$N$804</definedName>
    <definedName name="SD_3946x1_258_S_0" localSheetId="9" hidden="1">Mapping!$N$805</definedName>
    <definedName name="SD_3946x1_259_S_0" localSheetId="9" hidden="1">Mapping!$N$806</definedName>
    <definedName name="SD_3946x1_260_S_0" localSheetId="9" hidden="1">Mapping!$N$807</definedName>
    <definedName name="SD_3946x1_261_S_0" localSheetId="9" hidden="1">Mapping!$O$798</definedName>
    <definedName name="SD_3946x1_262_S_0" localSheetId="9" hidden="1">Mapping!$O$799</definedName>
    <definedName name="SD_3946x1_263_S_0" localSheetId="9" hidden="1">Mapping!$O$800</definedName>
    <definedName name="SD_3946x1_264_S_0" localSheetId="9" hidden="1">Mapping!$O$801</definedName>
    <definedName name="SD_3946x1_265_S_0" localSheetId="9" hidden="1">Mapping!$O$802</definedName>
    <definedName name="SD_3946x1_266_S_0" localSheetId="9" hidden="1">Mapping!$O$803</definedName>
    <definedName name="SD_3946x1_267_S_0" localSheetId="9" hidden="1">Mapping!$O$804</definedName>
    <definedName name="SD_3946x1_268_S_0" localSheetId="9" hidden="1">Mapping!$O$805</definedName>
    <definedName name="SD_3946x1_269_S_0" localSheetId="9" hidden="1">Mapping!$O$806</definedName>
    <definedName name="SD_3946x1_270_S_0" localSheetId="9" hidden="1">Mapping!$O$807</definedName>
    <definedName name="SD_3946x1_271_S_0" localSheetId="9" hidden="1">Mapping!$H$28</definedName>
    <definedName name="SD_3946x1_272_S_0" localSheetId="9" hidden="1">Mapping!$H$9</definedName>
    <definedName name="SD_3946x1_273_S_0" localSheetId="9" hidden="1">Mapping!$H$27</definedName>
    <definedName name="SD_4270i246x1_147_G_0" localSheetId="9">Mapping!$B$5</definedName>
    <definedName name="SD_4270x1_228_S_0" localSheetId="9" hidden="1">Mapping!$AR$26</definedName>
    <definedName name="SD_4270x1_4371x1_113_S_1" localSheetId="9">Mapping!$AN$16</definedName>
    <definedName name="SD_4270x1_4371x1_122_S_1" localSheetId="9">Mapping!$AN$21</definedName>
    <definedName name="SD_4270x1_4371x1_129_S_0" localSheetId="9">Mapping!$AN$13</definedName>
    <definedName name="SD_4270x1_4371x1_131_S_0" localSheetId="9">Mapping!$AN$14</definedName>
    <definedName name="SD_4270x1_4371x1_132_S_0" localSheetId="9">Mapping!$AN$17</definedName>
    <definedName name="SD_4270x1_4371x1_134_S_0" localSheetId="9">Mapping!$AN$18</definedName>
    <definedName name="SD_4270x1_4371x1_146_S_0" localSheetId="9">Mapping!$AN$104</definedName>
    <definedName name="SD_4270x1_4371x1_162_S_0" localSheetId="9">Mapping!$AR$353</definedName>
    <definedName name="SD_4270x1_4371x1_187_S_0" localSheetId="9">Mapping!$AN$115</definedName>
    <definedName name="SD_4270x1_4371x1_188_S_0" localSheetId="9">Mapping!$AN$113</definedName>
    <definedName name="SD_4270x1_4371x1_190_S_0" localSheetId="9">Mapping!$AN$114</definedName>
    <definedName name="SD_4270x1_4371x1_191_S_0" localSheetId="9">Mapping!$AN$41</definedName>
    <definedName name="SD_4270x1_4371x1_205_S_0" localSheetId="9">Mapping!$AN$49</definedName>
    <definedName name="SD_4270x1_4371x1_213_S_0" localSheetId="9">Mapping!$AN$108</definedName>
    <definedName name="SD_4270x1_4371x1_223_S_0" localSheetId="9">Mapping!$AN$57</definedName>
    <definedName name="SD_4270x1_4371x1_226_S_0" localSheetId="9">Mapping!$AP$458</definedName>
    <definedName name="SD_4270x1_4371x1_227_S_0" localSheetId="9">Mapping!$AP$462</definedName>
    <definedName name="SD_4270x1_4371x1_228_S_0" localSheetId="9">Mapping!$AP$463</definedName>
    <definedName name="SD_4270x1_4371x1_229_S_0" localSheetId="9">Mapping!$AP$464</definedName>
    <definedName name="SD_4270x1_4371x1_230_S_0" localSheetId="9">Mapping!$AP$466</definedName>
    <definedName name="SD_4270x1_4371x1_231_S_0" localSheetId="9">Mapping!$AP$467</definedName>
    <definedName name="SD_4270x1_4371x1_232_S_0" localSheetId="9">Mapping!$AP$468</definedName>
    <definedName name="SD_4270x1_4371x1_233_S_0" localSheetId="9">Mapping!$AP$469</definedName>
    <definedName name="SD_4270x1_4371x1_234_S_0" localSheetId="9">Mapping!$AP$470</definedName>
    <definedName name="SD_4270x1_4371x1_235_S_0" localSheetId="9">Mapping!$AP$471</definedName>
    <definedName name="SD_4270x1_4371x1_236_S_0" localSheetId="9">Mapping!$AP$472</definedName>
    <definedName name="SD_4270x1_4371x1_237_S_0" localSheetId="9">Mapping!$AP$473</definedName>
    <definedName name="SD_4270x1_4371x1_238_S_0" localSheetId="9">Mapping!$AP$461</definedName>
    <definedName name="SD_4270x1_4371x1_239_S_0" localSheetId="9">Mapping!$AP$480</definedName>
    <definedName name="SD_4270x1_4371x1_240_S_0" localSheetId="9">Mapping!$AP$481</definedName>
    <definedName name="SD_4270x1_4371x1_241_S_0" localSheetId="9">Mapping!$AP$482</definedName>
    <definedName name="SD_4270x1_4371x1_242_S_0" localSheetId="9">Mapping!$AP$483</definedName>
    <definedName name="SD_4270x1_4371x1_243_S_0" localSheetId="9">Mapping!$AP$484</definedName>
    <definedName name="SD_4270x1_4371x1_244_S_0" localSheetId="9">Mapping!$AP$489</definedName>
    <definedName name="SD_4270x1_4371x1_245_S_0" localSheetId="9">Mapping!$AP$490</definedName>
    <definedName name="SD_4270x1_4371x1_246_S_0" localSheetId="9">Mapping!$AP$491</definedName>
    <definedName name="SD_4270x1_4371x1_247_S_0" localSheetId="9">Mapping!$AP$492</definedName>
    <definedName name="SD_4270x1_4371x1_248_S_0" localSheetId="9">Mapping!$AP$495</definedName>
    <definedName name="SD_4270x1_4371x1_249_S_0" localSheetId="9">Mapping!$AP$496</definedName>
    <definedName name="SD_4270x1_4371x1_250_S_0" localSheetId="9">Mapping!$AP$497</definedName>
    <definedName name="SD_4270x1_4371x1_251_S_0" localSheetId="9">Mapping!$AP$498</definedName>
    <definedName name="SD_4270x1_4371x1_252_S_0" localSheetId="9">Mapping!$AP$499</definedName>
    <definedName name="SD_4270x1_4371x1_253_S_0" localSheetId="9">Mapping!$AP$500</definedName>
    <definedName name="SD_4270x1_4371x1_254_S_0" localSheetId="9">Mapping!$AP$501</definedName>
    <definedName name="SD_4270x1_4371x1_255_S_0" localSheetId="9">Mapping!$AP$502</definedName>
    <definedName name="SD_4270x1_4371x1_256_S_0" localSheetId="9">Mapping!$AP$505</definedName>
    <definedName name="SD_4270x1_4371x1_257_S_0" localSheetId="9">Mapping!$AP$506</definedName>
    <definedName name="SD_4270x1_4371x1_259_S_0" localSheetId="9">Mapping!$AP$508</definedName>
    <definedName name="SD_4270x1_4371x1_260_S_0" localSheetId="9">Mapping!$AP$510</definedName>
    <definedName name="SD_4270x1_4371x1_261_S_0" localSheetId="9">Mapping!$AP$511</definedName>
    <definedName name="SD_4270x1_4371x1_262_S_0" localSheetId="9">Mapping!$AP$494</definedName>
    <definedName name="SD_4270x1_4371x1_263_S_0" localSheetId="9">Mapping!$AP$517</definedName>
    <definedName name="SD_4270x1_4371x1_264_S_0" localSheetId="9">Mapping!$AP$518</definedName>
    <definedName name="SD_4270x1_4371x1_265_S_0" localSheetId="9">Mapping!$AP$519</definedName>
    <definedName name="SD_4270x1_4371x1_266_S_0" localSheetId="9">Mapping!$AP$520</definedName>
    <definedName name="SD_4270x1_4371x1_267_S_0" localSheetId="9">Mapping!$AP$521</definedName>
    <definedName name="SD_4270x1_4371x1_268_S_0" localSheetId="9">Mapping!$AP$522</definedName>
    <definedName name="SD_4270x1_4371x1_269_S_0" localSheetId="9">Mapping!$AP$523</definedName>
    <definedName name="SD_4270x1_4371x1_270_S_0" localSheetId="9">Mapping!$AP$524</definedName>
    <definedName name="SD_4270x1_4371x1_271_S_0" localSheetId="9">Mapping!$AP$530</definedName>
    <definedName name="SD_4270x1_4371x1_362_S_1" localSheetId="9">Mapping!$AN$20</definedName>
    <definedName name="SD_4270x1_4371x1_364_S_0" localSheetId="9">Mapping!$AN$69</definedName>
    <definedName name="SD_4270x1_4371x1_368_S_0" localSheetId="9">Mapping!$AN$70</definedName>
    <definedName name="SD_4270x1_4371x1_369_S_0" localSheetId="9">Mapping!$AN$71</definedName>
    <definedName name="SD_4270x1_4371x1_370_S_1" localSheetId="9">Mapping!$AN$72</definedName>
    <definedName name="SD_4270x1_4371x1_371_S_0" localSheetId="9">Mapping!$AN$73</definedName>
    <definedName name="SD_4270x1_4371x1_372_S_0" localSheetId="9">Mapping!$AN$74</definedName>
    <definedName name="SD_4270x1_4371x1_410_S_0" localSheetId="9">Mapping!$AM$611</definedName>
    <definedName name="SD_4270x1_4371x1_411_S_0" localSheetId="9">Mapping!$AM$614</definedName>
    <definedName name="SD_4270x1_4371x1_412_S_0" localSheetId="9">Mapping!$AM$616</definedName>
    <definedName name="SD_4270x1_4371x1_413_S_0" localSheetId="9">Mapping!$AM$618</definedName>
    <definedName name="SD_4270x1_4371x1_414_S_0" localSheetId="9">Mapping!$AM$619</definedName>
    <definedName name="SD_4270x1_4371x1_415_S_0" localSheetId="9">Mapping!$AM$622</definedName>
    <definedName name="SD_4270x1_4371x1_416_S_0" localSheetId="9">Mapping!$AM$625</definedName>
    <definedName name="SD_4270x1_4371x1_417_S_0" localSheetId="9">Mapping!$AM$627</definedName>
    <definedName name="SD_4270x1_4371x1_418_S_0" localSheetId="9">Mapping!$AM$629</definedName>
    <definedName name="SD_4270x1_4371x1_419_S_0" localSheetId="9">Mapping!$AM$630</definedName>
    <definedName name="SD_4270x1_4371x1_420_S_0" localSheetId="9">Mapping!$AM$631</definedName>
    <definedName name="SD_4270x1_4371x1_421_S_0" localSheetId="9">Mapping!$AM$642</definedName>
    <definedName name="SD_4270x1_4371x1_422_S_0" localSheetId="9">Mapping!$AM$644</definedName>
    <definedName name="SD_4270x1_4371x1_423_S_0" localSheetId="9">Mapping!$AM$657</definedName>
    <definedName name="SD_4270x1_4371x1_424_S_0" localSheetId="9">Mapping!$AM$658</definedName>
    <definedName name="SD_4270x1_4371x1_425_S_0" localSheetId="9">Mapping!$AM$660</definedName>
    <definedName name="SD_4270x1_4371x1_426_S_0" localSheetId="9">Mapping!$AM$632</definedName>
    <definedName name="SD_4270x1_4371x1_427_S_0" localSheetId="9">Mapping!$AM$605</definedName>
    <definedName name="SD_4270x1_4371x1_428_S_0" localSheetId="9">Mapping!$AM$649</definedName>
    <definedName name="SD_4270x1_4371x1_429_S_0" localSheetId="9">Mapping!$AM$661</definedName>
    <definedName name="SD_4270x1_4371x1_4558x1_10_S_0" localSheetId="9">Mapping!$AQ$230</definedName>
    <definedName name="SD_4270x1_4371x1_4558x1_7_S_0" localSheetId="9">Mapping!$AM$230</definedName>
    <definedName name="SD_4270x1_4371x1_4558x1_9_S_0" localSheetId="9">Mapping!$AP$230</definedName>
    <definedName name="SD_4270x1_4371x1_4558x10_10_S_0" localSheetId="9">Mapping!$AQ$239</definedName>
    <definedName name="SD_4270x1_4371x1_4558x10_7_S_0" localSheetId="9">Mapping!$AM$239</definedName>
    <definedName name="SD_4270x1_4371x1_4558x10_9_S_0" localSheetId="9">Mapping!$AP$239</definedName>
    <definedName name="SD_4270x1_4371x1_4558x11_10_S_0" localSheetId="9">Mapping!$AQ$240</definedName>
    <definedName name="SD_4270x1_4371x1_4558x11_7_S_0" localSheetId="9">Mapping!$AM$240</definedName>
    <definedName name="SD_4270x1_4371x1_4558x11_9_S_0" localSheetId="9">Mapping!$AP$240</definedName>
    <definedName name="SD_4270x1_4371x1_4558x12_10_S_0" localSheetId="9">Mapping!$AQ$241</definedName>
    <definedName name="SD_4270x1_4371x1_4558x12_7_S_0" localSheetId="9">Mapping!$AM$241</definedName>
    <definedName name="SD_4270x1_4371x1_4558x12_9_S_0" localSheetId="9">Mapping!$AP$241</definedName>
    <definedName name="SD_4270x1_4371x1_4558x13_10_S_0" localSheetId="9">Mapping!$AQ$242</definedName>
    <definedName name="SD_4270x1_4371x1_4558x13_7_S_0" localSheetId="9">Mapping!$AM$242</definedName>
    <definedName name="SD_4270x1_4371x1_4558x13_9_S_0" localSheetId="9">Mapping!$AP$242</definedName>
    <definedName name="SD_4270x1_4371x1_4558x14_10_S_0" localSheetId="9">Mapping!$AQ$243</definedName>
    <definedName name="SD_4270x1_4371x1_4558x14_7_S_0" localSheetId="9">Mapping!$AM$243</definedName>
    <definedName name="SD_4270x1_4371x1_4558x14_9_S_0" localSheetId="9">Mapping!$AP$243</definedName>
    <definedName name="SD_4270x1_4371x1_4558x15_10_S_0" localSheetId="9">Mapping!$AQ$244</definedName>
    <definedName name="SD_4270x1_4371x1_4558x15_7_S_0" localSheetId="9">Mapping!$AM$244</definedName>
    <definedName name="SD_4270x1_4371x1_4558x15_9_S_0" localSheetId="9">Mapping!$AP$244</definedName>
    <definedName name="SD_4270x1_4371x1_4558x16_10_S_0" localSheetId="9">Mapping!$AQ$245</definedName>
    <definedName name="SD_4270x1_4371x1_4558x16_7_S_0" localSheetId="9">Mapping!$AM$245</definedName>
    <definedName name="SD_4270x1_4371x1_4558x16_9_S_0" localSheetId="9">Mapping!$AP$245</definedName>
    <definedName name="SD_4270x1_4371x1_4558x17_10_S_0" localSheetId="9">Mapping!$AQ$246</definedName>
    <definedName name="SD_4270x1_4371x1_4558x17_7_S_0" localSheetId="9">Mapping!$AM$246</definedName>
    <definedName name="SD_4270x1_4371x1_4558x17_9_S_0" localSheetId="9">Mapping!$AP$246</definedName>
    <definedName name="SD_4270x1_4371x1_4558x18_10_S_0" localSheetId="9">Mapping!$AQ$247</definedName>
    <definedName name="SD_4270x1_4371x1_4558x18_7_S_0" localSheetId="9">Mapping!$AM$247</definedName>
    <definedName name="SD_4270x1_4371x1_4558x18_9_S_0" localSheetId="9">Mapping!$AP$247</definedName>
    <definedName name="SD_4270x1_4371x1_4558x19_10_S_0" localSheetId="9">Mapping!$AQ$248</definedName>
    <definedName name="SD_4270x1_4371x1_4558x19_7_S_0" localSheetId="9">Mapping!$AM$248</definedName>
    <definedName name="SD_4270x1_4371x1_4558x19_9_S_0" localSheetId="9">Mapping!$AP$248</definedName>
    <definedName name="SD_4270x1_4371x1_4558x2_10_S_0" localSheetId="9">Mapping!$AQ$231</definedName>
    <definedName name="SD_4270x1_4371x1_4558x2_7_S_0" localSheetId="9">Mapping!$AM$231</definedName>
    <definedName name="SD_4270x1_4371x1_4558x2_9_S_0" localSheetId="9">Mapping!$AP$231</definedName>
    <definedName name="SD_4270x1_4371x1_4558x20_10_S_0" localSheetId="9">Mapping!$AQ$249</definedName>
    <definedName name="SD_4270x1_4371x1_4558x20_7_S_0" localSheetId="9">Mapping!$AM$249</definedName>
    <definedName name="SD_4270x1_4371x1_4558x20_9_S_0" localSheetId="9">Mapping!$AP$249</definedName>
    <definedName name="SD_4270x1_4371x1_4558x21_10_S_0" localSheetId="9">Mapping!$AQ$250</definedName>
    <definedName name="SD_4270x1_4371x1_4558x21_7_S_0" localSheetId="9">Mapping!$AM$250</definedName>
    <definedName name="SD_4270x1_4371x1_4558x21_9_S_0" localSheetId="9">Mapping!$AP$250</definedName>
    <definedName name="SD_4270x1_4371x1_4558x22_10_S_0" localSheetId="9">Mapping!$AQ$251</definedName>
    <definedName name="SD_4270x1_4371x1_4558x22_7_S_0" localSheetId="9">Mapping!$AM$251</definedName>
    <definedName name="SD_4270x1_4371x1_4558x22_9_S_0" localSheetId="9">Mapping!$AP$251</definedName>
    <definedName name="SD_4270x1_4371x1_4558x23_10_S_0" localSheetId="9">Mapping!$AQ$252</definedName>
    <definedName name="SD_4270x1_4371x1_4558x23_7_S_0" localSheetId="9">Mapping!$AM$252</definedName>
    <definedName name="SD_4270x1_4371x1_4558x23_9_S_0" localSheetId="9">Mapping!$AP$252</definedName>
    <definedName name="SD_4270x1_4371x1_4558x24_10_S_0" localSheetId="9">Mapping!$AQ$253</definedName>
    <definedName name="SD_4270x1_4371x1_4558x24_7_S_0" localSheetId="9">Mapping!$AM$253</definedName>
    <definedName name="SD_4270x1_4371x1_4558x24_9_S_0" localSheetId="9">Mapping!$AP$253</definedName>
    <definedName name="SD_4270x1_4371x1_4558x25_10_S_0" localSheetId="9">Mapping!$AQ$254</definedName>
    <definedName name="SD_4270x1_4371x1_4558x25_7_S_0" localSheetId="9">Mapping!$AM$254</definedName>
    <definedName name="SD_4270x1_4371x1_4558x25_9_S_0" localSheetId="9">Mapping!$AP$254</definedName>
    <definedName name="SD_4270x1_4371x1_4558x26_10_S_0" localSheetId="9">Mapping!$AQ$255</definedName>
    <definedName name="SD_4270x1_4371x1_4558x26_7_S_0" localSheetId="9">Mapping!$AM$255</definedName>
    <definedName name="SD_4270x1_4371x1_4558x26_9_S_0" localSheetId="9">Mapping!$AP$255</definedName>
    <definedName name="SD_4270x1_4371x1_4558x27_10_S_0" localSheetId="9">Mapping!$AQ$256</definedName>
    <definedName name="SD_4270x1_4371x1_4558x27_7_S_0" localSheetId="9">Mapping!$AM$256</definedName>
    <definedName name="SD_4270x1_4371x1_4558x27_9_S_0" localSheetId="9">Mapping!$AP$256</definedName>
    <definedName name="SD_4270x1_4371x1_4558x28_10_S_0" localSheetId="9">Mapping!$AQ$257</definedName>
    <definedName name="SD_4270x1_4371x1_4558x28_7_S_0" localSheetId="9">Mapping!$AM$257</definedName>
    <definedName name="SD_4270x1_4371x1_4558x28_9_S_0" localSheetId="9">Mapping!$AP$257</definedName>
    <definedName name="SD_4270x1_4371x1_4558x29_10_S_0" localSheetId="9">Mapping!$AQ$258</definedName>
    <definedName name="SD_4270x1_4371x1_4558x29_7_S_0" localSheetId="9">Mapping!$AM$258</definedName>
    <definedName name="SD_4270x1_4371x1_4558x29_9_S_0" localSheetId="9">Mapping!$AP$258</definedName>
    <definedName name="SD_4270x1_4371x1_4558x3_10_S_0" localSheetId="9">Mapping!$AQ$232</definedName>
    <definedName name="SD_4270x1_4371x1_4558x3_7_S_0" localSheetId="9">Mapping!$AM$232</definedName>
    <definedName name="SD_4270x1_4371x1_4558x3_9_S_0" localSheetId="9">Mapping!$AP$232</definedName>
    <definedName name="SD_4270x1_4371x1_4558x30_10_S_0" localSheetId="9">Mapping!$AQ$259</definedName>
    <definedName name="SD_4270x1_4371x1_4558x30_7_S_0" localSheetId="9">Mapping!$AM$259</definedName>
    <definedName name="SD_4270x1_4371x1_4558x30_9_S_0" localSheetId="9">Mapping!$AP$259</definedName>
    <definedName name="SD_4270x1_4371x1_4558x31_10_S_0" localSheetId="9">Mapping!$AQ$260</definedName>
    <definedName name="SD_4270x1_4371x1_4558x31_7_S_0" localSheetId="9">Mapping!$AM$260</definedName>
    <definedName name="SD_4270x1_4371x1_4558x31_9_S_0" localSheetId="9">Mapping!$AP$260</definedName>
    <definedName name="SD_4270x1_4371x1_4558x32_10_S_0" localSheetId="9">Mapping!$AQ$261</definedName>
    <definedName name="SD_4270x1_4371x1_4558x32_7_S_0" localSheetId="9">Mapping!$AM$261</definedName>
    <definedName name="SD_4270x1_4371x1_4558x32_9_S_0" localSheetId="9">Mapping!$AP$261</definedName>
    <definedName name="SD_4270x1_4371x1_4558x33_10_S_0" localSheetId="9">Mapping!$AQ$262</definedName>
    <definedName name="SD_4270x1_4371x1_4558x33_7_S_0" localSheetId="9">Mapping!$AM$262</definedName>
    <definedName name="SD_4270x1_4371x1_4558x33_9_S_0" localSheetId="9">Mapping!$AP$262</definedName>
    <definedName name="SD_4270x1_4371x1_4558x34_10_S_0" localSheetId="9">Mapping!$AQ$263</definedName>
    <definedName name="SD_4270x1_4371x1_4558x34_7_S_0" localSheetId="9">Mapping!$AM$263</definedName>
    <definedName name="SD_4270x1_4371x1_4558x34_9_S_0" localSheetId="9">Mapping!$AP$263</definedName>
    <definedName name="SD_4270x1_4371x1_4558x35_10_S_0" localSheetId="9">Mapping!$AQ$264</definedName>
    <definedName name="SD_4270x1_4371x1_4558x35_7_S_0" localSheetId="9">Mapping!$AM$264</definedName>
    <definedName name="SD_4270x1_4371x1_4558x35_9_S_0" localSheetId="9">Mapping!$AP$264</definedName>
    <definedName name="SD_4270x1_4371x1_4558x36_10_S_0" localSheetId="9">Mapping!$AQ$265</definedName>
    <definedName name="SD_4270x1_4371x1_4558x36_7_S_0" localSheetId="9">Mapping!$AM$265</definedName>
    <definedName name="SD_4270x1_4371x1_4558x36_9_S_0" localSheetId="9">Mapping!$AP$265</definedName>
    <definedName name="SD_4270x1_4371x1_4558x37_10_S_0" localSheetId="9">Mapping!$AQ$266</definedName>
    <definedName name="SD_4270x1_4371x1_4558x37_7_S_0" localSheetId="9">Mapping!$AM$266</definedName>
    <definedName name="SD_4270x1_4371x1_4558x37_9_S_0" localSheetId="9">Mapping!$AP$266</definedName>
    <definedName name="SD_4270x1_4371x1_4558x38_10_S_0" localSheetId="9">Mapping!$AQ$267</definedName>
    <definedName name="SD_4270x1_4371x1_4558x38_7_S_0" localSheetId="9">Mapping!$AM$267</definedName>
    <definedName name="SD_4270x1_4371x1_4558x38_9_S_0" localSheetId="9">Mapping!$AP$267</definedName>
    <definedName name="SD_4270x1_4371x1_4558x39_10_S_0" localSheetId="9">Mapping!$AQ$268</definedName>
    <definedName name="SD_4270x1_4371x1_4558x39_7_S_0" localSheetId="9">Mapping!$AM$268</definedName>
    <definedName name="SD_4270x1_4371x1_4558x39_9_S_0" localSheetId="9">Mapping!$AP$268</definedName>
    <definedName name="SD_4270x1_4371x1_4558x4_10_S_0" localSheetId="9">Mapping!$AQ$233</definedName>
    <definedName name="SD_4270x1_4371x1_4558x4_7_S_0" localSheetId="9">Mapping!$AM$233</definedName>
    <definedName name="SD_4270x1_4371x1_4558x4_9_S_0" localSheetId="9">Mapping!$AP$233</definedName>
    <definedName name="SD_4270x1_4371x1_4558x40_10_S_0" localSheetId="9">Mapping!$AQ$269</definedName>
    <definedName name="SD_4270x1_4371x1_4558x40_7_S_0" localSheetId="9">Mapping!$AM$269</definedName>
    <definedName name="SD_4270x1_4371x1_4558x40_9_S_0" localSheetId="9">Mapping!$AP$269</definedName>
    <definedName name="SD_4270x1_4371x1_4558x41_10_S_0" localSheetId="9">Mapping!$AQ$270</definedName>
    <definedName name="SD_4270x1_4371x1_4558x41_7_S_0" localSheetId="9">Mapping!$AM$270</definedName>
    <definedName name="SD_4270x1_4371x1_4558x41_9_S_0" localSheetId="9">Mapping!$AP$270</definedName>
    <definedName name="SD_4270x1_4371x1_4558x42_10_S_0" localSheetId="9">Mapping!$AQ$271</definedName>
    <definedName name="SD_4270x1_4371x1_4558x42_7_S_0" localSheetId="9">Mapping!$AM$271</definedName>
    <definedName name="SD_4270x1_4371x1_4558x42_9_S_0" localSheetId="9">Mapping!$AP$271</definedName>
    <definedName name="SD_4270x1_4371x1_4558x43_10_S_0" localSheetId="9">Mapping!$AQ$272</definedName>
    <definedName name="SD_4270x1_4371x1_4558x43_7_S_0" localSheetId="9">Mapping!$AM$272</definedName>
    <definedName name="SD_4270x1_4371x1_4558x43_9_S_0" localSheetId="9">Mapping!$AP$272</definedName>
    <definedName name="SD_4270x1_4371x1_4558x44_10_S_0" localSheetId="9">Mapping!$AQ$273</definedName>
    <definedName name="SD_4270x1_4371x1_4558x44_7_S_0" localSheetId="9">Mapping!$AM$273</definedName>
    <definedName name="SD_4270x1_4371x1_4558x44_9_S_0" localSheetId="9">Mapping!$AP$273</definedName>
    <definedName name="SD_4270x1_4371x1_4558x45_10_S_0" localSheetId="9">Mapping!$AQ$274</definedName>
    <definedName name="SD_4270x1_4371x1_4558x45_7_S_0" localSheetId="9">Mapping!$AM$274</definedName>
    <definedName name="SD_4270x1_4371x1_4558x45_9_S_0" localSheetId="9">Mapping!$AP$274</definedName>
    <definedName name="SD_4270x1_4371x1_4558x46_10_S_0" localSheetId="9">Mapping!$AQ$275</definedName>
    <definedName name="SD_4270x1_4371x1_4558x46_7_S_0" localSheetId="9">Mapping!$AM$275</definedName>
    <definedName name="SD_4270x1_4371x1_4558x46_9_S_0" localSheetId="9">Mapping!$AP$275</definedName>
    <definedName name="SD_4270x1_4371x1_4558x47_10_S_0" localSheetId="9">Mapping!$AQ$276</definedName>
    <definedName name="SD_4270x1_4371x1_4558x47_7_S_0" localSheetId="9">Mapping!$AM$276</definedName>
    <definedName name="SD_4270x1_4371x1_4558x47_9_S_0" localSheetId="9">Mapping!$AP$276</definedName>
    <definedName name="SD_4270x1_4371x1_4558x48_10_S_0" localSheetId="9">Mapping!$AQ$277</definedName>
    <definedName name="SD_4270x1_4371x1_4558x48_7_S_0" localSheetId="9">Mapping!$AM$277</definedName>
    <definedName name="SD_4270x1_4371x1_4558x48_9_S_0" localSheetId="9">Mapping!$AP$277</definedName>
    <definedName name="SD_4270x1_4371x1_4558x49_10_S_0" localSheetId="9">Mapping!$AQ$278</definedName>
    <definedName name="SD_4270x1_4371x1_4558x49_7_S_0" localSheetId="9">Mapping!$AM$278</definedName>
    <definedName name="SD_4270x1_4371x1_4558x49_9_S_0" localSheetId="9">Mapping!$AP$278</definedName>
    <definedName name="SD_4270x1_4371x1_4558x5_10_S_0" localSheetId="9">Mapping!$AQ$234</definedName>
    <definedName name="SD_4270x1_4371x1_4558x5_7_S_0" localSheetId="9">Mapping!$AM$234</definedName>
    <definedName name="SD_4270x1_4371x1_4558x5_9_S_0" localSheetId="9">Mapping!$AP$234</definedName>
    <definedName name="SD_4270x1_4371x1_4558x50_10_S_0" localSheetId="9">Mapping!$AQ$279</definedName>
    <definedName name="SD_4270x1_4371x1_4558x50_7_S_0" localSheetId="9">Mapping!$AM$279</definedName>
    <definedName name="SD_4270x1_4371x1_4558x50_9_S_0" localSheetId="9">Mapping!$AP$279</definedName>
    <definedName name="SD_4270x1_4371x1_4558x51_10_S_0" localSheetId="9">Mapping!$AQ$280</definedName>
    <definedName name="SD_4270x1_4371x1_4558x51_7_S_0" localSheetId="9">Mapping!$AM$280</definedName>
    <definedName name="SD_4270x1_4371x1_4558x51_9_S_0" localSheetId="9">Mapping!$AP$280</definedName>
    <definedName name="SD_4270x1_4371x1_4558x52_10_S_0" localSheetId="9">Mapping!$AQ$281</definedName>
    <definedName name="SD_4270x1_4371x1_4558x52_7_S_0" localSheetId="9">Mapping!$AM$281</definedName>
    <definedName name="SD_4270x1_4371x1_4558x52_9_S_0" localSheetId="9">Mapping!$AP$281</definedName>
    <definedName name="SD_4270x1_4371x1_4558x53_10_S_0" localSheetId="9">Mapping!$AQ$282</definedName>
    <definedName name="SD_4270x1_4371x1_4558x53_7_S_0" localSheetId="9">Mapping!$AM$282</definedName>
    <definedName name="SD_4270x1_4371x1_4558x53_9_S_0" localSheetId="9">Mapping!$AP$282</definedName>
    <definedName name="SD_4270x1_4371x1_4558x54_10_S_0" localSheetId="9">Mapping!$AQ$283</definedName>
    <definedName name="SD_4270x1_4371x1_4558x54_7_S_0" localSheetId="9">Mapping!$AM$283</definedName>
    <definedName name="SD_4270x1_4371x1_4558x54_9_S_0" localSheetId="9">Mapping!$AP$283</definedName>
    <definedName name="SD_4270x1_4371x1_4558x55_10_S_0" localSheetId="9">Mapping!$AQ$284</definedName>
    <definedName name="SD_4270x1_4371x1_4558x55_7_S_0" localSheetId="9">Mapping!$AM$284</definedName>
    <definedName name="SD_4270x1_4371x1_4558x55_9_S_0" localSheetId="9">Mapping!$AP$284</definedName>
    <definedName name="SD_4270x1_4371x1_4558x56_10_S_0" localSheetId="9">Mapping!$AQ$285</definedName>
    <definedName name="SD_4270x1_4371x1_4558x56_7_S_0" localSheetId="9">Mapping!$AM$285</definedName>
    <definedName name="SD_4270x1_4371x1_4558x56_9_S_0" localSheetId="9">Mapping!$AP$285</definedName>
    <definedName name="SD_4270x1_4371x1_4558x57_10_S_0" localSheetId="9">Mapping!$AQ$286</definedName>
    <definedName name="SD_4270x1_4371x1_4558x57_7_S_0" localSheetId="9">Mapping!$AM$286</definedName>
    <definedName name="SD_4270x1_4371x1_4558x57_9_S_0" localSheetId="9">Mapping!$AP$286</definedName>
    <definedName name="SD_4270x1_4371x1_4558x58_10_S_0" localSheetId="9">Mapping!$AQ$287</definedName>
    <definedName name="SD_4270x1_4371x1_4558x58_7_S_0" localSheetId="9">Mapping!$AM$287</definedName>
    <definedName name="SD_4270x1_4371x1_4558x58_9_S_0" localSheetId="9">Mapping!$AP$287</definedName>
    <definedName name="SD_4270x1_4371x1_4558x59_10_S_0" localSheetId="9">Mapping!$AQ$288</definedName>
    <definedName name="SD_4270x1_4371x1_4558x59_7_S_0" localSheetId="9">Mapping!$AM$288</definedName>
    <definedName name="SD_4270x1_4371x1_4558x59_9_S_0" localSheetId="9">Mapping!$AP$288</definedName>
    <definedName name="SD_4270x1_4371x1_4558x6_10_S_0" localSheetId="9">Mapping!$AQ$235</definedName>
    <definedName name="SD_4270x1_4371x1_4558x6_7_S_0" localSheetId="9">Mapping!$AM$235</definedName>
    <definedName name="SD_4270x1_4371x1_4558x6_9_S_0" localSheetId="9">Mapping!$AP$235</definedName>
    <definedName name="SD_4270x1_4371x1_4558x60_10_S_0" localSheetId="9">Mapping!$AQ$289</definedName>
    <definedName name="SD_4270x1_4371x1_4558x60_7_S_0" localSheetId="9">Mapping!$AM$289</definedName>
    <definedName name="SD_4270x1_4371x1_4558x60_9_S_0" localSheetId="9">Mapping!$AP$289</definedName>
    <definedName name="SD_4270x1_4371x1_4558x61_10_S_0" localSheetId="9">Mapping!$AQ$290</definedName>
    <definedName name="SD_4270x1_4371x1_4558x61_7_S_0" localSheetId="9">Mapping!$AM$290</definedName>
    <definedName name="SD_4270x1_4371x1_4558x61_9_S_0" localSheetId="9">Mapping!$AP$290</definedName>
    <definedName name="SD_4270x1_4371x1_4558x62_10_S_0" localSheetId="9">Mapping!$AQ$291</definedName>
    <definedName name="SD_4270x1_4371x1_4558x62_7_S_0" localSheetId="9">Mapping!$AM$291</definedName>
    <definedName name="SD_4270x1_4371x1_4558x62_9_S_0" localSheetId="9">Mapping!$AP$291</definedName>
    <definedName name="SD_4270x1_4371x1_4558x63_10_S_0" localSheetId="9">Mapping!$AQ$292</definedName>
    <definedName name="SD_4270x1_4371x1_4558x63_7_S_0" localSheetId="9">Mapping!$AM$292</definedName>
    <definedName name="SD_4270x1_4371x1_4558x63_9_S_0" localSheetId="9">Mapping!$AP$292</definedName>
    <definedName name="SD_4270x1_4371x1_4558x64_10_S_0" localSheetId="9">Mapping!$AQ$293</definedName>
    <definedName name="SD_4270x1_4371x1_4558x64_7_S_0" localSheetId="9">Mapping!$AM$293</definedName>
    <definedName name="SD_4270x1_4371x1_4558x64_9_S_0" localSheetId="9">Mapping!$AP$293</definedName>
    <definedName name="SD_4270x1_4371x1_4558x65_10_S_0" localSheetId="9">Mapping!$AQ$294</definedName>
    <definedName name="SD_4270x1_4371x1_4558x65_7_S_0" localSheetId="9">Mapping!$AM$294</definedName>
    <definedName name="SD_4270x1_4371x1_4558x65_9_S_0" localSheetId="9">Mapping!$AP$294</definedName>
    <definedName name="SD_4270x1_4371x1_4558x66_10_S_0" localSheetId="9">Mapping!$AQ$295</definedName>
    <definedName name="SD_4270x1_4371x1_4558x66_7_S_0" localSheetId="9">Mapping!$AM$295</definedName>
    <definedName name="SD_4270x1_4371x1_4558x66_9_S_0" localSheetId="9">Mapping!$AP$295</definedName>
    <definedName name="SD_4270x1_4371x1_4558x67_10_S_0" localSheetId="9">Mapping!$AQ$296</definedName>
    <definedName name="SD_4270x1_4371x1_4558x67_7_S_0" localSheetId="9">Mapping!$AM$296</definedName>
    <definedName name="SD_4270x1_4371x1_4558x67_9_S_0" localSheetId="9">Mapping!$AP$296</definedName>
    <definedName name="SD_4270x1_4371x1_4558x68_10_S_0" localSheetId="9">Mapping!$AQ$297</definedName>
    <definedName name="SD_4270x1_4371x1_4558x68_7_S_0" localSheetId="9">Mapping!$AM$297</definedName>
    <definedName name="SD_4270x1_4371x1_4558x68_9_S_0" localSheetId="9">Mapping!$AP$297</definedName>
    <definedName name="SD_4270x1_4371x1_4558x69_10_S_0" localSheetId="9">Mapping!$AQ$298</definedName>
    <definedName name="SD_4270x1_4371x1_4558x69_7_S_0" localSheetId="9">Mapping!$AM$298</definedName>
    <definedName name="SD_4270x1_4371x1_4558x69_9_S_0" localSheetId="9">Mapping!$AP$298</definedName>
    <definedName name="SD_4270x1_4371x1_4558x7_10_S_0" localSheetId="9">Mapping!$AQ$236</definedName>
    <definedName name="SD_4270x1_4371x1_4558x7_7_S_0" localSheetId="9">Mapping!$AM$236</definedName>
    <definedName name="SD_4270x1_4371x1_4558x7_9_S_0" localSheetId="9">Mapping!$AP$236</definedName>
    <definedName name="SD_4270x1_4371x1_4558x70_10_S_0" localSheetId="9">Mapping!$AQ$299</definedName>
    <definedName name="SD_4270x1_4371x1_4558x70_7_S_0" localSheetId="9">Mapping!$AM$299</definedName>
    <definedName name="SD_4270x1_4371x1_4558x70_9_S_0" localSheetId="9">Mapping!$AP$299</definedName>
    <definedName name="SD_4270x1_4371x1_4558x71_10_S_0" localSheetId="9">Mapping!$AQ$300</definedName>
    <definedName name="SD_4270x1_4371x1_4558x71_7_S_0" localSheetId="9">Mapping!$AM$300</definedName>
    <definedName name="SD_4270x1_4371x1_4558x71_9_S_0" localSheetId="9">Mapping!$AP$300</definedName>
    <definedName name="SD_4270x1_4371x1_4558x72_10_S_0" localSheetId="9">Mapping!$AQ$301</definedName>
    <definedName name="SD_4270x1_4371x1_4558x72_7_S_0" localSheetId="9">Mapping!$AM$301</definedName>
    <definedName name="SD_4270x1_4371x1_4558x72_9_S_0" localSheetId="9">Mapping!$AP$301</definedName>
    <definedName name="SD_4270x1_4371x1_4558x73_10_S_0" localSheetId="9">Mapping!$AQ$302</definedName>
    <definedName name="SD_4270x1_4371x1_4558x73_7_S_0" localSheetId="9">Mapping!$AM$302</definedName>
    <definedName name="SD_4270x1_4371x1_4558x73_9_S_0" localSheetId="9">Mapping!$AP$302</definedName>
    <definedName name="SD_4270x1_4371x1_4558x74_10_S_0" localSheetId="9">Mapping!$AQ$303</definedName>
    <definedName name="SD_4270x1_4371x1_4558x74_7_S_0" localSheetId="9">Mapping!$AM$303</definedName>
    <definedName name="SD_4270x1_4371x1_4558x74_9_S_0" localSheetId="9">Mapping!$AP$303</definedName>
    <definedName name="SD_4270x1_4371x1_4558x75_10_S_0" localSheetId="9">Mapping!$AQ$304</definedName>
    <definedName name="SD_4270x1_4371x1_4558x75_7_S_0" localSheetId="9">Mapping!$AM$304</definedName>
    <definedName name="SD_4270x1_4371x1_4558x75_9_S_0" localSheetId="9">Mapping!$AP$304</definedName>
    <definedName name="SD_4270x1_4371x1_4558x76_10_S_0" localSheetId="9">Mapping!$AQ$305</definedName>
    <definedName name="SD_4270x1_4371x1_4558x76_7_S_0" localSheetId="9">Mapping!$AM$305</definedName>
    <definedName name="SD_4270x1_4371x1_4558x76_9_S_0" localSheetId="9">Mapping!$AP$305</definedName>
    <definedName name="SD_4270x1_4371x1_4558x77_10_S_0" localSheetId="9">Mapping!$AQ$306</definedName>
    <definedName name="SD_4270x1_4371x1_4558x77_7_S_0" localSheetId="9">Mapping!$AM$306</definedName>
    <definedName name="SD_4270x1_4371x1_4558x77_9_S_0" localSheetId="9">Mapping!$AP$306</definedName>
    <definedName name="SD_4270x1_4371x1_4558x78_10_S_0" localSheetId="9">Mapping!$AQ$307</definedName>
    <definedName name="SD_4270x1_4371x1_4558x78_7_S_0" localSheetId="9">Mapping!$AM$307</definedName>
    <definedName name="SD_4270x1_4371x1_4558x78_9_S_0" localSheetId="9">Mapping!$AP$307</definedName>
    <definedName name="SD_4270x1_4371x1_4558x79_10_S_0" localSheetId="9">Mapping!$AQ$308</definedName>
    <definedName name="SD_4270x1_4371x1_4558x79_7_S_0" localSheetId="9">Mapping!$AM$308</definedName>
    <definedName name="SD_4270x1_4371x1_4558x79_9_S_0" localSheetId="9">Mapping!$AP$308</definedName>
    <definedName name="SD_4270x1_4371x1_4558x8_10_S_0" localSheetId="9">Mapping!$AQ$237</definedName>
    <definedName name="SD_4270x1_4371x1_4558x8_7_S_0" localSheetId="9">Mapping!$AM$237</definedName>
    <definedName name="SD_4270x1_4371x1_4558x8_9_S_0" localSheetId="9">Mapping!$AP$237</definedName>
    <definedName name="SD_4270x1_4371x1_4558x80_10_S_0" localSheetId="9">Mapping!$AQ$309</definedName>
    <definedName name="SD_4270x1_4371x1_4558x80_7_S_0" localSheetId="9">Mapping!$AM$309</definedName>
    <definedName name="SD_4270x1_4371x1_4558x80_9_S_0" localSheetId="9">Mapping!$AP$309</definedName>
    <definedName name="SD_4270x1_4371x1_4558x9_10_S_0" localSheetId="9">Mapping!$AQ$238</definedName>
    <definedName name="SD_4270x1_4371x1_4558x9_7_S_0" localSheetId="9">Mapping!$AM$238</definedName>
    <definedName name="SD_4270x1_4371x1_4558x9_9_S_0" localSheetId="9">Mapping!$AP$238</definedName>
    <definedName name="SD_4270x1_4371x1_4566x1_10_S_0" localSheetId="9">Mapping!$AR$547</definedName>
    <definedName name="SD_4270x1_4371x1_4566x1_11_S_0" localSheetId="9">Mapping!$AO$547</definedName>
    <definedName name="SD_4270x1_4371x1_4566x1_13_S_0" localSheetId="9">Mapping!$AP$547</definedName>
    <definedName name="SD_4270x1_4371x1_4566x1_4_S_1" localSheetId="9">Mapping!$AN$547</definedName>
    <definedName name="SD_4270x1_4371x1_4566x1_6_S_0" localSheetId="9">Mapping!$AM$547</definedName>
    <definedName name="SD_4270x1_4371x1_4566x1_9_S_0" localSheetId="9">Mapping!$AQ$547</definedName>
    <definedName name="SD_4270x1_4371x1_4566x10_10_S_0" localSheetId="9">Mapping!$AR$556</definedName>
    <definedName name="SD_4270x1_4371x1_4566x10_11_S_0" localSheetId="9">Mapping!$AO$556</definedName>
    <definedName name="SD_4270x1_4371x1_4566x10_13_S_0" localSheetId="9">Mapping!$AP$556</definedName>
    <definedName name="SD_4270x1_4371x1_4566x10_4_S_1" localSheetId="9">Mapping!$AN$556</definedName>
    <definedName name="SD_4270x1_4371x1_4566x10_6_S_0" localSheetId="9">Mapping!$AM$556</definedName>
    <definedName name="SD_4270x1_4371x1_4566x10_9_S_0" localSheetId="9">Mapping!$AQ$556</definedName>
    <definedName name="SD_4270x1_4371x1_4566x11_10_S_0" localSheetId="9">Mapping!$AR$557</definedName>
    <definedName name="SD_4270x1_4371x1_4566x11_11_S_0" localSheetId="9">Mapping!$AO$557</definedName>
    <definedName name="SD_4270x1_4371x1_4566x11_13_S_0" localSheetId="9">Mapping!$AP$557</definedName>
    <definedName name="SD_4270x1_4371x1_4566x11_4_S_1" localSheetId="9">Mapping!$AN$557</definedName>
    <definedName name="SD_4270x1_4371x1_4566x11_6_S_0" localSheetId="9">Mapping!$AM$557</definedName>
    <definedName name="SD_4270x1_4371x1_4566x11_9_S_0" localSheetId="9">Mapping!$AQ$557</definedName>
    <definedName name="SD_4270x1_4371x1_4566x12_10_S_0" localSheetId="9">Mapping!$AR$558</definedName>
    <definedName name="SD_4270x1_4371x1_4566x12_11_S_0" localSheetId="9">Mapping!$AO$558</definedName>
    <definedName name="SD_4270x1_4371x1_4566x12_13_S_0" localSheetId="9">Mapping!$AP$558</definedName>
    <definedName name="SD_4270x1_4371x1_4566x12_4_S_1" localSheetId="9">Mapping!$AN$558</definedName>
    <definedName name="SD_4270x1_4371x1_4566x12_6_S_0" localSheetId="9">Mapping!$AM$558</definedName>
    <definedName name="SD_4270x1_4371x1_4566x12_9_S_0" localSheetId="9">Mapping!$AQ$558</definedName>
    <definedName name="SD_4270x1_4371x1_4566x13_10_S_0" localSheetId="9">Mapping!$AR$559</definedName>
    <definedName name="SD_4270x1_4371x1_4566x13_11_S_0" localSheetId="9">Mapping!$AO$559</definedName>
    <definedName name="SD_4270x1_4371x1_4566x13_13_S_0" localSheetId="9">Mapping!$AP$559</definedName>
    <definedName name="SD_4270x1_4371x1_4566x13_4_S_1" localSheetId="9">Mapping!$AN$559</definedName>
    <definedName name="SD_4270x1_4371x1_4566x13_6_S_0" localSheetId="9">Mapping!$AM$559</definedName>
    <definedName name="SD_4270x1_4371x1_4566x13_9_S_0" localSheetId="9">Mapping!$AQ$559</definedName>
    <definedName name="SD_4270x1_4371x1_4566x14_10_S_0" localSheetId="9">Mapping!$AR$560</definedName>
    <definedName name="SD_4270x1_4371x1_4566x14_11_S_0" localSheetId="9">Mapping!$AO$560</definedName>
    <definedName name="SD_4270x1_4371x1_4566x14_13_S_0" localSheetId="9">Mapping!$AP$560</definedName>
    <definedName name="SD_4270x1_4371x1_4566x14_4_S_1" localSheetId="9">Mapping!$AN$560</definedName>
    <definedName name="SD_4270x1_4371x1_4566x14_6_S_0" localSheetId="9">Mapping!$AM$560</definedName>
    <definedName name="SD_4270x1_4371x1_4566x14_9_S_0" localSheetId="9">Mapping!$AQ$560</definedName>
    <definedName name="SD_4270x1_4371x1_4566x15_10_S_0" localSheetId="9">Mapping!$AR$561</definedName>
    <definedName name="SD_4270x1_4371x1_4566x15_11_S_0" localSheetId="9">Mapping!$AO$561</definedName>
    <definedName name="SD_4270x1_4371x1_4566x15_13_S_0" localSheetId="9">Mapping!$AP$561</definedName>
    <definedName name="SD_4270x1_4371x1_4566x15_4_S_1" localSheetId="9">Mapping!$AN$561</definedName>
    <definedName name="SD_4270x1_4371x1_4566x15_6_S_0" localSheetId="9">Mapping!$AM$561</definedName>
    <definedName name="SD_4270x1_4371x1_4566x15_9_S_0" localSheetId="9">Mapping!$AQ$561</definedName>
    <definedName name="SD_4270x1_4371x1_4566x16_10_S_0" localSheetId="9">Mapping!$AR$562</definedName>
    <definedName name="SD_4270x1_4371x1_4566x16_11_S_0" localSheetId="9">Mapping!$AO$562</definedName>
    <definedName name="SD_4270x1_4371x1_4566x16_13_S_0" localSheetId="9">Mapping!$AP$562</definedName>
    <definedName name="SD_4270x1_4371x1_4566x16_4_S_1" localSheetId="9">Mapping!$AN$562</definedName>
    <definedName name="SD_4270x1_4371x1_4566x16_6_S_0" localSheetId="9">Mapping!$AM$562</definedName>
    <definedName name="SD_4270x1_4371x1_4566x16_9_S_0" localSheetId="9">Mapping!$AQ$562</definedName>
    <definedName name="SD_4270x1_4371x1_4566x17_10_S_0" localSheetId="9">Mapping!$AR$563</definedName>
    <definedName name="SD_4270x1_4371x1_4566x17_11_S_0" localSheetId="9">Mapping!$AO$563</definedName>
    <definedName name="SD_4270x1_4371x1_4566x17_13_S_0" localSheetId="9">Mapping!$AP$563</definedName>
    <definedName name="SD_4270x1_4371x1_4566x17_4_S_1" localSheetId="9">Mapping!$AN$563</definedName>
    <definedName name="SD_4270x1_4371x1_4566x17_6_S_0" localSheetId="9">Mapping!$AM$563</definedName>
    <definedName name="SD_4270x1_4371x1_4566x17_9_S_0" localSheetId="9">Mapping!$AQ$563</definedName>
    <definedName name="SD_4270x1_4371x1_4566x18_10_S_0" localSheetId="9">Mapping!$AR$564</definedName>
    <definedName name="SD_4270x1_4371x1_4566x18_11_S_0" localSheetId="9">Mapping!$AO$564</definedName>
    <definedName name="SD_4270x1_4371x1_4566x18_13_S_0" localSheetId="9">Mapping!$AP$564</definedName>
    <definedName name="SD_4270x1_4371x1_4566x18_4_S_1" localSheetId="9">Mapping!$AN$564</definedName>
    <definedName name="SD_4270x1_4371x1_4566x18_6_S_0" localSheetId="9">Mapping!$AM$564</definedName>
    <definedName name="SD_4270x1_4371x1_4566x18_9_S_0" localSheetId="9">Mapping!$AQ$564</definedName>
    <definedName name="SD_4270x1_4371x1_4566x19_10_S_0" localSheetId="9">Mapping!$AR$565</definedName>
    <definedName name="SD_4270x1_4371x1_4566x19_11_S_0" localSheetId="9">Mapping!$AO$565</definedName>
    <definedName name="SD_4270x1_4371x1_4566x19_13_S_0" localSheetId="9">Mapping!$AP$565</definedName>
    <definedName name="SD_4270x1_4371x1_4566x19_4_S_1" localSheetId="9">Mapping!$AN$565</definedName>
    <definedName name="SD_4270x1_4371x1_4566x19_6_S_0" localSheetId="9">Mapping!$AM$565</definedName>
    <definedName name="SD_4270x1_4371x1_4566x19_9_S_0" localSheetId="9">Mapping!$AQ$565</definedName>
    <definedName name="SD_4270x1_4371x1_4566x2_10_S_0" localSheetId="9">Mapping!$AR$548</definedName>
    <definedName name="SD_4270x1_4371x1_4566x2_11_S_0" localSheetId="9">Mapping!$AO$548</definedName>
    <definedName name="SD_4270x1_4371x1_4566x2_13_S_0" localSheetId="9">Mapping!$AP$548</definedName>
    <definedName name="SD_4270x1_4371x1_4566x2_4_S_1" localSheetId="9">Mapping!$AN$548</definedName>
    <definedName name="SD_4270x1_4371x1_4566x2_6_S_0" localSheetId="9">Mapping!$AM$548</definedName>
    <definedName name="SD_4270x1_4371x1_4566x2_9_S_0" localSheetId="9">Mapping!$AQ$548</definedName>
    <definedName name="SD_4270x1_4371x1_4566x20_10_S_0" localSheetId="9">Mapping!$AR$566</definedName>
    <definedName name="SD_4270x1_4371x1_4566x20_11_S_0" localSheetId="9">Mapping!$AO$566</definedName>
    <definedName name="SD_4270x1_4371x1_4566x20_13_S_0" localSheetId="9">Mapping!$AP$566</definedName>
    <definedName name="SD_4270x1_4371x1_4566x20_4_S_1" localSheetId="9">Mapping!$AN$566</definedName>
    <definedName name="SD_4270x1_4371x1_4566x20_6_S_0" localSheetId="9">Mapping!$AM$566</definedName>
    <definedName name="SD_4270x1_4371x1_4566x20_9_S_0" localSheetId="9">Mapping!$AQ$566</definedName>
    <definedName name="SD_4270x1_4371x1_4566x21_10_S_0" localSheetId="9">Mapping!$AR$567</definedName>
    <definedName name="SD_4270x1_4371x1_4566x21_11_S_0" localSheetId="9">Mapping!$AO$567</definedName>
    <definedName name="SD_4270x1_4371x1_4566x21_13_S_0" localSheetId="9">Mapping!$AP$567</definedName>
    <definedName name="SD_4270x1_4371x1_4566x21_4_S_1" localSheetId="9">Mapping!$AN$567</definedName>
    <definedName name="SD_4270x1_4371x1_4566x21_6_S_0" localSheetId="9">Mapping!$AM$567</definedName>
    <definedName name="SD_4270x1_4371x1_4566x21_9_S_0" localSheetId="9">Mapping!$AQ$567</definedName>
    <definedName name="SD_4270x1_4371x1_4566x22_10_S_0" localSheetId="9">Mapping!$AR$568</definedName>
    <definedName name="SD_4270x1_4371x1_4566x22_11_S_0" localSheetId="9">Mapping!$AO$568</definedName>
    <definedName name="SD_4270x1_4371x1_4566x22_13_S_0" localSheetId="9">Mapping!$AP$568</definedName>
    <definedName name="SD_4270x1_4371x1_4566x22_4_S_1" localSheetId="9">Mapping!$AN$568</definedName>
    <definedName name="SD_4270x1_4371x1_4566x22_6_S_0" localSheetId="9">Mapping!$AM$568</definedName>
    <definedName name="SD_4270x1_4371x1_4566x22_9_S_0" localSheetId="9">Mapping!$AQ$568</definedName>
    <definedName name="SD_4270x1_4371x1_4566x23_10_S_0" localSheetId="9">Mapping!$AR$569</definedName>
    <definedName name="SD_4270x1_4371x1_4566x23_11_S_0" localSheetId="9">Mapping!$AO$569</definedName>
    <definedName name="SD_4270x1_4371x1_4566x23_13_S_0" localSheetId="9">Mapping!$AP$569</definedName>
    <definedName name="SD_4270x1_4371x1_4566x23_4_S_1" localSheetId="9">Mapping!$AN$569</definedName>
    <definedName name="SD_4270x1_4371x1_4566x23_6_S_0" localSheetId="9">Mapping!$AM$569</definedName>
    <definedName name="SD_4270x1_4371x1_4566x23_9_S_0" localSheetId="9">Mapping!$AQ$569</definedName>
    <definedName name="SD_4270x1_4371x1_4566x24_10_S_0" localSheetId="9">Mapping!$AR$570</definedName>
    <definedName name="SD_4270x1_4371x1_4566x24_11_S_0" localSheetId="9">Mapping!$AO$570</definedName>
    <definedName name="SD_4270x1_4371x1_4566x24_13_S_0" localSheetId="9">Mapping!$AP$570</definedName>
    <definedName name="SD_4270x1_4371x1_4566x24_4_S_1" localSheetId="9">Mapping!$AN$570</definedName>
    <definedName name="SD_4270x1_4371x1_4566x24_6_S_0" localSheetId="9">Mapping!$AM$570</definedName>
    <definedName name="SD_4270x1_4371x1_4566x24_9_S_0" localSheetId="9">Mapping!$AQ$570</definedName>
    <definedName name="SD_4270x1_4371x1_4566x3_10_S_0" localSheetId="9">Mapping!$AR$549</definedName>
    <definedName name="SD_4270x1_4371x1_4566x3_11_S_0" localSheetId="9">Mapping!$AO$549</definedName>
    <definedName name="SD_4270x1_4371x1_4566x3_13_S_0" localSheetId="9">Mapping!$AP$549</definedName>
    <definedName name="SD_4270x1_4371x1_4566x3_4_S_1" localSheetId="9">Mapping!$AN$549</definedName>
    <definedName name="SD_4270x1_4371x1_4566x3_6_S_0" localSheetId="9">Mapping!$AM$549</definedName>
    <definedName name="SD_4270x1_4371x1_4566x3_9_S_0" localSheetId="9">Mapping!$AQ$549</definedName>
    <definedName name="SD_4270x1_4371x1_4566x4_10_S_0" localSheetId="9">Mapping!$AR$550</definedName>
    <definedName name="SD_4270x1_4371x1_4566x4_11_S_0" localSheetId="9">Mapping!$AO$550</definedName>
    <definedName name="SD_4270x1_4371x1_4566x4_13_S_0" localSheetId="9">Mapping!$AP$550</definedName>
    <definedName name="SD_4270x1_4371x1_4566x4_4_S_1" localSheetId="9">Mapping!$AN$550</definedName>
    <definedName name="SD_4270x1_4371x1_4566x4_6_S_0" localSheetId="9">Mapping!$AM$550</definedName>
    <definedName name="SD_4270x1_4371x1_4566x4_9_S_0" localSheetId="9">Mapping!$AQ$550</definedName>
    <definedName name="SD_4270x1_4371x1_4566x5_10_S_0" localSheetId="9">Mapping!$AR$551</definedName>
    <definedName name="SD_4270x1_4371x1_4566x5_11_S_0" localSheetId="9">Mapping!$AO$551</definedName>
    <definedName name="SD_4270x1_4371x1_4566x5_13_S_0" localSheetId="9">Mapping!$AP$551</definedName>
    <definedName name="SD_4270x1_4371x1_4566x5_4_S_1" localSheetId="9">Mapping!$AN$551</definedName>
    <definedName name="SD_4270x1_4371x1_4566x5_6_S_0" localSheetId="9">Mapping!$AM$551</definedName>
    <definedName name="SD_4270x1_4371x1_4566x5_9_S_0" localSheetId="9">Mapping!$AQ$551</definedName>
    <definedName name="SD_4270x1_4371x1_4566x6_10_S_0" localSheetId="9">Mapping!$AR$552</definedName>
    <definedName name="SD_4270x1_4371x1_4566x6_11_S_0" localSheetId="9">Mapping!$AO$552</definedName>
    <definedName name="SD_4270x1_4371x1_4566x6_13_S_0" localSheetId="9">Mapping!$AP$552</definedName>
    <definedName name="SD_4270x1_4371x1_4566x6_4_S_1" localSheetId="9">Mapping!$AN$552</definedName>
    <definedName name="SD_4270x1_4371x1_4566x6_6_S_0" localSheetId="9">Mapping!$AM$552</definedName>
    <definedName name="SD_4270x1_4371x1_4566x6_9_S_0" localSheetId="9">Mapping!$AQ$552</definedName>
    <definedName name="SD_4270x1_4371x1_4566x7_10_S_0" localSheetId="9">Mapping!$AR$553</definedName>
    <definedName name="SD_4270x1_4371x1_4566x7_11_S_0" localSheetId="9">Mapping!$AO$553</definedName>
    <definedName name="SD_4270x1_4371x1_4566x7_13_S_0" localSheetId="9">Mapping!$AP$553</definedName>
    <definedName name="SD_4270x1_4371x1_4566x7_4_S_1" localSheetId="9">Mapping!$AN$553</definedName>
    <definedName name="SD_4270x1_4371x1_4566x7_6_S_0" localSheetId="9">Mapping!$AM$553</definedName>
    <definedName name="SD_4270x1_4371x1_4566x7_9_S_0" localSheetId="9">Mapping!$AQ$553</definedName>
    <definedName name="SD_4270x1_4371x1_4566x8_10_S_0" localSheetId="9">Mapping!$AR$554</definedName>
    <definedName name="SD_4270x1_4371x1_4566x8_11_S_0" localSheetId="9">Mapping!$AO$554</definedName>
    <definedName name="SD_4270x1_4371x1_4566x8_13_S_0" localSheetId="9">Mapping!$AP$554</definedName>
    <definedName name="SD_4270x1_4371x1_4566x8_4_S_1" localSheetId="9">Mapping!$AN$554</definedName>
    <definedName name="SD_4270x1_4371x1_4566x8_6_S_0" localSheetId="9">Mapping!$AM$554</definedName>
    <definedName name="SD_4270x1_4371x1_4566x8_9_S_0" localSheetId="9">Mapping!$AQ$554</definedName>
    <definedName name="SD_4270x1_4371x1_4566x9_10_S_0" localSheetId="9">Mapping!$AR$555</definedName>
    <definedName name="SD_4270x1_4371x1_4566x9_11_S_0" localSheetId="9">Mapping!$AO$555</definedName>
    <definedName name="SD_4270x1_4371x1_4566x9_13_S_0" localSheetId="9">Mapping!$AP$555</definedName>
    <definedName name="SD_4270x1_4371x1_4566x9_4_S_1" localSheetId="9">Mapping!$AN$555</definedName>
    <definedName name="SD_4270x1_4371x1_4566x9_6_S_0" localSheetId="9">Mapping!$AM$555</definedName>
    <definedName name="SD_4270x1_4371x1_4566x9_9_S_0" localSheetId="9">Mapping!$AQ$555</definedName>
    <definedName name="SD_4270x1_4371x1_4594x1_10_S_0" localSheetId="9">Mapping!$BD$587</definedName>
    <definedName name="SD_4270x1_4371x1_4594x1_11_S_0" localSheetId="9">Mapping!$BD$596</definedName>
    <definedName name="SD_4270x1_4371x1_4594x1_13_S_0" localSheetId="9">Mapping!$BD$589</definedName>
    <definedName name="SD_4270x1_4371x1_4594x1_16_S_0" localSheetId="9">Mapping!$BD$598</definedName>
    <definedName name="SD_4270x1_4371x1_4594x1_17_S_0" localSheetId="9">Mapping!$BD$599</definedName>
    <definedName name="SD_4270x1_4371x1_4594x1_18_S_0" localSheetId="9">Mapping!$BD$600</definedName>
    <definedName name="SD_4270x1_4371x1_4594x1_19_S_0" localSheetId="9">Mapping!$BD$601</definedName>
    <definedName name="SD_4270x1_4371x1_4594x1_20_S_0" localSheetId="9">Mapping!$BD$647</definedName>
    <definedName name="SD_4270x1_4371x1_4594x1_22_S_0" localSheetId="9">Mapping!$BD$603</definedName>
    <definedName name="SD_4270x1_4371x1_4594x1_23_S_0" localSheetId="9">Mapping!$BD$609</definedName>
    <definedName name="SD_4270x1_4371x1_4594x1_24_S_0" localSheetId="9">Mapping!$BD$610</definedName>
    <definedName name="SD_4270x1_4371x1_4594x1_25_S_0" localSheetId="9">Mapping!$BD$628</definedName>
    <definedName name="SD_4270x1_4371x1_4594x1_28_S_0" localSheetId="9">Mapping!$BD$643</definedName>
    <definedName name="SD_4270x1_4371x1_4594x1_29_S_0" localSheetId="9">Mapping!$BD$641</definedName>
    <definedName name="SD_4270x1_4371x1_4594x1_30_S_0" localSheetId="9">Mapping!$BD$615</definedName>
    <definedName name="SD_4270x1_4371x1_4594x1_31_S_0" localSheetId="9">Mapping!$BD$621</definedName>
    <definedName name="SD_4270x1_4371x1_4594x1_32_S_0" localSheetId="9">Mapping!$BD$620</definedName>
    <definedName name="SD_4270x1_4371x1_4594x1_33_S_0" localSheetId="9">Mapping!$BD$617</definedName>
    <definedName name="SD_4270x1_4371x1_4594x1_35_S_0" localSheetId="9">Mapping!$BD$646</definedName>
    <definedName name="SD_4270x1_4371x1_4594x1_38_S_0" localSheetId="9">Mapping!$BD$612</definedName>
    <definedName name="SD_4270x1_4371x1_4594x1_39_S_0" localSheetId="9">Mapping!$BD$613</definedName>
    <definedName name="SD_4270x1_4371x1_4594x1_40_S_0" localSheetId="9">Mapping!$BD$623</definedName>
    <definedName name="SD_4270x1_4371x1_4594x1_41_S_0" localSheetId="9">Mapping!$BD$624</definedName>
    <definedName name="SD_4270x1_4371x1_4594x1_42_S_0" localSheetId="9">Mapping!$BD$659</definedName>
    <definedName name="SD_4270x1_4371x1_4594x1_43_S_0" localSheetId="9">Mapping!$BD$648</definedName>
    <definedName name="SD_4270x1_4371x1_4594x1_44_S_0" localSheetId="9">Mapping!$BD$637</definedName>
    <definedName name="SD_4270x1_4371x1_4594x1_45_S_0" localSheetId="9">Mapping!$BE$667</definedName>
    <definedName name="SD_4270x1_4371x1_4594x1_46_S_0" localSheetId="9">Mapping!$BD$586</definedName>
    <definedName name="SD_4270x1_4371x1_4594x1_6_S_0" localSheetId="9">Mapping!$BD$588</definedName>
    <definedName name="SD_4270x1_4371x1_4594x1_61_S_0" localSheetId="9">Mapping!$BD$611</definedName>
    <definedName name="SD_4270x1_4371x1_4594x1_62_S_0" localSheetId="9">Mapping!$BD$614</definedName>
    <definedName name="SD_4270x1_4371x1_4594x1_63_S_0" localSheetId="9">Mapping!$BD$616</definedName>
    <definedName name="SD_4270x1_4371x1_4594x1_64_S_0" localSheetId="9">Mapping!$BE$618</definedName>
    <definedName name="SD_4270x1_4371x1_4594x1_65_S_0" localSheetId="9">Mapping!$BD$619</definedName>
    <definedName name="SD_4270x1_4371x1_4594x1_66_S_0" localSheetId="9">Mapping!$BD$622</definedName>
    <definedName name="SD_4270x1_4371x1_4594x1_67_S_0" localSheetId="9">Mapping!$BD$625</definedName>
    <definedName name="SD_4270x1_4371x1_4594x1_68_S_0" localSheetId="9">Mapping!$BD$627</definedName>
    <definedName name="SD_4270x1_4371x1_4594x1_69_S_0" localSheetId="9">Mapping!$BD$629</definedName>
    <definedName name="SD_4270x1_4371x1_4594x1_7_S_0" localSheetId="9">Mapping!$BD$597</definedName>
    <definedName name="SD_4270x1_4371x1_4594x1_70_S_0" localSheetId="9">Mapping!$BD$630</definedName>
    <definedName name="SD_4270x1_4371x1_4594x1_71_S_0" localSheetId="9">Mapping!$BD$631</definedName>
    <definedName name="SD_4270x1_4371x1_4594x1_72_S_0" localSheetId="9">Mapping!$BD$642</definedName>
    <definedName name="SD_4270x1_4371x1_4594x1_73_S_0" localSheetId="9">Mapping!$BD$644</definedName>
    <definedName name="SD_4270x1_4371x1_4594x1_74_S_0" localSheetId="9">Mapping!$BD$657</definedName>
    <definedName name="SD_4270x1_4371x1_4594x1_75_S_0" localSheetId="9">Mapping!$BD$658</definedName>
    <definedName name="SD_4270x1_4371x1_4594x1_76_S_0" localSheetId="9">Mapping!$BD$660</definedName>
    <definedName name="SD_4270x1_4371x1_4594x1_77_S_0" localSheetId="9">Mapping!$BE$632</definedName>
    <definedName name="SD_4270x1_4371x1_4594x1_78_S_0" localSheetId="9">Mapping!$BD$605</definedName>
    <definedName name="SD_4270x1_4371x1_4594x1_79_S_0" localSheetId="9">Mapping!$BE$649</definedName>
    <definedName name="SD_4270x1_4371x1_4594x1_80_S_0" localSheetId="9">Mapping!$BE$661</definedName>
    <definedName name="SD_4270x1_4371x1_4594x1_89_S_0" localSheetId="9">Mapping!$BD$602</definedName>
    <definedName name="SD_4270x1_4371x1_4594x1_90_S_0" localSheetId="9">Mapping!$BD$626</definedName>
    <definedName name="SD_4270x1_4371x1_4594x1_91_S_0" localSheetId="9">Mapping!$BD$590</definedName>
    <definedName name="SD_4270x1_4371x1_4594x1_92_S_0" localSheetId="9">Mapping!$BD$591</definedName>
    <definedName name="SD_4270x1_4371x1_4594x1_93_S_0" localSheetId="9">Mapping!$BD$592</definedName>
    <definedName name="SD_4270x1_4371x1_4600x1_10_S_0" localSheetId="9">Mapping!$AN$587</definedName>
    <definedName name="SD_4270x1_4371x1_4600x1_11_S_0" localSheetId="9">Mapping!$AN$596</definedName>
    <definedName name="SD_4270x1_4371x1_4600x1_13_S_0" localSheetId="9">Mapping!$AN$589</definedName>
    <definedName name="SD_4270x1_4371x1_4600x1_16_S_0" localSheetId="9">Mapping!$AN$598</definedName>
    <definedName name="SD_4270x1_4371x1_4600x1_17_S_0" localSheetId="9">Mapping!$AN$599</definedName>
    <definedName name="SD_4270x1_4371x1_4600x1_18_S_0" localSheetId="9">Mapping!$AN$600</definedName>
    <definedName name="SD_4270x1_4371x1_4600x1_19_S_0" localSheetId="9">Mapping!$AN$601</definedName>
    <definedName name="SD_4270x1_4371x1_4600x1_20_S_0" localSheetId="9">Mapping!$AN$647</definedName>
    <definedName name="SD_4270x1_4371x1_4600x1_22_S_0" localSheetId="9">Mapping!$AN$603</definedName>
    <definedName name="SD_4270x1_4371x1_4600x1_23_S_0" localSheetId="9">Mapping!$AN$609</definedName>
    <definedName name="SD_4270x1_4371x1_4600x1_24_S_0" localSheetId="9">Mapping!$AN$610</definedName>
    <definedName name="SD_4270x1_4371x1_4600x1_25_S_0" localSheetId="9">Mapping!$AN$628</definedName>
    <definedName name="SD_4270x1_4371x1_4600x1_28_S_0" localSheetId="9">Mapping!$AN$643</definedName>
    <definedName name="SD_4270x1_4371x1_4600x1_29_S_0" localSheetId="9">Mapping!$AN$641</definedName>
    <definedName name="SD_4270x1_4371x1_4600x1_30_S_0" localSheetId="9">Mapping!$AN$615</definedName>
    <definedName name="SD_4270x1_4371x1_4600x1_31_S_0" localSheetId="9">Mapping!$AN$621</definedName>
    <definedName name="SD_4270x1_4371x1_4600x1_32_S_0" localSheetId="9">Mapping!$AN$620</definedName>
    <definedName name="SD_4270x1_4371x1_4600x1_33_S_0" localSheetId="9">Mapping!$AN$617</definedName>
    <definedName name="SD_4270x1_4371x1_4600x1_35_S_0" localSheetId="9">Mapping!$AN$646</definedName>
    <definedName name="SD_4270x1_4371x1_4600x1_38_S_0" localSheetId="9">Mapping!$AN$612</definedName>
    <definedName name="SD_4270x1_4371x1_4600x1_39_S_0" localSheetId="9">Mapping!$AN$613</definedName>
    <definedName name="SD_4270x1_4371x1_4600x1_40_S_0" localSheetId="9">Mapping!$AN$623</definedName>
    <definedName name="SD_4270x1_4371x1_4600x1_41_S_0" localSheetId="9">Mapping!$AN$624</definedName>
    <definedName name="SD_4270x1_4371x1_4600x1_42_S_0" localSheetId="9">Mapping!$AN$659</definedName>
    <definedName name="SD_4270x1_4371x1_4600x1_43_S_0" localSheetId="9">Mapping!$AN$648</definedName>
    <definedName name="SD_4270x1_4371x1_4600x1_44_S_0" localSheetId="9">Mapping!$AN$637</definedName>
    <definedName name="SD_4270x1_4371x1_4600x1_45_S_0" localSheetId="9">Mapping!$AO$667</definedName>
    <definedName name="SD_4270x1_4371x1_4600x1_46_S_0" localSheetId="9">Mapping!$AN$586</definedName>
    <definedName name="SD_4270x1_4371x1_4600x1_6_S_0" localSheetId="9">Mapping!$AN$588</definedName>
    <definedName name="SD_4270x1_4371x1_4600x1_61_S_0" localSheetId="9">Mapping!$AN$611</definedName>
    <definedName name="SD_4270x1_4371x1_4600x1_62_S_0" localSheetId="9">Mapping!$AN$614</definedName>
    <definedName name="SD_4270x1_4371x1_4600x1_63_S_0" localSheetId="9">Mapping!$AN$616</definedName>
    <definedName name="SD_4270x1_4371x1_4600x1_64_S_0" localSheetId="9">Mapping!$AO$618</definedName>
    <definedName name="SD_4270x1_4371x1_4600x1_65_S_0" localSheetId="9">Mapping!$AN$619</definedName>
    <definedName name="SD_4270x1_4371x1_4600x1_66_S_0" localSheetId="9">Mapping!$AN$622</definedName>
    <definedName name="SD_4270x1_4371x1_4600x1_67_S_0" localSheetId="9">Mapping!$AN$625</definedName>
    <definedName name="SD_4270x1_4371x1_4600x1_68_S_0" localSheetId="9">Mapping!$AN$627</definedName>
    <definedName name="SD_4270x1_4371x1_4600x1_69_S_0" localSheetId="9">Mapping!$AN$629</definedName>
    <definedName name="SD_4270x1_4371x1_4600x1_7_S_0" localSheetId="9">Mapping!$AN$597</definedName>
    <definedName name="SD_4270x1_4371x1_4600x1_70_S_0" localSheetId="9">Mapping!$AN$630</definedName>
    <definedName name="SD_4270x1_4371x1_4600x1_71_S_0" localSheetId="9">Mapping!$AN$631</definedName>
    <definedName name="SD_4270x1_4371x1_4600x1_72_S_0" localSheetId="9">Mapping!$AN$642</definedName>
    <definedName name="SD_4270x1_4371x1_4600x1_73_S_0" localSheetId="9">Mapping!$AN$644</definedName>
    <definedName name="SD_4270x1_4371x1_4600x1_74_S_0" localSheetId="9">Mapping!$AN$657</definedName>
    <definedName name="SD_4270x1_4371x1_4600x1_75_S_0" localSheetId="9">Mapping!$AN$658</definedName>
    <definedName name="SD_4270x1_4371x1_4600x1_76_S_0" localSheetId="9">Mapping!$AN$660</definedName>
    <definedName name="SD_4270x1_4371x1_4600x1_77_S_0" localSheetId="9">Mapping!$AO$632</definedName>
    <definedName name="SD_4270x1_4371x1_4600x1_78_S_0" localSheetId="9">Mapping!$AN$605</definedName>
    <definedName name="SD_4270x1_4371x1_4600x1_79_S_0" localSheetId="9">Mapping!$AO$649</definedName>
    <definedName name="SD_4270x1_4371x1_4600x1_80_S_0" localSheetId="9">Mapping!$AO$661</definedName>
    <definedName name="SD_4270x1_4371x1_4600x1_89_S_0" localSheetId="9">Mapping!$AN$602</definedName>
    <definedName name="SD_4270x1_4371x1_4600x1_90_S_0" localSheetId="9">Mapping!$AN$626</definedName>
    <definedName name="SD_4270x1_4371x1_4600x1_91_S_0" localSheetId="9">Mapping!$AN$590</definedName>
    <definedName name="SD_4270x1_4371x1_4600x1_92_S_0" localSheetId="9">Mapping!$AN$591</definedName>
    <definedName name="SD_4270x1_4371x1_4600x1_93_S_0" localSheetId="9">Mapping!$AN$592</definedName>
    <definedName name="SD_4270x1_4371x1_4606x1_5_S_1" localSheetId="9">Mapping!$AO$323</definedName>
    <definedName name="SD_4270x1_4371x1_4606x1_7_S_0" localSheetId="9">Mapping!$AT$323</definedName>
    <definedName name="SD_4270x1_4371x1_4606x1_8_S_0" localSheetId="9">Mapping!$AR$323</definedName>
    <definedName name="SD_4270x1_4371x1_4606x1_9_S_0" localSheetId="9">Mapping!$BA$323</definedName>
    <definedName name="SD_4270x1_4371x1_4606x10_5_S_1" localSheetId="9">Mapping!$AO$332</definedName>
    <definedName name="SD_4270x1_4371x1_4606x10_7_S_0" localSheetId="9">Mapping!$AT$332</definedName>
    <definedName name="SD_4270x1_4371x1_4606x10_8_S_0" localSheetId="9">Mapping!$AR$332</definedName>
    <definedName name="SD_4270x1_4371x1_4606x10_9_S_0" localSheetId="9">Mapping!$BA$332</definedName>
    <definedName name="SD_4270x1_4371x1_4606x11_5_S_1" localSheetId="9">Mapping!$AO$333</definedName>
    <definedName name="SD_4270x1_4371x1_4606x11_7_S_0" localSheetId="9">Mapping!$AT$333</definedName>
    <definedName name="SD_4270x1_4371x1_4606x11_8_S_0" localSheetId="9">Mapping!$AR$333</definedName>
    <definedName name="SD_4270x1_4371x1_4606x11_9_S_0" localSheetId="9">Mapping!$BA$333</definedName>
    <definedName name="SD_4270x1_4371x1_4606x12_5_S_1" localSheetId="9">Mapping!$AO$334</definedName>
    <definedName name="SD_4270x1_4371x1_4606x12_7_S_0" localSheetId="9">Mapping!$AT$334</definedName>
    <definedName name="SD_4270x1_4371x1_4606x12_8_S_0" localSheetId="9">Mapping!$AR$334</definedName>
    <definedName name="SD_4270x1_4371x1_4606x12_9_S_0" localSheetId="9">Mapping!$BA$334</definedName>
    <definedName name="SD_4270x1_4371x1_4606x13_5_S_1" localSheetId="9">Mapping!$AO$335</definedName>
    <definedName name="SD_4270x1_4371x1_4606x13_7_S_0" localSheetId="9">Mapping!$AT$335</definedName>
    <definedName name="SD_4270x1_4371x1_4606x13_8_S_0" localSheetId="9">Mapping!$AR$335</definedName>
    <definedName name="SD_4270x1_4371x1_4606x13_9_S_0" localSheetId="9">Mapping!$BA$335</definedName>
    <definedName name="SD_4270x1_4371x1_4606x14_5_S_1" localSheetId="9">Mapping!$AO$336</definedName>
    <definedName name="SD_4270x1_4371x1_4606x14_7_S_0" localSheetId="9">Mapping!$AT$336</definedName>
    <definedName name="SD_4270x1_4371x1_4606x14_8_S_0" localSheetId="9">Mapping!$AR$336</definedName>
    <definedName name="SD_4270x1_4371x1_4606x14_9_S_0" localSheetId="9">Mapping!$BA$336</definedName>
    <definedName name="SD_4270x1_4371x1_4606x15_5_S_1" localSheetId="9">Mapping!$AO$337</definedName>
    <definedName name="SD_4270x1_4371x1_4606x15_7_S_0" localSheetId="9">Mapping!$AT$337</definedName>
    <definedName name="SD_4270x1_4371x1_4606x15_8_S_0" localSheetId="9">Mapping!$AR$337</definedName>
    <definedName name="SD_4270x1_4371x1_4606x15_9_S_0" localSheetId="9">Mapping!$BA$337</definedName>
    <definedName name="SD_4270x1_4371x1_4606x16_5_S_1" localSheetId="9">Mapping!$AO$338</definedName>
    <definedName name="SD_4270x1_4371x1_4606x16_7_S_0" localSheetId="9">Mapping!$AT$338</definedName>
    <definedName name="SD_4270x1_4371x1_4606x16_8_S_0" localSheetId="9">Mapping!$AR$338</definedName>
    <definedName name="SD_4270x1_4371x1_4606x16_9_S_0" localSheetId="9">Mapping!$BA$338</definedName>
    <definedName name="SD_4270x1_4371x1_4606x17_5_S_1" localSheetId="9">Mapping!$AO$339</definedName>
    <definedName name="SD_4270x1_4371x1_4606x17_7_S_0" localSheetId="9">Mapping!$AT$339</definedName>
    <definedName name="SD_4270x1_4371x1_4606x17_8_S_0" localSheetId="9">Mapping!$AR$339</definedName>
    <definedName name="SD_4270x1_4371x1_4606x17_9_S_0" localSheetId="9">Mapping!$BA$339</definedName>
    <definedName name="SD_4270x1_4371x1_4606x18_5_S_1" localSheetId="9">Mapping!$AO$340</definedName>
    <definedName name="SD_4270x1_4371x1_4606x18_7_S_0" localSheetId="9">Mapping!$AT$340</definedName>
    <definedName name="SD_4270x1_4371x1_4606x18_8_S_0" localSheetId="9">Mapping!$AR$340</definedName>
    <definedName name="SD_4270x1_4371x1_4606x18_9_S_0" localSheetId="9">Mapping!$BA$340</definedName>
    <definedName name="SD_4270x1_4371x1_4606x19_5_S_1" localSheetId="9">Mapping!$AO$341</definedName>
    <definedName name="SD_4270x1_4371x1_4606x19_7_S_0" localSheetId="9">Mapping!$AT$341</definedName>
    <definedName name="SD_4270x1_4371x1_4606x19_8_S_0" localSheetId="9">Mapping!$AR$341</definedName>
    <definedName name="SD_4270x1_4371x1_4606x19_9_S_0" localSheetId="9">Mapping!$BA$341</definedName>
    <definedName name="SD_4270x1_4371x1_4606x2_5_S_1" localSheetId="9">Mapping!$AO$324</definedName>
    <definedName name="SD_4270x1_4371x1_4606x2_7_S_0" localSheetId="9">Mapping!$AT$324</definedName>
    <definedName name="SD_4270x1_4371x1_4606x2_8_S_0" localSheetId="9">Mapping!$AR$324</definedName>
    <definedName name="SD_4270x1_4371x1_4606x2_9_S_0" localSheetId="9">Mapping!$BA$324</definedName>
    <definedName name="SD_4270x1_4371x1_4606x20_5_S_1" localSheetId="9">Mapping!$AO$342</definedName>
    <definedName name="SD_4270x1_4371x1_4606x20_7_S_0" localSheetId="9">Mapping!$AT$342</definedName>
    <definedName name="SD_4270x1_4371x1_4606x20_8_S_0" localSheetId="9">Mapping!$AR$342</definedName>
    <definedName name="SD_4270x1_4371x1_4606x20_9_S_0" localSheetId="9">Mapping!$BA$342</definedName>
    <definedName name="SD_4270x1_4371x1_4606x21_5_S_1" localSheetId="9">Mapping!$AO$343</definedName>
    <definedName name="SD_4270x1_4371x1_4606x21_7_S_0" localSheetId="9">Mapping!$AT$343</definedName>
    <definedName name="SD_4270x1_4371x1_4606x21_8_S_0" localSheetId="9">Mapping!$AR$343</definedName>
    <definedName name="SD_4270x1_4371x1_4606x21_9_S_0" localSheetId="9">Mapping!$BA$343</definedName>
    <definedName name="SD_4270x1_4371x1_4606x22_5_S_1" localSheetId="9">Mapping!$AO$344</definedName>
    <definedName name="SD_4270x1_4371x1_4606x22_7_S_0" localSheetId="9">Mapping!$AT$344</definedName>
    <definedName name="SD_4270x1_4371x1_4606x22_8_S_0" localSheetId="9">Mapping!$AR$344</definedName>
    <definedName name="SD_4270x1_4371x1_4606x22_9_S_0" localSheetId="9">Mapping!$BA$344</definedName>
    <definedName name="SD_4270x1_4371x1_4606x23_5_S_1" localSheetId="9">Mapping!$AO$345</definedName>
    <definedName name="SD_4270x1_4371x1_4606x23_7_S_0" localSheetId="9">Mapping!$AT$345</definedName>
    <definedName name="SD_4270x1_4371x1_4606x23_8_S_0" localSheetId="9">Mapping!$AR$345</definedName>
    <definedName name="SD_4270x1_4371x1_4606x23_9_S_0" localSheetId="9">Mapping!$BA$345</definedName>
    <definedName name="SD_4270x1_4371x1_4606x24_5_S_1" localSheetId="9">Mapping!$AO$346</definedName>
    <definedName name="SD_4270x1_4371x1_4606x24_7_S_0" localSheetId="9">Mapping!$AT$346</definedName>
    <definedName name="SD_4270x1_4371x1_4606x24_8_S_0" localSheetId="9">Mapping!$AR$346</definedName>
    <definedName name="SD_4270x1_4371x1_4606x24_9_S_0" localSheetId="9">Mapping!$BA$346</definedName>
    <definedName name="SD_4270x1_4371x1_4606x25_5_S_1" localSheetId="9">Mapping!$AO$347</definedName>
    <definedName name="SD_4270x1_4371x1_4606x25_7_S_0" localSheetId="9">Mapping!$AT$347</definedName>
    <definedName name="SD_4270x1_4371x1_4606x25_8_S_0" localSheetId="9">Mapping!$AR$347</definedName>
    <definedName name="SD_4270x1_4371x1_4606x25_9_S_0" localSheetId="9">Mapping!$BA$347</definedName>
    <definedName name="SD_4270x1_4371x1_4606x26_5_S_1" localSheetId="9">Mapping!$AO$348</definedName>
    <definedName name="SD_4270x1_4371x1_4606x26_7_S_0" localSheetId="9">Mapping!$AT$348</definedName>
    <definedName name="SD_4270x1_4371x1_4606x26_8_S_0" localSheetId="9">Mapping!$AR$348</definedName>
    <definedName name="SD_4270x1_4371x1_4606x26_9_S_0" localSheetId="9">Mapping!$BA$348</definedName>
    <definedName name="SD_4270x1_4371x1_4606x27_5_S_1" localSheetId="9">Mapping!$AO$349</definedName>
    <definedName name="SD_4270x1_4371x1_4606x27_7_S_0" localSheetId="9">Mapping!$AT$349</definedName>
    <definedName name="SD_4270x1_4371x1_4606x27_8_S_0" localSheetId="9">Mapping!$AR$349</definedName>
    <definedName name="SD_4270x1_4371x1_4606x27_9_S_0" localSheetId="9">Mapping!$BA$349</definedName>
    <definedName name="SD_4270x1_4371x1_4606x28_5_S_1" localSheetId="9">Mapping!$AO$350</definedName>
    <definedName name="SD_4270x1_4371x1_4606x28_7_S_0" localSheetId="9">Mapping!$AT$350</definedName>
    <definedName name="SD_4270x1_4371x1_4606x28_8_S_0" localSheetId="9">Mapping!$AR$350</definedName>
    <definedName name="SD_4270x1_4371x1_4606x28_9_S_0" localSheetId="9">Mapping!$BA$350</definedName>
    <definedName name="SD_4270x1_4371x1_4606x29_5_S_1" localSheetId="9">Mapping!$AO$351</definedName>
    <definedName name="SD_4270x1_4371x1_4606x29_7_S_0" localSheetId="9">Mapping!$AT$351</definedName>
    <definedName name="SD_4270x1_4371x1_4606x29_8_S_0" localSheetId="9">Mapping!$AR$351</definedName>
    <definedName name="SD_4270x1_4371x1_4606x29_9_S_0" localSheetId="9">Mapping!$BA$351</definedName>
    <definedName name="SD_4270x1_4371x1_4606x3_5_S_1" localSheetId="9">Mapping!$AO$325</definedName>
    <definedName name="SD_4270x1_4371x1_4606x3_7_S_0" localSheetId="9">Mapping!$AT$325</definedName>
    <definedName name="SD_4270x1_4371x1_4606x3_8_S_0" localSheetId="9">Mapping!$AR$325</definedName>
    <definedName name="SD_4270x1_4371x1_4606x3_9_S_0" localSheetId="9">Mapping!$BA$325</definedName>
    <definedName name="SD_4270x1_4371x1_4606x30_5_S_1" localSheetId="9">Mapping!$AO$352</definedName>
    <definedName name="SD_4270x1_4371x1_4606x30_7_S_0" localSheetId="9">Mapping!$AT$352</definedName>
    <definedName name="SD_4270x1_4371x1_4606x30_8_S_0" localSheetId="9">Mapping!$AR$352</definedName>
    <definedName name="SD_4270x1_4371x1_4606x30_9_S_0" localSheetId="9">Mapping!$BA$352</definedName>
    <definedName name="SD_4270x1_4371x1_4606x4_5_S_1" localSheetId="9">Mapping!$AO$326</definedName>
    <definedName name="SD_4270x1_4371x1_4606x4_7_S_0" localSheetId="9">Mapping!$AT$326</definedName>
    <definedName name="SD_4270x1_4371x1_4606x4_8_S_0" localSheetId="9">Mapping!$AR$326</definedName>
    <definedName name="SD_4270x1_4371x1_4606x4_9_S_0" localSheetId="9">Mapping!$BA$326</definedName>
    <definedName name="SD_4270x1_4371x1_4606x5_5_S_1" localSheetId="9">Mapping!$AO$327</definedName>
    <definedName name="SD_4270x1_4371x1_4606x5_7_S_0" localSheetId="9">Mapping!$AT$327</definedName>
    <definedName name="SD_4270x1_4371x1_4606x5_8_S_0" localSheetId="9">Mapping!$AR$327</definedName>
    <definedName name="SD_4270x1_4371x1_4606x5_9_S_0" localSheetId="9">Mapping!$BA$327</definedName>
    <definedName name="SD_4270x1_4371x1_4606x6_5_S_1" localSheetId="9">Mapping!$AO$328</definedName>
    <definedName name="SD_4270x1_4371x1_4606x6_7_S_0" localSheetId="9">Mapping!$AT$328</definedName>
    <definedName name="SD_4270x1_4371x1_4606x6_8_S_0" localSheetId="9">Mapping!$AR$328</definedName>
    <definedName name="SD_4270x1_4371x1_4606x6_9_S_0" localSheetId="9">Mapping!$BA$328</definedName>
    <definedName name="SD_4270x1_4371x1_4606x7_5_S_1" localSheetId="9">Mapping!$AO$329</definedName>
    <definedName name="SD_4270x1_4371x1_4606x7_7_S_0" localSheetId="9">Mapping!$AT$329</definedName>
    <definedName name="SD_4270x1_4371x1_4606x7_8_S_0" localSheetId="9">Mapping!$AR$329</definedName>
    <definedName name="SD_4270x1_4371x1_4606x7_9_S_0" localSheetId="9">Mapping!$BA$329</definedName>
    <definedName name="SD_4270x1_4371x1_4606x8_5_S_1" localSheetId="9">Mapping!$AO$330</definedName>
    <definedName name="SD_4270x1_4371x1_4606x8_7_S_0" localSheetId="9">Mapping!$AT$330</definedName>
    <definedName name="SD_4270x1_4371x1_4606x8_8_S_0" localSheetId="9">Mapping!$AR$330</definedName>
    <definedName name="SD_4270x1_4371x1_4606x8_9_S_0" localSheetId="9">Mapping!$BA$330</definedName>
    <definedName name="SD_4270x1_4371x1_4606x9_5_S_1" localSheetId="9">Mapping!$AO$331</definedName>
    <definedName name="SD_4270x1_4371x1_4606x9_7_S_0" localSheetId="9">Mapping!$AT$331</definedName>
    <definedName name="SD_4270x1_4371x1_4606x9_8_S_0" localSheetId="9">Mapping!$AR$331</definedName>
    <definedName name="SD_4270x1_4371x1_4606x9_9_S_0" localSheetId="9">Mapping!$BA$331</definedName>
    <definedName name="SD_4270x1_4371x1_4614x1_6_S_1" localSheetId="9">Mapping!$AM$421</definedName>
    <definedName name="SD_4270x1_4371x1_4614x1_7_S_0" localSheetId="9">Mapping!$AQ$421</definedName>
    <definedName name="SD_4270x1_4371x1_4614x1_8_S_0" localSheetId="9">Mapping!$AN$421</definedName>
    <definedName name="SD_4270x1_4371x1_4614x1_9_S_0" localSheetId="9">Mapping!$AN$428</definedName>
    <definedName name="SD_4270x1_4371x1_4614x2_6_S_1" localSheetId="9">Mapping!$AM$422</definedName>
    <definedName name="SD_4270x1_4371x1_4614x2_7_S_0" localSheetId="9">Mapping!$AQ$422</definedName>
    <definedName name="SD_4270x1_4371x1_4614x2_8_S_0" localSheetId="9">Mapping!$AN$422</definedName>
    <definedName name="SD_4270x1_4371x1_4614x3_6_S_1" localSheetId="9">Mapping!$AM$423</definedName>
    <definedName name="SD_4270x1_4371x1_4614x3_7_S_0" localSheetId="9">Mapping!$AQ$423</definedName>
    <definedName name="SD_4270x1_4371x1_4614x3_8_S_0" localSheetId="9">Mapping!$AN$423</definedName>
    <definedName name="SD_4270x1_4371x1_4614x4_6_S_1" localSheetId="9">Mapping!$AM$424</definedName>
    <definedName name="SD_4270x1_4371x1_4614x4_7_S_0" localSheetId="9">Mapping!$AQ$424</definedName>
    <definedName name="SD_4270x1_4371x1_4614x4_8_S_0" localSheetId="9">Mapping!$AN$424</definedName>
    <definedName name="SD_4270x1_4371x1_4614x5_6_S_1" localSheetId="9">Mapping!$AM$425</definedName>
    <definedName name="SD_4270x1_4371x1_4614x5_7_S_0" localSheetId="9">Mapping!$AQ$425</definedName>
    <definedName name="SD_4270x1_4371x1_4614x5_8_S_0" localSheetId="9">Mapping!$AN$425</definedName>
    <definedName name="SD_4270x1_4371x1_4614x6_6_S_1" localSheetId="9">Mapping!$AM$426</definedName>
    <definedName name="SD_4270x1_4371x1_4614x6_7_S_0" localSheetId="9">Mapping!$AQ$426</definedName>
    <definedName name="SD_4270x1_4371x1_4614x6_8_S_0" localSheetId="9">Mapping!$AN$426</definedName>
    <definedName name="SD_4270x1_4371x1_4614x7_6_S_1" localSheetId="9">Mapping!$AM$427</definedName>
    <definedName name="SD_4270x1_4371x1_4614x7_7_S_0" localSheetId="9">Mapping!$AQ$427</definedName>
    <definedName name="SD_4270x1_4371x1_4614x7_8_S_0" localSheetId="9">Mapping!$AN$427</definedName>
    <definedName name="SD_4270x1_4371x1_488_S_0" localSheetId="9">Mapping!$AO$142</definedName>
    <definedName name="SD_4270x1_4371x1_498_S_0" localSheetId="9">Mapping!$AO$141</definedName>
    <definedName name="SD_4270x1_4371x1_500_S_0" localSheetId="9">Mapping!$AO$144</definedName>
    <definedName name="SD_4270x1_4371x1_501_S_0" localSheetId="9">Mapping!$AO$145</definedName>
    <definedName name="SD_4270x1_4371x1_503_S_0" localSheetId="9">Mapping!$AO$143</definedName>
    <definedName name="SD_4270x1_4371x1_505_S_0" localSheetId="9">Mapping!$AR$151</definedName>
    <definedName name="SD_4270x1_4371x1_506_S_0" localSheetId="9">Mapping!$AT$151</definedName>
    <definedName name="SD_4270x1_4371x1_507_S_0" localSheetId="9">Mapping!$AR$152</definedName>
    <definedName name="SD_4270x1_4371x1_508_S_0" localSheetId="9">Mapping!$AT$152</definedName>
    <definedName name="SD_4270x1_4371x1_509_S_0" localSheetId="9">Mapping!$AR$153</definedName>
    <definedName name="SD_4270x1_4371x1_510_S_0" localSheetId="9">Mapping!$AT$153</definedName>
    <definedName name="SD_4270x1_4371x1_511_S_0" localSheetId="9">Mapping!$AR$154</definedName>
    <definedName name="SD_4270x1_4371x1_512_S_0" localSheetId="9">Mapping!$AT$154</definedName>
    <definedName name="SD_4270x1_4371x1_513_S_0" localSheetId="9">Mapping!$AR$155</definedName>
    <definedName name="SD_4270x1_4371x1_514_S_0" localSheetId="9">Mapping!$AT$155</definedName>
    <definedName name="SD_4270x1_4371x1_526_S_1" localSheetId="9">Mapping!$AN$40</definedName>
    <definedName name="SD_4270x1_4371x1_527_S_1" localSheetId="9">Mapping!$AN$24</definedName>
    <definedName name="SD_4270x1_4371x1_531_S_0" localSheetId="9">Mapping!$AN$44</definedName>
    <definedName name="SD_4270x1_5789x1_133_S_0" localSheetId="9" hidden="1">Mapping!$AN$28</definedName>
    <definedName name="SD_4270x1_5789x1_134_S_0" localSheetId="9" hidden="1">Mapping!$AN$27</definedName>
    <definedName name="SD_4270x1_5789x1_135_S_0" localSheetId="9" hidden="1">Mapping!$AN$9</definedName>
    <definedName name="SD_4270x1_8066x1_10_S_0" localSheetId="9">Mapping!$AV$201</definedName>
    <definedName name="SD_4270x1_8066x1_12_S_1" localSheetId="9">Mapping!$AU$201</definedName>
    <definedName name="SD_4270x1_8066x1_13_S_1" localSheetId="9">Mapping!$AO$201</definedName>
    <definedName name="SD_4270x1_8066x1_14_S_0" localSheetId="9">Mapping!$AW$201</definedName>
    <definedName name="SD_4270x1_8066x1_15_S_0" localSheetId="9">Mapping!$AP$201</definedName>
    <definedName name="SD_4270x1_8066x1_19_S_0" localSheetId="9">Mapping!$AZ$201</definedName>
    <definedName name="SD_4270x1_8066x1_21_S_0" localSheetId="9">Mapping!$AS$201</definedName>
    <definedName name="SD_4270x1_8066x1_23_S_0" localSheetId="9">Mapping!$AR$201</definedName>
    <definedName name="SD_4270x1_8066x1_25_S_1" localSheetId="9">Mapping!$AN$201</definedName>
    <definedName name="SD_4270x1_8066x10_10_S_0" localSheetId="9">Mapping!$AV$210</definedName>
    <definedName name="SD_4270x1_8066x10_12_S_1" localSheetId="9">Mapping!$AU$210</definedName>
    <definedName name="SD_4270x1_8066x10_13_S_1" localSheetId="9">Mapping!$AO$210</definedName>
    <definedName name="SD_4270x1_8066x10_14_S_0" localSheetId="9">Mapping!$AW$210</definedName>
    <definedName name="SD_4270x1_8066x10_15_S_0" localSheetId="9">Mapping!$AP$210</definedName>
    <definedName name="SD_4270x1_8066x10_19_S_0" localSheetId="9">Mapping!$AZ$210</definedName>
    <definedName name="SD_4270x1_8066x10_21_S_0" localSheetId="9">Mapping!$AS$210</definedName>
    <definedName name="SD_4270x1_8066x10_23_S_0" localSheetId="9">Mapping!$AR$210</definedName>
    <definedName name="SD_4270x1_8066x10_25_S_1" localSheetId="9">Mapping!$AN$210</definedName>
    <definedName name="SD_4270x1_8066x11_10_S_0" localSheetId="9" hidden="1">Mapping!$AV$212</definedName>
    <definedName name="SD_4270x1_8066x11_12_S_1" localSheetId="9" hidden="1">Mapping!$AU$212</definedName>
    <definedName name="SD_4270x1_8066x11_13_S_1" localSheetId="9" hidden="1">Mapping!$AO$212</definedName>
    <definedName name="SD_4270x1_8066x11_14_S_0" localSheetId="9" hidden="1">Mapping!$AW$212</definedName>
    <definedName name="SD_4270x1_8066x11_16_S_0" localSheetId="9" hidden="1">Mapping!$AQ$212</definedName>
    <definedName name="SD_4270x1_8066x11_18_S_0" localSheetId="9" hidden="1">Mapping!$AP$212</definedName>
    <definedName name="SD_4270x1_8066x11_19_S_0" localSheetId="9" hidden="1">Mapping!$AZ$212</definedName>
    <definedName name="SD_4270x1_8066x11_21_S_0" localSheetId="9" hidden="1">Mapping!$AS$212</definedName>
    <definedName name="SD_4270x1_8066x11_23_S_0" localSheetId="9" hidden="1">Mapping!$AR$212</definedName>
    <definedName name="SD_4270x1_8066x11_25_S_1" localSheetId="9" hidden="1">Mapping!$AN$212</definedName>
    <definedName name="SD_4270x1_8066x12_10_S_0" localSheetId="9" hidden="1">Mapping!$AV$213</definedName>
    <definedName name="SD_4270x1_8066x12_12_S_1" localSheetId="9" hidden="1">Mapping!$AU$213</definedName>
    <definedName name="SD_4270x1_8066x12_13_S_1" localSheetId="9" hidden="1">Mapping!$AO$213</definedName>
    <definedName name="SD_4270x1_8066x12_14_S_0" localSheetId="9" hidden="1">Mapping!$AW$213</definedName>
    <definedName name="SD_4270x1_8066x12_16_S_0" localSheetId="9" hidden="1">Mapping!$AQ$213</definedName>
    <definedName name="SD_4270x1_8066x12_18_S_0" localSheetId="9" hidden="1">Mapping!$AP$213</definedName>
    <definedName name="SD_4270x1_8066x12_19_S_0" localSheetId="9" hidden="1">Mapping!$AZ$213</definedName>
    <definedName name="SD_4270x1_8066x12_21_S_0" localSheetId="9" hidden="1">Mapping!$AS$213</definedName>
    <definedName name="SD_4270x1_8066x12_23_S_0" localSheetId="9" hidden="1">Mapping!$AR$213</definedName>
    <definedName name="SD_4270x1_8066x12_25_S_1" localSheetId="9" hidden="1">Mapping!$AN$213</definedName>
    <definedName name="SD_4270x1_8066x13_10_S_0" localSheetId="9" hidden="1">Mapping!$AV$214</definedName>
    <definedName name="SD_4270x1_8066x13_12_S_1" localSheetId="9" hidden="1">Mapping!$AU$214</definedName>
    <definedName name="SD_4270x1_8066x13_13_S_1" localSheetId="9" hidden="1">Mapping!$AO$214</definedName>
    <definedName name="SD_4270x1_8066x13_14_S_0" localSheetId="9" hidden="1">Mapping!$AW$214</definedName>
    <definedName name="SD_4270x1_8066x13_16_S_0" localSheetId="9" hidden="1">Mapping!$AQ$214</definedName>
    <definedName name="SD_4270x1_8066x13_18_S_0" localSheetId="9" hidden="1">Mapping!$AP$214</definedName>
    <definedName name="SD_4270x1_8066x13_19_S_0" localSheetId="9" hidden="1">Mapping!$AZ$214</definedName>
    <definedName name="SD_4270x1_8066x13_21_S_0" localSheetId="9" hidden="1">Mapping!$AS$214</definedName>
    <definedName name="SD_4270x1_8066x13_23_S_0" localSheetId="9" hidden="1">Mapping!$AR$214</definedName>
    <definedName name="SD_4270x1_8066x13_25_S_1" localSheetId="9" hidden="1">Mapping!$AN$214</definedName>
    <definedName name="SD_4270x1_8066x14_10_S_0" localSheetId="9" hidden="1">Mapping!$AV$215</definedName>
    <definedName name="SD_4270x1_8066x14_12_S_1" localSheetId="9" hidden="1">Mapping!$AU$215</definedName>
    <definedName name="SD_4270x1_8066x14_13_S_1" localSheetId="9" hidden="1">Mapping!$AO$215</definedName>
    <definedName name="SD_4270x1_8066x14_14_S_0" localSheetId="9" hidden="1">Mapping!$AW$215</definedName>
    <definedName name="SD_4270x1_8066x14_16_S_0" localSheetId="9" hidden="1">Mapping!$AQ$215</definedName>
    <definedName name="SD_4270x1_8066x14_18_S_0" localSheetId="9" hidden="1">Mapping!$AP$215</definedName>
    <definedName name="SD_4270x1_8066x14_19_S_0" localSheetId="9" hidden="1">Mapping!$AZ$215</definedName>
    <definedName name="SD_4270x1_8066x14_21_S_0" localSheetId="9" hidden="1">Mapping!$AS$215</definedName>
    <definedName name="SD_4270x1_8066x14_23_S_0" localSheetId="9" hidden="1">Mapping!$AR$215</definedName>
    <definedName name="SD_4270x1_8066x14_25_S_1" localSheetId="9" hidden="1">Mapping!$AN$215</definedName>
    <definedName name="SD_4270x1_8066x15_10_S_0" localSheetId="9" hidden="1">Mapping!$AV$216</definedName>
    <definedName name="SD_4270x1_8066x15_12_S_1" localSheetId="9" hidden="1">Mapping!$AU$216</definedName>
    <definedName name="SD_4270x1_8066x15_13_S_1" localSheetId="9" hidden="1">Mapping!$AO$216</definedName>
    <definedName name="SD_4270x1_8066x15_14_S_0" localSheetId="9" hidden="1">Mapping!$AW$216</definedName>
    <definedName name="SD_4270x1_8066x15_16_S_0" localSheetId="9" hidden="1">Mapping!$AQ$216</definedName>
    <definedName name="SD_4270x1_8066x15_18_S_0" localSheetId="9" hidden="1">Mapping!$AP$216</definedName>
    <definedName name="SD_4270x1_8066x15_19_S_0" localSheetId="9" hidden="1">Mapping!$AZ$216</definedName>
    <definedName name="SD_4270x1_8066x15_21_S_0" localSheetId="9" hidden="1">Mapping!$AS$216</definedName>
    <definedName name="SD_4270x1_8066x15_23_S_0" localSheetId="9" hidden="1">Mapping!$AR$216</definedName>
    <definedName name="SD_4270x1_8066x15_25_S_1" localSheetId="9" hidden="1">Mapping!$AN$216</definedName>
    <definedName name="SD_4270x1_8066x16_10_S_0" localSheetId="9" hidden="1">Mapping!$AV$217</definedName>
    <definedName name="SD_4270x1_8066x16_12_S_1" localSheetId="9" hidden="1">Mapping!$AU$217</definedName>
    <definedName name="SD_4270x1_8066x16_13_S_1" localSheetId="9" hidden="1">Mapping!$AO$217</definedName>
    <definedName name="SD_4270x1_8066x16_14_S_0" localSheetId="9" hidden="1">Mapping!$AW$217</definedName>
    <definedName name="SD_4270x1_8066x16_16_S_0" localSheetId="9" hidden="1">Mapping!$AQ$217</definedName>
    <definedName name="SD_4270x1_8066x16_18_S_0" localSheetId="9" hidden="1">Mapping!$AP$217</definedName>
    <definedName name="SD_4270x1_8066x16_19_S_0" localSheetId="9" hidden="1">Mapping!$AZ$217</definedName>
    <definedName name="SD_4270x1_8066x16_21_S_0" localSheetId="9" hidden="1">Mapping!$AS$217</definedName>
    <definedName name="SD_4270x1_8066x16_23_S_0" localSheetId="9" hidden="1">Mapping!$AR$217</definedName>
    <definedName name="SD_4270x1_8066x16_25_S_1" localSheetId="9" hidden="1">Mapping!$AN$217</definedName>
    <definedName name="SD_4270x1_8066x17_10_S_0" localSheetId="9" hidden="1">Mapping!$AV$218</definedName>
    <definedName name="SD_4270x1_8066x17_12_S_1" localSheetId="9" hidden="1">Mapping!$AU$218</definedName>
    <definedName name="SD_4270x1_8066x17_13_S_1" localSheetId="9" hidden="1">Mapping!$AO$218</definedName>
    <definedName name="SD_4270x1_8066x17_14_S_0" localSheetId="9" hidden="1">Mapping!$AW$218</definedName>
    <definedName name="SD_4270x1_8066x17_16_S_0" localSheetId="9" hidden="1">Mapping!$AQ$218</definedName>
    <definedName name="SD_4270x1_8066x17_18_S_0" localSheetId="9" hidden="1">Mapping!$AP$218</definedName>
    <definedName name="SD_4270x1_8066x17_19_S_0" localSheetId="9" hidden="1">Mapping!$AZ$218</definedName>
    <definedName name="SD_4270x1_8066x17_21_S_0" localSheetId="9" hidden="1">Mapping!$AS$218</definedName>
    <definedName name="SD_4270x1_8066x17_23_S_0" localSheetId="9" hidden="1">Mapping!$AR$218</definedName>
    <definedName name="SD_4270x1_8066x17_25_S_1" localSheetId="9" hidden="1">Mapping!$AN$218</definedName>
    <definedName name="SD_4270x1_8066x18_10_S_0" localSheetId="9" hidden="1">Mapping!$AV$219</definedName>
    <definedName name="SD_4270x1_8066x18_12_S_1" localSheetId="9" hidden="1">Mapping!$AU$219</definedName>
    <definedName name="SD_4270x1_8066x18_13_S_1" localSheetId="9" hidden="1">Mapping!$AO$219</definedName>
    <definedName name="SD_4270x1_8066x18_14_S_0" localSheetId="9" hidden="1">Mapping!$AW$219</definedName>
    <definedName name="SD_4270x1_8066x18_16_S_0" localSheetId="9" hidden="1">Mapping!$AQ$219</definedName>
    <definedName name="SD_4270x1_8066x18_18_S_0" localSheetId="9" hidden="1">Mapping!$AP$219</definedName>
    <definedName name="SD_4270x1_8066x18_19_S_0" localSheetId="9" hidden="1">Mapping!$AZ$219</definedName>
    <definedName name="SD_4270x1_8066x18_21_S_0" localSheetId="9" hidden="1">Mapping!$AS$219</definedName>
    <definedName name="SD_4270x1_8066x18_23_S_0" localSheetId="9" hidden="1">Mapping!$AR$219</definedName>
    <definedName name="SD_4270x1_8066x18_25_S_1" localSheetId="9" hidden="1">Mapping!$AN$219</definedName>
    <definedName name="SD_4270x1_8066x19_10_S_0" localSheetId="9" hidden="1">Mapping!$AV$220</definedName>
    <definedName name="SD_4270x1_8066x19_12_S_1" localSheetId="9" hidden="1">Mapping!$AU$220</definedName>
    <definedName name="SD_4270x1_8066x19_13_S_1" localSheetId="9" hidden="1">Mapping!$AO$220</definedName>
    <definedName name="SD_4270x1_8066x19_14_S_0" localSheetId="9" hidden="1">Mapping!$AW$220</definedName>
    <definedName name="SD_4270x1_8066x19_16_S_0" localSheetId="9" hidden="1">Mapping!$AQ$220</definedName>
    <definedName name="SD_4270x1_8066x19_18_S_0" localSheetId="9" hidden="1">Mapping!$AP$220</definedName>
    <definedName name="SD_4270x1_8066x19_19_S_0" localSheetId="9" hidden="1">Mapping!$AZ$220</definedName>
    <definedName name="SD_4270x1_8066x19_21_S_0" localSheetId="9" hidden="1">Mapping!$AS$220</definedName>
    <definedName name="SD_4270x1_8066x19_23_S_0" localSheetId="9" hidden="1">Mapping!$AR$220</definedName>
    <definedName name="SD_4270x1_8066x19_25_S_1" localSheetId="9" hidden="1">Mapping!$AN$220</definedName>
    <definedName name="SD_4270x1_8066x2_10_S_0" localSheetId="9">Mapping!$AV$202</definedName>
    <definedName name="SD_4270x1_8066x2_12_S_1" localSheetId="9">Mapping!$AU$202</definedName>
    <definedName name="SD_4270x1_8066x2_13_S_1" localSheetId="9">Mapping!$AO$202</definedName>
    <definedName name="SD_4270x1_8066x2_14_S_0" localSheetId="9">Mapping!$AW$202</definedName>
    <definedName name="SD_4270x1_8066x2_15_S_0" localSheetId="9">Mapping!$AP$202</definedName>
    <definedName name="SD_4270x1_8066x2_19_S_0" localSheetId="9">Mapping!$AZ$202</definedName>
    <definedName name="SD_4270x1_8066x2_21_S_0" localSheetId="9">Mapping!$AS$202</definedName>
    <definedName name="SD_4270x1_8066x2_23_S_0" localSheetId="9">Mapping!$AR$202</definedName>
    <definedName name="SD_4270x1_8066x2_25_S_1" localSheetId="9">Mapping!$AN$202</definedName>
    <definedName name="SD_4270x1_8066x20_10_S_0" localSheetId="9" hidden="1">Mapping!$AV$221</definedName>
    <definedName name="SD_4270x1_8066x20_12_S_1" localSheetId="9" hidden="1">Mapping!$AU$221</definedName>
    <definedName name="SD_4270x1_8066x20_13_S_1" localSheetId="9" hidden="1">Mapping!$AO$221</definedName>
    <definedName name="SD_4270x1_8066x20_14_S_0" localSheetId="9" hidden="1">Mapping!$AW$221</definedName>
    <definedName name="SD_4270x1_8066x20_16_S_0" localSheetId="9" hidden="1">Mapping!$AQ$221</definedName>
    <definedName name="SD_4270x1_8066x20_18_S_0" localSheetId="9" hidden="1">Mapping!$AP$221</definedName>
    <definedName name="SD_4270x1_8066x20_19_S_0" localSheetId="9" hidden="1">Mapping!$AZ$221</definedName>
    <definedName name="SD_4270x1_8066x20_21_S_0" localSheetId="9" hidden="1">Mapping!$AS$221</definedName>
    <definedName name="SD_4270x1_8066x20_23_S_0" localSheetId="9" hidden="1">Mapping!$AR$221</definedName>
    <definedName name="SD_4270x1_8066x20_25_S_1" localSheetId="9" hidden="1">Mapping!$AN$221</definedName>
    <definedName name="SD_4270x1_8066x3_10_S_0" localSheetId="9">Mapping!$AV$203</definedName>
    <definedName name="SD_4270x1_8066x3_12_S_1" localSheetId="9">Mapping!$AU$203</definedName>
    <definedName name="SD_4270x1_8066x3_13_S_1" localSheetId="9">Mapping!$AO$203</definedName>
    <definedName name="SD_4270x1_8066x3_14_S_0" localSheetId="9">Mapping!$AW$203</definedName>
    <definedName name="SD_4270x1_8066x3_15_S_0" localSheetId="9">Mapping!$AP$203</definedName>
    <definedName name="SD_4270x1_8066x3_19_S_0" localSheetId="9">Mapping!$AZ$203</definedName>
    <definedName name="SD_4270x1_8066x3_21_S_0" localSheetId="9">Mapping!$AS$203</definedName>
    <definedName name="SD_4270x1_8066x3_23_S_0" localSheetId="9">Mapping!$AR$203</definedName>
    <definedName name="SD_4270x1_8066x3_25_S_1" localSheetId="9">Mapping!$AN$203</definedName>
    <definedName name="SD_4270x1_8066x4_10_S_0" localSheetId="9">Mapping!$AV$204</definedName>
    <definedName name="SD_4270x1_8066x4_12_S_1" localSheetId="9">Mapping!$AU$204</definedName>
    <definedName name="SD_4270x1_8066x4_13_S_1" localSheetId="9">Mapping!$AO$204</definedName>
    <definedName name="SD_4270x1_8066x4_14_S_0" localSheetId="9">Mapping!$AW$204</definedName>
    <definedName name="SD_4270x1_8066x4_15_S_0" localSheetId="9">Mapping!$AP$204</definedName>
    <definedName name="SD_4270x1_8066x4_19_S_0" localSheetId="9">Mapping!$AZ$204</definedName>
    <definedName name="SD_4270x1_8066x4_21_S_0" localSheetId="9">Mapping!$AS$204</definedName>
    <definedName name="SD_4270x1_8066x4_23_S_0" localSheetId="9">Mapping!$AR$204</definedName>
    <definedName name="SD_4270x1_8066x4_25_S_1" localSheetId="9">Mapping!$AN$204</definedName>
    <definedName name="SD_4270x1_8066x5_10_S_0" localSheetId="9">Mapping!$AV$205</definedName>
    <definedName name="SD_4270x1_8066x5_12_S_1" localSheetId="9">Mapping!$AU$205</definedName>
    <definedName name="SD_4270x1_8066x5_13_S_1" localSheetId="9">Mapping!$AO$205</definedName>
    <definedName name="SD_4270x1_8066x5_14_S_0" localSheetId="9">Mapping!$AW$205</definedName>
    <definedName name="SD_4270x1_8066x5_15_S_0" localSheetId="9">Mapping!$AP$205</definedName>
    <definedName name="SD_4270x1_8066x5_19_S_0" localSheetId="9">Mapping!$AZ$205</definedName>
    <definedName name="SD_4270x1_8066x5_21_S_0" localSheetId="9">Mapping!$AS$205</definedName>
    <definedName name="SD_4270x1_8066x5_23_S_0" localSheetId="9">Mapping!$AR$205</definedName>
    <definedName name="SD_4270x1_8066x5_25_S_1" localSheetId="9">Mapping!$AN$205</definedName>
    <definedName name="SD_4270x1_8066x6_10_S_0" localSheetId="9">Mapping!$AV$206</definedName>
    <definedName name="SD_4270x1_8066x6_12_S_1" localSheetId="9">Mapping!$AU$206</definedName>
    <definedName name="SD_4270x1_8066x6_13_S_1" localSheetId="9">Mapping!$AO$206</definedName>
    <definedName name="SD_4270x1_8066x6_14_S_0" localSheetId="9">Mapping!$AW$206</definedName>
    <definedName name="SD_4270x1_8066x6_15_S_0" localSheetId="9">Mapping!$AP$206</definedName>
    <definedName name="SD_4270x1_8066x6_19_S_0" localSheetId="9">Mapping!$AZ$206</definedName>
    <definedName name="SD_4270x1_8066x6_21_S_0" localSheetId="9">Mapping!$AS$206</definedName>
    <definedName name="SD_4270x1_8066x6_23_S_0" localSheetId="9">Mapping!$AR$206</definedName>
    <definedName name="SD_4270x1_8066x6_25_S_1" localSheetId="9">Mapping!$AN$206</definedName>
    <definedName name="SD_4270x1_8066x7_10_S_0" localSheetId="9">Mapping!$AV$207</definedName>
    <definedName name="SD_4270x1_8066x7_12_S_1" localSheetId="9">Mapping!$AU$207</definedName>
    <definedName name="SD_4270x1_8066x7_13_S_1" localSheetId="9">Mapping!$AO$207</definedName>
    <definedName name="SD_4270x1_8066x7_14_S_0" localSheetId="9">Mapping!$AW$207</definedName>
    <definedName name="SD_4270x1_8066x7_15_S_0" localSheetId="9">Mapping!$AP$207</definedName>
    <definedName name="SD_4270x1_8066x7_19_S_0" localSheetId="9">Mapping!$AZ$207</definedName>
    <definedName name="SD_4270x1_8066x7_21_S_0" localSheetId="9">Mapping!$AS$207</definedName>
    <definedName name="SD_4270x1_8066x7_23_S_0" localSheetId="9">Mapping!$AR$207</definedName>
    <definedName name="SD_4270x1_8066x7_25_S_1" localSheetId="9">Mapping!$AN$207</definedName>
    <definedName name="SD_4270x1_8066x8_10_S_0" localSheetId="9">Mapping!$AV$208</definedName>
    <definedName name="SD_4270x1_8066x8_12_S_1" localSheetId="9">Mapping!$AU$208</definedName>
    <definedName name="SD_4270x1_8066x8_13_S_1" localSheetId="9">Mapping!$AO$208</definedName>
    <definedName name="SD_4270x1_8066x8_14_S_0" localSheetId="9">Mapping!$AW$208</definedName>
    <definedName name="SD_4270x1_8066x8_15_S_0" localSheetId="9">Mapping!$AP$208</definedName>
    <definedName name="SD_4270x1_8066x8_19_S_0" localSheetId="9">Mapping!$AZ$208</definedName>
    <definedName name="SD_4270x1_8066x8_21_S_0" localSheetId="9">Mapping!$AS$208</definedName>
    <definedName name="SD_4270x1_8066x8_23_S_0" localSheetId="9">Mapping!$AR$208</definedName>
    <definedName name="SD_4270x1_8066x8_25_S_1" localSheetId="9">Mapping!$AN$208</definedName>
    <definedName name="SD_4270x1_8066x9_10_S_0" localSheetId="9">Mapping!$AV$209</definedName>
    <definedName name="SD_4270x1_8066x9_12_S_1" localSheetId="9">Mapping!$AU$209</definedName>
    <definedName name="SD_4270x1_8066x9_13_S_1" localSheetId="9">Mapping!$AO$209</definedName>
    <definedName name="SD_4270x1_8066x9_14_S_0" localSheetId="9">Mapping!$AW$209</definedName>
    <definedName name="SD_4270x1_8066x9_15_S_0" localSheetId="9">Mapping!$AP$209</definedName>
    <definedName name="SD_4270x1_8066x9_19_S_0" localSheetId="9">Mapping!$AZ$209</definedName>
    <definedName name="SD_4270x1_8066x9_21_S_0" localSheetId="9">Mapping!$AS$209</definedName>
    <definedName name="SD_4270x1_8066x9_23_S_0" localSheetId="9">Mapping!$AR$209</definedName>
    <definedName name="SD_4270x1_8066x9_25_S_1" localSheetId="9">Mapping!$AN$209</definedName>
    <definedName name="SD_5118x1_17_S_0" localSheetId="9" hidden="1">Mapping!$H$181</definedName>
    <definedName name="SD_5118x1_18_S_0" localSheetId="9" hidden="1">Mapping!$H$185</definedName>
    <definedName name="SD_8055x1_10_S_0" localSheetId="9">Mapping!$P$201</definedName>
    <definedName name="SD_8055x1_12_S_1" localSheetId="9">Mapping!$O$201</definedName>
    <definedName name="SD_8055x1_13_S_1" localSheetId="9">Mapping!$I$201</definedName>
    <definedName name="SD_8055x1_14_S_0" localSheetId="9">Mapping!$Q$201</definedName>
    <definedName name="SD_8055x1_15_S_0" localSheetId="9">Mapping!$J$201</definedName>
    <definedName name="SD_8055x1_19_S_0" localSheetId="9">Mapping!$T$201</definedName>
    <definedName name="SD_8055x1_21_S_0" localSheetId="9">Mapping!$M$201</definedName>
    <definedName name="SD_8055x1_23_S_0" localSheetId="9">Mapping!$L$201</definedName>
    <definedName name="SD_8055x1_24_S_1" localSheetId="9">Mapping!$H$201</definedName>
    <definedName name="SD_8055x10_10_S_0" localSheetId="9">Mapping!$P$210</definedName>
    <definedName name="SD_8055x10_12_S_1" localSheetId="9">Mapping!$O$210</definedName>
    <definedName name="SD_8055x10_13_S_1" localSheetId="9">Mapping!$I$210</definedName>
    <definedName name="SD_8055x10_14_S_0" localSheetId="9">Mapping!$Q$210</definedName>
    <definedName name="SD_8055x10_15_S_0" localSheetId="9">Mapping!$J$210</definedName>
    <definedName name="SD_8055x10_19_S_0" localSheetId="9">Mapping!$T$210</definedName>
    <definedName name="SD_8055x10_21_S_0" localSheetId="9">Mapping!$M$210</definedName>
    <definedName name="SD_8055x10_23_S_0" localSheetId="9">Mapping!$L$210</definedName>
    <definedName name="SD_8055x10_24_S_1" localSheetId="9">Mapping!$H$210</definedName>
    <definedName name="SD_8055x11_10_S_0" localSheetId="9" hidden="1">Mapping!$P$212</definedName>
    <definedName name="SD_8055x11_12_S_1" localSheetId="9" hidden="1">Mapping!$O$212</definedName>
    <definedName name="SD_8055x11_13_S_1" localSheetId="9" hidden="1">Mapping!$I$212</definedName>
    <definedName name="SD_8055x11_14_S_0" localSheetId="9" hidden="1">Mapping!$Q$212</definedName>
    <definedName name="SD_8055x11_16_S_0" localSheetId="9" hidden="1">Mapping!$K$212</definedName>
    <definedName name="SD_8055x11_18_S_0" localSheetId="9" hidden="1">Mapping!$J$212</definedName>
    <definedName name="SD_8055x11_19_S_0" localSheetId="9" hidden="1">Mapping!$T$212</definedName>
    <definedName name="SD_8055x11_21_S_0" localSheetId="9" hidden="1">Mapping!$M$212</definedName>
    <definedName name="SD_8055x11_23_S_0" localSheetId="9" hidden="1">Mapping!$L$212</definedName>
    <definedName name="SD_8055x11_24_S_1" localSheetId="9" hidden="1">Mapping!$H$212</definedName>
    <definedName name="SD_8055x12_10_S_0" localSheetId="9" hidden="1">Mapping!$P$213</definedName>
    <definedName name="SD_8055x12_12_S_1" localSheetId="9" hidden="1">Mapping!$O$213</definedName>
    <definedName name="SD_8055x12_13_S_1" localSheetId="9" hidden="1">Mapping!$I$213</definedName>
    <definedName name="SD_8055x12_14_S_0" localSheetId="9" hidden="1">Mapping!$Q$213</definedName>
    <definedName name="SD_8055x12_16_S_0" localSheetId="9" hidden="1">Mapping!$K$213</definedName>
    <definedName name="SD_8055x12_18_S_0" localSheetId="9" hidden="1">Mapping!$J$213</definedName>
    <definedName name="SD_8055x12_19_S_0" localSheetId="9" hidden="1">Mapping!$T$213</definedName>
    <definedName name="SD_8055x12_21_S_0" localSheetId="9" hidden="1">Mapping!$M$213</definedName>
    <definedName name="SD_8055x12_23_S_0" localSheetId="9" hidden="1">Mapping!$L$213</definedName>
    <definedName name="SD_8055x12_24_S_1" localSheetId="9" hidden="1">Mapping!$H$213</definedName>
    <definedName name="SD_8055x13_10_S_0" localSheetId="9" hidden="1">Mapping!$P$214</definedName>
    <definedName name="SD_8055x13_12_S_1" localSheetId="9" hidden="1">Mapping!$O$214</definedName>
    <definedName name="SD_8055x13_13_S_1" localSheetId="9" hidden="1">Mapping!$I$214</definedName>
    <definedName name="SD_8055x13_14_S_0" localSheetId="9" hidden="1">Mapping!$Q$214</definedName>
    <definedName name="SD_8055x13_16_S_0" localSheetId="9" hidden="1">Mapping!$K$214</definedName>
    <definedName name="SD_8055x13_18_S_0" localSheetId="9" hidden="1">Mapping!$J$214</definedName>
    <definedName name="SD_8055x13_19_S_0" localSheetId="9" hidden="1">Mapping!$T$214</definedName>
    <definedName name="SD_8055x13_21_S_0" localSheetId="9" hidden="1">Mapping!$M$214</definedName>
    <definedName name="SD_8055x13_23_S_0" localSheetId="9" hidden="1">Mapping!$L$214</definedName>
    <definedName name="SD_8055x13_24_S_1" localSheetId="9" hidden="1">Mapping!$H$214</definedName>
    <definedName name="SD_8055x14_10_S_0" localSheetId="9" hidden="1">Mapping!$P$215</definedName>
    <definedName name="SD_8055x14_12_S_1" localSheetId="9" hidden="1">Mapping!$O$215</definedName>
    <definedName name="SD_8055x14_13_S_1" localSheetId="9" hidden="1">Mapping!$I$215</definedName>
    <definedName name="SD_8055x14_14_S_0" localSheetId="9" hidden="1">Mapping!$Q$215</definedName>
    <definedName name="SD_8055x14_16_S_0" localSheetId="9" hidden="1">Mapping!$K$215</definedName>
    <definedName name="SD_8055x14_18_S_0" localSheetId="9" hidden="1">Mapping!$J$215</definedName>
    <definedName name="SD_8055x14_19_S_0" localSheetId="9" hidden="1">Mapping!$T$215</definedName>
    <definedName name="SD_8055x14_21_S_0" localSheetId="9" hidden="1">Mapping!$M$215</definedName>
    <definedName name="SD_8055x14_23_S_0" localSheetId="9" hidden="1">Mapping!$L$215</definedName>
    <definedName name="SD_8055x14_24_S_1" localSheetId="9" hidden="1">Mapping!$H$215</definedName>
    <definedName name="SD_8055x15_10_S_0" localSheetId="9" hidden="1">Mapping!$P$216</definedName>
    <definedName name="SD_8055x15_12_S_1" localSheetId="9" hidden="1">Mapping!$O$216</definedName>
    <definedName name="SD_8055x15_13_S_1" localSheetId="9" hidden="1">Mapping!$I$216</definedName>
    <definedName name="SD_8055x15_14_S_0" localSheetId="9" hidden="1">Mapping!$Q$216</definedName>
    <definedName name="SD_8055x15_16_S_0" localSheetId="9" hidden="1">Mapping!$K$216</definedName>
    <definedName name="SD_8055x15_18_S_0" localSheetId="9" hidden="1">Mapping!$J$216</definedName>
    <definedName name="SD_8055x15_19_S_0" localSheetId="9" hidden="1">Mapping!$T$216</definedName>
    <definedName name="SD_8055x15_21_S_0" localSheetId="9" hidden="1">Mapping!$M$216</definedName>
    <definedName name="SD_8055x15_23_S_0" localSheetId="9" hidden="1">Mapping!$L$216</definedName>
    <definedName name="SD_8055x15_24_S_1" localSheetId="9" hidden="1">Mapping!$H$216</definedName>
    <definedName name="SD_8055x16_10_S_0" localSheetId="9" hidden="1">Mapping!$P$217</definedName>
    <definedName name="SD_8055x16_12_S_1" localSheetId="9" hidden="1">Mapping!$O$217</definedName>
    <definedName name="SD_8055x16_13_S_1" localSheetId="9" hidden="1">Mapping!$I$217</definedName>
    <definedName name="SD_8055x16_14_S_0" localSheetId="9" hidden="1">Mapping!$Q$217</definedName>
    <definedName name="SD_8055x16_16_S_0" localSheetId="9" hidden="1">Mapping!$K$217</definedName>
    <definedName name="SD_8055x16_18_S_0" localSheetId="9" hidden="1">Mapping!$J$217</definedName>
    <definedName name="SD_8055x16_19_S_0" localSheetId="9" hidden="1">Mapping!$T$217</definedName>
    <definedName name="SD_8055x16_21_S_0" localSheetId="9" hidden="1">Mapping!$M$217</definedName>
    <definedName name="SD_8055x16_23_S_0" localSheetId="9" hidden="1">Mapping!$L$217</definedName>
    <definedName name="SD_8055x16_24_S_1" localSheetId="9" hidden="1">Mapping!$H$217</definedName>
    <definedName name="SD_8055x17_10_S_0" localSheetId="9" hidden="1">Mapping!$P$218</definedName>
    <definedName name="SD_8055x17_12_S_1" localSheetId="9" hidden="1">Mapping!$O$218</definedName>
    <definedName name="SD_8055x17_13_S_1" localSheetId="9" hidden="1">Mapping!$I$218</definedName>
    <definedName name="SD_8055x17_14_S_0" localSheetId="9" hidden="1">Mapping!$Q$218</definedName>
    <definedName name="SD_8055x17_16_S_0" localSheetId="9" hidden="1">Mapping!$K$218</definedName>
    <definedName name="SD_8055x17_18_S_0" localSheetId="9" hidden="1">Mapping!$J$218</definedName>
    <definedName name="SD_8055x17_19_S_0" localSheetId="9" hidden="1">Mapping!$T$218</definedName>
    <definedName name="SD_8055x17_21_S_0" localSheetId="9" hidden="1">Mapping!$M$218</definedName>
    <definedName name="SD_8055x17_23_S_0" localSheetId="9" hidden="1">Mapping!$L$218</definedName>
    <definedName name="SD_8055x17_24_S_1" localSheetId="9" hidden="1">Mapping!$H$218</definedName>
    <definedName name="SD_8055x18_10_S_0" localSheetId="9" hidden="1">Mapping!$P$219</definedName>
    <definedName name="SD_8055x18_12_S_1" localSheetId="9" hidden="1">Mapping!$O$219</definedName>
    <definedName name="SD_8055x18_13_S_1" localSheetId="9" hidden="1">Mapping!$I$219</definedName>
    <definedName name="SD_8055x18_14_S_0" localSheetId="9" hidden="1">Mapping!$Q$219</definedName>
    <definedName name="SD_8055x18_16_S_0" localSheetId="9" hidden="1">Mapping!$K$219</definedName>
    <definedName name="SD_8055x18_18_S_0" localSheetId="9" hidden="1">Mapping!$J$219</definedName>
    <definedName name="SD_8055x18_19_S_0" localSheetId="9" hidden="1">Mapping!$T$219</definedName>
    <definedName name="SD_8055x18_21_S_0" localSheetId="9" hidden="1">Mapping!$M$219</definedName>
    <definedName name="SD_8055x18_23_S_0" localSheetId="9" hidden="1">Mapping!$L$219</definedName>
    <definedName name="SD_8055x18_24_S_1" localSheetId="9" hidden="1">Mapping!$H$219</definedName>
    <definedName name="SD_8055x19_10_S_0" localSheetId="9" hidden="1">Mapping!$P$220</definedName>
    <definedName name="SD_8055x19_12_S_1" localSheetId="9" hidden="1">Mapping!$O$220</definedName>
    <definedName name="SD_8055x19_13_S_1" localSheetId="9" hidden="1">Mapping!$I$220</definedName>
    <definedName name="SD_8055x19_14_S_0" localSheetId="9" hidden="1">Mapping!$Q$220</definedName>
    <definedName name="SD_8055x19_16_S_0" localSheetId="9" hidden="1">Mapping!$K$220</definedName>
    <definedName name="SD_8055x19_18_S_0" localSheetId="9" hidden="1">Mapping!$J$220</definedName>
    <definedName name="SD_8055x19_19_S_0" localSheetId="9" hidden="1">Mapping!$T$220</definedName>
    <definedName name="SD_8055x19_21_S_0" localSheetId="9" hidden="1">Mapping!$M$220</definedName>
    <definedName name="SD_8055x19_23_S_0" localSheetId="9" hidden="1">Mapping!$L$220</definedName>
    <definedName name="SD_8055x19_24_S_1" localSheetId="9" hidden="1">Mapping!$H$220</definedName>
    <definedName name="SD_8055x2_10_S_0" localSheetId="9">Mapping!$P$202</definedName>
    <definedName name="SD_8055x2_12_S_1" localSheetId="9">Mapping!$O$202</definedName>
    <definedName name="SD_8055x2_13_S_1" localSheetId="9">Mapping!$I$202</definedName>
    <definedName name="SD_8055x2_14_S_0" localSheetId="9">Mapping!$Q$202</definedName>
    <definedName name="SD_8055x2_15_S_0" localSheetId="9">Mapping!$J$202</definedName>
    <definedName name="SD_8055x2_19_S_0" localSheetId="9">Mapping!$T$202</definedName>
    <definedName name="SD_8055x2_21_S_0" localSheetId="9">Mapping!$M$202</definedName>
    <definedName name="SD_8055x2_23_S_0" localSheetId="9">Mapping!$L$202</definedName>
    <definedName name="SD_8055x2_24_S_1" localSheetId="9">Mapping!$H$202</definedName>
    <definedName name="SD_8055x20_10_S_0" localSheetId="9" hidden="1">Mapping!$P$221</definedName>
    <definedName name="SD_8055x20_12_S_1" localSheetId="9" hidden="1">Mapping!$O$221</definedName>
    <definedName name="SD_8055x20_13_S_1" localSheetId="9" hidden="1">Mapping!$I$221</definedName>
    <definedName name="SD_8055x20_14_S_0" localSheetId="9" hidden="1">Mapping!$Q$221</definedName>
    <definedName name="SD_8055x20_16_S_0" localSheetId="9" hidden="1">Mapping!$K$221</definedName>
    <definedName name="SD_8055x20_18_S_0" localSheetId="9" hidden="1">Mapping!$J$221</definedName>
    <definedName name="SD_8055x20_19_S_0" localSheetId="9" hidden="1">Mapping!$T$221</definedName>
    <definedName name="SD_8055x20_21_S_0" localSheetId="9" hidden="1">Mapping!$M$221</definedName>
    <definedName name="SD_8055x20_23_S_0" localSheetId="9" hidden="1">Mapping!$L$221</definedName>
    <definedName name="SD_8055x20_24_S_1" localSheetId="9" hidden="1">Mapping!$H$221</definedName>
    <definedName name="SD_8055x21_10_S_0" localSheetId="9" hidden="1">Mapping!$H$760</definedName>
    <definedName name="SD_8055x21_12_S_1" localSheetId="9" hidden="1">Mapping!$H$759</definedName>
    <definedName name="SD_8055x21_13_S_1" localSheetId="9" hidden="1">Mapping!$H$754</definedName>
    <definedName name="SD_8055x21_14_S_0" localSheetId="9" hidden="1">Mapping!$H$764</definedName>
    <definedName name="SD_8055x21_15_S_0" localSheetId="9" hidden="1">Mapping!$H$755</definedName>
    <definedName name="SD_8055x21_19_S_0" localSheetId="9" hidden="1">Mapping!$H$765</definedName>
    <definedName name="SD_8055x21_21_S_0" localSheetId="9" hidden="1">Mapping!$H$758</definedName>
    <definedName name="SD_8055x21_23_S_0" localSheetId="9" hidden="1">Mapping!$H$756</definedName>
    <definedName name="SD_8055x21_24_S_1" localSheetId="9" hidden="1">Mapping!$H$753</definedName>
    <definedName name="SD_8055x22_10_S_0" localSheetId="9" hidden="1">Mapping!$I$760</definedName>
    <definedName name="SD_8055x22_12_S_1" localSheetId="9" hidden="1">Mapping!$I$759</definedName>
    <definedName name="SD_8055x22_13_S_1" localSheetId="9" hidden="1">Mapping!$I$754</definedName>
    <definedName name="SD_8055x22_14_S_0" localSheetId="9" hidden="1">Mapping!$I$764</definedName>
    <definedName name="SD_8055x22_16_S_0" localSheetId="9" hidden="1">Mapping!$I$763</definedName>
    <definedName name="SD_8055x22_18_S_0" localSheetId="9" hidden="1">Mapping!$I$762</definedName>
    <definedName name="SD_8055x22_19_S_0" localSheetId="9" hidden="1">Mapping!$I$765</definedName>
    <definedName name="SD_8055x22_21_S_0" localSheetId="9" hidden="1">Mapping!$I$758</definedName>
    <definedName name="SD_8055x22_23_S_0" localSheetId="9" hidden="1">Mapping!$I$756</definedName>
    <definedName name="SD_8055x22_24_S_1" localSheetId="9" hidden="1">Mapping!$I$753</definedName>
    <definedName name="SD_8055x23_10_S_0" localSheetId="9" hidden="1">Mapping!$H$789</definedName>
    <definedName name="SD_8055x23_12_S_1" localSheetId="9" hidden="1">Mapping!$H$788</definedName>
    <definedName name="SD_8055x23_13_S_1" localSheetId="9" hidden="1">Mapping!$H$783</definedName>
    <definedName name="SD_8055x23_14_S_0" localSheetId="9" hidden="1">Mapping!$H$793</definedName>
    <definedName name="SD_8055x23_15_S_0" localSheetId="9" hidden="1">Mapping!$H$784</definedName>
    <definedName name="SD_8055x23_19_S_0" localSheetId="9" hidden="1">Mapping!$H$794</definedName>
    <definedName name="SD_8055x23_21_S_0" localSheetId="9" hidden="1">Mapping!$H$787</definedName>
    <definedName name="SD_8055x23_23_S_0" localSheetId="9" hidden="1">Mapping!$H$785</definedName>
    <definedName name="SD_8055x23_24_S_1" localSheetId="9" hidden="1">Mapping!$H$782</definedName>
    <definedName name="SD_8055x24_10_S_0" localSheetId="9" hidden="1">Mapping!$I$789</definedName>
    <definedName name="SD_8055x24_12_S_1" localSheetId="9" hidden="1">Mapping!$I$788</definedName>
    <definedName name="SD_8055x24_13_S_1" localSheetId="9" hidden="1">Mapping!$I$783</definedName>
    <definedName name="SD_8055x24_14_S_0" localSheetId="9" hidden="1">Mapping!$I$793</definedName>
    <definedName name="SD_8055x24_16_S_0" localSheetId="9" hidden="1">Mapping!$I$792</definedName>
    <definedName name="SD_8055x24_18_S_0" localSheetId="9" hidden="1">Mapping!$I$791</definedName>
    <definedName name="SD_8055x24_19_S_0" localSheetId="9" hidden="1">Mapping!$I$794</definedName>
    <definedName name="SD_8055x24_21_S_0" localSheetId="9" hidden="1">Mapping!$I$787</definedName>
    <definedName name="SD_8055x24_23_S_0" localSheetId="9" hidden="1">Mapping!$I$785</definedName>
    <definedName name="SD_8055x24_24_S_1" localSheetId="9" hidden="1">Mapping!$I$782</definedName>
    <definedName name="SD_8055x3_10_S_0" localSheetId="9">Mapping!$P$203</definedName>
    <definedName name="SD_8055x3_12_S_1" localSheetId="9">Mapping!$O$203</definedName>
    <definedName name="SD_8055x3_13_S_1" localSheetId="9">Mapping!$I$203</definedName>
    <definedName name="SD_8055x3_14_S_0" localSheetId="9">Mapping!$Q$203</definedName>
    <definedName name="SD_8055x3_15_S_0" localSheetId="9">Mapping!$J$203</definedName>
    <definedName name="SD_8055x3_19_S_0" localSheetId="9">Mapping!$T$203</definedName>
    <definedName name="SD_8055x3_21_S_0" localSheetId="9">Mapping!$M$203</definedName>
    <definedName name="SD_8055x3_23_S_0" localSheetId="9">Mapping!$L$203</definedName>
    <definedName name="SD_8055x3_24_S_1" localSheetId="9">Mapping!$H$203</definedName>
    <definedName name="SD_8055x4_10_S_0" localSheetId="9">Mapping!$P$204</definedName>
    <definedName name="SD_8055x4_12_S_1" localSheetId="9">Mapping!$O$204</definedName>
    <definedName name="SD_8055x4_13_S_1" localSheetId="9">Mapping!$I$204</definedName>
    <definedName name="SD_8055x4_14_S_0" localSheetId="9">Mapping!$Q$204</definedName>
    <definedName name="SD_8055x4_15_S_0" localSheetId="9">Mapping!$J$204</definedName>
    <definedName name="SD_8055x4_19_S_0" localSheetId="9">Mapping!$T$204</definedName>
    <definedName name="SD_8055x4_21_S_0" localSheetId="9">Mapping!$M$204</definedName>
    <definedName name="SD_8055x4_23_S_0" localSheetId="9">Mapping!$L$204</definedName>
    <definedName name="SD_8055x4_24_S_1" localSheetId="9">Mapping!$H$204</definedName>
    <definedName name="SD_8055x5_10_S_0" localSheetId="9">Mapping!$P$205</definedName>
    <definedName name="SD_8055x5_12_S_1" localSheetId="9">Mapping!$O$205</definedName>
    <definedName name="SD_8055x5_13_S_1" localSheetId="9">Mapping!$I$205</definedName>
    <definedName name="SD_8055x5_14_S_0" localSheetId="9">Mapping!$Q$205</definedName>
    <definedName name="SD_8055x5_15_S_0" localSheetId="9">Mapping!$J$205</definedName>
    <definedName name="SD_8055x5_19_S_0" localSheetId="9">Mapping!$T$205</definedName>
    <definedName name="SD_8055x5_21_S_0" localSheetId="9">Mapping!$M$205</definedName>
    <definedName name="SD_8055x5_23_S_0" localSheetId="9">Mapping!$L$205</definedName>
    <definedName name="SD_8055x5_24_S_1" localSheetId="9">Mapping!$H$205</definedName>
    <definedName name="SD_8055x6_10_S_0" localSheetId="9">Mapping!$P$206</definedName>
    <definedName name="SD_8055x6_12_S_1" localSheetId="9">Mapping!$O$206</definedName>
    <definedName name="SD_8055x6_13_S_1" localSheetId="9">Mapping!$I$206</definedName>
    <definedName name="SD_8055x6_14_S_0" localSheetId="9">Mapping!$Q$206</definedName>
    <definedName name="SD_8055x6_15_S_0" localSheetId="9">Mapping!$J$206</definedName>
    <definedName name="SD_8055x6_19_S_0" localSheetId="9">Mapping!$T$206</definedName>
    <definedName name="SD_8055x6_21_S_0" localSheetId="9">Mapping!$M$206</definedName>
    <definedName name="SD_8055x6_23_S_0" localSheetId="9">Mapping!$L$206</definedName>
    <definedName name="SD_8055x6_24_S_1" localSheetId="9">Mapping!$H$206</definedName>
    <definedName name="SD_8055x7_10_S_0" localSheetId="9">Mapping!$P$207</definedName>
    <definedName name="SD_8055x7_12_S_1" localSheetId="9">Mapping!$O$207</definedName>
    <definedName name="SD_8055x7_13_S_1" localSheetId="9">Mapping!$I$207</definedName>
    <definedName name="SD_8055x7_14_S_0" localSheetId="9">Mapping!$Q$207</definedName>
    <definedName name="SD_8055x7_15_S_0" localSheetId="9">Mapping!$J$207</definedName>
    <definedName name="SD_8055x7_19_S_0" localSheetId="9">Mapping!$T$207</definedName>
    <definedName name="SD_8055x7_21_S_0" localSheetId="9">Mapping!$M$207</definedName>
    <definedName name="SD_8055x7_23_S_0" localSheetId="9">Mapping!$L$207</definedName>
    <definedName name="SD_8055x7_24_S_1" localSheetId="9">Mapping!$H$207</definedName>
    <definedName name="SD_8055x8_10_S_0" localSheetId="9">Mapping!$P$208</definedName>
    <definedName name="SD_8055x8_12_S_1" localSheetId="9">Mapping!$O$208</definedName>
    <definedName name="SD_8055x8_13_S_1" localSheetId="9">Mapping!$I$208</definedName>
    <definedName name="SD_8055x8_14_S_0" localSheetId="9">Mapping!$Q$208</definedName>
    <definedName name="SD_8055x8_15_S_0" localSheetId="9">Mapping!$J$208</definedName>
    <definedName name="SD_8055x8_19_S_0" localSheetId="9">Mapping!$T$208</definedName>
    <definedName name="SD_8055x8_21_S_0" localSheetId="9">Mapping!$M$208</definedName>
    <definedName name="SD_8055x8_23_S_0" localSheetId="9">Mapping!$L$208</definedName>
    <definedName name="SD_8055x8_24_S_1" localSheetId="9">Mapping!$H$208</definedName>
    <definedName name="SD_8055x9_10_S_0" localSheetId="9">Mapping!$P$209</definedName>
    <definedName name="SD_8055x9_12_S_1" localSheetId="9">Mapping!$O$209</definedName>
    <definedName name="SD_8055x9_13_S_1" localSheetId="9">Mapping!$I$209</definedName>
    <definedName name="SD_8055x9_14_S_0" localSheetId="9">Mapping!$Q$209</definedName>
    <definedName name="SD_8055x9_15_S_0" localSheetId="9">Mapping!$J$209</definedName>
    <definedName name="SD_8055x9_19_S_0" localSheetId="9">Mapping!$T$209</definedName>
    <definedName name="SD_8055x9_21_S_0" localSheetId="9">Mapping!$M$209</definedName>
    <definedName name="SD_8055x9_23_S_0" localSheetId="9">Mapping!$L$209</definedName>
    <definedName name="SD_8055x9_24_S_1" localSheetId="9">Mapping!$H$209</definedName>
    <definedName name="SD_81x1_100_S_0" localSheetId="9">Mapping!$H$616</definedName>
    <definedName name="SD_81x1_101_S_0" localSheetId="9">Mapping!$G$616</definedName>
    <definedName name="SD_81x1_102_S_0" localSheetId="9">Mapping!$H$617</definedName>
    <definedName name="SD_81x1_103_S_0" localSheetId="9">Mapping!$G$617</definedName>
    <definedName name="SD_81x1_104_S_0" localSheetId="9">Mapping!$H$625</definedName>
    <definedName name="SD_81x1_105_S_0" localSheetId="9">Mapping!$G$625</definedName>
    <definedName name="SD_81x1_106_S_0" localSheetId="9">Mapping!$H$631</definedName>
    <definedName name="SD_81x1_107_S_0" localSheetId="9">Mapping!$G$631</definedName>
    <definedName name="SD_81x1_108_S_0" localSheetId="9">Mapping!$H$633</definedName>
    <definedName name="SD_81x1_109_S_0" localSheetId="9">Mapping!$G$633</definedName>
    <definedName name="SD_81x1_110_S_0" localSheetId="9">Mapping!$H$634</definedName>
    <definedName name="SD_81x1_111_S_0" localSheetId="9">Mapping!$G$634</definedName>
    <definedName name="SD_81x1_112_S_0" localSheetId="9">Mapping!$H$635</definedName>
    <definedName name="SD_81x1_113_S_0" localSheetId="9">Mapping!$G$635</definedName>
    <definedName name="SD_81x1_114_S_0" localSheetId="9">Mapping!$H$636</definedName>
    <definedName name="SD_81x1_115_S_0" localSheetId="9">Mapping!$G$636</definedName>
    <definedName name="SD_81x1_116_S_0" localSheetId="9">Mapping!$I$649</definedName>
    <definedName name="SD_81x1_117_S_0" localSheetId="9">Mapping!$G$649</definedName>
    <definedName name="SD_81x1_12_S_0" localSheetId="9">Mapping!$H$601</definedName>
    <definedName name="SD_81x1_122_S_0" localSheetId="9">Mapping!$I$613</definedName>
    <definedName name="SD_81x1_123_S_0" localSheetId="9">Mapping!$I$664</definedName>
    <definedName name="SD_81x1_128_S_0" localSheetId="9">Mapping!$H$611</definedName>
    <definedName name="SD_81x1_130_S_0" localSheetId="9">Mapping!$H$630</definedName>
    <definedName name="SD_81x1_132_S_0" localSheetId="9">Mapping!$H$641</definedName>
    <definedName name="SD_81x1_133_S_0" localSheetId="9">Mapping!$H$629</definedName>
    <definedName name="SD_81x1_134_S_0" localSheetId="9">Mapping!$H$620</definedName>
    <definedName name="SD_81x1_135_S_0" localSheetId="9">Mapping!$I$642</definedName>
    <definedName name="SD_81x1_136_S_0" localSheetId="9">Mapping!$I$618</definedName>
    <definedName name="SD_81x1_17_S_0" localSheetId="9">Mapping!$H$589</definedName>
    <definedName name="SD_81x1_170_S_0" localSheetId="9">Mapping!$H$628</definedName>
    <definedName name="SD_81x1_208_S_0" localSheetId="9">Mapping!$H$605</definedName>
    <definedName name="SD_81x1_26_S_0" localSheetId="9">Mapping!$H$598</definedName>
    <definedName name="SD_81x1_31_S_0" localSheetId="9">Mapping!$H$588</definedName>
    <definedName name="SD_81x1_33_S_0" localSheetId="9">Mapping!$H$590</definedName>
    <definedName name="SD_81x1_34_S_0" localSheetId="9">Mapping!$G$590</definedName>
    <definedName name="SD_81x1_35_S_0" localSheetId="9">Mapping!$H$591</definedName>
    <definedName name="SD_81x1_36_S_0" localSheetId="9">Mapping!$G$591</definedName>
    <definedName name="SD_81x1_37_S_0" localSheetId="9">Mapping!$H$592</definedName>
    <definedName name="SD_81x1_38_S_0" localSheetId="9">Mapping!$G$592</definedName>
    <definedName name="SD_81x1_39_S_0" localSheetId="9">Mapping!$H$603</definedName>
    <definedName name="SD_81x1_40_S_0" localSheetId="9">Mapping!$G$603</definedName>
    <definedName name="SD_81x1_43_S_0" localSheetId="9">Mapping!$H$599</definedName>
    <definedName name="SD_81x1_47_S_0" localSheetId="9">Mapping!$H$600</definedName>
    <definedName name="SD_81x1_55_S_0" localSheetId="9">Mapping!$H$597</definedName>
    <definedName name="SD_81x1_57_S_0" localSheetId="9">Mapping!$H$602</definedName>
    <definedName name="SD_81x1_60_S_0" localSheetId="9">Mapping!$H$587</definedName>
    <definedName name="SD_81x1_64_S_0" localSheetId="9">Mapping!$H$622</definedName>
    <definedName name="SD_81x1_66_S_0" localSheetId="9">Mapping!$H$623</definedName>
    <definedName name="SD_81x1_68_S_0" localSheetId="9">Mapping!$H$610</definedName>
    <definedName name="SD_81x1_7_S_0" localSheetId="9">Mapping!$H$596</definedName>
    <definedName name="SD_81x1_71_S_0" localSheetId="9">Mapping!$H$621</definedName>
    <definedName name="SD_81x1_72_S_0" localSheetId="9">Mapping!$H$643</definedName>
    <definedName name="SD_81x1_75_S_0" localSheetId="9">Mapping!$H$637</definedName>
    <definedName name="SD_81x1_76_S_0" localSheetId="9">Mapping!$H$609</definedName>
    <definedName name="SD_81x1_78_S_0" localSheetId="9">Mapping!$I$667</definedName>
    <definedName name="SD_81x1_80_S_0" localSheetId="9">Mapping!$H$612</definedName>
    <definedName name="SD_81x1_84_S_0" localSheetId="9">Mapping!$H$626</definedName>
    <definedName name="SD_81x1_87_S_0" localSheetId="9">Mapping!$H$615</definedName>
    <definedName name="SD_81x1_89_S_0" localSheetId="9">Mapping!$H$586</definedName>
    <definedName name="SD_81x1_90_S_0" localSheetId="9">Mapping!$H$619</definedName>
    <definedName name="SD_81x1_93_S_0" localSheetId="9">Mapping!$H$624</definedName>
    <definedName name="SD_81x1_94_S_0" localSheetId="9">Mapping!$H$627</definedName>
    <definedName name="SD_9089x1_31_S_0" localSheetId="9" hidden="1">Mapping!$BX$39</definedName>
    <definedName name="SD_9089x1_32_S_0" localSheetId="9" hidden="1">Mapping!$BX$18</definedName>
    <definedName name="SD_9089x1_9205x1_101_S_0" localSheetId="9" hidden="1">Mapping!$BX$55</definedName>
    <definedName name="SD_9089x1_9205x1_125_S_1" localSheetId="9" hidden="1">Mapping!$BX$54</definedName>
    <definedName name="SD_9089x1_9205x1_498_S_0" localSheetId="9" hidden="1">Mapping!$BX$711</definedName>
    <definedName name="SD_9089x1_9205x1_501_S_0" localSheetId="9" hidden="1">Mapping!$BX$725</definedName>
    <definedName name="SD_9089x1_9205x1_504_S_0" localSheetId="9" hidden="1">Mapping!$BX$713</definedName>
    <definedName name="SD_9089x1_9205x1_505_S_0" localSheetId="9" hidden="1">Mapping!$BX$727</definedName>
    <definedName name="SD_95_G_0" localSheetId="9">Mapping!$B$3</definedName>
    <definedName name="SD_D_AllDEVFundingSourcesForSmartDox" hidden="1">SD_Dropdowns!$AH$2:$AI$67</definedName>
    <definedName name="SD_D_AllDEVFundingSourcesForSmartDox_Name" hidden="1">SD_Dropdowns!$AH$2:$AH$67</definedName>
    <definedName name="SD_D_AllDEVFundingSourcesForSmartDox_Value" hidden="1">SD_Dropdowns!$AI$2:$AI$67</definedName>
    <definedName name="SD_D_DealStageStatus" hidden="1">SD_Dropdowns!$H$2:$I$45</definedName>
    <definedName name="SD_D_DealStageStatus_Name" hidden="1">SD_Dropdowns!$H$2:$H$45</definedName>
    <definedName name="SD_D_DealStageStatus_Value" hidden="1">SD_Dropdowns!$I$2:$I$45</definedName>
    <definedName name="SD_D_PL_BldgAllocType" hidden="1">SD_Dropdowns!$AL$2:$AM$9</definedName>
    <definedName name="SD_D_PL_BldgAllocType_Name" hidden="1">SD_Dropdowns!$AL$2:$AL$9</definedName>
    <definedName name="SD_D_PL_BldgAllocType_Value" hidden="1">SD_Dropdowns!$AM$2:$AM$9</definedName>
    <definedName name="SD_D_PL_BuildingType" hidden="1">SD_Dropdowns!$AT$2:$AU$6</definedName>
    <definedName name="SD_D_PL_BuildingType_Name" hidden="1">SD_Dropdowns!$AT$2:$AT$6</definedName>
    <definedName name="SD_D_PL_BuildingType_Value" hidden="1">SD_Dropdowns!$AU$2:$AU$6</definedName>
    <definedName name="SD_D_PL_ConstructionBuildingType" hidden="1">SD_Dropdowns!$AD$2:$AE$22</definedName>
    <definedName name="SD_D_PL_ConstructionBuildingType_Name" hidden="1">SD_Dropdowns!$AD$2:$AD$22</definedName>
    <definedName name="SD_D_PL_ConstructionBuildingType_Value" hidden="1">SD_Dropdowns!$AE$2:$AE$22</definedName>
    <definedName name="SD_D_PL_ConstructionType" hidden="1">SD_Dropdowns!$AV$2:$AW$13</definedName>
    <definedName name="SD_D_PL_ConstructionType_Name" hidden="1">SD_Dropdowns!$AV$2:$AV$13</definedName>
    <definedName name="SD_D_PL_ConstructionType_Value" hidden="1">SD_Dropdowns!$AW$2:$AW$13</definedName>
    <definedName name="SD_D_PL_CookingType" hidden="1">SD_Dropdowns!$N$2:$O$7</definedName>
    <definedName name="SD_D_PL_CookingType_Name" hidden="1">SD_Dropdowns!$N$2:$N$7</definedName>
    <definedName name="SD_D_PL_CookingType_Value" hidden="1">SD_Dropdowns!$O$2:$O$7</definedName>
    <definedName name="SD_D_PL_DealEntityRole" hidden="1">SD_Dropdowns!$AZ$2:$BA$39</definedName>
    <definedName name="SD_D_PL_DealEntityRole_Name" hidden="1">SD_Dropdowns!$AZ$2:$AZ$39</definedName>
    <definedName name="SD_D_PL_DealEntityRole_Value" hidden="1">SD_Dropdowns!$BA$2:$BA$39</definedName>
    <definedName name="SD_D_PL_EntityCompanyOrIndividual" hidden="1">SD_Dropdowns!$AX$2:$AY$4</definedName>
    <definedName name="SD_D_PL_EntityCompanyOrIndividual_Name" hidden="1">SD_Dropdowns!$AX$2:$AX$4</definedName>
    <definedName name="SD_D_PL_EntityCompanyOrIndividual_Value" hidden="1">SD_Dropdowns!$AY$2:$AY$4</definedName>
    <definedName name="SD_D_PL_FinancingType" hidden="1">SD_Dropdowns!$AN$2:$AO$5</definedName>
    <definedName name="SD_D_PL_FinancingType_Name" hidden="1">SD_Dropdowns!$AN$2:$AN$5</definedName>
    <definedName name="SD_D_PL_FinancingType_Value" hidden="1">SD_Dropdowns!$AO$2:$AO$5</definedName>
    <definedName name="SD_D_PL_HeatingType" hidden="1">SD_Dropdowns!$L$2:$M$14</definedName>
    <definedName name="SD_D_PL_HeatingType_Name" hidden="1">SD_Dropdowns!$L$2:$L$14</definedName>
    <definedName name="SD_D_PL_HeatingType_Value" hidden="1">SD_Dropdowns!$M$2:$M$14</definedName>
    <definedName name="SD_D_PL_HotWaterType" hidden="1">SD_Dropdowns!$P$2:$Q$7</definedName>
    <definedName name="SD_D_PL_HotWaterType_Name" hidden="1">SD_Dropdowns!$P$2:$P$7</definedName>
    <definedName name="SD_D_PL_HotWaterType_Value" hidden="1">SD_Dropdowns!$Q$2:$Q$7</definedName>
    <definedName name="SD_D_PL_Jurisdiction" hidden="1">SD_Dropdowns!$Z$2:$AA$7</definedName>
    <definedName name="SD_D_PL_Jurisdiction_Name" hidden="1">SD_Dropdowns!$Z$2:$Z$7</definedName>
    <definedName name="SD_D_PL_Jurisdiction_Value" hidden="1">SD_Dropdowns!$AA$2:$AA$7</definedName>
    <definedName name="SD_D_PL_ProgramType" hidden="1">SD_Dropdowns!$AF$2:$AG$12</definedName>
    <definedName name="SD_D_PL_ProgramType_Name" hidden="1">SD_Dropdowns!$AF$2:$AF$12</definedName>
    <definedName name="SD_D_PL_ProgramType_Value" hidden="1">SD_Dropdowns!$AG$2:$AG$12</definedName>
    <definedName name="SD_D_PL_PropertyType" hidden="1">SD_Dropdowns!$X$2:$Y$9</definedName>
    <definedName name="SD_D_PL_PropertyType_Name" hidden="1">SD_Dropdowns!$X$2:$X$9</definedName>
    <definedName name="SD_D_PL_PropertyType_Value" hidden="1">SD_Dropdowns!$Y$2:$Y$9</definedName>
    <definedName name="SD_D_PL_State" hidden="1">SD_Dropdowns!$V$2:$W$53</definedName>
    <definedName name="SD_D_PL_State_Name" hidden="1">SD_Dropdowns!$V$2:$V$53</definedName>
    <definedName name="SD_D_PL_State_Value" hidden="1">SD_Dropdowns!$W$2:$W$53</definedName>
    <definedName name="SD_D_PL_TargetType" hidden="1">SD_Dropdowns!$AJ$2:$AK$8</definedName>
    <definedName name="SD_D_PL_TargetType_Name" hidden="1">SD_Dropdowns!$AJ$2:$AJ$8</definedName>
    <definedName name="SD_D_PL_TargetType_Value" hidden="1">SD_Dropdowns!$AK$2:$AK$8</definedName>
    <definedName name="SD_D_PL_TaxCreditPercentType" hidden="1">SD_Dropdowns!$J$2:$K$8</definedName>
    <definedName name="SD_D_PL_TaxCreditPercentType_Name" hidden="1">SD_Dropdowns!$J$2:$J$8</definedName>
    <definedName name="SD_D_PL_TaxCreditPercentType_Value" hidden="1">SD_Dropdowns!$K$2:$K$8</definedName>
    <definedName name="SD_D_PL_TCUnitMixType" hidden="1">SD_Dropdowns!$AP$2:$AQ$34</definedName>
    <definedName name="SD_D_PL_TCUnitMixType_Name" hidden="1">SD_Dropdowns!$AP$2:$AP$34</definedName>
    <definedName name="SD_D_PL_TCUnitMixType_Value" hidden="1">SD_Dropdowns!$AQ$2:$AQ$34</definedName>
    <definedName name="SD_D_PL_TCUnitType" hidden="1">SD_Dropdowns!$AR$2:$AS$9</definedName>
    <definedName name="SD_D_PL_TCUnitType_Name" hidden="1">SD_Dropdowns!$AR$2:$AR$9</definedName>
    <definedName name="SD_D_PL_TCUnitType_Value" hidden="1">SD_Dropdowns!$AS$2:$AS$9</definedName>
    <definedName name="SD_D_PL_TenantStatus" hidden="1">SD_Dropdowns!$AB$2:$AC$4</definedName>
    <definedName name="SD_D_PL_TenantStatus_Name" hidden="1">SD_Dropdowns!$AB$2:$AB$4</definedName>
    <definedName name="SD_D_PL_TenantStatus_Value" hidden="1">SD_Dropdowns!$AC$2:$AC$4</definedName>
    <definedName name="SD_D_PL_UDF_125" hidden="1">SD_Dropdowns!$BB$2:$BC$4</definedName>
    <definedName name="SD_D_PL_UDF_125_Name" hidden="1">SD_Dropdowns!$BB$2:$BB$4</definedName>
    <definedName name="SD_D_PL_UDF_125_Value" hidden="1">SD_Dropdowns!$BC$2:$BC$4</definedName>
    <definedName name="SD_D_PL_UnitMixAmiPercent" hidden="1">SD_Dropdowns!$R$2:$S$13</definedName>
    <definedName name="SD_D_PL_UnitMixAmiPercent_Name" hidden="1">SD_Dropdowns!$R$2:$R$13</definedName>
    <definedName name="SD_D_PL_UnitMixAmiPercent_Value" hidden="1">SD_Dropdowns!$S$2:$S$13</definedName>
    <definedName name="SD_D_PL_UnitType" hidden="1">SD_Dropdowns!$T$2:$U$34</definedName>
    <definedName name="SD_D_PL_UnitType_Name" hidden="1">SD_Dropdowns!$T$2:$T$34</definedName>
    <definedName name="SD_D_PL_UnitType_Value" hidden="1">SD_Dropdowns!$U$2:$U$34</definedName>
    <definedName name="TCATrigger">Mapping!$D$2</definedName>
    <definedName name="Total_HPF_ELI_30__Units">'02 _7_Operating Subsidy'!$C$10</definedName>
    <definedName name="Total_HPF_ELI_Units">'02 _7_Operating Subsidy'!$C$11</definedName>
    <definedName name="Total_RIH_ELI_30__Units">'02 _7_Operating Subsidy'!$C$22</definedName>
    <definedName name="Total_RIH_ELI_Units">'02 _7_Operating Subsidy'!$C$23</definedName>
    <definedName name="wrn.MHP._.UW._.Master.xls." localSheetId="0" hidden="1">{#N/A,#N/A,FALSE,"Inspection Form";#N/A,#N/A,FALSE,"Underwriting Summary";#N/A,#N/A,FALSE,"MHP Financial Summary";#N/A,#N/A,FALSE,"Historical CF's";#N/A,#N/A,FALSE,"Cash Flow Projections";#N/A,#N/A,FALSE,"Operating Statements";#N/A,#N/A,FALSE,"Property Rent Roll";#N/A,#N/A,FALSE,"Appraisal Summary";#N/A,#N/A,FALSE,"Rental &amp; Sales Comps";#N/A,#N/A,FALSE,"Property Condition";#N/A,#N/A,FALSE,"Environmental Assessment"}</definedName>
    <definedName name="wrn.MHP._.UW._.Master.xls." localSheetId="2" hidden="1">{#N/A,#N/A,FALSE,"Inspection Form";#N/A,#N/A,FALSE,"Underwriting Summary";#N/A,#N/A,FALSE,"MHP Financial Summary";#N/A,#N/A,FALSE,"Historical CF's";#N/A,#N/A,FALSE,"Cash Flow Projections";#N/A,#N/A,FALSE,"Operating Statements";#N/A,#N/A,FALSE,"Property Rent Roll";#N/A,#N/A,FALSE,"Appraisal Summary";#N/A,#N/A,FALSE,"Rental &amp; Sales Comps";#N/A,#N/A,FALSE,"Property Condition";#N/A,#N/A,FALSE,"Environmental Assessment"}</definedName>
    <definedName name="wrn.MHP._.UW._.Master.xls." hidden="1">{#N/A,#N/A,FALSE,"Inspection Form";#N/A,#N/A,FALSE,"Underwriting Summary";#N/A,#N/A,FALSE,"MHP Financial Summary";#N/A,#N/A,FALSE,"Historical CF's";#N/A,#N/A,FALSE,"Cash Flow Projections";#N/A,#N/A,FALSE,"Operating Statements";#N/A,#N/A,FALSE,"Property Rent Roll";#N/A,#N/A,FALSE,"Appraisal Summary";#N/A,#N/A,FALSE,"Rental &amp; Sales Comps";#N/A,#N/A,FALSE,"Property Condition";#N/A,#N/A,FALSE,"Environmental Assessment"}</definedName>
    <definedName name="wrn.MultiFamily._.UW._.Master.xls." localSheetId="0" hidden="1">{#N/A,#N/A,FALSE,"Inspection Form";#N/A,#N/A,FALSE,"Underwriting Summary";#N/A,#N/A,FALSE,"Multi Family Financial Summary";#N/A,#N/A,FALSE,"Historical CF's";#N/A,#N/A,FALSE,"Cash Flow Projections";#N/A,#N/A,FALSE,"Operating Statements";#N/A,#N/A,FALSE,"Property Rent Roll";#N/A,#N/A,FALSE,"Appraisal Summary";#N/A,#N/A,FALSE,"Rental &amp; Sales Comps";#N/A,#N/A,FALSE,"Property Condition";#N/A,#N/A,FALSE,"Environmental Assessment"}</definedName>
    <definedName name="wrn.MultiFamily._.UW._.Master.xls." localSheetId="2" hidden="1">{#N/A,#N/A,FALSE,"Inspection Form";#N/A,#N/A,FALSE,"Underwriting Summary";#N/A,#N/A,FALSE,"Multi Family Financial Summary";#N/A,#N/A,FALSE,"Historical CF's";#N/A,#N/A,FALSE,"Cash Flow Projections";#N/A,#N/A,FALSE,"Operating Statements";#N/A,#N/A,FALSE,"Property Rent Roll";#N/A,#N/A,FALSE,"Appraisal Summary";#N/A,#N/A,FALSE,"Rental &amp; Sales Comps";#N/A,#N/A,FALSE,"Property Condition";#N/A,#N/A,FALSE,"Environmental Assessment"}</definedName>
    <definedName name="wrn.MultiFamily._.UW._.Master.xls." hidden="1">{#N/A,#N/A,FALSE,"Inspection Form";#N/A,#N/A,FALSE,"Underwriting Summary";#N/A,#N/A,FALSE,"Multi Family Financial Summary";#N/A,#N/A,FALSE,"Historical CF's";#N/A,#N/A,FALSE,"Cash Flow Projections";#N/A,#N/A,FALSE,"Operating Statements";#N/A,#N/A,FALSE,"Property Rent Roll";#N/A,#N/A,FALSE,"Appraisal Summary";#N/A,#N/A,FALSE,"Rental &amp; Sales Comps";#N/A,#N/A,FALSE,"Property Condition";#N/A,#N/A,FALSE,"Environmental Assessment"}</definedName>
    <definedName name="Z_24176022_5551_11D3_9A2C_00104B2FB7D4_.wvu.PrintArea" localSheetId="12" hidden="1">'02_2_EXPENSE'!$A$1:$AM$102</definedName>
    <definedName name="Z_24176022_5551_11D3_9A2C_00104B2FB7D4_.wvu.PrintTitles" localSheetId="12" hidden="1">'02_2_EXPENSE'!$8:$10</definedName>
    <definedName name="Z_B3109F80_4F52_11D3_AE7F_0090276F6BF9_.wvu.PrintArea" localSheetId="12" hidden="1">'02_2_EXPENSE'!$A$1:$AM$102</definedName>
    <definedName name="Z_B3109F80_4F52_11D3_AE7F_0090276F6BF9_.wvu.PrintTitles" localSheetId="12" hidden="1">'02_2_EXPENSE'!$8:$10</definedName>
    <definedName name="Z_DC289960_5C22_11D6_B699_00010261CDBB_.wvu.PrintTitles" localSheetId="22" hidden="1">'04_1_Pro Forma'!$A:$A</definedName>
    <definedName name="Z_DC289960_5C22_11D6_B699_00010261CDBB_.wvu.PrintTitles" localSheetId="23" hidden="1">'04_3_Reserves'!$A:$A</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X711" i="73" l="1"/>
  <c r="M352" i="73"/>
  <c r="M351" i="73"/>
  <c r="M350" i="73"/>
  <c r="M349" i="73"/>
  <c r="M348" i="73"/>
  <c r="M347" i="73"/>
  <c r="M346" i="73"/>
  <c r="M345" i="73"/>
  <c r="M344" i="73"/>
  <c r="M343" i="73"/>
  <c r="M342" i="73"/>
  <c r="M341" i="73"/>
  <c r="M340" i="73"/>
  <c r="M339" i="73"/>
  <c r="M338" i="73"/>
  <c r="M337" i="73"/>
  <c r="M336" i="73"/>
  <c r="M335" i="73"/>
  <c r="M334" i="73"/>
  <c r="M333" i="73"/>
  <c r="M332" i="73"/>
  <c r="M331" i="73"/>
  <c r="M330" i="73"/>
  <c r="M329" i="73"/>
  <c r="M328" i="73"/>
  <c r="M327" i="73"/>
  <c r="M326" i="73"/>
  <c r="M325" i="73"/>
  <c r="M324" i="73"/>
  <c r="M323" i="73"/>
  <c r="L800" i="73"/>
  <c r="J800" i="73"/>
  <c r="I790" i="73"/>
  <c r="I791" i="73"/>
  <c r="I792" i="73"/>
  <c r="H792" i="73"/>
  <c r="H791" i="73"/>
  <c r="H790" i="73"/>
  <c r="I763" i="73"/>
  <c r="H763" i="73"/>
  <c r="I762" i="73"/>
  <c r="H762" i="73"/>
  <c r="H782" i="73"/>
  <c r="I782" i="73"/>
  <c r="I753" i="73"/>
  <c r="H753" i="73"/>
  <c r="C18" i="23"/>
  <c r="C17" i="23"/>
  <c r="C16" i="23"/>
  <c r="C15" i="23"/>
  <c r="C14" i="23"/>
  <c r="C13" i="23"/>
  <c r="C12" i="23"/>
  <c r="C11" i="23"/>
  <c r="C10" i="23"/>
  <c r="C9" i="23"/>
  <c r="AM795" i="73"/>
  <c r="BY794" i="73"/>
  <c r="BX794" i="73"/>
  <c r="AO794" i="73"/>
  <c r="AN794" i="73"/>
  <c r="I794" i="73"/>
  <c r="H794" i="73"/>
  <c r="BY793" i="73"/>
  <c r="BX793" i="73"/>
  <c r="AO793" i="73"/>
  <c r="AN793" i="73"/>
  <c r="I793" i="73"/>
  <c r="H793" i="73"/>
  <c r="BY790" i="73"/>
  <c r="BX790" i="73"/>
  <c r="AO790" i="73"/>
  <c r="AN790" i="73"/>
  <c r="BY789" i="73"/>
  <c r="BX789" i="73"/>
  <c r="AO789" i="73"/>
  <c r="AN789" i="73"/>
  <c r="I789" i="73"/>
  <c r="H789" i="73"/>
  <c r="BY788" i="73"/>
  <c r="BX788" i="73"/>
  <c r="AO788" i="73"/>
  <c r="AN788" i="73"/>
  <c r="I788" i="73"/>
  <c r="H788" i="73"/>
  <c r="BY787" i="73"/>
  <c r="BX787" i="73"/>
  <c r="AO787" i="73"/>
  <c r="AN787" i="73"/>
  <c r="I787" i="73"/>
  <c r="H787" i="73"/>
  <c r="BY786" i="73"/>
  <c r="BX786" i="73"/>
  <c r="AO786" i="73"/>
  <c r="AN786" i="73"/>
  <c r="I786" i="73"/>
  <c r="H786" i="73"/>
  <c r="BY785" i="73"/>
  <c r="BX785" i="73"/>
  <c r="AO785" i="73"/>
  <c r="AN785" i="73"/>
  <c r="I785" i="73"/>
  <c r="H785" i="73"/>
  <c r="BY784" i="73"/>
  <c r="BX784" i="73"/>
  <c r="AO784" i="73"/>
  <c r="AN784" i="73"/>
  <c r="I784" i="73"/>
  <c r="H784" i="73"/>
  <c r="BY783" i="73"/>
  <c r="BX783" i="73"/>
  <c r="AO783" i="73"/>
  <c r="AN783" i="73"/>
  <c r="I783" i="73"/>
  <c r="H783" i="73"/>
  <c r="H768" i="73"/>
  <c r="H767" i="73"/>
  <c r="H663" i="73"/>
  <c r="H653" i="73"/>
  <c r="H652" i="73"/>
  <c r="H651" i="73"/>
  <c r="H650" i="73"/>
  <c r="H646" i="73"/>
  <c r="H636" i="73"/>
  <c r="G636" i="73"/>
  <c r="H635" i="73"/>
  <c r="G635" i="73"/>
  <c r="H634" i="73"/>
  <c r="G634" i="73"/>
  <c r="H633" i="73"/>
  <c r="G633" i="73"/>
  <c r="H603" i="73"/>
  <c r="G603" i="73"/>
  <c r="H592" i="73"/>
  <c r="G592" i="73"/>
  <c r="H591" i="73"/>
  <c r="G591" i="73"/>
  <c r="H590" i="73"/>
  <c r="G590" i="73"/>
  <c r="H565" i="73"/>
  <c r="E565" i="73"/>
  <c r="I539" i="73"/>
  <c r="I524" i="73"/>
  <c r="I523" i="73"/>
  <c r="I453" i="73"/>
  <c r="L158" i="73"/>
  <c r="G158" i="73"/>
  <c r="L157" i="73"/>
  <c r="G157" i="73"/>
  <c r="L156" i="73"/>
  <c r="G156" i="73"/>
  <c r="L155" i="73"/>
  <c r="G155" i="73"/>
  <c r="L154" i="73"/>
  <c r="G154" i="73"/>
  <c r="L153" i="73"/>
  <c r="G153" i="73"/>
  <c r="L152" i="73"/>
  <c r="G152" i="73"/>
  <c r="L151" i="73"/>
  <c r="G151" i="73"/>
  <c r="H137" i="73"/>
  <c r="I137" i="73" s="1"/>
  <c r="H136" i="73"/>
  <c r="I136" i="73" s="1"/>
  <c r="H50" i="73"/>
  <c r="H49" i="73"/>
  <c r="H34" i="73"/>
  <c r="G796" i="73"/>
  <c r="BW795" i="73"/>
  <c r="C31" i="79"/>
  <c r="B23" i="79"/>
  <c r="H20" i="79"/>
  <c r="E20" i="79"/>
  <c r="J21" i="23"/>
  <c r="C21" i="23"/>
  <c r="C20" i="23"/>
  <c r="C19" i="23"/>
  <c r="D77" i="56"/>
  <c r="D58" i="56"/>
  <c r="BX750" i="73"/>
  <c r="BX749" i="73"/>
  <c r="BX748" i="73"/>
  <c r="BX747" i="73"/>
  <c r="BX746" i="73"/>
  <c r="BX745" i="73"/>
  <c r="BX744" i="73"/>
  <c r="BX743" i="73"/>
  <c r="AN750" i="73"/>
  <c r="AN749" i="73"/>
  <c r="AN748" i="73"/>
  <c r="AN747" i="73"/>
  <c r="AN746" i="73"/>
  <c r="AN745" i="73"/>
  <c r="AN744" i="73"/>
  <c r="AN743" i="73"/>
  <c r="H754" i="73"/>
  <c r="I754" i="73"/>
  <c r="H755" i="73"/>
  <c r="I755" i="73"/>
  <c r="H756" i="73"/>
  <c r="I756" i="73"/>
  <c r="H757" i="73"/>
  <c r="I757" i="73"/>
  <c r="H758" i="73"/>
  <c r="I758" i="73"/>
  <c r="H759" i="73"/>
  <c r="I759" i="73"/>
  <c r="H760" i="73"/>
  <c r="I760" i="73"/>
  <c r="H761" i="73"/>
  <c r="I761" i="73"/>
  <c r="H764" i="73"/>
  <c r="I764" i="73"/>
  <c r="H765" i="73"/>
  <c r="I765" i="73"/>
  <c r="AN727" i="73"/>
  <c r="AN726" i="73"/>
  <c r="AN725" i="73"/>
  <c r="BX727" i="73"/>
  <c r="BX726" i="73"/>
  <c r="BX725" i="73"/>
  <c r="AZ221" i="73"/>
  <c r="AY221" i="73"/>
  <c r="AX221" i="73"/>
  <c r="AW221" i="73"/>
  <c r="AV221" i="73"/>
  <c r="AU221" i="73"/>
  <c r="AT221" i="73"/>
  <c r="AS221" i="73"/>
  <c r="AR221" i="73"/>
  <c r="AQ221" i="73"/>
  <c r="AP221" i="73"/>
  <c r="AO221" i="73"/>
  <c r="AN221" i="73"/>
  <c r="AZ220" i="73"/>
  <c r="AY220" i="73"/>
  <c r="AX220" i="73"/>
  <c r="AW220" i="73"/>
  <c r="AV220" i="73"/>
  <c r="AU220" i="73"/>
  <c r="AT220" i="73"/>
  <c r="AS220" i="73"/>
  <c r="AR220" i="73"/>
  <c r="AQ220" i="73"/>
  <c r="AP220" i="73"/>
  <c r="AO220" i="73"/>
  <c r="AN220" i="73"/>
  <c r="AZ219" i="73"/>
  <c r="AY219" i="73"/>
  <c r="AX219" i="73"/>
  <c r="AW219" i="73"/>
  <c r="AV219" i="73"/>
  <c r="AU219" i="73"/>
  <c r="AT219" i="73"/>
  <c r="AS219" i="73"/>
  <c r="AR219" i="73"/>
  <c r="AQ219" i="73"/>
  <c r="AP219" i="73"/>
  <c r="AO219" i="73"/>
  <c r="AN219" i="73"/>
  <c r="AZ218" i="73"/>
  <c r="AY218" i="73"/>
  <c r="AX218" i="73"/>
  <c r="AW218" i="73"/>
  <c r="AV218" i="73"/>
  <c r="AU218" i="73"/>
  <c r="AT218" i="73"/>
  <c r="AS218" i="73"/>
  <c r="AR218" i="73"/>
  <c r="AQ218" i="73"/>
  <c r="AP218" i="73"/>
  <c r="AO218" i="73"/>
  <c r="AN218" i="73"/>
  <c r="AZ217" i="73"/>
  <c r="AY217" i="73"/>
  <c r="AX217" i="73"/>
  <c r="AW217" i="73"/>
  <c r="AV217" i="73"/>
  <c r="AU217" i="73"/>
  <c r="AT217" i="73"/>
  <c r="AS217" i="73"/>
  <c r="AR217" i="73"/>
  <c r="AQ217" i="73"/>
  <c r="AP217" i="73"/>
  <c r="AO217" i="73"/>
  <c r="AN217" i="73"/>
  <c r="AZ216" i="73"/>
  <c r="AY216" i="73"/>
  <c r="AX216" i="73"/>
  <c r="AW216" i="73"/>
  <c r="AV216" i="73"/>
  <c r="AU216" i="73"/>
  <c r="AT216" i="73"/>
  <c r="AS216" i="73"/>
  <c r="AR216" i="73"/>
  <c r="AQ216" i="73"/>
  <c r="AP216" i="73"/>
  <c r="AO216" i="73"/>
  <c r="AN216" i="73"/>
  <c r="AZ215" i="73"/>
  <c r="AY215" i="73"/>
  <c r="AX215" i="73"/>
  <c r="AW215" i="73"/>
  <c r="AV215" i="73"/>
  <c r="AU215" i="73"/>
  <c r="AT215" i="73"/>
  <c r="AS215" i="73"/>
  <c r="AR215" i="73"/>
  <c r="AQ215" i="73"/>
  <c r="AP215" i="73"/>
  <c r="AO215" i="73"/>
  <c r="AN215" i="73"/>
  <c r="AZ214" i="73"/>
  <c r="AY214" i="73"/>
  <c r="AX214" i="73"/>
  <c r="AW214" i="73"/>
  <c r="AV214" i="73"/>
  <c r="AU214" i="73"/>
  <c r="AT214" i="73"/>
  <c r="AS214" i="73"/>
  <c r="AR214" i="73"/>
  <c r="AQ214" i="73"/>
  <c r="AP214" i="73"/>
  <c r="AO214" i="73"/>
  <c r="AN214" i="73"/>
  <c r="AZ213" i="73"/>
  <c r="AY213" i="73"/>
  <c r="AX213" i="73"/>
  <c r="AW213" i="73"/>
  <c r="AV213" i="73"/>
  <c r="AU213" i="73"/>
  <c r="AT213" i="73"/>
  <c r="AS213" i="73"/>
  <c r="AR213" i="73"/>
  <c r="AQ213" i="73"/>
  <c r="AP213" i="73"/>
  <c r="AO213" i="73"/>
  <c r="AN213" i="73"/>
  <c r="AZ212" i="73"/>
  <c r="AY212" i="73"/>
  <c r="AX212" i="73"/>
  <c r="AW212" i="73"/>
  <c r="AT212" i="73"/>
  <c r="AV212" i="73" s="1"/>
  <c r="AS212" i="73"/>
  <c r="AR212" i="73"/>
  <c r="AQ212" i="73"/>
  <c r="AP212" i="73"/>
  <c r="AO212" i="73"/>
  <c r="AN212" i="73"/>
  <c r="J221" i="73"/>
  <c r="J220" i="73"/>
  <c r="J219" i="73"/>
  <c r="J218" i="73"/>
  <c r="J217" i="73"/>
  <c r="J216" i="73"/>
  <c r="J215" i="73"/>
  <c r="J214" i="73"/>
  <c r="J213" i="73"/>
  <c r="J212" i="73"/>
  <c r="K221" i="73"/>
  <c r="K220" i="73"/>
  <c r="K219" i="73"/>
  <c r="K218" i="73"/>
  <c r="K217" i="73"/>
  <c r="K216" i="73"/>
  <c r="K215" i="73"/>
  <c r="K212" i="73"/>
  <c r="K214" i="73"/>
  <c r="K213" i="73"/>
  <c r="CK221" i="73"/>
  <c r="CJ221" i="73"/>
  <c r="CI221" i="73"/>
  <c r="CH221" i="73"/>
  <c r="CG221" i="73"/>
  <c r="CF221" i="73"/>
  <c r="CE221" i="73"/>
  <c r="CD221" i="73"/>
  <c r="CC221" i="73"/>
  <c r="CA221" i="73"/>
  <c r="BZ221" i="73"/>
  <c r="BY221" i="73"/>
  <c r="CK220" i="73"/>
  <c r="CJ220" i="73"/>
  <c r="CI220" i="73"/>
  <c r="CH220" i="73"/>
  <c r="CG220" i="73"/>
  <c r="CF220" i="73"/>
  <c r="CE220" i="73"/>
  <c r="CD220" i="73"/>
  <c r="CC220" i="73"/>
  <c r="CA220" i="73"/>
  <c r="BZ220" i="73"/>
  <c r="BY220" i="73"/>
  <c r="CK219" i="73"/>
  <c r="CJ219" i="73"/>
  <c r="CI219" i="73"/>
  <c r="CH219" i="73"/>
  <c r="CG219" i="73"/>
  <c r="CF219" i="73"/>
  <c r="CE219" i="73"/>
  <c r="CD219" i="73"/>
  <c r="CC219" i="73"/>
  <c r="CA219" i="73"/>
  <c r="BZ219" i="73"/>
  <c r="BY219" i="73"/>
  <c r="CK218" i="73"/>
  <c r="CJ218" i="73"/>
  <c r="CI218" i="73"/>
  <c r="CH218" i="73"/>
  <c r="CG218" i="73"/>
  <c r="CF218" i="73"/>
  <c r="CE218" i="73"/>
  <c r="CD218" i="73"/>
  <c r="CC218" i="73"/>
  <c r="CA218" i="73"/>
  <c r="BZ218" i="73"/>
  <c r="BY218" i="73"/>
  <c r="CK217" i="73"/>
  <c r="CJ217" i="73"/>
  <c r="CI217" i="73"/>
  <c r="CH217" i="73"/>
  <c r="CG217" i="73"/>
  <c r="CF217" i="73"/>
  <c r="CE217" i="73"/>
  <c r="CD217" i="73"/>
  <c r="CC217" i="73"/>
  <c r="CA217" i="73"/>
  <c r="BZ217" i="73"/>
  <c r="BY217" i="73"/>
  <c r="CK216" i="73"/>
  <c r="CJ216" i="73"/>
  <c r="CI216" i="73"/>
  <c r="CH216" i="73"/>
  <c r="CG216" i="73"/>
  <c r="CF216" i="73"/>
  <c r="CE216" i="73"/>
  <c r="CD216" i="73"/>
  <c r="CC216" i="73"/>
  <c r="CA216" i="73"/>
  <c r="BZ216" i="73"/>
  <c r="BY216" i="73"/>
  <c r="CK215" i="73"/>
  <c r="CJ215" i="73"/>
  <c r="CI215" i="73"/>
  <c r="CH215" i="73"/>
  <c r="CG215" i="73"/>
  <c r="CF215" i="73"/>
  <c r="CE215" i="73"/>
  <c r="CD215" i="73"/>
  <c r="CC215" i="73"/>
  <c r="CA215" i="73"/>
  <c r="BZ215" i="73"/>
  <c r="BY215" i="73"/>
  <c r="CK214" i="73"/>
  <c r="CJ214" i="73"/>
  <c r="CI214" i="73"/>
  <c r="CH214" i="73"/>
  <c r="CG214" i="73"/>
  <c r="CF214" i="73"/>
  <c r="CE214" i="73"/>
  <c r="CD214" i="73"/>
  <c r="CC214" i="73"/>
  <c r="CA214" i="73"/>
  <c r="BZ214" i="73"/>
  <c r="BY214" i="73"/>
  <c r="CK213" i="73"/>
  <c r="CJ213" i="73"/>
  <c r="CI213" i="73"/>
  <c r="CH213" i="73"/>
  <c r="CG213" i="73"/>
  <c r="CF213" i="73"/>
  <c r="CE213" i="73"/>
  <c r="CD213" i="73"/>
  <c r="CC213" i="73"/>
  <c r="CA213" i="73"/>
  <c r="BZ213" i="73"/>
  <c r="BY213" i="73"/>
  <c r="CK212" i="73"/>
  <c r="CJ212" i="73"/>
  <c r="CI212" i="73"/>
  <c r="CH212" i="73"/>
  <c r="CE212" i="73"/>
  <c r="CG212" i="73" s="1"/>
  <c r="CD212" i="73"/>
  <c r="CC212" i="73"/>
  <c r="CA212" i="73"/>
  <c r="BZ212" i="73"/>
  <c r="BY212" i="73"/>
  <c r="BA221" i="73"/>
  <c r="BA220" i="73"/>
  <c r="BA219" i="73"/>
  <c r="BA218" i="73"/>
  <c r="BA217" i="73"/>
  <c r="BA216" i="73"/>
  <c r="BA215" i="73"/>
  <c r="BA214" i="73"/>
  <c r="BA213" i="73"/>
  <c r="BA212" i="73"/>
  <c r="T221" i="73"/>
  <c r="S221" i="73"/>
  <c r="R221" i="73"/>
  <c r="Q221" i="73"/>
  <c r="P221" i="73"/>
  <c r="O221" i="73"/>
  <c r="N221" i="73"/>
  <c r="M221" i="73"/>
  <c r="L221" i="73"/>
  <c r="T220" i="73"/>
  <c r="S220" i="73"/>
  <c r="R220" i="73"/>
  <c r="Q220" i="73"/>
  <c r="P220" i="73"/>
  <c r="O220" i="73"/>
  <c r="N220" i="73"/>
  <c r="M220" i="73"/>
  <c r="L220" i="73"/>
  <c r="T219" i="73"/>
  <c r="S219" i="73"/>
  <c r="R219" i="73"/>
  <c r="Q219" i="73"/>
  <c r="P219" i="73"/>
  <c r="O219" i="73"/>
  <c r="N219" i="73"/>
  <c r="M219" i="73"/>
  <c r="L219" i="73"/>
  <c r="T218" i="73"/>
  <c r="S218" i="73"/>
  <c r="R218" i="73"/>
  <c r="Q218" i="73"/>
  <c r="P218" i="73"/>
  <c r="O218" i="73"/>
  <c r="N218" i="73"/>
  <c r="M218" i="73"/>
  <c r="L218" i="73"/>
  <c r="T217" i="73"/>
  <c r="S217" i="73"/>
  <c r="R217" i="73"/>
  <c r="Q217" i="73"/>
  <c r="P217" i="73"/>
  <c r="O217" i="73"/>
  <c r="N217" i="73"/>
  <c r="M217" i="73"/>
  <c r="L217" i="73"/>
  <c r="T216" i="73"/>
  <c r="S216" i="73"/>
  <c r="R216" i="73"/>
  <c r="Q216" i="73"/>
  <c r="P216" i="73"/>
  <c r="O216" i="73"/>
  <c r="N216" i="73"/>
  <c r="M216" i="73"/>
  <c r="L216" i="73"/>
  <c r="T215" i="73"/>
  <c r="S215" i="73"/>
  <c r="R215" i="73"/>
  <c r="Q215" i="73"/>
  <c r="P215" i="73"/>
  <c r="O215" i="73"/>
  <c r="N215" i="73"/>
  <c r="M215" i="73"/>
  <c r="L215" i="73"/>
  <c r="T214" i="73"/>
  <c r="S214" i="73"/>
  <c r="R214" i="73"/>
  <c r="Q214" i="73"/>
  <c r="P214" i="73"/>
  <c r="O214" i="73"/>
  <c r="N214" i="73"/>
  <c r="M214" i="73"/>
  <c r="L214" i="73"/>
  <c r="T213" i="73"/>
  <c r="S213" i="73"/>
  <c r="R213" i="73"/>
  <c r="Q213" i="73"/>
  <c r="P213" i="73"/>
  <c r="O213" i="73"/>
  <c r="N213" i="73"/>
  <c r="M213" i="73"/>
  <c r="L213" i="73"/>
  <c r="T212" i="73"/>
  <c r="S212" i="73"/>
  <c r="R212" i="73"/>
  <c r="Q212" i="73"/>
  <c r="N212" i="73"/>
  <c r="P212" i="73" s="1"/>
  <c r="M212" i="73"/>
  <c r="L212" i="73"/>
  <c r="I221" i="73"/>
  <c r="I220" i="73"/>
  <c r="I219" i="73"/>
  <c r="I218" i="73"/>
  <c r="I217" i="73"/>
  <c r="I216" i="73"/>
  <c r="I215" i="73"/>
  <c r="I214" i="73"/>
  <c r="I213" i="73"/>
  <c r="I212" i="73"/>
  <c r="H221" i="73"/>
  <c r="H220" i="73"/>
  <c r="H219" i="73"/>
  <c r="H218" i="73"/>
  <c r="H217" i="73"/>
  <c r="H216" i="73"/>
  <c r="H215" i="73"/>
  <c r="H214" i="73"/>
  <c r="H213" i="73"/>
  <c r="H212" i="73"/>
  <c r="H798" i="73"/>
  <c r="H750" i="73"/>
  <c r="N808" i="73"/>
  <c r="M808" i="73"/>
  <c r="J808" i="73"/>
  <c r="E43" i="79"/>
  <c r="F23" i="79" s="1"/>
  <c r="F43" i="79"/>
  <c r="F24" i="79" s="1"/>
  <c r="G43" i="79"/>
  <c r="F25" i="79" s="1"/>
  <c r="H43" i="79"/>
  <c r="L808" i="73" s="1"/>
  <c r="I43" i="79"/>
  <c r="J43" i="79"/>
  <c r="K43" i="79"/>
  <c r="O808" i="73" s="1"/>
  <c r="D43" i="79"/>
  <c r="F22" i="79" s="1"/>
  <c r="H779" i="73"/>
  <c r="H778" i="73"/>
  <c r="H777" i="73"/>
  <c r="H776" i="73"/>
  <c r="H773" i="73"/>
  <c r="F29" i="79"/>
  <c r="H749" i="73"/>
  <c r="H748" i="73"/>
  <c r="H747" i="73"/>
  <c r="H746" i="73"/>
  <c r="H745" i="73"/>
  <c r="H744" i="73"/>
  <c r="H743" i="73"/>
  <c r="H739" i="73"/>
  <c r="CE808" i="73"/>
  <c r="CD808" i="73"/>
  <c r="CC808" i="73"/>
  <c r="CB808" i="73"/>
  <c r="CA808" i="73"/>
  <c r="BZ808" i="73"/>
  <c r="BY808" i="73"/>
  <c r="BX808" i="73"/>
  <c r="CE807" i="73"/>
  <c r="CD807" i="73"/>
  <c r="CC807" i="73"/>
  <c r="CB807" i="73"/>
  <c r="CA807" i="73"/>
  <c r="BZ807" i="73"/>
  <c r="BY807" i="73"/>
  <c r="BX807" i="73"/>
  <c r="CE806" i="73"/>
  <c r="CD806" i="73"/>
  <c r="CC806" i="73"/>
  <c r="CB806" i="73"/>
  <c r="CA806" i="73"/>
  <c r="BZ806" i="73"/>
  <c r="BY806" i="73"/>
  <c r="BX806" i="73"/>
  <c r="CE805" i="73"/>
  <c r="CD805" i="73"/>
  <c r="CC805" i="73"/>
  <c r="CB805" i="73"/>
  <c r="CA805" i="73"/>
  <c r="BZ805" i="73"/>
  <c r="BY805" i="73"/>
  <c r="BX805" i="73"/>
  <c r="CE804" i="73"/>
  <c r="CD804" i="73"/>
  <c r="CC804" i="73"/>
  <c r="CB804" i="73"/>
  <c r="CA804" i="73"/>
  <c r="BZ804" i="73"/>
  <c r="BY804" i="73"/>
  <c r="BX804" i="73"/>
  <c r="CE802" i="73"/>
  <c r="CD802" i="73"/>
  <c r="CC802" i="73"/>
  <c r="CB802" i="73"/>
  <c r="CA802" i="73"/>
  <c r="BZ802" i="73"/>
  <c r="BY802" i="73"/>
  <c r="BX802" i="73"/>
  <c r="CE801" i="73"/>
  <c r="CD801" i="73"/>
  <c r="CC801" i="73"/>
  <c r="CB801" i="73"/>
  <c r="CA801" i="73"/>
  <c r="BZ801" i="73"/>
  <c r="BY801" i="73"/>
  <c r="BX801" i="73"/>
  <c r="CE799" i="73"/>
  <c r="CD799" i="73"/>
  <c r="CC799" i="73"/>
  <c r="CB799" i="73"/>
  <c r="CA799" i="73"/>
  <c r="BZ799" i="73"/>
  <c r="BY799" i="73"/>
  <c r="BX799" i="73"/>
  <c r="CE798" i="73"/>
  <c r="CD798" i="73"/>
  <c r="CC798" i="73"/>
  <c r="CB798" i="73"/>
  <c r="CA798" i="73"/>
  <c r="BZ798" i="73"/>
  <c r="BY798" i="73"/>
  <c r="BX798" i="73"/>
  <c r="CE797" i="73"/>
  <c r="CD797" i="73"/>
  <c r="CC797" i="73"/>
  <c r="CB797" i="73"/>
  <c r="CA797" i="73"/>
  <c r="BZ797" i="73"/>
  <c r="BY797" i="73"/>
  <c r="BX797" i="73"/>
  <c r="AU808" i="73"/>
  <c r="AT808" i="73"/>
  <c r="AS808" i="73"/>
  <c r="AR808" i="73"/>
  <c r="AQ808" i="73"/>
  <c r="AP808" i="73"/>
  <c r="AO808" i="73"/>
  <c r="AN808" i="73"/>
  <c r="AU807" i="73"/>
  <c r="AT807" i="73"/>
  <c r="AS807" i="73"/>
  <c r="AR807" i="73"/>
  <c r="AQ807" i="73"/>
  <c r="AP807" i="73"/>
  <c r="AO807" i="73"/>
  <c r="AN807" i="73"/>
  <c r="AU806" i="73"/>
  <c r="AT806" i="73"/>
  <c r="AS806" i="73"/>
  <c r="AR806" i="73"/>
  <c r="AQ806" i="73"/>
  <c r="AP806" i="73"/>
  <c r="AO806" i="73"/>
  <c r="AN806" i="73"/>
  <c r="AU805" i="73"/>
  <c r="AT805" i="73"/>
  <c r="AS805" i="73"/>
  <c r="AR805" i="73"/>
  <c r="AQ805" i="73"/>
  <c r="AP805" i="73"/>
  <c r="AO805" i="73"/>
  <c r="AN805" i="73"/>
  <c r="AU804" i="73"/>
  <c r="AT804" i="73"/>
  <c r="AS804" i="73"/>
  <c r="AR804" i="73"/>
  <c r="AQ804" i="73"/>
  <c r="AP804" i="73"/>
  <c r="AO804" i="73"/>
  <c r="AN804" i="73"/>
  <c r="AU802" i="73"/>
  <c r="AT802" i="73"/>
  <c r="AS802" i="73"/>
  <c r="AR802" i="73"/>
  <c r="AQ802" i="73"/>
  <c r="AP802" i="73"/>
  <c r="AO802" i="73"/>
  <c r="AN802" i="73"/>
  <c r="AU801" i="73"/>
  <c r="AT801" i="73"/>
  <c r="AS801" i="73"/>
  <c r="AR801" i="73"/>
  <c r="AQ801" i="73"/>
  <c r="AP801" i="73"/>
  <c r="AO801" i="73"/>
  <c r="AN801" i="73"/>
  <c r="AU799" i="73"/>
  <c r="AT799" i="73"/>
  <c r="AS799" i="73"/>
  <c r="AR799" i="73"/>
  <c r="AQ799" i="73"/>
  <c r="AP799" i="73"/>
  <c r="AO799" i="73"/>
  <c r="AN799" i="73"/>
  <c r="AU798" i="73"/>
  <c r="AT798" i="73"/>
  <c r="AS798" i="73"/>
  <c r="AR798" i="73"/>
  <c r="AQ798" i="73"/>
  <c r="AP798" i="73"/>
  <c r="AO798" i="73"/>
  <c r="AN798" i="73"/>
  <c r="AU797" i="73"/>
  <c r="AT797" i="73"/>
  <c r="AS797" i="73"/>
  <c r="AR797" i="73"/>
  <c r="AQ797" i="73"/>
  <c r="AP797" i="73"/>
  <c r="AO797" i="73"/>
  <c r="AN797" i="73"/>
  <c r="O807" i="73"/>
  <c r="O806" i="73"/>
  <c r="O805" i="73"/>
  <c r="O804" i="73"/>
  <c r="O803" i="73"/>
  <c r="O802" i="73"/>
  <c r="O801" i="73"/>
  <c r="O800" i="73"/>
  <c r="O799" i="73"/>
  <c r="O798" i="73"/>
  <c r="J801" i="73"/>
  <c r="N807" i="73"/>
  <c r="N806" i="73"/>
  <c r="N805" i="73"/>
  <c r="N804" i="73"/>
  <c r="N803" i="73"/>
  <c r="N802" i="73"/>
  <c r="N801" i="73"/>
  <c r="N800" i="73"/>
  <c r="N799" i="73"/>
  <c r="N798" i="73"/>
  <c r="M800" i="73"/>
  <c r="M807" i="73"/>
  <c r="M806" i="73"/>
  <c r="M805" i="73"/>
  <c r="M804" i="73"/>
  <c r="M803" i="73"/>
  <c r="M802" i="73"/>
  <c r="M801" i="73"/>
  <c r="M799" i="73"/>
  <c r="M798" i="73"/>
  <c r="L807" i="73"/>
  <c r="L806" i="73"/>
  <c r="L805" i="73"/>
  <c r="L804" i="73"/>
  <c r="L803" i="73"/>
  <c r="L802" i="73"/>
  <c r="L801" i="73"/>
  <c r="L799" i="73"/>
  <c r="L798" i="73"/>
  <c r="K805" i="73"/>
  <c r="K804" i="73"/>
  <c r="K803" i="73"/>
  <c r="K807" i="73"/>
  <c r="K806" i="73"/>
  <c r="K802" i="73"/>
  <c r="K801" i="73"/>
  <c r="K800" i="73"/>
  <c r="K799" i="73"/>
  <c r="K798" i="73"/>
  <c r="J807" i="73"/>
  <c r="J806" i="73"/>
  <c r="J805" i="73"/>
  <c r="J804" i="73"/>
  <c r="J803" i="73"/>
  <c r="J802" i="73"/>
  <c r="J799" i="73"/>
  <c r="I807" i="73"/>
  <c r="I806" i="73"/>
  <c r="I805" i="73"/>
  <c r="I804" i="73"/>
  <c r="I803" i="73"/>
  <c r="I802" i="73"/>
  <c r="I801" i="73"/>
  <c r="I800" i="73"/>
  <c r="I799" i="73"/>
  <c r="I798" i="73"/>
  <c r="H807" i="73"/>
  <c r="H806" i="73"/>
  <c r="H805" i="73"/>
  <c r="H804" i="73"/>
  <c r="H803" i="73"/>
  <c r="H802" i="73"/>
  <c r="H801" i="73"/>
  <c r="H800" i="73"/>
  <c r="H799" i="73"/>
  <c r="J798" i="73"/>
  <c r="H727" i="73"/>
  <c r="H726" i="73"/>
  <c r="H725" i="73"/>
  <c r="L34" i="79"/>
  <c r="L35" i="79"/>
  <c r="L36" i="79"/>
  <c r="L37" i="79"/>
  <c r="L38" i="79"/>
  <c r="L39" i="79"/>
  <c r="L40" i="79"/>
  <c r="L41" i="79"/>
  <c r="L42" i="79"/>
  <c r="L33" i="79"/>
  <c r="F28" i="79"/>
  <c r="F27" i="79"/>
  <c r="F26" i="79"/>
  <c r="BX18" i="73"/>
  <c r="BW636" i="73"/>
  <c r="BW635" i="73"/>
  <c r="BW634" i="73"/>
  <c r="BW633" i="73"/>
  <c r="H18" i="73"/>
  <c r="AN18" i="73"/>
  <c r="L26" i="73"/>
  <c r="AR26" i="73" s="1"/>
  <c r="H26" i="73"/>
  <c r="N49" i="63"/>
  <c r="O352" i="73"/>
  <c r="O351" i="73"/>
  <c r="O350" i="73"/>
  <c r="O349" i="73"/>
  <c r="O348" i="73"/>
  <c r="O347" i="73"/>
  <c r="O346" i="73"/>
  <c r="O345" i="73"/>
  <c r="O344" i="73"/>
  <c r="O343" i="73"/>
  <c r="O342" i="73"/>
  <c r="O341" i="73"/>
  <c r="O340" i="73"/>
  <c r="O339" i="73"/>
  <c r="O338" i="73"/>
  <c r="O332" i="73"/>
  <c r="O334" i="73"/>
  <c r="O323" i="73"/>
  <c r="U323" i="73"/>
  <c r="O324" i="73"/>
  <c r="U324" i="73"/>
  <c r="O325" i="73"/>
  <c r="U325" i="73"/>
  <c r="V325" i="73"/>
  <c r="O326" i="73"/>
  <c r="U326" i="73"/>
  <c r="V326" i="73"/>
  <c r="O327" i="73"/>
  <c r="U327" i="73"/>
  <c r="V327" i="73"/>
  <c r="O328" i="73"/>
  <c r="U328" i="73"/>
  <c r="V328" i="73"/>
  <c r="O329" i="73"/>
  <c r="U329" i="73"/>
  <c r="V329" i="73"/>
  <c r="O330" i="73"/>
  <c r="U330" i="73"/>
  <c r="V330" i="73"/>
  <c r="O331" i="73"/>
  <c r="U331" i="73"/>
  <c r="V331" i="73"/>
  <c r="U332" i="73"/>
  <c r="V332" i="73"/>
  <c r="O333" i="73"/>
  <c r="U333" i="73"/>
  <c r="U334" i="73"/>
  <c r="O335" i="73"/>
  <c r="U335" i="73"/>
  <c r="O336" i="73"/>
  <c r="U336" i="73"/>
  <c r="O337" i="73"/>
  <c r="U337" i="73"/>
  <c r="U338" i="73"/>
  <c r="U339" i="73"/>
  <c r="U340" i="73"/>
  <c r="U341" i="73"/>
  <c r="U342" i="73"/>
  <c r="U343" i="73"/>
  <c r="U344" i="73"/>
  <c r="U345" i="73"/>
  <c r="U346" i="73"/>
  <c r="U347" i="73"/>
  <c r="U348" i="73"/>
  <c r="U349" i="73"/>
  <c r="U350" i="73"/>
  <c r="U351" i="73"/>
  <c r="U352" i="73"/>
  <c r="CF212" i="73" l="1"/>
  <c r="AU212" i="73"/>
  <c r="O212" i="73"/>
  <c r="AV801" i="73"/>
  <c r="H808" i="73"/>
  <c r="I808" i="73"/>
  <c r="K808" i="73"/>
  <c r="AV804" i="73"/>
  <c r="AV808" i="73"/>
  <c r="CF806" i="73"/>
  <c r="H774" i="73"/>
  <c r="H775" i="73"/>
  <c r="H772" i="73"/>
  <c r="CF808" i="73"/>
  <c r="BX809" i="73"/>
  <c r="CF802" i="73"/>
  <c r="AV798" i="73"/>
  <c r="AO809" i="73"/>
  <c r="AP809" i="73"/>
  <c r="CF804" i="73"/>
  <c r="AV797" i="73"/>
  <c r="AQ809" i="73"/>
  <c r="AT809" i="73"/>
  <c r="AU809" i="73"/>
  <c r="AR809" i="73"/>
  <c r="AS809" i="73"/>
  <c r="AV805" i="73"/>
  <c r="CE809" i="73"/>
  <c r="CF805" i="73"/>
  <c r="CF807" i="73"/>
  <c r="AN809" i="73"/>
  <c r="P807" i="73"/>
  <c r="AV807" i="73"/>
  <c r="CF798" i="73"/>
  <c r="AV806" i="73"/>
  <c r="CF797" i="73"/>
  <c r="CF801" i="73"/>
  <c r="AV799" i="73"/>
  <c r="BZ809" i="73"/>
  <c r="CF799" i="73"/>
  <c r="CA809" i="73"/>
  <c r="CB809" i="73"/>
  <c r="AV802" i="73"/>
  <c r="CC809" i="73"/>
  <c r="CD809" i="73"/>
  <c r="BY809" i="73"/>
  <c r="P806" i="73"/>
  <c r="P802" i="73"/>
  <c r="P800" i="73"/>
  <c r="P799" i="73"/>
  <c r="P804" i="73"/>
  <c r="P805" i="73"/>
  <c r="P803" i="73"/>
  <c r="P801" i="73"/>
  <c r="P798" i="73"/>
  <c r="L43" i="79"/>
  <c r="M353" i="73"/>
  <c r="A2" i="79"/>
  <c r="CF809" i="73" l="1"/>
  <c r="AV809" i="73"/>
  <c r="P808" i="73"/>
  <c r="D52" i="56"/>
  <c r="C52" i="56"/>
  <c r="B24" i="20"/>
  <c r="D111" i="3" l="1"/>
  <c r="F26" i="75"/>
  <c r="H174" i="73"/>
  <c r="H185" i="73"/>
  <c r="H181" i="73"/>
  <c r="H55" i="73"/>
  <c r="H735" i="73" l="1"/>
  <c r="BX735" i="73"/>
  <c r="AN735" i="73"/>
  <c r="D11" i="34"/>
  <c r="D10" i="34"/>
  <c r="D9" i="34"/>
  <c r="H99" i="73" l="1"/>
  <c r="H100" i="73"/>
  <c r="H15" i="73"/>
  <c r="AN15" i="73" s="1"/>
  <c r="H22" i="73"/>
  <c r="H173" i="73"/>
  <c r="D2" i="73"/>
  <c r="AS152" i="73" l="1"/>
  <c r="AN50" i="73"/>
  <c r="AS155" i="73"/>
  <c r="AN152" i="73"/>
  <c r="AO152" i="73" s="1"/>
  <c r="AN155" i="73"/>
  <c r="AO155" i="73" s="1"/>
  <c r="AN49" i="73"/>
  <c r="AS158" i="73"/>
  <c r="AN158" i="73"/>
  <c r="AO158" i="73" s="1"/>
  <c r="AS151" i="73"/>
  <c r="AN34" i="73"/>
  <c r="AS154" i="73"/>
  <c r="AN151" i="73"/>
  <c r="AO151" i="73" s="1"/>
  <c r="AN154" i="73"/>
  <c r="AO154" i="73" s="1"/>
  <c r="AS157" i="73"/>
  <c r="AN157" i="73"/>
  <c r="AO157" i="73" s="1"/>
  <c r="AO137" i="73"/>
  <c r="AS153" i="73"/>
  <c r="AS156" i="73"/>
  <c r="AN153" i="73"/>
  <c r="AO153" i="73" s="1"/>
  <c r="AO136" i="73"/>
  <c r="AN156" i="73"/>
  <c r="AO156" i="73" s="1"/>
  <c r="AN108" i="73"/>
  <c r="BW565" i="73"/>
  <c r="BW551" i="73"/>
  <c r="BW402" i="73"/>
  <c r="BW373" i="73"/>
  <c r="BW345" i="73"/>
  <c r="BW331" i="73"/>
  <c r="BW304" i="73"/>
  <c r="BW290" i="73"/>
  <c r="BW276" i="73"/>
  <c r="BW262" i="73"/>
  <c r="BW248" i="73"/>
  <c r="BW234" i="73"/>
  <c r="BW376" i="73"/>
  <c r="BW374" i="73"/>
  <c r="BW564" i="73"/>
  <c r="BW550" i="73"/>
  <c r="BW401" i="73"/>
  <c r="BW372" i="73"/>
  <c r="BW344" i="73"/>
  <c r="BW330" i="73"/>
  <c r="BW303" i="73"/>
  <c r="BW289" i="73"/>
  <c r="BW275" i="73"/>
  <c r="BW261" i="73"/>
  <c r="BW247" i="73"/>
  <c r="BW233" i="73"/>
  <c r="BW556" i="73"/>
  <c r="BW422" i="73"/>
  <c r="BW238" i="73"/>
  <c r="BW348" i="73"/>
  <c r="BW265" i="73"/>
  <c r="BW347" i="73"/>
  <c r="BW346" i="73"/>
  <c r="BW263" i="73"/>
  <c r="BW563" i="73"/>
  <c r="BW549" i="73"/>
  <c r="BW400" i="73"/>
  <c r="BW371" i="73"/>
  <c r="BW343" i="73"/>
  <c r="BW329" i="73"/>
  <c r="BW302" i="73"/>
  <c r="BW288" i="73"/>
  <c r="BW274" i="73"/>
  <c r="BW260" i="73"/>
  <c r="BW246" i="73"/>
  <c r="BW232" i="73"/>
  <c r="BW352" i="73"/>
  <c r="BW424" i="73"/>
  <c r="BW254" i="73"/>
  <c r="BW423" i="73"/>
  <c r="BW253" i="73"/>
  <c r="BW349" i="73"/>
  <c r="BW280" i="73"/>
  <c r="BW421" i="73"/>
  <c r="BW251" i="73"/>
  <c r="BW404" i="73"/>
  <c r="BW333" i="73"/>
  <c r="BW278" i="73"/>
  <c r="BW236" i="73"/>
  <c r="BW566" i="73"/>
  <c r="BW305" i="73"/>
  <c r="BW235" i="73"/>
  <c r="BW562" i="73"/>
  <c r="BW548" i="73"/>
  <c r="BW399" i="73"/>
  <c r="BW370" i="73"/>
  <c r="BW342" i="73"/>
  <c r="BW328" i="73"/>
  <c r="BW301" i="73"/>
  <c r="BW287" i="73"/>
  <c r="BW273" i="73"/>
  <c r="BW259" i="73"/>
  <c r="BW245" i="73"/>
  <c r="BW231" i="73"/>
  <c r="BW425" i="73"/>
  <c r="BW269" i="73"/>
  <c r="BW351" i="73"/>
  <c r="BW240" i="73"/>
  <c r="BW336" i="73"/>
  <c r="BW309" i="73"/>
  <c r="BW267" i="73"/>
  <c r="BW335" i="73"/>
  <c r="BW252" i="73"/>
  <c r="BW554" i="73"/>
  <c r="BW375" i="73"/>
  <c r="BW332" i="73"/>
  <c r="BW249" i="73"/>
  <c r="BW561" i="73"/>
  <c r="BW547" i="73"/>
  <c r="BW398" i="73"/>
  <c r="BW369" i="73"/>
  <c r="BW341" i="73"/>
  <c r="BW327" i="73"/>
  <c r="BW300" i="73"/>
  <c r="BW286" i="73"/>
  <c r="BW272" i="73"/>
  <c r="BW258" i="73"/>
  <c r="BW244" i="73"/>
  <c r="BW230" i="73"/>
  <c r="BW560" i="73"/>
  <c r="BW427" i="73"/>
  <c r="BW397" i="73"/>
  <c r="BW368" i="73"/>
  <c r="BW340" i="73"/>
  <c r="BW326" i="73"/>
  <c r="BW299" i="73"/>
  <c r="BW285" i="73"/>
  <c r="BW271" i="73"/>
  <c r="BW257" i="73"/>
  <c r="BW243" i="73"/>
  <c r="BW558" i="73"/>
  <c r="BW338" i="73"/>
  <c r="BW283" i="73"/>
  <c r="BW241" i="73"/>
  <c r="BW557" i="73"/>
  <c r="BW337" i="73"/>
  <c r="BW323" i="73"/>
  <c r="BW296" i="73"/>
  <c r="BW268" i="73"/>
  <c r="BW378" i="73"/>
  <c r="BW281" i="73"/>
  <c r="BW377" i="73"/>
  <c r="BW308" i="73"/>
  <c r="BW266" i="73"/>
  <c r="BW568" i="73"/>
  <c r="BW307" i="73"/>
  <c r="BW279" i="73"/>
  <c r="BW567" i="73"/>
  <c r="BW292" i="73"/>
  <c r="BW250" i="73"/>
  <c r="BW403" i="73"/>
  <c r="BW291" i="73"/>
  <c r="BW559" i="73"/>
  <c r="BW426" i="73"/>
  <c r="BW396" i="73"/>
  <c r="BW367" i="73"/>
  <c r="BW339" i="73"/>
  <c r="BW325" i="73"/>
  <c r="BW298" i="73"/>
  <c r="BW284" i="73"/>
  <c r="BW270" i="73"/>
  <c r="BW256" i="73"/>
  <c r="BW242" i="73"/>
  <c r="BW395" i="73"/>
  <c r="BW324" i="73"/>
  <c r="BW297" i="73"/>
  <c r="BW255" i="73"/>
  <c r="BW394" i="73"/>
  <c r="BW282" i="73"/>
  <c r="BW350" i="73"/>
  <c r="BW295" i="73"/>
  <c r="BW239" i="73"/>
  <c r="BW555" i="73"/>
  <c r="BW294" i="73"/>
  <c r="BW334" i="73"/>
  <c r="BW293" i="73"/>
  <c r="BW237" i="73"/>
  <c r="BW553" i="73"/>
  <c r="BW306" i="73"/>
  <c r="BW264" i="73"/>
  <c r="BW552" i="73"/>
  <c r="BW277" i="73"/>
  <c r="BW570" i="73"/>
  <c r="BW569" i="73"/>
  <c r="AN323" i="73"/>
  <c r="AP323" i="73"/>
  <c r="AP325" i="73"/>
  <c r="AN327" i="73"/>
  <c r="AP334" i="73"/>
  <c r="AN336" i="73"/>
  <c r="AM338" i="73"/>
  <c r="AM340" i="73"/>
  <c r="AM342" i="73"/>
  <c r="AM344" i="73"/>
  <c r="AM346" i="73"/>
  <c r="AM348" i="73"/>
  <c r="AM350" i="73"/>
  <c r="AM352" i="73"/>
  <c r="AN338" i="73"/>
  <c r="AN340" i="73"/>
  <c r="AN342" i="73"/>
  <c r="AN344" i="73"/>
  <c r="AN346" i="73"/>
  <c r="AN348" i="73"/>
  <c r="AN350" i="73"/>
  <c r="AN352" i="73"/>
  <c r="AN329" i="73"/>
  <c r="AP336" i="73"/>
  <c r="AP338" i="73"/>
  <c r="AP340" i="73"/>
  <c r="AP342" i="73"/>
  <c r="AP344" i="73"/>
  <c r="AP346" i="73"/>
  <c r="AP348" i="73"/>
  <c r="AP350" i="73"/>
  <c r="AP352" i="73"/>
  <c r="AN324" i="73"/>
  <c r="AM326" i="73"/>
  <c r="AN333" i="73"/>
  <c r="AP324" i="73"/>
  <c r="AP331" i="73"/>
  <c r="AN335" i="73"/>
  <c r="AN325" i="73"/>
  <c r="AM329" i="73"/>
  <c r="AP327" i="73"/>
  <c r="AM331" i="73"/>
  <c r="AM324" i="73"/>
  <c r="AP329" i="73"/>
  <c r="AN331" i="73"/>
  <c r="AM333" i="73"/>
  <c r="AM335" i="73"/>
  <c r="AN326" i="73"/>
  <c r="AP332" i="73"/>
  <c r="AM336" i="73"/>
  <c r="AM328" i="73"/>
  <c r="AP333" i="73"/>
  <c r="AM337" i="73"/>
  <c r="AM339" i="73"/>
  <c r="AM341" i="73"/>
  <c r="AM343" i="73"/>
  <c r="AM345" i="73"/>
  <c r="AM347" i="73"/>
  <c r="AM349" i="73"/>
  <c r="AM351" i="73"/>
  <c r="AP326" i="73"/>
  <c r="AN328" i="73"/>
  <c r="AP335" i="73"/>
  <c r="AN337" i="73"/>
  <c r="AN339" i="73"/>
  <c r="AN341" i="73"/>
  <c r="AN343" i="73"/>
  <c r="AN345" i="73"/>
  <c r="AN347" i="73"/>
  <c r="AN349" i="73"/>
  <c r="AN351" i="73"/>
  <c r="AM330" i="73"/>
  <c r="AP328" i="73"/>
  <c r="AN330" i="73"/>
  <c r="AM332" i="73"/>
  <c r="AP337" i="73"/>
  <c r="AP339" i="73"/>
  <c r="AP341" i="73"/>
  <c r="AP343" i="73"/>
  <c r="AP345" i="73"/>
  <c r="AP347" i="73"/>
  <c r="AP349" i="73"/>
  <c r="AP351" i="73"/>
  <c r="AN332" i="73"/>
  <c r="AM334" i="73"/>
  <c r="AP330" i="73"/>
  <c r="AN334" i="73"/>
  <c r="AM327" i="73"/>
  <c r="AM325" i="73"/>
  <c r="AM323" i="73"/>
  <c r="F22" i="75"/>
  <c r="F23" i="75"/>
  <c r="F24" i="75"/>
  <c r="F25" i="75"/>
  <c r="F27" i="75"/>
  <c r="F21" i="75"/>
  <c r="F9" i="75"/>
  <c r="C28" i="23"/>
  <c r="C57" i="56" s="1"/>
  <c r="F9" i="17"/>
  <c r="BX732" i="73" l="1"/>
  <c r="AN732" i="73"/>
  <c r="H732" i="73"/>
  <c r="AN731" i="73"/>
  <c r="BX731" i="73"/>
  <c r="H731" i="73"/>
  <c r="BX730" i="73"/>
  <c r="AN730" i="73"/>
  <c r="H730" i="73"/>
  <c r="H734" i="73"/>
  <c r="BX734" i="73"/>
  <c r="AN734" i="73"/>
  <c r="AN733" i="73"/>
  <c r="BX733" i="73"/>
  <c r="H733" i="73"/>
  <c r="AN736" i="73"/>
  <c r="BX736" i="73"/>
  <c r="H736" i="73"/>
  <c r="L11" i="9"/>
  <c r="B30" i="63" l="1"/>
  <c r="B29" i="63"/>
  <c r="H30" i="63"/>
  <c r="H29" i="63"/>
  <c r="C33" i="23" l="1"/>
  <c r="C34" i="23"/>
  <c r="C35" i="23"/>
  <c r="C36" i="23"/>
  <c r="C32" i="23"/>
  <c r="B9" i="5" l="1"/>
  <c r="AN711" i="73"/>
  <c r="H711" i="73"/>
  <c r="F15" i="75"/>
  <c r="H722" i="73" s="1"/>
  <c r="F10" i="75"/>
  <c r="F11" i="75"/>
  <c r="H718" i="73" s="1"/>
  <c r="F12" i="75"/>
  <c r="H719" i="73" s="1"/>
  <c r="F13" i="75"/>
  <c r="H720" i="73" s="1"/>
  <c r="F14" i="75"/>
  <c r="H721" i="73" s="1"/>
  <c r="H717" i="73" l="1"/>
  <c r="C10" i="79"/>
  <c r="C11" i="79" s="1"/>
  <c r="H740" i="73" s="1"/>
  <c r="H716" i="73"/>
  <c r="AN720" i="73"/>
  <c r="AN716" i="73"/>
  <c r="AN718" i="73"/>
  <c r="AN717" i="73"/>
  <c r="AN719" i="73"/>
  <c r="AN721" i="73"/>
  <c r="AN722" i="73"/>
  <c r="C10" i="75"/>
  <c r="A2" i="3"/>
  <c r="A2" i="75"/>
  <c r="D55" i="56"/>
  <c r="D51" i="56"/>
  <c r="D50" i="56"/>
  <c r="D49" i="56"/>
  <c r="D48" i="56"/>
  <c r="D47" i="56"/>
  <c r="D46" i="56"/>
  <c r="D45" i="56"/>
  <c r="D44" i="56"/>
  <c r="D43" i="56"/>
  <c r="D42" i="56"/>
  <c r="D41" i="56"/>
  <c r="D40" i="56"/>
  <c r="D39" i="56"/>
  <c r="D38" i="56"/>
  <c r="H712" i="73" l="1"/>
  <c r="AN712" i="73"/>
  <c r="C11" i="75"/>
  <c r="C59" i="56"/>
  <c r="J15" i="23"/>
  <c r="H22" i="23"/>
  <c r="I17" i="23"/>
  <c r="H16" i="23"/>
  <c r="I15" i="23"/>
  <c r="D21" i="23"/>
  <c r="D20" i="23"/>
  <c r="D19" i="23"/>
  <c r="C21" i="20" s="1"/>
  <c r="D21" i="20" s="1"/>
  <c r="D18" i="23"/>
  <c r="D17" i="23"/>
  <c r="D16" i="23"/>
  <c r="D15" i="23"/>
  <c r="B17" i="20"/>
  <c r="C47" i="56" l="1"/>
  <c r="B19" i="20"/>
  <c r="C51" i="56"/>
  <c r="B23" i="20"/>
  <c r="G47" i="56"/>
  <c r="C19" i="20"/>
  <c r="D19" i="20" s="1"/>
  <c r="G48" i="56"/>
  <c r="C20" i="20"/>
  <c r="D20" i="20" s="1"/>
  <c r="G50" i="56"/>
  <c r="C22" i="20"/>
  <c r="D22" i="20" s="1"/>
  <c r="G51" i="56"/>
  <c r="C23" i="20"/>
  <c r="D23" i="20" s="1"/>
  <c r="C46" i="56"/>
  <c r="B18" i="20"/>
  <c r="C48" i="56"/>
  <c r="B20" i="20"/>
  <c r="C49" i="56"/>
  <c r="B21" i="20"/>
  <c r="C50" i="56"/>
  <c r="B22" i="20"/>
  <c r="G45" i="56"/>
  <c r="C17" i="20"/>
  <c r="D17" i="20" s="1"/>
  <c r="G46" i="56"/>
  <c r="C18" i="20"/>
  <c r="D18" i="20" s="1"/>
  <c r="C45" i="56"/>
  <c r="H713" i="73"/>
  <c r="AN713" i="73"/>
  <c r="G49" i="56"/>
  <c r="C104" i="57" l="1"/>
  <c r="E104" i="57" s="1" a="1"/>
  <c r="E104" i="57" s="1"/>
  <c r="C103" i="57"/>
  <c r="E103" i="57" s="1" a="1"/>
  <c r="E103" i="57" s="1"/>
  <c r="C102" i="57"/>
  <c r="E102" i="57" s="1" a="1"/>
  <c r="E102" i="57" s="1"/>
  <c r="C101" i="57"/>
  <c r="C100" i="57"/>
  <c r="E100" i="57" s="1" a="1"/>
  <c r="E100" i="57" s="1"/>
  <c r="C99" i="57"/>
  <c r="C98" i="57"/>
  <c r="E98" i="57" s="1" a="1"/>
  <c r="E98" i="57" s="1"/>
  <c r="C97" i="57"/>
  <c r="C96" i="57"/>
  <c r="E96" i="57" s="1" a="1"/>
  <c r="E96" i="57" s="1"/>
  <c r="C95" i="57"/>
  <c r="C94" i="57"/>
  <c r="E94" i="57" s="1" a="1"/>
  <c r="E94" i="57" s="1"/>
  <c r="C93" i="57"/>
  <c r="C92" i="57"/>
  <c r="E92" i="57" s="1" a="1"/>
  <c r="E92" i="57" s="1"/>
  <c r="C91" i="57"/>
  <c r="C90" i="57"/>
  <c r="E90" i="57" s="1" a="1"/>
  <c r="E90" i="57" s="1"/>
  <c r="C89" i="57"/>
  <c r="E89" i="57" s="1" a="1"/>
  <c r="E89" i="57" s="1"/>
  <c r="C88" i="57"/>
  <c r="E88" i="57" s="1" a="1"/>
  <c r="E88" i="57" s="1"/>
  <c r="C87" i="57"/>
  <c r="E87" i="57" s="1" a="1"/>
  <c r="E87" i="57" s="1"/>
  <c r="C86" i="57"/>
  <c r="E86" i="57" s="1" a="1"/>
  <c r="E86" i="57" s="1"/>
  <c r="C85" i="57"/>
  <c r="E85" i="57" s="1" a="1"/>
  <c r="E85" i="57" s="1"/>
  <c r="C84" i="57"/>
  <c r="E84" i="57" s="1" a="1"/>
  <c r="E84" i="57" s="1"/>
  <c r="C83" i="57"/>
  <c r="E83" i="57" s="1" a="1"/>
  <c r="E83" i="57" s="1"/>
  <c r="C82" i="57"/>
  <c r="E82" i="57" s="1" a="1"/>
  <c r="E82" i="57" s="1"/>
  <c r="C81" i="57"/>
  <c r="E81" i="57" s="1" a="1"/>
  <c r="E81" i="57" s="1"/>
  <c r="C80" i="57"/>
  <c r="E80" i="57" s="1" a="1"/>
  <c r="E80" i="57" s="1"/>
  <c r="C79" i="57"/>
  <c r="E79" i="57" s="1" a="1"/>
  <c r="E79" i="57" s="1"/>
  <c r="C78" i="57"/>
  <c r="E78" i="57" s="1" a="1"/>
  <c r="E78" i="57" s="1"/>
  <c r="C77" i="57"/>
  <c r="E77" i="57" s="1" a="1"/>
  <c r="E77" i="57" s="1"/>
  <c r="C76" i="57"/>
  <c r="E76" i="57" s="1" a="1"/>
  <c r="E76" i="57" s="1"/>
  <c r="C75" i="57"/>
  <c r="E75" i="57" s="1" a="1"/>
  <c r="E75" i="57" s="1"/>
  <c r="C74" i="57"/>
  <c r="E74" i="57" s="1" a="1"/>
  <c r="E74" i="57" s="1"/>
  <c r="C73" i="57"/>
  <c r="E73" i="57" s="1" a="1"/>
  <c r="E73" i="57" s="1"/>
  <c r="C72" i="57"/>
  <c r="E72" i="57" s="1" a="1"/>
  <c r="E72" i="57" s="1"/>
  <c r="C71" i="57"/>
  <c r="E71" i="57" s="1" a="1"/>
  <c r="E71" i="57" s="1"/>
  <c r="C70" i="57"/>
  <c r="E70" i="57" s="1" a="1"/>
  <c r="E70" i="57" s="1"/>
  <c r="C69" i="57"/>
  <c r="E69" i="57" s="1" a="1"/>
  <c r="E69" i="57" s="1"/>
  <c r="C68" i="57"/>
  <c r="E68" i="57" s="1" a="1"/>
  <c r="E68" i="57" s="1"/>
  <c r="C67" i="57"/>
  <c r="E67" i="57" s="1" a="1"/>
  <c r="E67" i="57" s="1"/>
  <c r="C66" i="57"/>
  <c r="E66" i="57" s="1" a="1"/>
  <c r="E66" i="57" s="1"/>
  <c r="C65" i="57"/>
  <c r="E65" i="57" s="1" a="1"/>
  <c r="E65" i="57" s="1"/>
  <c r="C64" i="57"/>
  <c r="E64" i="57" s="1" a="1"/>
  <c r="E64" i="57" s="1"/>
  <c r="C63" i="57"/>
  <c r="E63" i="57" s="1" a="1"/>
  <c r="E63" i="57" s="1"/>
  <c r="C62" i="57"/>
  <c r="E62" i="57" s="1" a="1"/>
  <c r="E62" i="57" s="1"/>
  <c r="C61" i="57"/>
  <c r="E61" i="57" s="1" a="1"/>
  <c r="E61" i="57" s="1"/>
  <c r="C60" i="57"/>
  <c r="E60" i="57" s="1" a="1"/>
  <c r="E60" i="57" s="1"/>
  <c r="C59" i="57"/>
  <c r="E59" i="57" s="1" a="1"/>
  <c r="E59" i="57" s="1"/>
  <c r="C58" i="57"/>
  <c r="E58" i="57" s="1" a="1"/>
  <c r="E58" i="57" s="1"/>
  <c r="C57" i="57"/>
  <c r="E57" i="57" s="1" a="1"/>
  <c r="E57" i="57" s="1"/>
  <c r="C56" i="57"/>
  <c r="E56" i="57" s="1" a="1"/>
  <c r="E56" i="57" s="1"/>
  <c r="C55" i="57"/>
  <c r="E55" i="57" s="1" a="1"/>
  <c r="E55" i="57" s="1"/>
  <c r="C54" i="57"/>
  <c r="E54" i="57" s="1" a="1"/>
  <c r="E54" i="57" s="1"/>
  <c r="C53" i="57"/>
  <c r="E53" i="57" s="1" a="1"/>
  <c r="E53" i="57" s="1"/>
  <c r="C52" i="57"/>
  <c r="E52" i="57" s="1" a="1"/>
  <c r="E52" i="57" s="1"/>
  <c r="H50"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8" i="9"/>
  <c r="D91" i="57" l="1"/>
  <c r="E91" i="57" a="1"/>
  <c r="E91" i="57" s="1"/>
  <c r="D99" i="57"/>
  <c r="E99" i="57" a="1"/>
  <c r="E99" i="57" s="1"/>
  <c r="D93" i="57"/>
  <c r="E93" i="57" a="1"/>
  <c r="E93" i="57" s="1"/>
  <c r="D101" i="57"/>
  <c r="E101" i="57" a="1"/>
  <c r="E101" i="57" s="1"/>
  <c r="D103" i="57"/>
  <c r="D97" i="57"/>
  <c r="E97" i="57" a="1"/>
  <c r="E97" i="57" s="1"/>
  <c r="D95" i="57"/>
  <c r="E95" i="57" a="1"/>
  <c r="E95" i="57" s="1"/>
  <c r="D92" i="57"/>
  <c r="D94" i="57"/>
  <c r="D96" i="57"/>
  <c r="D98" i="57"/>
  <c r="D100" i="57"/>
  <c r="D102" i="57"/>
  <c r="D104" i="57"/>
  <c r="D90" i="57"/>
  <c r="D73" i="57"/>
  <c r="D77" i="57"/>
  <c r="D81" i="57"/>
  <c r="D85" i="57"/>
  <c r="D87" i="57"/>
  <c r="D75" i="57"/>
  <c r="D79" i="57"/>
  <c r="D83" i="57"/>
  <c r="D89" i="57"/>
  <c r="D74" i="57"/>
  <c r="D76" i="57"/>
  <c r="D78" i="57"/>
  <c r="D80" i="57"/>
  <c r="D82" i="57"/>
  <c r="D84" i="57"/>
  <c r="D86" i="57"/>
  <c r="D88" i="57"/>
  <c r="D33" i="1"/>
  <c r="F2" i="79" s="1"/>
  <c r="E9" i="5"/>
  <c r="D9" i="5"/>
  <c r="F2" i="75" l="1"/>
  <c r="E570" i="73"/>
  <c r="E569" i="73"/>
  <c r="E568" i="73"/>
  <c r="E567" i="73"/>
  <c r="E566" i="73"/>
  <c r="H566" i="73" l="1"/>
  <c r="M566" i="73" s="1"/>
  <c r="P566" i="73" s="1"/>
  <c r="H567" i="73"/>
  <c r="M567" i="73" s="1"/>
  <c r="P567" i="73" s="1"/>
  <c r="H568" i="73"/>
  <c r="M568" i="73" s="1"/>
  <c r="P568" i="73" s="1"/>
  <c r="H569" i="73"/>
  <c r="M569" i="73" s="1"/>
  <c r="P569" i="73" s="1"/>
  <c r="H570" i="73"/>
  <c r="M570" i="73" s="1"/>
  <c r="P570" i="73" s="1"/>
  <c r="M565" i="73"/>
  <c r="P565" i="73" s="1"/>
  <c r="H563" i="73"/>
  <c r="M563" i="73" s="1"/>
  <c r="P563" i="73" s="1"/>
  <c r="E563" i="73"/>
  <c r="J560" i="73"/>
  <c r="J559" i="73"/>
  <c r="J558" i="73"/>
  <c r="J557" i="73"/>
  <c r="J556" i="73"/>
  <c r="J555" i="73"/>
  <c r="J554" i="73"/>
  <c r="J553" i="73"/>
  <c r="J552" i="73"/>
  <c r="J551" i="73"/>
  <c r="J550" i="73"/>
  <c r="J549" i="73"/>
  <c r="J548" i="73"/>
  <c r="J547" i="73"/>
  <c r="E547" i="73"/>
  <c r="H560" i="73"/>
  <c r="H559" i="73"/>
  <c r="H558" i="73"/>
  <c r="H557" i="73"/>
  <c r="H556" i="73"/>
  <c r="H555" i="73"/>
  <c r="M555" i="73" s="1"/>
  <c r="N555" i="73" s="1"/>
  <c r="H554" i="73"/>
  <c r="M554" i="73" s="1"/>
  <c r="R554" i="73" s="1"/>
  <c r="H553" i="73"/>
  <c r="H552" i="73"/>
  <c r="H551" i="73"/>
  <c r="H550" i="73"/>
  <c r="H549" i="73"/>
  <c r="H548" i="73"/>
  <c r="M548" i="73" s="1"/>
  <c r="H547" i="73"/>
  <c r="L9" i="5"/>
  <c r="I547" i="73" s="1"/>
  <c r="G560" i="73"/>
  <c r="F560" i="73"/>
  <c r="G559" i="73"/>
  <c r="F559" i="73"/>
  <c r="G558" i="73"/>
  <c r="F558" i="73"/>
  <c r="G557" i="73"/>
  <c r="F557" i="73"/>
  <c r="G556" i="73"/>
  <c r="F556" i="73"/>
  <c r="G555" i="73"/>
  <c r="F555" i="73"/>
  <c r="G554" i="73"/>
  <c r="F554" i="73"/>
  <c r="G553" i="73"/>
  <c r="F553" i="73"/>
  <c r="G552" i="73"/>
  <c r="F552" i="73"/>
  <c r="G551" i="73"/>
  <c r="F551" i="73"/>
  <c r="G550" i="73"/>
  <c r="F550" i="73"/>
  <c r="G549" i="73"/>
  <c r="F549" i="73"/>
  <c r="G548" i="73"/>
  <c r="F548" i="73"/>
  <c r="G547" i="73"/>
  <c r="F547" i="73"/>
  <c r="E560" i="73"/>
  <c r="E559" i="73"/>
  <c r="E558" i="73"/>
  <c r="E557" i="73"/>
  <c r="E556" i="73"/>
  <c r="E555" i="73"/>
  <c r="E554" i="73"/>
  <c r="E553" i="73"/>
  <c r="E552" i="73"/>
  <c r="E551" i="73"/>
  <c r="E550" i="73"/>
  <c r="E549" i="73"/>
  <c r="E548" i="73"/>
  <c r="M547" i="73" l="1"/>
  <c r="O547" i="73" s="1"/>
  <c r="AN163" i="73"/>
  <c r="AN164" i="73"/>
  <c r="M556" i="73"/>
  <c r="O556" i="73" s="1"/>
  <c r="M559" i="73"/>
  <c r="N559" i="73" s="1"/>
  <c r="M558" i="73"/>
  <c r="P558" i="73" s="1"/>
  <c r="M560" i="73"/>
  <c r="P560" i="73" s="1"/>
  <c r="M557" i="73"/>
  <c r="N557" i="73" s="1"/>
  <c r="M553" i="73"/>
  <c r="O553" i="73" s="1"/>
  <c r="R555" i="73"/>
  <c r="M551" i="73"/>
  <c r="R551" i="73" s="1"/>
  <c r="O555" i="73"/>
  <c r="P555" i="73"/>
  <c r="O554" i="73"/>
  <c r="N554" i="73"/>
  <c r="P554" i="73"/>
  <c r="M550" i="73"/>
  <c r="M549" i="73"/>
  <c r="R549" i="73" s="1"/>
  <c r="AM547" i="73"/>
  <c r="AM555" i="73"/>
  <c r="AN555" i="73" s="1"/>
  <c r="AM564" i="73"/>
  <c r="AQ564" i="73" s="1"/>
  <c r="AM557" i="73"/>
  <c r="AR557" i="73" s="1"/>
  <c r="AM563" i="73"/>
  <c r="AN563" i="73" s="1"/>
  <c r="AM548" i="73"/>
  <c r="AO548" i="73" s="1"/>
  <c r="AM556" i="73"/>
  <c r="AR556" i="73" s="1"/>
  <c r="AM565" i="73"/>
  <c r="AN565" i="73" s="1"/>
  <c r="AO555" i="73"/>
  <c r="AM549" i="73"/>
  <c r="AN549" i="73" s="1"/>
  <c r="AM554" i="73"/>
  <c r="AO554" i="73" s="1"/>
  <c r="AM566" i="73"/>
  <c r="AN566" i="73" s="1"/>
  <c r="AP554" i="73"/>
  <c r="AM550" i="73"/>
  <c r="AM558" i="73"/>
  <c r="AP558" i="73" s="1"/>
  <c r="AM567" i="73"/>
  <c r="AQ555" i="73"/>
  <c r="AP557" i="73"/>
  <c r="AM553" i="73"/>
  <c r="AP553" i="73" s="1"/>
  <c r="AR555" i="73"/>
  <c r="AQ553" i="73"/>
  <c r="AP555" i="73"/>
  <c r="AM551" i="73"/>
  <c r="AQ551" i="73" s="1"/>
  <c r="AM559" i="73"/>
  <c r="AQ559" i="73" s="1"/>
  <c r="AM568" i="73"/>
  <c r="AQ568" i="73" s="1"/>
  <c r="AM570" i="73"/>
  <c r="AQ570" i="73" s="1"/>
  <c r="AR553" i="73"/>
  <c r="AQ554" i="73"/>
  <c r="AM552" i="73"/>
  <c r="AO552" i="73" s="1"/>
  <c r="AM560" i="73"/>
  <c r="AQ560" i="73" s="1"/>
  <c r="AM569" i="73"/>
  <c r="AQ569" i="73" s="1"/>
  <c r="AR554" i="73"/>
  <c r="AO559" i="73"/>
  <c r="AM562" i="73"/>
  <c r="AQ562" i="73" s="1"/>
  <c r="R548" i="73"/>
  <c r="N548" i="73"/>
  <c r="O548" i="73"/>
  <c r="Q548" i="73"/>
  <c r="P548" i="73"/>
  <c r="M552" i="73"/>
  <c r="N552" i="73" s="1"/>
  <c r="P547" i="73" l="1"/>
  <c r="N547" i="73"/>
  <c r="Q547" i="73"/>
  <c r="R547" i="73"/>
  <c r="AO557" i="73"/>
  <c r="R558" i="73"/>
  <c r="R559" i="73"/>
  <c r="P559" i="73"/>
  <c r="AR560" i="73"/>
  <c r="AN554" i="73"/>
  <c r="AO551" i="73"/>
  <c r="AN553" i="73"/>
  <c r="AN552" i="73"/>
  <c r="AN570" i="73"/>
  <c r="AN557" i="73"/>
  <c r="AN558" i="73"/>
  <c r="AQ556" i="73"/>
  <c r="AN560" i="73"/>
  <c r="AN564" i="73"/>
  <c r="AO553" i="73"/>
  <c r="AN568" i="73"/>
  <c r="AO556" i="73"/>
  <c r="AR559" i="73"/>
  <c r="AP559" i="73"/>
  <c r="AN556" i="73"/>
  <c r="AN559" i="73"/>
  <c r="AN569" i="73"/>
  <c r="AO558" i="73"/>
  <c r="AP556" i="73"/>
  <c r="AN562" i="73"/>
  <c r="O559" i="73"/>
  <c r="O558" i="73"/>
  <c r="R553" i="73"/>
  <c r="R556" i="73"/>
  <c r="O551" i="73"/>
  <c r="N560" i="73"/>
  <c r="P551" i="73"/>
  <c r="N551" i="73"/>
  <c r="P556" i="73"/>
  <c r="N558" i="73"/>
  <c r="O560" i="73"/>
  <c r="R560" i="73"/>
  <c r="N556" i="73"/>
  <c r="P553" i="73"/>
  <c r="O557" i="73"/>
  <c r="P557" i="73"/>
  <c r="N553" i="73"/>
  <c r="R557" i="73"/>
  <c r="R552" i="73"/>
  <c r="O552" i="73"/>
  <c r="P552" i="73"/>
  <c r="AQ567" i="73"/>
  <c r="AN567" i="73"/>
  <c r="AO547" i="73"/>
  <c r="AN547" i="73"/>
  <c r="AR548" i="73"/>
  <c r="AN548" i="73"/>
  <c r="AQ548" i="73"/>
  <c r="AR551" i="73"/>
  <c r="AN551" i="73"/>
  <c r="AP548" i="73"/>
  <c r="AQ550" i="73"/>
  <c r="AN550" i="73"/>
  <c r="AQ565" i="73"/>
  <c r="AQ563" i="73"/>
  <c r="N550" i="73"/>
  <c r="R550" i="73"/>
  <c r="P550" i="73"/>
  <c r="O550" i="73"/>
  <c r="AO550" i="73"/>
  <c r="O549" i="73"/>
  <c r="P549" i="73"/>
  <c r="N549" i="73"/>
  <c r="AQ547" i="73"/>
  <c r="AR547" i="73"/>
  <c r="AP549" i="73"/>
  <c r="AR552" i="73"/>
  <c r="AR558" i="73"/>
  <c r="AP560" i="73"/>
  <c r="AO560" i="73"/>
  <c r="AP551" i="73"/>
  <c r="AP552" i="73"/>
  <c r="AP550" i="73"/>
  <c r="AQ566" i="73"/>
  <c r="AO549" i="73"/>
  <c r="AQ552" i="73"/>
  <c r="AQ557" i="73"/>
  <c r="AQ558" i="73"/>
  <c r="AQ549" i="73"/>
  <c r="AP547" i="73"/>
  <c r="K23" i="5"/>
  <c r="L22" i="5"/>
  <c r="I560" i="73" s="1"/>
  <c r="Q560" i="73" s="1"/>
  <c r="I23" i="5"/>
  <c r="L16" i="5"/>
  <c r="I554" i="73" s="1"/>
  <c r="Q554" i="73" s="1"/>
  <c r="L17" i="5"/>
  <c r="I555" i="73" s="1"/>
  <c r="Q555" i="73" s="1"/>
  <c r="L18" i="5"/>
  <c r="I556" i="73" s="1"/>
  <c r="Q556" i="73" s="1"/>
  <c r="L19" i="5"/>
  <c r="I557" i="73" s="1"/>
  <c r="Q557" i="73" s="1"/>
  <c r="L20" i="5"/>
  <c r="I558" i="73" s="1"/>
  <c r="Q558" i="73" s="1"/>
  <c r="L21" i="5"/>
  <c r="I559" i="73" s="1"/>
  <c r="Q559" i="73" s="1"/>
  <c r="C40" i="3" l="1"/>
  <c r="I8" i="73" l="1"/>
  <c r="H8" i="73"/>
  <c r="L210" i="73" l="1"/>
  <c r="L209" i="73"/>
  <c r="J208" i="73"/>
  <c r="T210" i="73"/>
  <c r="T209" i="73"/>
  <c r="L337" i="73"/>
  <c r="N337" i="73" s="1"/>
  <c r="J337" i="73"/>
  <c r="L352" i="73"/>
  <c r="N352" i="73" s="1"/>
  <c r="K352" i="73"/>
  <c r="J352" i="73"/>
  <c r="H352" i="73"/>
  <c r="G352" i="73"/>
  <c r="L351" i="73"/>
  <c r="N351" i="73" s="1"/>
  <c r="K351" i="73"/>
  <c r="J351" i="73"/>
  <c r="H351" i="73"/>
  <c r="G351" i="73"/>
  <c r="L350" i="73"/>
  <c r="N350" i="73" s="1"/>
  <c r="K350" i="73"/>
  <c r="J350" i="73"/>
  <c r="H350" i="73"/>
  <c r="G350" i="73"/>
  <c r="L349" i="73"/>
  <c r="N349" i="73" s="1"/>
  <c r="K349" i="73"/>
  <c r="J349" i="73"/>
  <c r="H349" i="73"/>
  <c r="G349" i="73"/>
  <c r="L348" i="73"/>
  <c r="N348" i="73" s="1"/>
  <c r="K348" i="73"/>
  <c r="J348" i="73"/>
  <c r="H348" i="73"/>
  <c r="G348" i="73"/>
  <c r="L347" i="73"/>
  <c r="N347" i="73" s="1"/>
  <c r="K347" i="73"/>
  <c r="J347" i="73"/>
  <c r="H347" i="73"/>
  <c r="G347" i="73"/>
  <c r="I347" i="73" s="1"/>
  <c r="AO347" i="73" s="1"/>
  <c r="L346" i="73"/>
  <c r="N346" i="73" s="1"/>
  <c r="K346" i="73"/>
  <c r="J346" i="73"/>
  <c r="H346" i="73"/>
  <c r="G346" i="73"/>
  <c r="L345" i="73"/>
  <c r="N345" i="73" s="1"/>
  <c r="K345" i="73"/>
  <c r="J345" i="73"/>
  <c r="H345" i="73"/>
  <c r="G345" i="73"/>
  <c r="L344" i="73"/>
  <c r="N344" i="73" s="1"/>
  <c r="K344" i="73"/>
  <c r="J344" i="73"/>
  <c r="H344" i="73"/>
  <c r="G344" i="73"/>
  <c r="L343" i="73"/>
  <c r="N343" i="73" s="1"/>
  <c r="K343" i="73"/>
  <c r="J343" i="73"/>
  <c r="H343" i="73"/>
  <c r="G343" i="73"/>
  <c r="L342" i="73"/>
  <c r="N342" i="73" s="1"/>
  <c r="K342" i="73"/>
  <c r="J342" i="73"/>
  <c r="H342" i="73"/>
  <c r="G342" i="73"/>
  <c r="L341" i="73"/>
  <c r="N341" i="73" s="1"/>
  <c r="K341" i="73"/>
  <c r="J341" i="73"/>
  <c r="H341" i="73"/>
  <c r="G341" i="73"/>
  <c r="L340" i="73"/>
  <c r="N340" i="73" s="1"/>
  <c r="K340" i="73"/>
  <c r="J340" i="73"/>
  <c r="H340" i="73"/>
  <c r="G340" i="73"/>
  <c r="L339" i="73"/>
  <c r="N339" i="73" s="1"/>
  <c r="K339" i="73"/>
  <c r="J339" i="73"/>
  <c r="H339" i="73"/>
  <c r="G339" i="73"/>
  <c r="L338" i="73"/>
  <c r="N338" i="73" s="1"/>
  <c r="K338" i="73"/>
  <c r="J338" i="73"/>
  <c r="H338" i="73"/>
  <c r="G338" i="73"/>
  <c r="G337" i="73"/>
  <c r="H337" i="73"/>
  <c r="K337" i="73"/>
  <c r="C187" i="57"/>
  <c r="C186" i="57"/>
  <c r="C185" i="57"/>
  <c r="C184" i="57"/>
  <c r="C183" i="57"/>
  <c r="C182" i="57"/>
  <c r="C181" i="57"/>
  <c r="C180" i="57"/>
  <c r="C179" i="57"/>
  <c r="C178" i="57"/>
  <c r="C177" i="57"/>
  <c r="C176" i="57"/>
  <c r="C175" i="57"/>
  <c r="C174" i="57"/>
  <c r="C173" i="57"/>
  <c r="C172" i="57"/>
  <c r="C171" i="57"/>
  <c r="C170" i="57"/>
  <c r="C169" i="57"/>
  <c r="C168" i="57"/>
  <c r="C167" i="57"/>
  <c r="C166" i="57"/>
  <c r="C165" i="57"/>
  <c r="C164" i="57"/>
  <c r="C163" i="57"/>
  <c r="C162" i="57"/>
  <c r="C161" i="57"/>
  <c r="C160" i="57"/>
  <c r="C159" i="57"/>
  <c r="C158" i="57"/>
  <c r="C157" i="57"/>
  <c r="C156" i="57"/>
  <c r="C155" i="57"/>
  <c r="C154" i="57"/>
  <c r="C153" i="57"/>
  <c r="C152" i="57"/>
  <c r="C151" i="57"/>
  <c r="C150" i="57"/>
  <c r="C149" i="57"/>
  <c r="C148" i="57"/>
  <c r="C147" i="57"/>
  <c r="C146" i="57"/>
  <c r="C145" i="57"/>
  <c r="C144" i="57"/>
  <c r="C143" i="57"/>
  <c r="C142" i="57"/>
  <c r="C141" i="57"/>
  <c r="C140" i="57"/>
  <c r="C139" i="57"/>
  <c r="C138" i="57"/>
  <c r="C137" i="57"/>
  <c r="C136" i="57"/>
  <c r="C135" i="57"/>
  <c r="C134" i="57"/>
  <c r="C133" i="57"/>
  <c r="C132" i="57"/>
  <c r="C131" i="57"/>
  <c r="C130" i="57"/>
  <c r="C129" i="57"/>
  <c r="C128" i="57"/>
  <c r="C127" i="57"/>
  <c r="C126" i="57"/>
  <c r="M114" i="56"/>
  <c r="G114" i="56"/>
  <c r="G149" i="56" s="1"/>
  <c r="F114" i="56"/>
  <c r="F149" i="56" s="1"/>
  <c r="E114" i="56"/>
  <c r="E149" i="56" s="1"/>
  <c r="D114" i="56"/>
  <c r="D149" i="56" s="1"/>
  <c r="M113" i="56"/>
  <c r="G113" i="56"/>
  <c r="G148" i="56" s="1"/>
  <c r="F113" i="56"/>
  <c r="F148" i="56" s="1"/>
  <c r="E113" i="56"/>
  <c r="E148" i="56" s="1"/>
  <c r="D113" i="56"/>
  <c r="D148" i="56" s="1"/>
  <c r="M112" i="56"/>
  <c r="G112" i="56"/>
  <c r="G147" i="56" s="1"/>
  <c r="F112" i="56"/>
  <c r="F147" i="56" s="1"/>
  <c r="E112" i="56"/>
  <c r="E147" i="56" s="1"/>
  <c r="D112" i="56"/>
  <c r="D147" i="56" s="1"/>
  <c r="M111" i="56"/>
  <c r="G111" i="56"/>
  <c r="G146" i="56" s="1"/>
  <c r="F111" i="56"/>
  <c r="F146" i="56" s="1"/>
  <c r="E111" i="56"/>
  <c r="E146" i="56" s="1"/>
  <c r="D111" i="56"/>
  <c r="D146" i="56" s="1"/>
  <c r="M110" i="56"/>
  <c r="G110" i="56"/>
  <c r="G145" i="56" s="1"/>
  <c r="F110" i="56"/>
  <c r="F145" i="56" s="1"/>
  <c r="E110" i="56"/>
  <c r="E145" i="56" s="1"/>
  <c r="D110" i="56"/>
  <c r="D145" i="56" s="1"/>
  <c r="M109" i="56"/>
  <c r="G109" i="56"/>
  <c r="G144" i="56" s="1"/>
  <c r="F109" i="56"/>
  <c r="F144" i="56" s="1"/>
  <c r="E109" i="56"/>
  <c r="E144" i="56" s="1"/>
  <c r="D109" i="56"/>
  <c r="D144" i="56" s="1"/>
  <c r="M108" i="56"/>
  <c r="G108" i="56"/>
  <c r="G143" i="56" s="1"/>
  <c r="F108" i="56"/>
  <c r="F143" i="56" s="1"/>
  <c r="E108" i="56"/>
  <c r="E143" i="56" s="1"/>
  <c r="D108" i="56"/>
  <c r="D143" i="56" s="1"/>
  <c r="M107" i="56"/>
  <c r="G107" i="56"/>
  <c r="G142" i="56" s="1"/>
  <c r="F107" i="56"/>
  <c r="F142" i="56" s="1"/>
  <c r="E107" i="56"/>
  <c r="E142" i="56" s="1"/>
  <c r="D107" i="56"/>
  <c r="D142" i="56" s="1"/>
  <c r="M106" i="56"/>
  <c r="G106" i="56"/>
  <c r="G141" i="56" s="1"/>
  <c r="F106" i="56"/>
  <c r="F141" i="56" s="1"/>
  <c r="E106" i="56"/>
  <c r="E141" i="56" s="1"/>
  <c r="D106" i="56"/>
  <c r="D141" i="56" s="1"/>
  <c r="M105" i="56"/>
  <c r="G105" i="56"/>
  <c r="G140" i="56" s="1"/>
  <c r="F105" i="56"/>
  <c r="F140" i="56" s="1"/>
  <c r="E105" i="56"/>
  <c r="E140" i="56" s="1"/>
  <c r="D105" i="56"/>
  <c r="D140" i="56" s="1"/>
  <c r="M104" i="56"/>
  <c r="G104" i="56"/>
  <c r="G139" i="56" s="1"/>
  <c r="F104" i="56"/>
  <c r="F139" i="56" s="1"/>
  <c r="E104" i="56"/>
  <c r="E139" i="56" s="1"/>
  <c r="D104" i="56"/>
  <c r="D139" i="56" s="1"/>
  <c r="M103" i="56"/>
  <c r="G103" i="56"/>
  <c r="G138" i="56" s="1"/>
  <c r="F103" i="56"/>
  <c r="F138" i="56" s="1"/>
  <c r="E103" i="56"/>
  <c r="E138" i="56" s="1"/>
  <c r="D103" i="56"/>
  <c r="D138" i="56" s="1"/>
  <c r="M102" i="56"/>
  <c r="G102" i="56"/>
  <c r="G137" i="56" s="1"/>
  <c r="F102" i="56"/>
  <c r="F137" i="56" s="1"/>
  <c r="E102" i="56"/>
  <c r="E137" i="56" s="1"/>
  <c r="D102" i="56"/>
  <c r="D137" i="56" s="1"/>
  <c r="M101" i="56"/>
  <c r="G101" i="56"/>
  <c r="G136" i="56" s="1"/>
  <c r="F101" i="56"/>
  <c r="F136" i="56" s="1"/>
  <c r="E101" i="56"/>
  <c r="E136" i="56" s="1"/>
  <c r="D101" i="56"/>
  <c r="D136" i="56" s="1"/>
  <c r="M100" i="56"/>
  <c r="G100" i="56"/>
  <c r="G135" i="56" s="1"/>
  <c r="F100" i="56"/>
  <c r="F135" i="56" s="1"/>
  <c r="E100" i="56"/>
  <c r="E135" i="56" s="1"/>
  <c r="D100" i="56"/>
  <c r="D135" i="56" s="1"/>
  <c r="M99" i="56"/>
  <c r="G99" i="56"/>
  <c r="G134" i="56" s="1"/>
  <c r="F99" i="56"/>
  <c r="F134" i="56" s="1"/>
  <c r="E99" i="56"/>
  <c r="E134" i="56" s="1"/>
  <c r="D99" i="56"/>
  <c r="D134" i="56" s="1"/>
  <c r="C8" i="23"/>
  <c r="C38" i="56" s="1"/>
  <c r="E6" i="27"/>
  <c r="E8" i="27"/>
  <c r="AH10" i="9"/>
  <c r="AH11" i="9" s="1"/>
  <c r="AH12" i="9" s="1"/>
  <c r="AH13" i="9" s="1"/>
  <c r="AH14" i="9" s="1"/>
  <c r="AH15" i="9" s="1"/>
  <c r="AH16" i="9" s="1"/>
  <c r="AH17" i="9" s="1"/>
  <c r="AH18" i="9" s="1"/>
  <c r="AH19" i="9" s="1"/>
  <c r="AH20" i="9" s="1"/>
  <c r="AH21" i="9" s="1"/>
  <c r="AH22" i="9" s="1"/>
  <c r="AH23" i="9" s="1"/>
  <c r="AH24" i="9" s="1"/>
  <c r="AH25" i="9" s="1"/>
  <c r="AH26" i="9" s="1"/>
  <c r="AH27" i="9" s="1"/>
  <c r="AH28" i="9" s="1"/>
  <c r="AH29" i="9" s="1"/>
  <c r="AH30" i="9" s="1"/>
  <c r="AH31" i="9" s="1"/>
  <c r="AH32" i="9" s="1"/>
  <c r="AH33" i="9" s="1"/>
  <c r="AH34" i="9" s="1"/>
  <c r="AH35" i="9" s="1"/>
  <c r="AH36" i="9" s="1"/>
  <c r="AH37" i="9" s="1"/>
  <c r="AH38" i="9" s="1"/>
  <c r="CO36" i="9"/>
  <c r="CN36" i="9"/>
  <c r="CM36" i="9"/>
  <c r="CK36" i="9"/>
  <c r="CJ36" i="9"/>
  <c r="CI36" i="9"/>
  <c r="CH36" i="9"/>
  <c r="CG36" i="9"/>
  <c r="CF36" i="9"/>
  <c r="CE36" i="9"/>
  <c r="CD36" i="9"/>
  <c r="BW36" i="9"/>
  <c r="BV36" i="9"/>
  <c r="BU36" i="9"/>
  <c r="BS36" i="9"/>
  <c r="BR36" i="9"/>
  <c r="BQ36" i="9"/>
  <c r="BP36" i="9"/>
  <c r="BO36" i="9"/>
  <c r="BN36" i="9"/>
  <c r="BM36" i="9"/>
  <c r="BL36" i="9"/>
  <c r="BJ36" i="9"/>
  <c r="BI36" i="9"/>
  <c r="BH36" i="9"/>
  <c r="BG36" i="9"/>
  <c r="BF36" i="9"/>
  <c r="BE36" i="9"/>
  <c r="BD36" i="9"/>
  <c r="BC36" i="9"/>
  <c r="BA36" i="9"/>
  <c r="AZ36" i="9"/>
  <c r="AY36" i="9"/>
  <c r="AX36" i="9"/>
  <c r="AW36" i="9"/>
  <c r="AV36" i="9"/>
  <c r="AU36" i="9"/>
  <c r="AT36" i="9"/>
  <c r="AR36" i="9"/>
  <c r="AQ36" i="9"/>
  <c r="AP36" i="9"/>
  <c r="AO36" i="9"/>
  <c r="AN36" i="9"/>
  <c r="AM36" i="9"/>
  <c r="AL36" i="9"/>
  <c r="AK36" i="9"/>
  <c r="AG37" i="9"/>
  <c r="AF37" i="9"/>
  <c r="AE37" i="9"/>
  <c r="AD37" i="9"/>
  <c r="Z37" i="9"/>
  <c r="AB37" i="9" s="1"/>
  <c r="Y37" i="9"/>
  <c r="AA37" i="9" s="1"/>
  <c r="X37" i="9"/>
  <c r="W37" i="9"/>
  <c r="V37" i="9"/>
  <c r="T37" i="9"/>
  <c r="U37" i="9" s="1"/>
  <c r="J114" i="56" s="1"/>
  <c r="K114" i="56" s="1"/>
  <c r="I149" i="56" s="1"/>
  <c r="L37" i="9"/>
  <c r="P37" i="9" s="1"/>
  <c r="CT35" i="9"/>
  <c r="CS35" i="9"/>
  <c r="CR35" i="9"/>
  <c r="CQ35" i="9"/>
  <c r="CP35" i="9"/>
  <c r="CO35" i="9"/>
  <c r="CN35" i="9"/>
  <c r="CM35" i="9"/>
  <c r="CJ35" i="9"/>
  <c r="CF35" i="9"/>
  <c r="CE35" i="9"/>
  <c r="CD35" i="9"/>
  <c r="CB35" i="9"/>
  <c r="CA35" i="9"/>
  <c r="BZ35" i="9"/>
  <c r="BY35" i="9"/>
  <c r="BX35" i="9"/>
  <c r="BW35" i="9"/>
  <c r="BV35" i="9"/>
  <c r="BU35" i="9"/>
  <c r="BN35" i="9"/>
  <c r="BM35" i="9"/>
  <c r="BL35" i="9"/>
  <c r="BJ35" i="9"/>
  <c r="BI35" i="9"/>
  <c r="BH35" i="9"/>
  <c r="BG35" i="9"/>
  <c r="BF35" i="9"/>
  <c r="BE35" i="9"/>
  <c r="BD35" i="9"/>
  <c r="BC35" i="9"/>
  <c r="BA35" i="9"/>
  <c r="AZ35" i="9"/>
  <c r="AY35" i="9"/>
  <c r="AX35" i="9"/>
  <c r="AW35" i="9"/>
  <c r="AV35" i="9"/>
  <c r="AU35" i="9"/>
  <c r="AT35" i="9"/>
  <c r="AR35" i="9"/>
  <c r="AQ35" i="9"/>
  <c r="AP35" i="9"/>
  <c r="AO35" i="9"/>
  <c r="AN35" i="9"/>
  <c r="AM35" i="9"/>
  <c r="AL35" i="9"/>
  <c r="AK35" i="9"/>
  <c r="AG36" i="9"/>
  <c r="AF36" i="9"/>
  <c r="AE36" i="9"/>
  <c r="AD36" i="9"/>
  <c r="Z36" i="9"/>
  <c r="AB36" i="9" s="1"/>
  <c r="Y36" i="9"/>
  <c r="AA36" i="9" s="1"/>
  <c r="X36" i="9"/>
  <c r="W36" i="9"/>
  <c r="V36" i="9"/>
  <c r="T36" i="9"/>
  <c r="U36" i="9" s="1"/>
  <c r="J113" i="56" s="1"/>
  <c r="K113" i="56" s="1"/>
  <c r="I148" i="56" s="1"/>
  <c r="L36" i="9"/>
  <c r="N36" i="9" s="1"/>
  <c r="H113" i="56" s="1"/>
  <c r="CT34" i="9"/>
  <c r="CS34" i="9"/>
  <c r="CR34" i="9"/>
  <c r="CQ34" i="9"/>
  <c r="CP34" i="9"/>
  <c r="CO34" i="9"/>
  <c r="CN34" i="9"/>
  <c r="CM34" i="9"/>
  <c r="CK34" i="9"/>
  <c r="CJ34" i="9"/>
  <c r="CI34" i="9"/>
  <c r="CH34" i="9"/>
  <c r="CG34" i="9"/>
  <c r="CF34" i="9"/>
  <c r="CE34" i="9"/>
  <c r="CD34" i="9"/>
  <c r="CB34" i="9"/>
  <c r="BW34" i="9"/>
  <c r="BV34" i="9"/>
  <c r="BU34" i="9"/>
  <c r="BS34" i="9"/>
  <c r="BR34" i="9"/>
  <c r="BQ34" i="9"/>
  <c r="BP34" i="9"/>
  <c r="BO34" i="9"/>
  <c r="BN34" i="9"/>
  <c r="BM34" i="9"/>
  <c r="BL34" i="9"/>
  <c r="BE34" i="9"/>
  <c r="BD34" i="9"/>
  <c r="BC34" i="9"/>
  <c r="BA34" i="9"/>
  <c r="AZ34" i="9"/>
  <c r="AY34" i="9"/>
  <c r="AX34" i="9"/>
  <c r="AW34" i="9"/>
  <c r="AV34" i="9"/>
  <c r="AU34" i="9"/>
  <c r="AT34" i="9"/>
  <c r="AR34" i="9"/>
  <c r="AQ34" i="9"/>
  <c r="AP34" i="9"/>
  <c r="AO34" i="9"/>
  <c r="AN34" i="9"/>
  <c r="AM34" i="9"/>
  <c r="AL34" i="9"/>
  <c r="AK34" i="9"/>
  <c r="AG35" i="9"/>
  <c r="AF35" i="9"/>
  <c r="AE35" i="9"/>
  <c r="AD35" i="9"/>
  <c r="Z35" i="9"/>
  <c r="AB35" i="9" s="1"/>
  <c r="Y35" i="9"/>
  <c r="AA35" i="9" s="1"/>
  <c r="X35" i="9"/>
  <c r="W35" i="9"/>
  <c r="V35" i="9"/>
  <c r="T35" i="9"/>
  <c r="U35" i="9" s="1"/>
  <c r="J112" i="56" s="1"/>
  <c r="K112" i="56" s="1"/>
  <c r="I147" i="56" s="1"/>
  <c r="L35" i="9"/>
  <c r="S35" i="9" s="1"/>
  <c r="BQ35" i="9" s="1"/>
  <c r="CT33" i="9"/>
  <c r="CS33" i="9"/>
  <c r="CR33" i="9"/>
  <c r="CQ33" i="9"/>
  <c r="CP33" i="9"/>
  <c r="CO33" i="9"/>
  <c r="CN33" i="9"/>
  <c r="CM33" i="9"/>
  <c r="CK33" i="9"/>
  <c r="CJ33" i="9"/>
  <c r="CI33" i="9"/>
  <c r="CH33" i="9"/>
  <c r="CG33" i="9"/>
  <c r="CF33" i="9"/>
  <c r="CE33" i="9"/>
  <c r="CD33" i="9"/>
  <c r="CB33" i="9"/>
  <c r="CA33" i="9"/>
  <c r="BZ33" i="9"/>
  <c r="BY33" i="9"/>
  <c r="BX33" i="9"/>
  <c r="BW33" i="9"/>
  <c r="BV33" i="9"/>
  <c r="BU33" i="9"/>
  <c r="BR33" i="9"/>
  <c r="BN33" i="9"/>
  <c r="BM33" i="9"/>
  <c r="BL33" i="9"/>
  <c r="BJ33" i="9"/>
  <c r="BI33" i="9"/>
  <c r="BH33" i="9"/>
  <c r="BG33" i="9"/>
  <c r="BF33" i="9"/>
  <c r="BE33" i="9"/>
  <c r="BD33" i="9"/>
  <c r="BC33" i="9"/>
  <c r="BA33" i="9"/>
  <c r="AZ33" i="9"/>
  <c r="AY33" i="9"/>
  <c r="AX33" i="9"/>
  <c r="AW33" i="9"/>
  <c r="AV33" i="9"/>
  <c r="AU33" i="9"/>
  <c r="AT33" i="9"/>
  <c r="AR33" i="9"/>
  <c r="AM33" i="9"/>
  <c r="AL33" i="9"/>
  <c r="AK33" i="9"/>
  <c r="AG34" i="9"/>
  <c r="AF34" i="9"/>
  <c r="AE34" i="9"/>
  <c r="AD34" i="9"/>
  <c r="Z34" i="9"/>
  <c r="AB34" i="9" s="1"/>
  <c r="Y34" i="9"/>
  <c r="AA34" i="9" s="1"/>
  <c r="X34" i="9"/>
  <c r="W34" i="9"/>
  <c r="V34" i="9"/>
  <c r="T34" i="9"/>
  <c r="U34" i="9" s="1"/>
  <c r="J111" i="56" s="1"/>
  <c r="K111" i="56" s="1"/>
  <c r="I146" i="56" s="1"/>
  <c r="L34" i="9"/>
  <c r="P34" i="9" s="1"/>
  <c r="CO32" i="9"/>
  <c r="CN32" i="9"/>
  <c r="CM32" i="9"/>
  <c r="CK32" i="9"/>
  <c r="CJ32" i="9"/>
  <c r="CI32" i="9"/>
  <c r="CH32" i="9"/>
  <c r="CG32" i="9"/>
  <c r="CF32" i="9"/>
  <c r="CE32" i="9"/>
  <c r="CD32" i="9"/>
  <c r="CB32" i="9"/>
  <c r="CA32" i="9"/>
  <c r="BZ32" i="9"/>
  <c r="BY32" i="9"/>
  <c r="BX32" i="9"/>
  <c r="BW32" i="9"/>
  <c r="BV32" i="9"/>
  <c r="BU32" i="9"/>
  <c r="BS32" i="9"/>
  <c r="BR32" i="9"/>
  <c r="BQ32" i="9"/>
  <c r="BP32" i="9"/>
  <c r="BO32" i="9"/>
  <c r="BN32" i="9"/>
  <c r="BM32" i="9"/>
  <c r="BL32" i="9"/>
  <c r="BI32" i="9"/>
  <c r="BE32" i="9"/>
  <c r="BD32" i="9"/>
  <c r="BC32" i="9"/>
  <c r="AV32" i="9"/>
  <c r="AU32" i="9"/>
  <c r="AT32" i="9"/>
  <c r="AR32" i="9"/>
  <c r="AQ32" i="9"/>
  <c r="AP32" i="9"/>
  <c r="AO32" i="9"/>
  <c r="AN32" i="9"/>
  <c r="AM32" i="9"/>
  <c r="AL32" i="9"/>
  <c r="AK32" i="9"/>
  <c r="AG33" i="9"/>
  <c r="AE33" i="9"/>
  <c r="Z33" i="9"/>
  <c r="AB33" i="9" s="1"/>
  <c r="Y33" i="9"/>
  <c r="AA33" i="9" s="1"/>
  <c r="X33" i="9"/>
  <c r="W33" i="9"/>
  <c r="V33" i="9"/>
  <c r="T33" i="9"/>
  <c r="U33" i="9" s="1"/>
  <c r="J110" i="56" s="1"/>
  <c r="K110" i="56" s="1"/>
  <c r="I145" i="56" s="1"/>
  <c r="L33" i="9"/>
  <c r="P33" i="9" s="1"/>
  <c r="CO31" i="9"/>
  <c r="CN31" i="9"/>
  <c r="CM31" i="9"/>
  <c r="CK31" i="9"/>
  <c r="CJ31" i="9"/>
  <c r="CI31" i="9"/>
  <c r="CH31" i="9"/>
  <c r="CG31" i="9"/>
  <c r="CF31" i="9"/>
  <c r="CE31" i="9"/>
  <c r="CD31" i="9"/>
  <c r="CB31" i="9"/>
  <c r="CA31" i="9"/>
  <c r="BZ31" i="9"/>
  <c r="BY31" i="9"/>
  <c r="BX31" i="9"/>
  <c r="BW31" i="9"/>
  <c r="BV31" i="9"/>
  <c r="BU31" i="9"/>
  <c r="BS31" i="9"/>
  <c r="BR31" i="9"/>
  <c r="BQ31" i="9"/>
  <c r="BP31" i="9"/>
  <c r="BO31" i="9"/>
  <c r="BN31" i="9"/>
  <c r="BM31" i="9"/>
  <c r="BL31" i="9"/>
  <c r="BJ31" i="9"/>
  <c r="BI31" i="9"/>
  <c r="BH31" i="9"/>
  <c r="BG31" i="9"/>
  <c r="BF31" i="9"/>
  <c r="BE31" i="9"/>
  <c r="BD31" i="9"/>
  <c r="BC31" i="9"/>
  <c r="BA31" i="9"/>
  <c r="AZ31" i="9"/>
  <c r="AY31" i="9"/>
  <c r="AX31" i="9"/>
  <c r="AW31" i="9"/>
  <c r="AV31" i="9"/>
  <c r="AU31" i="9"/>
  <c r="AT31" i="9"/>
  <c r="AR31" i="9"/>
  <c r="AQ31" i="9"/>
  <c r="AP31" i="9"/>
  <c r="AO31" i="9"/>
  <c r="AN31" i="9"/>
  <c r="AM31" i="9"/>
  <c r="AL31" i="9"/>
  <c r="AK31" i="9"/>
  <c r="AF32" i="9"/>
  <c r="AD32" i="9"/>
  <c r="Z32" i="9"/>
  <c r="AB32" i="9" s="1"/>
  <c r="Y32" i="9"/>
  <c r="AA32" i="9" s="1"/>
  <c r="X32" i="9"/>
  <c r="W32" i="9"/>
  <c r="V32" i="9"/>
  <c r="T32" i="9"/>
  <c r="U32" i="9" s="1"/>
  <c r="J109" i="56" s="1"/>
  <c r="L32" i="9"/>
  <c r="N32" i="9" s="1"/>
  <c r="H109" i="56" s="1"/>
  <c r="CT30" i="9"/>
  <c r="CS30" i="9"/>
  <c r="CR30" i="9"/>
  <c r="CQ30" i="9"/>
  <c r="CP30" i="9"/>
  <c r="CO30" i="9"/>
  <c r="CN30" i="9"/>
  <c r="CM30" i="9"/>
  <c r="CF30" i="9"/>
  <c r="CE30" i="9"/>
  <c r="CD30" i="9"/>
  <c r="CB30" i="9"/>
  <c r="CA30" i="9"/>
  <c r="BZ30" i="9"/>
  <c r="BY30" i="9"/>
  <c r="BX30" i="9"/>
  <c r="BW30" i="9"/>
  <c r="BV30" i="9"/>
  <c r="BU30" i="9"/>
  <c r="BS30" i="9"/>
  <c r="BR30" i="9"/>
  <c r="BQ30" i="9"/>
  <c r="BP30" i="9"/>
  <c r="BO30" i="9"/>
  <c r="BN30" i="9"/>
  <c r="BM30" i="9"/>
  <c r="BL30" i="9"/>
  <c r="BJ30" i="9"/>
  <c r="BI30" i="9"/>
  <c r="BH30" i="9"/>
  <c r="BG30" i="9"/>
  <c r="BF30" i="9"/>
  <c r="BE30" i="9"/>
  <c r="BD30" i="9"/>
  <c r="BC30" i="9"/>
  <c r="BA30" i="9"/>
  <c r="AZ30" i="9"/>
  <c r="AY30" i="9"/>
  <c r="AX30" i="9"/>
  <c r="AW30" i="9"/>
  <c r="AV30" i="9"/>
  <c r="AU30" i="9"/>
  <c r="AT30" i="9"/>
  <c r="AR30" i="9"/>
  <c r="AQ30" i="9"/>
  <c r="AP30" i="9"/>
  <c r="AO30" i="9"/>
  <c r="AN30" i="9"/>
  <c r="AM30" i="9"/>
  <c r="AL30" i="9"/>
  <c r="AK30" i="9"/>
  <c r="AG31" i="9"/>
  <c r="AF31" i="9"/>
  <c r="AE31" i="9"/>
  <c r="AD31" i="9"/>
  <c r="Z31" i="9"/>
  <c r="AB31" i="9" s="1"/>
  <c r="Y31" i="9"/>
  <c r="AA31" i="9" s="1"/>
  <c r="X31" i="9"/>
  <c r="W31" i="9"/>
  <c r="V31" i="9"/>
  <c r="T31" i="9"/>
  <c r="U31" i="9" s="1"/>
  <c r="J108" i="56" s="1"/>
  <c r="K108" i="56" s="1"/>
  <c r="I143" i="56" s="1"/>
  <c r="L31" i="9"/>
  <c r="S31" i="9" s="1"/>
  <c r="CR31" i="9" s="1"/>
  <c r="CT29" i="9"/>
  <c r="CS29" i="9"/>
  <c r="CR29" i="9"/>
  <c r="CQ29" i="9"/>
  <c r="CP29" i="9"/>
  <c r="CO29" i="9"/>
  <c r="CN29" i="9"/>
  <c r="CM29" i="9"/>
  <c r="CK29" i="9"/>
  <c r="CJ29" i="9"/>
  <c r="CI29" i="9"/>
  <c r="CH29" i="9"/>
  <c r="CG29" i="9"/>
  <c r="CF29" i="9"/>
  <c r="CE29" i="9"/>
  <c r="CD29" i="9"/>
  <c r="BW29" i="9"/>
  <c r="BV29" i="9"/>
  <c r="BU29" i="9"/>
  <c r="BS29" i="9"/>
  <c r="BR29" i="9"/>
  <c r="BQ29" i="9"/>
  <c r="BP29" i="9"/>
  <c r="BO29" i="9"/>
  <c r="BN29" i="9"/>
  <c r="BM29" i="9"/>
  <c r="BL29" i="9"/>
  <c r="BJ29" i="9"/>
  <c r="BI29" i="9"/>
  <c r="BH29" i="9"/>
  <c r="BG29" i="9"/>
  <c r="BF29" i="9"/>
  <c r="BE29" i="9"/>
  <c r="BD29" i="9"/>
  <c r="BC29" i="9"/>
  <c r="BA29" i="9"/>
  <c r="AZ29" i="9"/>
  <c r="AY29" i="9"/>
  <c r="AX29" i="9"/>
  <c r="AW29" i="9"/>
  <c r="AV29" i="9"/>
  <c r="AU29" i="9"/>
  <c r="AT29" i="9"/>
  <c r="AR29" i="9"/>
  <c r="AQ29" i="9"/>
  <c r="AP29" i="9"/>
  <c r="AO29" i="9"/>
  <c r="AN29" i="9"/>
  <c r="AM29" i="9"/>
  <c r="AL29" i="9"/>
  <c r="AK29" i="9"/>
  <c r="AG30" i="9"/>
  <c r="AF30" i="9"/>
  <c r="AE30" i="9"/>
  <c r="AD30" i="9"/>
  <c r="Z30" i="9"/>
  <c r="AB30" i="9" s="1"/>
  <c r="Y30" i="9"/>
  <c r="AA30" i="9" s="1"/>
  <c r="X30" i="9"/>
  <c r="W30" i="9"/>
  <c r="V30" i="9"/>
  <c r="T30" i="9"/>
  <c r="U30" i="9" s="1"/>
  <c r="CK30" i="9" s="1"/>
  <c r="L30" i="9"/>
  <c r="S30" i="9" s="1"/>
  <c r="CI30" i="9" s="1"/>
  <c r="CT28" i="9"/>
  <c r="CS28" i="9"/>
  <c r="CR28" i="9"/>
  <c r="CQ28" i="9"/>
  <c r="CP28" i="9"/>
  <c r="CO28" i="9"/>
  <c r="CN28" i="9"/>
  <c r="CM28" i="9"/>
  <c r="CK28" i="9"/>
  <c r="CJ28" i="9"/>
  <c r="CI28" i="9"/>
  <c r="CH28" i="9"/>
  <c r="CG28" i="9"/>
  <c r="CF28" i="9"/>
  <c r="CE28" i="9"/>
  <c r="CD28" i="9"/>
  <c r="CB28" i="9"/>
  <c r="CA28" i="9"/>
  <c r="BZ28" i="9"/>
  <c r="BY28" i="9"/>
  <c r="BX28" i="9"/>
  <c r="BW28" i="9"/>
  <c r="BV28" i="9"/>
  <c r="BU28" i="9"/>
  <c r="BN28" i="9"/>
  <c r="BM28" i="9"/>
  <c r="BL28" i="9"/>
  <c r="BJ28" i="9"/>
  <c r="BI28" i="9"/>
  <c r="BH28" i="9"/>
  <c r="BG28" i="9"/>
  <c r="BF28" i="9"/>
  <c r="BE28" i="9"/>
  <c r="BD28" i="9"/>
  <c r="BC28" i="9"/>
  <c r="BA28" i="9"/>
  <c r="AZ28" i="9"/>
  <c r="AY28" i="9"/>
  <c r="AX28" i="9"/>
  <c r="AW28" i="9"/>
  <c r="AV28" i="9"/>
  <c r="AU28" i="9"/>
  <c r="AT28" i="9"/>
  <c r="AR28" i="9"/>
  <c r="AQ28" i="9"/>
  <c r="AP28" i="9"/>
  <c r="AO28" i="9"/>
  <c r="AN28" i="9"/>
  <c r="AM28" i="9"/>
  <c r="AL28" i="9"/>
  <c r="AK28" i="9"/>
  <c r="AG29" i="9"/>
  <c r="AF29" i="9"/>
  <c r="AE29" i="9"/>
  <c r="AD29" i="9"/>
  <c r="Z29" i="9"/>
  <c r="AB29" i="9" s="1"/>
  <c r="Y29" i="9"/>
  <c r="AA29" i="9" s="1"/>
  <c r="X29" i="9"/>
  <c r="W29" i="9"/>
  <c r="V29" i="9"/>
  <c r="T29" i="9"/>
  <c r="U29" i="9" s="1"/>
  <c r="J106" i="56" s="1"/>
  <c r="K106" i="56" s="1"/>
  <c r="I141" i="56" s="1"/>
  <c r="L29" i="9"/>
  <c r="P29" i="9" s="1"/>
  <c r="CT27" i="9"/>
  <c r="CS27" i="9"/>
  <c r="CR27" i="9"/>
  <c r="CQ27" i="9"/>
  <c r="CP27" i="9"/>
  <c r="CO27" i="9"/>
  <c r="CN27" i="9"/>
  <c r="CM27" i="9"/>
  <c r="CK27" i="9"/>
  <c r="CJ27" i="9"/>
  <c r="CI27" i="9"/>
  <c r="CH27" i="9"/>
  <c r="CG27" i="9"/>
  <c r="CF27" i="9"/>
  <c r="CE27" i="9"/>
  <c r="CD27" i="9"/>
  <c r="CB27" i="9"/>
  <c r="CA27" i="9"/>
  <c r="BZ27" i="9"/>
  <c r="BY27" i="9"/>
  <c r="BX27" i="9"/>
  <c r="BW27" i="9"/>
  <c r="BV27" i="9"/>
  <c r="BU27" i="9"/>
  <c r="BS27" i="9"/>
  <c r="BR27" i="9"/>
  <c r="BQ27" i="9"/>
  <c r="BP27" i="9"/>
  <c r="BO27" i="9"/>
  <c r="BN27" i="9"/>
  <c r="BM27" i="9"/>
  <c r="BL27" i="9"/>
  <c r="BE27" i="9"/>
  <c r="BD27" i="9"/>
  <c r="BC27" i="9"/>
  <c r="BA27" i="9"/>
  <c r="AZ27" i="9"/>
  <c r="AY27" i="9"/>
  <c r="AX27" i="9"/>
  <c r="AW27" i="9"/>
  <c r="AV27" i="9"/>
  <c r="AU27" i="9"/>
  <c r="AT27" i="9"/>
  <c r="AR27" i="9"/>
  <c r="AQ27" i="9"/>
  <c r="AP27" i="9"/>
  <c r="AO27" i="9"/>
  <c r="AN27" i="9"/>
  <c r="AM27" i="9"/>
  <c r="AL27" i="9"/>
  <c r="AK27" i="9"/>
  <c r="AG28" i="9"/>
  <c r="AF28" i="9"/>
  <c r="AE28" i="9"/>
  <c r="AD28" i="9"/>
  <c r="Z28" i="9"/>
  <c r="AB28" i="9" s="1"/>
  <c r="Y28" i="9"/>
  <c r="AA28" i="9" s="1"/>
  <c r="X28" i="9"/>
  <c r="W28" i="9"/>
  <c r="V28" i="9"/>
  <c r="T28" i="9"/>
  <c r="U28" i="9" s="1"/>
  <c r="J105" i="56" s="1"/>
  <c r="K105" i="56" s="1"/>
  <c r="I140" i="56" s="1"/>
  <c r="L28" i="9"/>
  <c r="N28" i="9" s="1"/>
  <c r="H105" i="56" s="1"/>
  <c r="CO26" i="9"/>
  <c r="CN26" i="9"/>
  <c r="CM26" i="9"/>
  <c r="CK26" i="9"/>
  <c r="CJ26" i="9"/>
  <c r="CI26" i="9"/>
  <c r="CH26" i="9"/>
  <c r="CG26" i="9"/>
  <c r="CF26" i="9"/>
  <c r="CE26" i="9"/>
  <c r="CD26" i="9"/>
  <c r="CB26" i="9"/>
  <c r="CA26" i="9"/>
  <c r="BZ26" i="9"/>
  <c r="BY26" i="9"/>
  <c r="BX26" i="9"/>
  <c r="BW26" i="9"/>
  <c r="BV26" i="9"/>
  <c r="BU26" i="9"/>
  <c r="BS26" i="9"/>
  <c r="BR26" i="9"/>
  <c r="BQ26" i="9"/>
  <c r="BP26" i="9"/>
  <c r="BO26" i="9"/>
  <c r="BN26" i="9"/>
  <c r="BM26" i="9"/>
  <c r="BL26" i="9"/>
  <c r="BJ26" i="9"/>
  <c r="BI26" i="9"/>
  <c r="BH26" i="9"/>
  <c r="BG26" i="9"/>
  <c r="BF26" i="9"/>
  <c r="BE26" i="9"/>
  <c r="BD26" i="9"/>
  <c r="BC26" i="9"/>
  <c r="BA26" i="9"/>
  <c r="AZ26" i="9"/>
  <c r="AY26" i="9"/>
  <c r="AX26" i="9"/>
  <c r="AW26" i="9"/>
  <c r="AV26" i="9"/>
  <c r="AU26" i="9"/>
  <c r="AT26" i="9"/>
  <c r="AR26" i="9"/>
  <c r="AQ26" i="9"/>
  <c r="AP26" i="9"/>
  <c r="AO26" i="9"/>
  <c r="AN26" i="9"/>
  <c r="AM26" i="9"/>
  <c r="AL26" i="9"/>
  <c r="AK26" i="9"/>
  <c r="AG27" i="9"/>
  <c r="AF27" i="9"/>
  <c r="AE27" i="9"/>
  <c r="AD27" i="9"/>
  <c r="Z27" i="9"/>
  <c r="AB27" i="9" s="1"/>
  <c r="Y27" i="9"/>
  <c r="AA27" i="9" s="1"/>
  <c r="X27" i="9"/>
  <c r="W27" i="9"/>
  <c r="V27" i="9"/>
  <c r="T27" i="9"/>
  <c r="U27" i="9" s="1"/>
  <c r="J104" i="56" s="1"/>
  <c r="K104" i="56" s="1"/>
  <c r="I139" i="56" s="1"/>
  <c r="L27" i="9"/>
  <c r="S27" i="9" s="1"/>
  <c r="BH27" i="9" s="1"/>
  <c r="CT25" i="9"/>
  <c r="CS25" i="9"/>
  <c r="CR25" i="9"/>
  <c r="CQ25" i="9"/>
  <c r="CP25" i="9"/>
  <c r="CO25" i="9"/>
  <c r="CN25" i="9"/>
  <c r="CM25" i="9"/>
  <c r="CF25" i="9"/>
  <c r="CE25" i="9"/>
  <c r="CD25" i="9"/>
  <c r="CB25" i="9"/>
  <c r="CA25" i="9"/>
  <c r="BZ25" i="9"/>
  <c r="BY25" i="9"/>
  <c r="BX25" i="9"/>
  <c r="BW25" i="9"/>
  <c r="BV25" i="9"/>
  <c r="BU25" i="9"/>
  <c r="BS25" i="9"/>
  <c r="BR25" i="9"/>
  <c r="BQ25" i="9"/>
  <c r="BP25" i="9"/>
  <c r="BO25" i="9"/>
  <c r="BN25" i="9"/>
  <c r="BM25" i="9"/>
  <c r="BL25" i="9"/>
  <c r="BJ25" i="9"/>
  <c r="BI25" i="9"/>
  <c r="BH25" i="9"/>
  <c r="BG25" i="9"/>
  <c r="BF25" i="9"/>
  <c r="BE25" i="9"/>
  <c r="BD25" i="9"/>
  <c r="BC25" i="9"/>
  <c r="BA25" i="9"/>
  <c r="AZ25" i="9"/>
  <c r="AY25" i="9"/>
  <c r="AX25" i="9"/>
  <c r="AW25" i="9"/>
  <c r="AV25" i="9"/>
  <c r="AU25" i="9"/>
  <c r="AT25" i="9"/>
  <c r="AR25" i="9"/>
  <c r="AQ25" i="9"/>
  <c r="AP25" i="9"/>
  <c r="AO25" i="9"/>
  <c r="AN25" i="9"/>
  <c r="AM25" i="9"/>
  <c r="AL25" i="9"/>
  <c r="AK25" i="9"/>
  <c r="AG26" i="9"/>
  <c r="AF26" i="9"/>
  <c r="AE26" i="9"/>
  <c r="AD26" i="9"/>
  <c r="Z26" i="9"/>
  <c r="AB26" i="9" s="1"/>
  <c r="Y26" i="9"/>
  <c r="AA26" i="9" s="1"/>
  <c r="X26" i="9"/>
  <c r="W26" i="9"/>
  <c r="V26" i="9"/>
  <c r="T26" i="9"/>
  <c r="U26" i="9" s="1"/>
  <c r="J103" i="56" s="1"/>
  <c r="K103" i="56" s="1"/>
  <c r="I138" i="56" s="1"/>
  <c r="L26" i="9"/>
  <c r="P26" i="9" s="1"/>
  <c r="CT24" i="9"/>
  <c r="CS24" i="9"/>
  <c r="CR24" i="9"/>
  <c r="CQ24" i="9"/>
  <c r="CP24" i="9"/>
  <c r="CO24" i="9"/>
  <c r="CN24" i="9"/>
  <c r="CM24" i="9"/>
  <c r="CK24" i="9"/>
  <c r="CJ24" i="9"/>
  <c r="CI24" i="9"/>
  <c r="CH24" i="9"/>
  <c r="CG24" i="9"/>
  <c r="CF24" i="9"/>
  <c r="CE24" i="9"/>
  <c r="CD24" i="9"/>
  <c r="BW24" i="9"/>
  <c r="BV24" i="9"/>
  <c r="BU24" i="9"/>
  <c r="BS24" i="9"/>
  <c r="BR24" i="9"/>
  <c r="BQ24" i="9"/>
  <c r="BP24" i="9"/>
  <c r="BO24" i="9"/>
  <c r="BN24" i="9"/>
  <c r="BM24" i="9"/>
  <c r="BL24" i="9"/>
  <c r="BJ24" i="9"/>
  <c r="BI24" i="9"/>
  <c r="BH24" i="9"/>
  <c r="BG24" i="9"/>
  <c r="BF24" i="9"/>
  <c r="BE24" i="9"/>
  <c r="BD24" i="9"/>
  <c r="BC24" i="9"/>
  <c r="BA24" i="9"/>
  <c r="AZ24" i="9"/>
  <c r="AY24" i="9"/>
  <c r="AX24" i="9"/>
  <c r="AW24" i="9"/>
  <c r="AV24" i="9"/>
  <c r="AU24" i="9"/>
  <c r="AT24" i="9"/>
  <c r="AR24" i="9"/>
  <c r="AQ24" i="9"/>
  <c r="AP24" i="9"/>
  <c r="AO24" i="9"/>
  <c r="AN24" i="9"/>
  <c r="AM24" i="9"/>
  <c r="AL24" i="9"/>
  <c r="AK24" i="9"/>
  <c r="AG25" i="9"/>
  <c r="AF25" i="9"/>
  <c r="AE25" i="9"/>
  <c r="AD25" i="9"/>
  <c r="Z25" i="9"/>
  <c r="AB25" i="9" s="1"/>
  <c r="Y25" i="9"/>
  <c r="AA25" i="9" s="1"/>
  <c r="X25" i="9"/>
  <c r="W25" i="9"/>
  <c r="V25" i="9"/>
  <c r="T25" i="9"/>
  <c r="U25" i="9" s="1"/>
  <c r="J102" i="56" s="1"/>
  <c r="K102" i="56" s="1"/>
  <c r="I137" i="56" s="1"/>
  <c r="L25" i="9"/>
  <c r="N25" i="9" s="1"/>
  <c r="H102" i="56" s="1"/>
  <c r="CT23" i="9"/>
  <c r="CS23" i="9"/>
  <c r="CR23" i="9"/>
  <c r="CQ23" i="9"/>
  <c r="CP23" i="9"/>
  <c r="CO23" i="9"/>
  <c r="CN23" i="9"/>
  <c r="CM23" i="9"/>
  <c r="CK23" i="9"/>
  <c r="CJ23" i="9"/>
  <c r="CI23" i="9"/>
  <c r="CH23" i="9"/>
  <c r="CG23" i="9"/>
  <c r="CF23" i="9"/>
  <c r="CE23" i="9"/>
  <c r="CD23" i="9"/>
  <c r="CB23" i="9"/>
  <c r="CA23" i="9"/>
  <c r="BZ23" i="9"/>
  <c r="BY23" i="9"/>
  <c r="BX23" i="9"/>
  <c r="BW23" i="9"/>
  <c r="BV23" i="9"/>
  <c r="BU23" i="9"/>
  <c r="BN23" i="9"/>
  <c r="BM23" i="9"/>
  <c r="BL23" i="9"/>
  <c r="BJ23" i="9"/>
  <c r="BI23" i="9"/>
  <c r="BH23" i="9"/>
  <c r="BG23" i="9"/>
  <c r="BF23" i="9"/>
  <c r="BE23" i="9"/>
  <c r="BD23" i="9"/>
  <c r="BC23" i="9"/>
  <c r="BA23" i="9"/>
  <c r="AZ23" i="9"/>
  <c r="AY23" i="9"/>
  <c r="AX23" i="9"/>
  <c r="AW23" i="9"/>
  <c r="AV23" i="9"/>
  <c r="AU23" i="9"/>
  <c r="AT23" i="9"/>
  <c r="AQ23" i="9"/>
  <c r="AM23" i="9"/>
  <c r="AL23" i="9"/>
  <c r="AK23" i="9"/>
  <c r="AG24" i="9"/>
  <c r="AF24" i="9"/>
  <c r="AE24" i="9"/>
  <c r="AD24" i="9"/>
  <c r="Z24" i="9"/>
  <c r="AB24" i="9" s="1"/>
  <c r="Y24" i="9"/>
  <c r="AA24" i="9" s="1"/>
  <c r="X24" i="9"/>
  <c r="W24" i="9"/>
  <c r="V24" i="9"/>
  <c r="T24" i="9"/>
  <c r="U24" i="9" s="1"/>
  <c r="J101" i="56" s="1"/>
  <c r="K101" i="56" s="1"/>
  <c r="I136" i="56" s="1"/>
  <c r="L24" i="9"/>
  <c r="N24" i="9" s="1"/>
  <c r="H101" i="56" s="1"/>
  <c r="CT22" i="9"/>
  <c r="CS22" i="9"/>
  <c r="CR22" i="9"/>
  <c r="CQ22" i="9"/>
  <c r="CP22" i="9"/>
  <c r="CO22" i="9"/>
  <c r="CN22" i="9"/>
  <c r="CM22" i="9"/>
  <c r="CK22" i="9"/>
  <c r="CJ22" i="9"/>
  <c r="CI22" i="9"/>
  <c r="CH22" i="9"/>
  <c r="CG22" i="9"/>
  <c r="CF22" i="9"/>
  <c r="CE22" i="9"/>
  <c r="CD22" i="9"/>
  <c r="CB22" i="9"/>
  <c r="CA22" i="9"/>
  <c r="BZ22" i="9"/>
  <c r="BY22" i="9"/>
  <c r="BX22" i="9"/>
  <c r="BW22" i="9"/>
  <c r="BV22" i="9"/>
  <c r="BU22" i="9"/>
  <c r="BS22" i="9"/>
  <c r="BR22" i="9"/>
  <c r="BQ22" i="9"/>
  <c r="BP22" i="9"/>
  <c r="BO22" i="9"/>
  <c r="BN22" i="9"/>
  <c r="BM22" i="9"/>
  <c r="BL22" i="9"/>
  <c r="BE22" i="9"/>
  <c r="BD22" i="9"/>
  <c r="BC22" i="9"/>
  <c r="BA22" i="9"/>
  <c r="AZ22" i="9"/>
  <c r="AY22" i="9"/>
  <c r="AX22" i="9"/>
  <c r="AW22" i="9"/>
  <c r="AV22" i="9"/>
  <c r="AU22" i="9"/>
  <c r="AT22" i="9"/>
  <c r="AR22" i="9"/>
  <c r="AQ22" i="9"/>
  <c r="AP22" i="9"/>
  <c r="AO22" i="9"/>
  <c r="AN22" i="9"/>
  <c r="AM22" i="9"/>
  <c r="AL22" i="9"/>
  <c r="AK22" i="9"/>
  <c r="AG23" i="9"/>
  <c r="AF23" i="9"/>
  <c r="AE23" i="9"/>
  <c r="AD23" i="9"/>
  <c r="Z23" i="9"/>
  <c r="AB23" i="9" s="1"/>
  <c r="Y23" i="9"/>
  <c r="AA23" i="9" s="1"/>
  <c r="X23" i="9"/>
  <c r="W23" i="9"/>
  <c r="V23" i="9"/>
  <c r="T23" i="9"/>
  <c r="U23" i="9" s="1"/>
  <c r="J100" i="56" s="1"/>
  <c r="K100" i="56" s="1"/>
  <c r="I135" i="56" s="1"/>
  <c r="L23" i="9"/>
  <c r="CT21" i="9"/>
  <c r="CS21" i="9"/>
  <c r="CR21" i="9"/>
  <c r="CQ21" i="9"/>
  <c r="CP21" i="9"/>
  <c r="CO21" i="9"/>
  <c r="CN21" i="9"/>
  <c r="CM21" i="9"/>
  <c r="CK21" i="9"/>
  <c r="CJ21" i="9"/>
  <c r="CI21" i="9"/>
  <c r="CH21" i="9"/>
  <c r="CG21" i="9"/>
  <c r="CF21" i="9"/>
  <c r="CE21" i="9"/>
  <c r="CD21" i="9"/>
  <c r="CB21" i="9"/>
  <c r="CA21" i="9"/>
  <c r="BZ21" i="9"/>
  <c r="BY21" i="9"/>
  <c r="BX21" i="9"/>
  <c r="BW21" i="9"/>
  <c r="BV21" i="9"/>
  <c r="BU21" i="9"/>
  <c r="BS21" i="9"/>
  <c r="BR21" i="9"/>
  <c r="BQ21" i="9"/>
  <c r="BP21" i="9"/>
  <c r="BO21" i="9"/>
  <c r="BN21" i="9"/>
  <c r="BM21" i="9"/>
  <c r="BL21" i="9"/>
  <c r="BJ21" i="9"/>
  <c r="BI21" i="9"/>
  <c r="BH21" i="9"/>
  <c r="BG21" i="9"/>
  <c r="BF21" i="9"/>
  <c r="BE21" i="9"/>
  <c r="BD21" i="9"/>
  <c r="BC21" i="9"/>
  <c r="BA21" i="9"/>
  <c r="AZ21" i="9"/>
  <c r="AY21" i="9"/>
  <c r="AX21" i="9"/>
  <c r="AW21" i="9"/>
  <c r="AV21" i="9"/>
  <c r="AU21" i="9"/>
  <c r="AT21" i="9"/>
  <c r="AR21" i="9"/>
  <c r="AQ21" i="9"/>
  <c r="AP21" i="9"/>
  <c r="AO21" i="9"/>
  <c r="AN21" i="9"/>
  <c r="AM21" i="9"/>
  <c r="AL21" i="9"/>
  <c r="AK21" i="9"/>
  <c r="AG22" i="9"/>
  <c r="AF22" i="9"/>
  <c r="AE22" i="9"/>
  <c r="AD22" i="9"/>
  <c r="Z22" i="9"/>
  <c r="AB22" i="9" s="1"/>
  <c r="Y22" i="9"/>
  <c r="AA22" i="9" s="1"/>
  <c r="X22" i="9"/>
  <c r="W22" i="9"/>
  <c r="V22" i="9"/>
  <c r="T22" i="9"/>
  <c r="U22" i="9" s="1"/>
  <c r="BJ22" i="9" s="1"/>
  <c r="L22" i="9"/>
  <c r="S22" i="9" s="1"/>
  <c r="BH22" i="9" s="1"/>
  <c r="D52" i="57"/>
  <c r="D68" i="57"/>
  <c r="D67" i="57"/>
  <c r="D66" i="57"/>
  <c r="D60" i="57"/>
  <c r="D59" i="57"/>
  <c r="D58" i="57"/>
  <c r="D53" i="57"/>
  <c r="C51" i="57"/>
  <c r="Q37" i="9" l="1"/>
  <c r="N114" i="56" s="1"/>
  <c r="J149" i="56" s="1"/>
  <c r="V352" i="73"/>
  <c r="Q34" i="9"/>
  <c r="N111" i="56" s="1"/>
  <c r="J146" i="56" s="1"/>
  <c r="V349" i="73"/>
  <c r="Q33" i="9"/>
  <c r="N110" i="56" s="1"/>
  <c r="J145" i="56" s="1"/>
  <c r="V348" i="73"/>
  <c r="Q29" i="9"/>
  <c r="N106" i="56" s="1"/>
  <c r="J141" i="56" s="1"/>
  <c r="V344" i="73"/>
  <c r="Q26" i="9"/>
  <c r="N103" i="56" s="1"/>
  <c r="J138" i="56" s="1"/>
  <c r="V341" i="73"/>
  <c r="K109" i="56"/>
  <c r="I144" i="56" s="1"/>
  <c r="CT32" i="9"/>
  <c r="CP32" i="9"/>
  <c r="CS32" i="9"/>
  <c r="AR23" i="9"/>
  <c r="D51" i="57"/>
  <c r="E51" i="57" a="1"/>
  <c r="E51" i="57" s="1"/>
  <c r="S23" i="9"/>
  <c r="D69" i="57"/>
  <c r="I349" i="73"/>
  <c r="AO349" i="73" s="1"/>
  <c r="I348" i="73"/>
  <c r="AO348" i="73" s="1"/>
  <c r="CP36" i="9"/>
  <c r="CS36" i="9"/>
  <c r="CT36" i="9"/>
  <c r="CI35" i="9"/>
  <c r="CK35" i="9"/>
  <c r="BY34" i="9"/>
  <c r="CA34" i="9"/>
  <c r="BS33" i="9"/>
  <c r="BP33" i="9"/>
  <c r="BJ32" i="9"/>
  <c r="BF32" i="9"/>
  <c r="I346" i="73"/>
  <c r="AO346" i="73" s="1"/>
  <c r="I340" i="73"/>
  <c r="AO340" i="73" s="1"/>
  <c r="I339" i="73"/>
  <c r="AO339" i="73" s="1"/>
  <c r="I352" i="73"/>
  <c r="AO352" i="73" s="1"/>
  <c r="AG32" i="9"/>
  <c r="CB36" i="9"/>
  <c r="AD33" i="9"/>
  <c r="BR23" i="9"/>
  <c r="BS23" i="9"/>
  <c r="CA24" i="9"/>
  <c r="AE32" i="9"/>
  <c r="AF33" i="9"/>
  <c r="BI22" i="9"/>
  <c r="J99" i="56"/>
  <c r="K99" i="56" s="1"/>
  <c r="I134" i="56" s="1"/>
  <c r="I351" i="73"/>
  <c r="AO351" i="73" s="1"/>
  <c r="I350" i="73"/>
  <c r="AO350" i="73" s="1"/>
  <c r="I345" i="73"/>
  <c r="AO345" i="73" s="1"/>
  <c r="I344" i="73"/>
  <c r="AO344" i="73" s="1"/>
  <c r="I343" i="73"/>
  <c r="AO343" i="73" s="1"/>
  <c r="I342" i="73"/>
  <c r="AO342" i="73" s="1"/>
  <c r="I341" i="73"/>
  <c r="AO341" i="73" s="1"/>
  <c r="I338" i="73"/>
  <c r="AO338" i="73" s="1"/>
  <c r="I337" i="73"/>
  <c r="AO337" i="73" s="1"/>
  <c r="BX36" i="9"/>
  <c r="CA36" i="9"/>
  <c r="BS35" i="9"/>
  <c r="BR35" i="9"/>
  <c r="BG34" i="9"/>
  <c r="BI34" i="9"/>
  <c r="BJ34" i="9"/>
  <c r="AO33" i="9"/>
  <c r="AQ33" i="9"/>
  <c r="AW32" i="9"/>
  <c r="AZ32" i="9"/>
  <c r="I109" i="56"/>
  <c r="H144" i="56" s="1"/>
  <c r="BA32" i="9"/>
  <c r="CS31" i="9"/>
  <c r="CT31" i="9"/>
  <c r="J107" i="56"/>
  <c r="K107" i="56" s="1"/>
  <c r="I142" i="56" s="1"/>
  <c r="CJ30" i="9"/>
  <c r="BY29" i="9"/>
  <c r="CA29" i="9"/>
  <c r="CB29" i="9"/>
  <c r="BO28" i="9"/>
  <c r="S28" i="9"/>
  <c r="BQ28" i="9" s="1"/>
  <c r="BR28" i="9"/>
  <c r="BS28" i="9"/>
  <c r="I104" i="56"/>
  <c r="H139" i="56" s="1"/>
  <c r="BI27" i="9"/>
  <c r="BJ27" i="9"/>
  <c r="CT26" i="9"/>
  <c r="CS26" i="9"/>
  <c r="CQ26" i="9"/>
  <c r="S26" i="9"/>
  <c r="CR26" i="9" s="1"/>
  <c r="CG25" i="9"/>
  <c r="CJ25" i="9"/>
  <c r="CK25" i="9"/>
  <c r="BX24" i="9"/>
  <c r="CB24" i="9"/>
  <c r="N23" i="9"/>
  <c r="AN23" i="9" s="1"/>
  <c r="P23" i="9"/>
  <c r="I99" i="56"/>
  <c r="H134" i="56" s="1"/>
  <c r="I114" i="56"/>
  <c r="H149" i="56" s="1"/>
  <c r="I113" i="56"/>
  <c r="H148" i="56" s="1"/>
  <c r="I112" i="56"/>
  <c r="H147" i="56" s="1"/>
  <c r="I111" i="56"/>
  <c r="H146" i="56" s="1"/>
  <c r="S33" i="9"/>
  <c r="I110" i="56"/>
  <c r="H145" i="56" s="1"/>
  <c r="I108" i="56"/>
  <c r="N31" i="9"/>
  <c r="P31" i="9"/>
  <c r="V346" i="73" s="1"/>
  <c r="I107" i="56"/>
  <c r="H142" i="56" s="1"/>
  <c r="I106" i="56"/>
  <c r="H141" i="56" s="1"/>
  <c r="I105" i="56"/>
  <c r="H140" i="56" s="1"/>
  <c r="I103" i="56"/>
  <c r="H138" i="56" s="1"/>
  <c r="P25" i="9"/>
  <c r="V340" i="73" s="1"/>
  <c r="I102" i="56"/>
  <c r="H137" i="56" s="1"/>
  <c r="I101" i="56"/>
  <c r="H136" i="56" s="1"/>
  <c r="I100" i="56"/>
  <c r="H135" i="56" s="1"/>
  <c r="N37" i="9"/>
  <c r="H114" i="56" s="1"/>
  <c r="P36" i="9"/>
  <c r="S36" i="9"/>
  <c r="N35" i="9"/>
  <c r="CG35" i="9" s="1"/>
  <c r="S34" i="9"/>
  <c r="N33" i="9"/>
  <c r="BO33" i="9" s="1"/>
  <c r="P32" i="9"/>
  <c r="V347" i="73" s="1"/>
  <c r="N29" i="9"/>
  <c r="P28" i="9"/>
  <c r="V343" i="73" s="1"/>
  <c r="N27" i="9"/>
  <c r="S25" i="9"/>
  <c r="CI25" i="9" s="1"/>
  <c r="P24" i="9"/>
  <c r="V339" i="73" s="1"/>
  <c r="N22" i="9"/>
  <c r="P27" i="9"/>
  <c r="V342" i="73" s="1"/>
  <c r="S29" i="9"/>
  <c r="BZ29" i="9" s="1"/>
  <c r="N30" i="9"/>
  <c r="P35" i="9"/>
  <c r="S37" i="9"/>
  <c r="P22" i="9"/>
  <c r="V337" i="73" s="1"/>
  <c r="S24" i="9"/>
  <c r="BZ24" i="9" s="1"/>
  <c r="P30" i="9"/>
  <c r="V345" i="73" s="1"/>
  <c r="S32" i="9"/>
  <c r="CR32" i="9" s="1"/>
  <c r="N26" i="9"/>
  <c r="N34" i="9"/>
  <c r="BX34" i="9" s="1"/>
  <c r="D61" i="57"/>
  <c r="D54" i="57"/>
  <c r="D62" i="57"/>
  <c r="D70" i="57"/>
  <c r="D55" i="57"/>
  <c r="D63" i="57"/>
  <c r="D71" i="57"/>
  <c r="D56" i="57"/>
  <c r="D64" i="57"/>
  <c r="D72" i="57"/>
  <c r="D57" i="57"/>
  <c r="D65" i="57"/>
  <c r="CQ36" i="9" l="1"/>
  <c r="V351" i="73"/>
  <c r="CH35" i="9"/>
  <c r="V350" i="73"/>
  <c r="AO23" i="9"/>
  <c r="V338" i="73"/>
  <c r="BG32" i="9"/>
  <c r="CQ32" i="9"/>
  <c r="BQ23" i="9"/>
  <c r="AP23" i="9"/>
  <c r="L110" i="56"/>
  <c r="L101" i="56"/>
  <c r="L114" i="56"/>
  <c r="L100" i="56"/>
  <c r="BZ36" i="9"/>
  <c r="CR36" i="9"/>
  <c r="BH34" i="9"/>
  <c r="BZ34" i="9"/>
  <c r="AP33" i="9"/>
  <c r="BQ33" i="9"/>
  <c r="AY32" i="9"/>
  <c r="BH32" i="9"/>
  <c r="L103" i="56"/>
  <c r="L109" i="56"/>
  <c r="L111" i="56"/>
  <c r="L105" i="56"/>
  <c r="L104" i="56"/>
  <c r="L107" i="56"/>
  <c r="L106" i="56"/>
  <c r="L113" i="56"/>
  <c r="L112" i="56"/>
  <c r="Q36" i="9"/>
  <c r="N113" i="56" s="1"/>
  <c r="J148" i="56" s="1"/>
  <c r="BY36" i="9"/>
  <c r="Q35" i="9"/>
  <c r="N112" i="56" s="1"/>
  <c r="J147" i="56" s="1"/>
  <c r="BP35" i="9"/>
  <c r="H112" i="56"/>
  <c r="BO35" i="9"/>
  <c r="H111" i="56"/>
  <c r="BF34" i="9"/>
  <c r="H110" i="56"/>
  <c r="AN33" i="9"/>
  <c r="Q32" i="9"/>
  <c r="N109" i="56" s="1"/>
  <c r="J144" i="56" s="1"/>
  <c r="AX32" i="9"/>
  <c r="Q31" i="9"/>
  <c r="N108" i="56" s="1"/>
  <c r="J143" i="56" s="1"/>
  <c r="CQ31" i="9"/>
  <c r="H108" i="56"/>
  <c r="CP31" i="9"/>
  <c r="H107" i="56"/>
  <c r="CG30" i="9"/>
  <c r="Q30" i="9"/>
  <c r="N107" i="56" s="1"/>
  <c r="J142" i="56" s="1"/>
  <c r="CH30" i="9"/>
  <c r="H106" i="56"/>
  <c r="BX29" i="9"/>
  <c r="Q28" i="9"/>
  <c r="N105" i="56" s="1"/>
  <c r="J140" i="56" s="1"/>
  <c r="BP28" i="9"/>
  <c r="H104" i="56"/>
  <c r="BF27" i="9"/>
  <c r="Q27" i="9"/>
  <c r="N104" i="56" s="1"/>
  <c r="J139" i="56" s="1"/>
  <c r="BG27" i="9"/>
  <c r="H103" i="56"/>
  <c r="CP26" i="9"/>
  <c r="Q25" i="9"/>
  <c r="N102" i="56" s="1"/>
  <c r="J137" i="56" s="1"/>
  <c r="CH25" i="9"/>
  <c r="L102" i="56"/>
  <c r="Q24" i="9"/>
  <c r="N101" i="56" s="1"/>
  <c r="J136" i="56" s="1"/>
  <c r="BY24" i="9"/>
  <c r="Q23" i="9"/>
  <c r="N100" i="56" s="1"/>
  <c r="J135" i="56" s="1"/>
  <c r="BP23" i="9"/>
  <c r="H100" i="56"/>
  <c r="BO23" i="9"/>
  <c r="BF22" i="9"/>
  <c r="H99" i="56"/>
  <c r="L99" i="56"/>
  <c r="Q22" i="9"/>
  <c r="N99" i="56" s="1"/>
  <c r="J134" i="56" s="1"/>
  <c r="BG22" i="9"/>
  <c r="L108" i="56"/>
  <c r="H143" i="56"/>
  <c r="K230" i="73"/>
  <c r="G230" i="73"/>
  <c r="L231" i="73"/>
  <c r="L230" i="73"/>
  <c r="L232" i="73"/>
  <c r="O202" i="73"/>
  <c r="N210" i="73"/>
  <c r="O210" i="73" s="1"/>
  <c r="L204" i="73"/>
  <c r="Q210" i="73" l="1"/>
  <c r="Q209" i="73"/>
  <c r="Q208" i="73"/>
  <c r="Q207" i="73"/>
  <c r="Q206" i="73"/>
  <c r="Q205" i="73"/>
  <c r="Q204" i="73"/>
  <c r="Q203" i="73"/>
  <c r="Q202" i="73"/>
  <c r="Q201" i="73"/>
  <c r="E7" i="14"/>
  <c r="G7" i="14"/>
  <c r="H23" i="73" l="1"/>
  <c r="E224" i="3"/>
  <c r="T208" i="73"/>
  <c r="T207" i="73"/>
  <c r="T206" i="73"/>
  <c r="T205" i="73"/>
  <c r="T204" i="73"/>
  <c r="T203" i="73"/>
  <c r="T202" i="73"/>
  <c r="T201" i="73"/>
  <c r="N209" i="73"/>
  <c r="O209" i="73" s="1"/>
  <c r="N208" i="73"/>
  <c r="O208" i="73" s="1"/>
  <c r="N207" i="73"/>
  <c r="O207" i="73" s="1"/>
  <c r="N206" i="73"/>
  <c r="O206" i="73" s="1"/>
  <c r="N205" i="73"/>
  <c r="O205" i="73" s="1"/>
  <c r="N204" i="73"/>
  <c r="O204" i="73" s="1"/>
  <c r="N203" i="73"/>
  <c r="O203" i="73" s="1"/>
  <c r="N202" i="73"/>
  <c r="N201" i="73"/>
  <c r="O201" i="73" s="1"/>
  <c r="M210" i="73"/>
  <c r="M209" i="73"/>
  <c r="M208" i="73"/>
  <c r="M207" i="73"/>
  <c r="M206" i="73"/>
  <c r="M205" i="73"/>
  <c r="M204" i="73"/>
  <c r="M203" i="73"/>
  <c r="M202" i="73"/>
  <c r="M201" i="73"/>
  <c r="L208" i="73"/>
  <c r="L207" i="73"/>
  <c r="L206" i="73"/>
  <c r="L205" i="73"/>
  <c r="L203" i="73"/>
  <c r="L202" i="73"/>
  <c r="L201" i="73"/>
  <c r="H19" i="73"/>
  <c r="K165" i="73" l="1"/>
  <c r="K164" i="73"/>
  <c r="K163" i="73"/>
  <c r="S204" i="73" l="1"/>
  <c r="R204" i="73"/>
  <c r="P204" i="73"/>
  <c r="J204" i="73"/>
  <c r="I204" i="73"/>
  <c r="H204" i="73"/>
  <c r="P209" i="73"/>
  <c r="P208" i="73"/>
  <c r="P207" i="73"/>
  <c r="P205" i="73"/>
  <c r="S202" i="73"/>
  <c r="R202" i="73"/>
  <c r="P202" i="73"/>
  <c r="J202" i="73"/>
  <c r="I202" i="73"/>
  <c r="H202" i="73"/>
  <c r="S201" i="73"/>
  <c r="R201" i="73"/>
  <c r="P201" i="73"/>
  <c r="J201" i="73"/>
  <c r="I201" i="73"/>
  <c r="H201" i="73"/>
  <c r="P210" i="73"/>
  <c r="P206" i="73"/>
  <c r="P203" i="73"/>
  <c r="H151" i="73"/>
  <c r="I151" i="73" s="1"/>
  <c r="H152" i="73"/>
  <c r="H153" i="73"/>
  <c r="H157" i="73"/>
  <c r="L309" i="73"/>
  <c r="K309" i="73"/>
  <c r="G309" i="73"/>
  <c r="L308" i="73"/>
  <c r="K308" i="73"/>
  <c r="G308" i="73"/>
  <c r="L307" i="73"/>
  <c r="K307" i="73"/>
  <c r="G307" i="73"/>
  <c r="L306" i="73"/>
  <c r="K306" i="73"/>
  <c r="G306" i="73"/>
  <c r="L305" i="73"/>
  <c r="K305" i="73"/>
  <c r="G305" i="73"/>
  <c r="L304" i="73"/>
  <c r="K304" i="73"/>
  <c r="G304" i="73"/>
  <c r="L303" i="73"/>
  <c r="K303" i="73"/>
  <c r="G303" i="73"/>
  <c r="L302" i="73"/>
  <c r="K302" i="73"/>
  <c r="G302" i="73"/>
  <c r="L301" i="73"/>
  <c r="K301" i="73"/>
  <c r="G301" i="73"/>
  <c r="L300" i="73"/>
  <c r="K300" i="73"/>
  <c r="G300" i="73"/>
  <c r="L299" i="73"/>
  <c r="K299" i="73"/>
  <c r="G299" i="73"/>
  <c r="L298" i="73"/>
  <c r="K298" i="73"/>
  <c r="G298" i="73"/>
  <c r="L297" i="73"/>
  <c r="K297" i="73"/>
  <c r="G297" i="73"/>
  <c r="L296" i="73"/>
  <c r="K296" i="73"/>
  <c r="G296" i="73"/>
  <c r="L295" i="73"/>
  <c r="K295" i="73"/>
  <c r="G295" i="73"/>
  <c r="L294" i="73"/>
  <c r="K294" i="73"/>
  <c r="G294" i="73"/>
  <c r="L293" i="73"/>
  <c r="K293" i="73"/>
  <c r="G293" i="73"/>
  <c r="L292" i="73"/>
  <c r="K292" i="73"/>
  <c r="G292" i="73"/>
  <c r="L291" i="73"/>
  <c r="K291" i="73"/>
  <c r="G291" i="73"/>
  <c r="L290" i="73"/>
  <c r="K290" i="73"/>
  <c r="G290" i="73"/>
  <c r="L289" i="73"/>
  <c r="K289" i="73"/>
  <c r="G289" i="73"/>
  <c r="K288" i="73"/>
  <c r="G288" i="73"/>
  <c r="L287" i="73"/>
  <c r="K287" i="73"/>
  <c r="G287" i="73"/>
  <c r="L286" i="73"/>
  <c r="K286" i="73"/>
  <c r="G286" i="73"/>
  <c r="L285" i="73"/>
  <c r="K285" i="73"/>
  <c r="G285" i="73"/>
  <c r="L284" i="73"/>
  <c r="K284" i="73"/>
  <c r="G284" i="73"/>
  <c r="L283" i="73"/>
  <c r="K283" i="73"/>
  <c r="G283" i="73"/>
  <c r="L282" i="73"/>
  <c r="K282" i="73"/>
  <c r="G282" i="73"/>
  <c r="L281" i="73"/>
  <c r="K281" i="73"/>
  <c r="G281" i="73"/>
  <c r="L280" i="73"/>
  <c r="K280" i="73"/>
  <c r="G280" i="73"/>
  <c r="L279" i="73"/>
  <c r="K279" i="73"/>
  <c r="G279" i="73"/>
  <c r="L278" i="73"/>
  <c r="G278" i="73"/>
  <c r="L277" i="73"/>
  <c r="G277" i="73"/>
  <c r="L276" i="73"/>
  <c r="G276" i="73"/>
  <c r="L275" i="73"/>
  <c r="G275" i="73"/>
  <c r="L274" i="73"/>
  <c r="G274" i="73"/>
  <c r="L273" i="73"/>
  <c r="G273" i="73"/>
  <c r="L272" i="73"/>
  <c r="G272" i="73"/>
  <c r="L271" i="73"/>
  <c r="G271" i="73"/>
  <c r="L270" i="73"/>
  <c r="G270" i="73"/>
  <c r="L269" i="73"/>
  <c r="G269" i="73"/>
  <c r="L268" i="73"/>
  <c r="G268" i="73"/>
  <c r="L267" i="73"/>
  <c r="G267" i="73"/>
  <c r="L266" i="73"/>
  <c r="G266" i="73"/>
  <c r="L265" i="73"/>
  <c r="G265" i="73"/>
  <c r="L264" i="73"/>
  <c r="G264" i="73"/>
  <c r="L263" i="73"/>
  <c r="G263" i="73"/>
  <c r="L262" i="73"/>
  <c r="G262" i="73"/>
  <c r="L261" i="73"/>
  <c r="G261" i="73"/>
  <c r="L260" i="73"/>
  <c r="G260" i="73"/>
  <c r="L259" i="73"/>
  <c r="G259" i="73"/>
  <c r="L258" i="73"/>
  <c r="G258" i="73"/>
  <c r="L257" i="73"/>
  <c r="G257" i="73"/>
  <c r="L256" i="73"/>
  <c r="G256" i="73"/>
  <c r="L255" i="73"/>
  <c r="G255" i="73"/>
  <c r="L254" i="73"/>
  <c r="G254" i="73"/>
  <c r="G253" i="73"/>
  <c r="L253" i="73"/>
  <c r="L252" i="73"/>
  <c r="L251" i="73"/>
  <c r="L250" i="73"/>
  <c r="L249" i="73"/>
  <c r="G252" i="73"/>
  <c r="G251" i="73"/>
  <c r="G250" i="73"/>
  <c r="G249" i="73"/>
  <c r="G248" i="73"/>
  <c r="G247" i="73"/>
  <c r="G246" i="73"/>
  <c r="G245" i="73"/>
  <c r="G244" i="73"/>
  <c r="G243" i="73"/>
  <c r="G242" i="73"/>
  <c r="G241" i="73"/>
  <c r="G240" i="73"/>
  <c r="L288" i="73"/>
  <c r="L248" i="73"/>
  <c r="L247" i="73"/>
  <c r="L246" i="73"/>
  <c r="L245" i="73"/>
  <c r="L244" i="73"/>
  <c r="L243" i="73"/>
  <c r="L242" i="73"/>
  <c r="L241" i="73"/>
  <c r="L240" i="73"/>
  <c r="L239" i="73"/>
  <c r="L238" i="73"/>
  <c r="L237" i="73"/>
  <c r="L236" i="73"/>
  <c r="L235" i="73"/>
  <c r="L234" i="73"/>
  <c r="L233" i="73"/>
  <c r="K278" i="73"/>
  <c r="K277" i="73"/>
  <c r="K276" i="73"/>
  <c r="K275" i="73"/>
  <c r="K274" i="73"/>
  <c r="K273" i="73"/>
  <c r="K272" i="73"/>
  <c r="K271" i="73"/>
  <c r="K270" i="73"/>
  <c r="K269" i="73"/>
  <c r="K268" i="73"/>
  <c r="K267" i="73"/>
  <c r="K266" i="73"/>
  <c r="K265" i="73"/>
  <c r="K264" i="73"/>
  <c r="K263" i="73"/>
  <c r="K262" i="73"/>
  <c r="K261" i="73"/>
  <c r="K260" i="73"/>
  <c r="K259" i="73"/>
  <c r="K258" i="73"/>
  <c r="K257" i="73"/>
  <c r="K256" i="73"/>
  <c r="K255" i="73"/>
  <c r="K254" i="73"/>
  <c r="K253" i="73"/>
  <c r="K252" i="73"/>
  <c r="K251" i="73"/>
  <c r="K250" i="73"/>
  <c r="K249" i="73"/>
  <c r="K248" i="73"/>
  <c r="K247" i="73"/>
  <c r="K246" i="73"/>
  <c r="K245" i="73"/>
  <c r="K244" i="73"/>
  <c r="K243" i="73"/>
  <c r="K242" i="73"/>
  <c r="K241" i="73"/>
  <c r="K240" i="73"/>
  <c r="K239" i="73"/>
  <c r="K238" i="73"/>
  <c r="K237" i="73"/>
  <c r="K236" i="73"/>
  <c r="K235" i="73"/>
  <c r="K234" i="73"/>
  <c r="K233" i="73"/>
  <c r="K232" i="73"/>
  <c r="K231" i="73"/>
  <c r="F224" i="3"/>
  <c r="G239" i="73"/>
  <c r="G238" i="73"/>
  <c r="G237" i="73"/>
  <c r="G236" i="73"/>
  <c r="G235" i="73"/>
  <c r="G234" i="73"/>
  <c r="G233" i="73"/>
  <c r="G232" i="73"/>
  <c r="G231" i="73"/>
  <c r="B224" i="3"/>
  <c r="I152" i="73" l="1"/>
  <c r="H156" i="73"/>
  <c r="I156" i="73" s="1"/>
  <c r="H155" i="73"/>
  <c r="I155" i="73" s="1"/>
  <c r="I153" i="73"/>
  <c r="H154" i="73"/>
  <c r="H158" i="73"/>
  <c r="I158" i="73" l="1"/>
  <c r="I157" i="73"/>
  <c r="I154" i="73"/>
  <c r="K156" i="73" l="1"/>
  <c r="K155" i="73"/>
  <c r="K158" i="73"/>
  <c r="K153" i="73"/>
  <c r="M156" i="73"/>
  <c r="K154" i="73"/>
  <c r="M157" i="73"/>
  <c r="M158" i="73"/>
  <c r="K151" i="73"/>
  <c r="K152" i="73"/>
  <c r="K157" i="73"/>
  <c r="BH338" i="73" l="1"/>
  <c r="BH340" i="73"/>
  <c r="BH342" i="73"/>
  <c r="BH344" i="73"/>
  <c r="BH346" i="73"/>
  <c r="BH348" i="73"/>
  <c r="BH350" i="73"/>
  <c r="BH352" i="73"/>
  <c r="BD345" i="73"/>
  <c r="BC338" i="73"/>
  <c r="BC346" i="73"/>
  <c r="BF346" i="73"/>
  <c r="BG342" i="73"/>
  <c r="BG346" i="73"/>
  <c r="BG348" i="73"/>
  <c r="BG350" i="73"/>
  <c r="BG352" i="73"/>
  <c r="BD344" i="73"/>
  <c r="BD352" i="73"/>
  <c r="BC345" i="73"/>
  <c r="AN202" i="73"/>
  <c r="BE339" i="73"/>
  <c r="BE341" i="73"/>
  <c r="BE343" i="73"/>
  <c r="BE345" i="73"/>
  <c r="BE347" i="73"/>
  <c r="BE349" i="73"/>
  <c r="BE351" i="73"/>
  <c r="BD338" i="73"/>
  <c r="BD346" i="73"/>
  <c r="BC339" i="73"/>
  <c r="BC347" i="73"/>
  <c r="BF344" i="73"/>
  <c r="BG344" i="73"/>
  <c r="BF339" i="73"/>
  <c r="BF341" i="73"/>
  <c r="BF343" i="73"/>
  <c r="BF345" i="73"/>
  <c r="BF347" i="73"/>
  <c r="BF349" i="73"/>
  <c r="BF351" i="73"/>
  <c r="BD339" i="73"/>
  <c r="BD347" i="73"/>
  <c r="BC340" i="73"/>
  <c r="BC348" i="73"/>
  <c r="BG341" i="73"/>
  <c r="BG343" i="73"/>
  <c r="BG345" i="73"/>
  <c r="BG347" i="73"/>
  <c r="BG349" i="73"/>
  <c r="BG351" i="73"/>
  <c r="BD340" i="73"/>
  <c r="BD348" i="73"/>
  <c r="BC341" i="73"/>
  <c r="BC349" i="73"/>
  <c r="BH341" i="73"/>
  <c r="BH343" i="73"/>
  <c r="BH345" i="73"/>
  <c r="BH347" i="73"/>
  <c r="BH349" i="73"/>
  <c r="BH351" i="73"/>
  <c r="BD341" i="73"/>
  <c r="BD349" i="73"/>
  <c r="BC342" i="73"/>
  <c r="BC350" i="73"/>
  <c r="BF340" i="73"/>
  <c r="BG338" i="73"/>
  <c r="BG339" i="73"/>
  <c r="BH339" i="73"/>
  <c r="AN201" i="73"/>
  <c r="BE338" i="73"/>
  <c r="BE340" i="73"/>
  <c r="BE342" i="73"/>
  <c r="BE344" i="73"/>
  <c r="BE346" i="73"/>
  <c r="BE348" i="73"/>
  <c r="BE350" i="73"/>
  <c r="BE352" i="73"/>
  <c r="BD342" i="73"/>
  <c r="BD350" i="73"/>
  <c r="BC343" i="73"/>
  <c r="BC351" i="73"/>
  <c r="BF342" i="73"/>
  <c r="BF348" i="73"/>
  <c r="BF350" i="73"/>
  <c r="BF352" i="73"/>
  <c r="BD343" i="73"/>
  <c r="BD351" i="73"/>
  <c r="BC344" i="73"/>
  <c r="BC352" i="73"/>
  <c r="BG340" i="73"/>
  <c r="BF338" i="73"/>
  <c r="AN204" i="73"/>
  <c r="AV339" i="73"/>
  <c r="AX340" i="73"/>
  <c r="AQ341" i="73"/>
  <c r="AZ341" i="73"/>
  <c r="AT342" i="73"/>
  <c r="AV343" i="73"/>
  <c r="AX344" i="73"/>
  <c r="AQ345" i="73"/>
  <c r="AZ345" i="73"/>
  <c r="AT346" i="73"/>
  <c r="AV347" i="73"/>
  <c r="AX348" i="73"/>
  <c r="AQ349" i="73"/>
  <c r="AZ349" i="73"/>
  <c r="AT350" i="73"/>
  <c r="AV351" i="73"/>
  <c r="AX352" i="73"/>
  <c r="AW337" i="73"/>
  <c r="BG337" i="73"/>
  <c r="AW339" i="73"/>
  <c r="AY340" i="73"/>
  <c r="AR341" i="73"/>
  <c r="BA341" i="73"/>
  <c r="AU342" i="73"/>
  <c r="AW343" i="73"/>
  <c r="AY344" i="73"/>
  <c r="AR345" i="73"/>
  <c r="BA345" i="73"/>
  <c r="AU346" i="73"/>
  <c r="AW347" i="73"/>
  <c r="AY348" i="73"/>
  <c r="AR349" i="73"/>
  <c r="BA349" i="73"/>
  <c r="AU350" i="73"/>
  <c r="AW351" i="73"/>
  <c r="AY352" i="73"/>
  <c r="AV337" i="73"/>
  <c r="BF337" i="73"/>
  <c r="AX339" i="73"/>
  <c r="AQ340" i="73"/>
  <c r="AZ340" i="73"/>
  <c r="AT341" i="73"/>
  <c r="AV342" i="73"/>
  <c r="AX343" i="73"/>
  <c r="AQ344" i="73"/>
  <c r="AZ344" i="73"/>
  <c r="AT345" i="73"/>
  <c r="AV346" i="73"/>
  <c r="AX347" i="73"/>
  <c r="AQ348" i="73"/>
  <c r="AZ348" i="73"/>
  <c r="AT349" i="73"/>
  <c r="AV350" i="73"/>
  <c r="AX351" i="73"/>
  <c r="AQ352" i="73"/>
  <c r="AZ352" i="73"/>
  <c r="BE337" i="73"/>
  <c r="AY339" i="73"/>
  <c r="AR340" i="73"/>
  <c r="BA340" i="73"/>
  <c r="AU341" i="73"/>
  <c r="AW342" i="73"/>
  <c r="AY343" i="73"/>
  <c r="AR344" i="73"/>
  <c r="BA344" i="73"/>
  <c r="AU345" i="73"/>
  <c r="AW346" i="73"/>
  <c r="AY347" i="73"/>
  <c r="AR348" i="73"/>
  <c r="BA348" i="73"/>
  <c r="AU349" i="73"/>
  <c r="AW350" i="73"/>
  <c r="AY351" i="73"/>
  <c r="AR352" i="73"/>
  <c r="BA352" i="73"/>
  <c r="AT337" i="73"/>
  <c r="BD337" i="73"/>
  <c r="AV340" i="73"/>
  <c r="AQ342" i="73"/>
  <c r="AQ346" i="73"/>
  <c r="AX349" i="73"/>
  <c r="AZ350" i="73"/>
  <c r="AY337" i="73"/>
  <c r="AQ339" i="73"/>
  <c r="AZ339" i="73"/>
  <c r="AT340" i="73"/>
  <c r="AV341" i="73"/>
  <c r="AX342" i="73"/>
  <c r="AQ343" i="73"/>
  <c r="AZ343" i="73"/>
  <c r="AT344" i="73"/>
  <c r="AV345" i="73"/>
  <c r="AX346" i="73"/>
  <c r="AQ347" i="73"/>
  <c r="AZ347" i="73"/>
  <c r="AT348" i="73"/>
  <c r="AV349" i="73"/>
  <c r="AX350" i="73"/>
  <c r="AQ351" i="73"/>
  <c r="AZ351" i="73"/>
  <c r="AT352" i="73"/>
  <c r="BA337" i="73"/>
  <c r="AR337" i="73"/>
  <c r="BC337" i="73"/>
  <c r="AV352" i="73"/>
  <c r="AU339" i="73"/>
  <c r="AW340" i="73"/>
  <c r="AY341" i="73"/>
  <c r="AR342" i="73"/>
  <c r="BA342" i="73"/>
  <c r="AU343" i="73"/>
  <c r="AW344" i="73"/>
  <c r="AY345" i="73"/>
  <c r="AR346" i="73"/>
  <c r="BA346" i="73"/>
  <c r="AU347" i="73"/>
  <c r="AW348" i="73"/>
  <c r="AY349" i="73"/>
  <c r="AR350" i="73"/>
  <c r="BA350" i="73"/>
  <c r="AU351" i="73"/>
  <c r="AW352" i="73"/>
  <c r="AX337" i="73"/>
  <c r="BH337" i="73"/>
  <c r="AR339" i="73"/>
  <c r="BA339" i="73"/>
  <c r="AU340" i="73"/>
  <c r="AW341" i="73"/>
  <c r="AY342" i="73"/>
  <c r="AR343" i="73"/>
  <c r="BA343" i="73"/>
  <c r="AU344" i="73"/>
  <c r="AW345" i="73"/>
  <c r="AY346" i="73"/>
  <c r="AR347" i="73"/>
  <c r="BA347" i="73"/>
  <c r="AU348" i="73"/>
  <c r="AW349" i="73"/>
  <c r="AY350" i="73"/>
  <c r="AR351" i="73"/>
  <c r="BA351" i="73"/>
  <c r="AU352" i="73"/>
  <c r="AZ337" i="73"/>
  <c r="AQ337" i="73"/>
  <c r="BB337" i="73"/>
  <c r="AT339" i="73"/>
  <c r="AX341" i="73"/>
  <c r="AZ342" i="73"/>
  <c r="AT343" i="73"/>
  <c r="AV344" i="73"/>
  <c r="AX345" i="73"/>
  <c r="AZ346" i="73"/>
  <c r="AT347" i="73"/>
  <c r="AV348" i="73"/>
  <c r="AQ350" i="73"/>
  <c r="AT351" i="73"/>
  <c r="AR338" i="73"/>
  <c r="AW338" i="73"/>
  <c r="AX338" i="73"/>
  <c r="BA338" i="73"/>
  <c r="AY338" i="73"/>
  <c r="AZ338" i="73"/>
  <c r="AV338" i="73"/>
  <c r="AT338" i="73"/>
  <c r="AQ338" i="73"/>
  <c r="AU338" i="73"/>
  <c r="AN41" i="73"/>
  <c r="AN42" i="73"/>
  <c r="AM427" i="73"/>
  <c r="AM426" i="73"/>
  <c r="AM425" i="73"/>
  <c r="AM424" i="73"/>
  <c r="AM423" i="73"/>
  <c r="AQ279" i="73"/>
  <c r="AQ232" i="73"/>
  <c r="AQ240" i="73"/>
  <c r="AQ248" i="73"/>
  <c r="AQ256" i="73"/>
  <c r="AQ264" i="73"/>
  <c r="AQ272" i="73"/>
  <c r="AQ280" i="73"/>
  <c r="AQ288" i="73"/>
  <c r="AQ296" i="73"/>
  <c r="AQ304" i="73"/>
  <c r="AP232" i="73"/>
  <c r="AP240" i="73"/>
  <c r="AP248" i="73"/>
  <c r="AP256" i="73"/>
  <c r="AP264" i="73"/>
  <c r="AP272" i="73"/>
  <c r="AP280" i="73"/>
  <c r="AP288" i="73"/>
  <c r="AP296" i="73"/>
  <c r="AP304" i="73"/>
  <c r="AQ233" i="73"/>
  <c r="AQ241" i="73"/>
  <c r="AQ249" i="73"/>
  <c r="AQ257" i="73"/>
  <c r="AQ265" i="73"/>
  <c r="AQ273" i="73"/>
  <c r="AQ281" i="73"/>
  <c r="AQ289" i="73"/>
  <c r="AQ297" i="73"/>
  <c r="AQ305" i="73"/>
  <c r="AP233" i="73"/>
  <c r="AP241" i="73"/>
  <c r="AP249" i="73"/>
  <c r="AP265" i="73"/>
  <c r="AP273" i="73"/>
  <c r="AP281" i="73"/>
  <c r="AP289" i="73"/>
  <c r="AP297" i="73"/>
  <c r="AP305" i="73"/>
  <c r="AP257" i="73"/>
  <c r="AQ234" i="73"/>
  <c r="AQ242" i="73"/>
  <c r="AQ250" i="73"/>
  <c r="AQ258" i="73"/>
  <c r="AQ266" i="73"/>
  <c r="AQ274" i="73"/>
  <c r="AQ282" i="73"/>
  <c r="AQ290" i="73"/>
  <c r="AQ298" i="73"/>
  <c r="AQ306" i="73"/>
  <c r="AP234" i="73"/>
  <c r="AP242" i="73"/>
  <c r="AP250" i="73"/>
  <c r="AP258" i="73"/>
  <c r="AP266" i="73"/>
  <c r="AP274" i="73"/>
  <c r="AP282" i="73"/>
  <c r="AP290" i="73"/>
  <c r="AP298" i="73"/>
  <c r="AP306" i="73"/>
  <c r="AQ254" i="73"/>
  <c r="AQ286" i="73"/>
  <c r="AP238" i="73"/>
  <c r="AP270" i="73"/>
  <c r="AP302" i="73"/>
  <c r="AQ255" i="73"/>
  <c r="AQ271" i="73"/>
  <c r="AQ287" i="73"/>
  <c r="AP231" i="73"/>
  <c r="AP255" i="73"/>
  <c r="AP287" i="73"/>
  <c r="AQ235" i="73"/>
  <c r="AQ243" i="73"/>
  <c r="AQ251" i="73"/>
  <c r="AQ259" i="73"/>
  <c r="AQ267" i="73"/>
  <c r="AQ275" i="73"/>
  <c r="AQ283" i="73"/>
  <c r="AQ291" i="73"/>
  <c r="AQ299" i="73"/>
  <c r="AQ307" i="73"/>
  <c r="AP235" i="73"/>
  <c r="AP243" i="73"/>
  <c r="AP251" i="73"/>
  <c r="AP259" i="73"/>
  <c r="AP267" i="73"/>
  <c r="AP275" i="73"/>
  <c r="AP283" i="73"/>
  <c r="AP291" i="73"/>
  <c r="AP299" i="73"/>
  <c r="AP307" i="73"/>
  <c r="AQ262" i="73"/>
  <c r="AQ270" i="73"/>
  <c r="AQ302" i="73"/>
  <c r="AP246" i="73"/>
  <c r="AP278" i="73"/>
  <c r="AP230" i="73"/>
  <c r="AQ239" i="73"/>
  <c r="AQ303" i="73"/>
  <c r="AP263" i="73"/>
  <c r="AP295" i="73"/>
  <c r="AQ236" i="73"/>
  <c r="AQ244" i="73"/>
  <c r="AQ252" i="73"/>
  <c r="AQ260" i="73"/>
  <c r="AQ268" i="73"/>
  <c r="AQ276" i="73"/>
  <c r="AQ284" i="73"/>
  <c r="AQ292" i="73"/>
  <c r="AQ300" i="73"/>
  <c r="AQ308" i="73"/>
  <c r="AP236" i="73"/>
  <c r="AP244" i="73"/>
  <c r="AP252" i="73"/>
  <c r="AP260" i="73"/>
  <c r="AP268" i="73"/>
  <c r="AP276" i="73"/>
  <c r="AP284" i="73"/>
  <c r="AP292" i="73"/>
  <c r="AP300" i="73"/>
  <c r="AP308" i="73"/>
  <c r="AQ246" i="73"/>
  <c r="AQ278" i="73"/>
  <c r="AQ230" i="73"/>
  <c r="AP262" i="73"/>
  <c r="AP286" i="73"/>
  <c r="AQ231" i="73"/>
  <c r="AP239" i="73"/>
  <c r="AP271" i="73"/>
  <c r="AP303" i="73"/>
  <c r="AQ237" i="73"/>
  <c r="AQ245" i="73"/>
  <c r="AQ253" i="73"/>
  <c r="AQ261" i="73"/>
  <c r="AQ269" i="73"/>
  <c r="AQ277" i="73"/>
  <c r="AQ285" i="73"/>
  <c r="AQ293" i="73"/>
  <c r="AQ301" i="73"/>
  <c r="AQ309" i="73"/>
  <c r="AP237" i="73"/>
  <c r="AP245" i="73"/>
  <c r="AP253" i="73"/>
  <c r="AP261" i="73"/>
  <c r="AP269" i="73"/>
  <c r="AP277" i="73"/>
  <c r="AP285" i="73"/>
  <c r="AP293" i="73"/>
  <c r="AP301" i="73"/>
  <c r="AP309" i="73"/>
  <c r="AQ238" i="73"/>
  <c r="AQ294" i="73"/>
  <c r="AP254" i="73"/>
  <c r="AP294" i="73"/>
  <c r="AQ247" i="73"/>
  <c r="AQ263" i="73"/>
  <c r="AQ295" i="73"/>
  <c r="AP247" i="73"/>
  <c r="AP279" i="73"/>
  <c r="AM237" i="73"/>
  <c r="AM245" i="73"/>
  <c r="AM253" i="73"/>
  <c r="AM261" i="73"/>
  <c r="AM269" i="73"/>
  <c r="AM277" i="73"/>
  <c r="AM285" i="73"/>
  <c r="AM293" i="73"/>
  <c r="AM301" i="73"/>
  <c r="AM309" i="73"/>
  <c r="AM252" i="73"/>
  <c r="AM300" i="73"/>
  <c r="AM238" i="73"/>
  <c r="AM246" i="73"/>
  <c r="AM254" i="73"/>
  <c r="AM262" i="73"/>
  <c r="AM270" i="73"/>
  <c r="AM278" i="73"/>
  <c r="AM286" i="73"/>
  <c r="AM294" i="73"/>
  <c r="AM302" i="73"/>
  <c r="AM230" i="73"/>
  <c r="AM232" i="73"/>
  <c r="AM256" i="73"/>
  <c r="AM280" i="73"/>
  <c r="AM304" i="73"/>
  <c r="AM251" i="73"/>
  <c r="AM299" i="73"/>
  <c r="AM236" i="73"/>
  <c r="AM276" i="73"/>
  <c r="AM308" i="73"/>
  <c r="AM231" i="73"/>
  <c r="AM239" i="73"/>
  <c r="AM247" i="73"/>
  <c r="AM255" i="73"/>
  <c r="AM263" i="73"/>
  <c r="AM271" i="73"/>
  <c r="AM279" i="73"/>
  <c r="AM287" i="73"/>
  <c r="AM295" i="73"/>
  <c r="AM303" i="73"/>
  <c r="AM248" i="73"/>
  <c r="AM272" i="73"/>
  <c r="AM288" i="73"/>
  <c r="AM267" i="73"/>
  <c r="AM260" i="73"/>
  <c r="AM240" i="73"/>
  <c r="AM264" i="73"/>
  <c r="AM296" i="73"/>
  <c r="AM283" i="73"/>
  <c r="AO230" i="73"/>
  <c r="AM284" i="73"/>
  <c r="AM233" i="73"/>
  <c r="AM241" i="73"/>
  <c r="AM249" i="73"/>
  <c r="AM257" i="73"/>
  <c r="AM265" i="73"/>
  <c r="AM273" i="73"/>
  <c r="AM281" i="73"/>
  <c r="AM289" i="73"/>
  <c r="AM297" i="73"/>
  <c r="AM305" i="73"/>
  <c r="AM235" i="73"/>
  <c r="AM259" i="73"/>
  <c r="AM291" i="73"/>
  <c r="AM268" i="73"/>
  <c r="AM234" i="73"/>
  <c r="AM242" i="73"/>
  <c r="AM250" i="73"/>
  <c r="AM258" i="73"/>
  <c r="AM266" i="73"/>
  <c r="AM274" i="73"/>
  <c r="AM282" i="73"/>
  <c r="AM290" i="73"/>
  <c r="AM298" i="73"/>
  <c r="AM306" i="73"/>
  <c r="AN230" i="73"/>
  <c r="AM243" i="73"/>
  <c r="AM275" i="73"/>
  <c r="AM307" i="73"/>
  <c r="AM244" i="73"/>
  <c r="AM292" i="73"/>
  <c r="AV203" i="73"/>
  <c r="AV201" i="73"/>
  <c r="AU209" i="73"/>
  <c r="AV206" i="73"/>
  <c r="AW207" i="73"/>
  <c r="AV210" i="73"/>
  <c r="AV204" i="73"/>
  <c r="AU202" i="73"/>
  <c r="AU210" i="73"/>
  <c r="AU204" i="73"/>
  <c r="AV207" i="73"/>
  <c r="AV208" i="73"/>
  <c r="AV209" i="73"/>
  <c r="AU208" i="73"/>
  <c r="AV205" i="73"/>
  <c r="AU203" i="73"/>
  <c r="AU201" i="73"/>
  <c r="AU205" i="73"/>
  <c r="AU206" i="73"/>
  <c r="AU207" i="73"/>
  <c r="AV202" i="73"/>
  <c r="AW203" i="73"/>
  <c r="AW204" i="73"/>
  <c r="AW205" i="73"/>
  <c r="AW209" i="73"/>
  <c r="AW210" i="73"/>
  <c r="AW202" i="73"/>
  <c r="AW208" i="73"/>
  <c r="AW206" i="73"/>
  <c r="AW201" i="73"/>
  <c r="AM422" i="73"/>
  <c r="AR155" i="73"/>
  <c r="AR151" i="73"/>
  <c r="AR152" i="73"/>
  <c r="AR153" i="73"/>
  <c r="AR154" i="73"/>
  <c r="AP151" i="73"/>
  <c r="AN141" i="73"/>
  <c r="AO129" i="73"/>
  <c r="AO128" i="73"/>
  <c r="AO135" i="73"/>
  <c r="AO133" i="73"/>
  <c r="AO130" i="73"/>
  <c r="AO134" i="73"/>
  <c r="AO132" i="73"/>
  <c r="AO131" i="73"/>
  <c r="AO528" i="73"/>
  <c r="AM421" i="73"/>
  <c r="AP154" i="73" l="1"/>
  <c r="AP152" i="73"/>
  <c r="AP153" i="73"/>
  <c r="AP157" i="73"/>
  <c r="AQ153" i="73"/>
  <c r="AQ154" i="73"/>
  <c r="AQ156" i="73"/>
  <c r="AQ155" i="73"/>
  <c r="AQ157" i="73"/>
  <c r="AQ158" i="73"/>
  <c r="AQ151" i="73"/>
  <c r="AQ152" i="73"/>
  <c r="G142" i="73"/>
  <c r="H142" i="73" s="1"/>
  <c r="G143" i="73"/>
  <c r="H143" i="73" s="1"/>
  <c r="G144" i="73"/>
  <c r="H144" i="73" s="1"/>
  <c r="G145" i="73"/>
  <c r="H145" i="73" s="1"/>
  <c r="G146" i="73"/>
  <c r="H146" i="73" s="1"/>
  <c r="G147" i="73"/>
  <c r="H147" i="73" s="1"/>
  <c r="G148" i="73"/>
  <c r="H148" i="73" s="1"/>
  <c r="G141" i="73"/>
  <c r="AP155" i="73" l="1"/>
  <c r="AP156" i="73"/>
  <c r="AP158" i="73"/>
  <c r="M152" i="73"/>
  <c r="AT152" i="73" s="1"/>
  <c r="M151" i="73"/>
  <c r="AT151" i="73" s="1"/>
  <c r="M155" i="73"/>
  <c r="AT155" i="73" s="1"/>
  <c r="M154" i="73"/>
  <c r="AT154" i="73" s="1"/>
  <c r="M153" i="73"/>
  <c r="AT153" i="73" s="1"/>
  <c r="J157" i="73"/>
  <c r="J153" i="73"/>
  <c r="J155" i="73"/>
  <c r="J151" i="73"/>
  <c r="J152" i="73"/>
  <c r="J154" i="73"/>
  <c r="J156" i="73"/>
  <c r="J158" i="73"/>
  <c r="H141" i="73"/>
  <c r="H116" i="73"/>
  <c r="AT157" i="73" l="1"/>
  <c r="AT156" i="73"/>
  <c r="AR156" i="73"/>
  <c r="AR157" i="73"/>
  <c r="AR158" i="73"/>
  <c r="AT158" i="73"/>
  <c r="H135" i="73"/>
  <c r="H134" i="73"/>
  <c r="H133" i="73"/>
  <c r="H132" i="73"/>
  <c r="H131" i="73"/>
  <c r="H130" i="73"/>
  <c r="H129" i="73"/>
  <c r="H128" i="73"/>
  <c r="AN146" i="73" l="1"/>
  <c r="AO146" i="73" s="1"/>
  <c r="AN145" i="73"/>
  <c r="AO145" i="73" s="1"/>
  <c r="AN147" i="73"/>
  <c r="AO147" i="73" s="1"/>
  <c r="AN144" i="73"/>
  <c r="AO144" i="73" s="1"/>
  <c r="AN143" i="73"/>
  <c r="AO143" i="73" s="1"/>
  <c r="AN142" i="73"/>
  <c r="AO142" i="73" s="1"/>
  <c r="AN180" i="73"/>
  <c r="AN148" i="73"/>
  <c r="AO148" i="73" s="1"/>
  <c r="AN82" i="73"/>
  <c r="AN116" i="73"/>
  <c r="AO141" i="73" l="1"/>
  <c r="AN133" i="73"/>
  <c r="I530" i="73" l="1"/>
  <c r="AO530" i="73" s="1"/>
  <c r="I525" i="73"/>
  <c r="AO525" i="73" s="1"/>
  <c r="AO524" i="73"/>
  <c r="AO523" i="73"/>
  <c r="I522" i="73"/>
  <c r="AO522" i="73" s="1"/>
  <c r="I521" i="73"/>
  <c r="AO521" i="73" s="1"/>
  <c r="I519" i="73"/>
  <c r="AO519" i="73" s="1"/>
  <c r="I518" i="73"/>
  <c r="AO518" i="73" s="1"/>
  <c r="I513" i="73"/>
  <c r="AO513" i="73" s="1"/>
  <c r="I511" i="73"/>
  <c r="AO511" i="73" s="1"/>
  <c r="I510" i="73"/>
  <c r="AO510" i="73" s="1"/>
  <c r="I509" i="73"/>
  <c r="AO509" i="73" s="1"/>
  <c r="I508" i="73"/>
  <c r="AO508" i="73" s="1"/>
  <c r="I507" i="73"/>
  <c r="AO507" i="73" s="1"/>
  <c r="I506" i="73"/>
  <c r="AO506" i="73" s="1"/>
  <c r="I505" i="73"/>
  <c r="AO505" i="73" s="1"/>
  <c r="I504" i="73"/>
  <c r="AO504" i="73" s="1"/>
  <c r="I503" i="73"/>
  <c r="AO503" i="73" s="1"/>
  <c r="I502" i="73"/>
  <c r="AO502" i="73" s="1"/>
  <c r="I501" i="73"/>
  <c r="AO501" i="73" s="1"/>
  <c r="I500" i="73"/>
  <c r="AO500" i="73" s="1"/>
  <c r="I499" i="73"/>
  <c r="AO499" i="73" s="1"/>
  <c r="I498" i="73"/>
  <c r="AO498" i="73" s="1"/>
  <c r="I497" i="73"/>
  <c r="AO497" i="73" s="1"/>
  <c r="I496" i="73"/>
  <c r="AO496" i="73" s="1"/>
  <c r="I495" i="73"/>
  <c r="AO495" i="73" s="1"/>
  <c r="I494" i="73"/>
  <c r="AO494" i="73" s="1"/>
  <c r="I493" i="73"/>
  <c r="AO493" i="73" s="1"/>
  <c r="I492" i="73"/>
  <c r="AO492" i="73" s="1"/>
  <c r="I491" i="73"/>
  <c r="AO491" i="73" s="1"/>
  <c r="I490" i="73"/>
  <c r="AO490" i="73" s="1"/>
  <c r="I489" i="73"/>
  <c r="AO489" i="73" s="1"/>
  <c r="I485" i="73"/>
  <c r="AO485" i="73" s="1"/>
  <c r="I484" i="73"/>
  <c r="AO484" i="73" s="1"/>
  <c r="I483" i="73"/>
  <c r="AO483" i="73" s="1"/>
  <c r="I482" i="73"/>
  <c r="AO482" i="73" s="1"/>
  <c r="I481" i="73"/>
  <c r="AO481" i="73" s="1"/>
  <c r="I480" i="73"/>
  <c r="AO480" i="73" s="1"/>
  <c r="I476" i="73"/>
  <c r="AO476" i="73" s="1"/>
  <c r="I475" i="73"/>
  <c r="AO475" i="73" s="1"/>
  <c r="I474" i="73"/>
  <c r="AO474" i="73" s="1"/>
  <c r="I473" i="73"/>
  <c r="AO473" i="73" s="1"/>
  <c r="I472" i="73"/>
  <c r="AO472" i="73" s="1"/>
  <c r="I471" i="73"/>
  <c r="AO471" i="73" s="1"/>
  <c r="I470" i="73"/>
  <c r="AO470" i="73" s="1"/>
  <c r="I469" i="73"/>
  <c r="AO469" i="73" s="1"/>
  <c r="I468" i="73"/>
  <c r="AO468" i="73" s="1"/>
  <c r="I467" i="73"/>
  <c r="AO467" i="73" s="1"/>
  <c r="I465" i="73"/>
  <c r="AO465" i="73" s="1"/>
  <c r="I464" i="73"/>
  <c r="AO464" i="73" s="1"/>
  <c r="I462" i="73"/>
  <c r="AO462" i="73" s="1"/>
  <c r="I463" i="73"/>
  <c r="AO463" i="73" s="1"/>
  <c r="I461" i="73"/>
  <c r="AO461" i="73" s="1"/>
  <c r="I460" i="73"/>
  <c r="AO460" i="73" s="1"/>
  <c r="I459" i="73"/>
  <c r="AO459" i="73" s="1"/>
  <c r="I458" i="73"/>
  <c r="AO458" i="73" s="1"/>
  <c r="AN74" i="73" l="1"/>
  <c r="AN64" i="73"/>
  <c r="AN54" i="73"/>
  <c r="AN33" i="73"/>
  <c r="AN21" i="73"/>
  <c r="AN705" i="73"/>
  <c r="AO704" i="73"/>
  <c r="AO682" i="73"/>
  <c r="AN685" i="73"/>
  <c r="AP687" i="73"/>
  <c r="AO690" i="73"/>
  <c r="AN693" i="73"/>
  <c r="AP695" i="73"/>
  <c r="AN73" i="73"/>
  <c r="AN61" i="73"/>
  <c r="AN51" i="73"/>
  <c r="AN40" i="73"/>
  <c r="AN32" i="73"/>
  <c r="AN20" i="73"/>
  <c r="AO705" i="73"/>
  <c r="AN701" i="73"/>
  <c r="AP682" i="73"/>
  <c r="AO685" i="73"/>
  <c r="AN688" i="73"/>
  <c r="AP690" i="73"/>
  <c r="AO693" i="73"/>
  <c r="AN696" i="73"/>
  <c r="AN81" i="73"/>
  <c r="AN72" i="73"/>
  <c r="AN60" i="73"/>
  <c r="AN39" i="73"/>
  <c r="AN31" i="73"/>
  <c r="AN19" i="73"/>
  <c r="AN706" i="73"/>
  <c r="AO701" i="73"/>
  <c r="AN683" i="73"/>
  <c r="AP685" i="73"/>
  <c r="AO688" i="73"/>
  <c r="AN691" i="73"/>
  <c r="AP693" i="73"/>
  <c r="AO696" i="73"/>
  <c r="AN80" i="73"/>
  <c r="AN71" i="73"/>
  <c r="AN59" i="73"/>
  <c r="AN38" i="73"/>
  <c r="AN28" i="73"/>
  <c r="AN17" i="73"/>
  <c r="AO706" i="73"/>
  <c r="AO700" i="73"/>
  <c r="AO683" i="73"/>
  <c r="AN686" i="73"/>
  <c r="AP688" i="73"/>
  <c r="AO691" i="73"/>
  <c r="AN694" i="73"/>
  <c r="AP696" i="73"/>
  <c r="AN79" i="73"/>
  <c r="AN70" i="73"/>
  <c r="AN58" i="73"/>
  <c r="AN48" i="73"/>
  <c r="AN37" i="73"/>
  <c r="AN27" i="73"/>
  <c r="AN16" i="73"/>
  <c r="AN707" i="73"/>
  <c r="AN681" i="73"/>
  <c r="AP683" i="73"/>
  <c r="AO686" i="73"/>
  <c r="AN689" i="73"/>
  <c r="AP691" i="73"/>
  <c r="AO694" i="73"/>
  <c r="AN78" i="73"/>
  <c r="AN69" i="73"/>
  <c r="AN57" i="73"/>
  <c r="AN47" i="73"/>
  <c r="AN36" i="73"/>
  <c r="AN25" i="73"/>
  <c r="AN14" i="73"/>
  <c r="AO707" i="73"/>
  <c r="AO681" i="73"/>
  <c r="AN684" i="73"/>
  <c r="AP686" i="73"/>
  <c r="AO689" i="73"/>
  <c r="AN692" i="73"/>
  <c r="AP694" i="73"/>
  <c r="AP680" i="73"/>
  <c r="AN43" i="73"/>
  <c r="AO708" i="73"/>
  <c r="AN690" i="73"/>
  <c r="AN77" i="73"/>
  <c r="AN35" i="73"/>
  <c r="AP681" i="73"/>
  <c r="AO692" i="73"/>
  <c r="AN76" i="73"/>
  <c r="AN682" i="73"/>
  <c r="AP692" i="73"/>
  <c r="AN56" i="73"/>
  <c r="AN687" i="73"/>
  <c r="AN704" i="73"/>
  <c r="AN66" i="73"/>
  <c r="AN24" i="73"/>
  <c r="AO684" i="73"/>
  <c r="AN695" i="73"/>
  <c r="AN65" i="73"/>
  <c r="AN23" i="73"/>
  <c r="AP684" i="73"/>
  <c r="AO695" i="73"/>
  <c r="AN13" i="73"/>
  <c r="AN55" i="73"/>
  <c r="AN12" i="73"/>
  <c r="AO687" i="73"/>
  <c r="AN700" i="73"/>
  <c r="AN44" i="73"/>
  <c r="AN708" i="73"/>
  <c r="AP689" i="73"/>
  <c r="AN433" i="73"/>
  <c r="AM368" i="73"/>
  <c r="AM370" i="73"/>
  <c r="AM372" i="73"/>
  <c r="AN432" i="73"/>
  <c r="AO368" i="73"/>
  <c r="AO370" i="73"/>
  <c r="AO372" i="73"/>
  <c r="AP368" i="73"/>
  <c r="AP370" i="73"/>
  <c r="AP372" i="73"/>
  <c r="AQ368" i="73"/>
  <c r="AQ370" i="73"/>
  <c r="AQ372" i="73"/>
  <c r="AM369" i="73"/>
  <c r="AM371" i="73"/>
  <c r="AM373" i="73"/>
  <c r="AP369" i="73"/>
  <c r="AP371" i="73"/>
  <c r="AP373" i="73"/>
  <c r="AO373" i="73"/>
  <c r="AP375" i="73"/>
  <c r="AP377" i="73"/>
  <c r="AQ367" i="73"/>
  <c r="AW325" i="73"/>
  <c r="BE325" i="73"/>
  <c r="AZ326" i="73"/>
  <c r="BH326" i="73"/>
  <c r="BC327" i="73"/>
  <c r="AX328" i="73"/>
  <c r="BF328" i="73"/>
  <c r="AV330" i="73"/>
  <c r="BD330" i="73"/>
  <c r="AY331" i="73"/>
  <c r="BG331" i="73"/>
  <c r="AW333" i="73"/>
  <c r="BE333" i="73"/>
  <c r="AZ334" i="73"/>
  <c r="BH334" i="73"/>
  <c r="BC335" i="73"/>
  <c r="AX336" i="73"/>
  <c r="BF336" i="73"/>
  <c r="AW323" i="73"/>
  <c r="BE323" i="73"/>
  <c r="AQ202" i="73"/>
  <c r="AQ210" i="73"/>
  <c r="AQ373" i="73"/>
  <c r="AQ375" i="73"/>
  <c r="AQ377" i="73"/>
  <c r="AM367" i="73"/>
  <c r="BC324" i="73"/>
  <c r="AX325" i="73"/>
  <c r="BF325" i="73"/>
  <c r="AV327" i="73"/>
  <c r="BD327" i="73"/>
  <c r="AY328" i="73"/>
  <c r="BG328" i="73"/>
  <c r="AW330" i="73"/>
  <c r="BE330" i="73"/>
  <c r="AZ331" i="73"/>
  <c r="BH331" i="73"/>
  <c r="BC332" i="73"/>
  <c r="AX333" i="73"/>
  <c r="BF333" i="73"/>
  <c r="AV335" i="73"/>
  <c r="BD335" i="73"/>
  <c r="AY336" i="73"/>
  <c r="BG336" i="73"/>
  <c r="AX323" i="73"/>
  <c r="BF323" i="73"/>
  <c r="AQ207" i="73"/>
  <c r="AM374" i="73"/>
  <c r="AM376" i="73"/>
  <c r="AM378" i="73"/>
  <c r="AV324" i="73"/>
  <c r="BD324" i="73"/>
  <c r="AY325" i="73"/>
  <c r="BG325" i="73"/>
  <c r="AW327" i="73"/>
  <c r="BE327" i="73"/>
  <c r="AZ328" i="73"/>
  <c r="BH328" i="73"/>
  <c r="BC329" i="73"/>
  <c r="AX330" i="73"/>
  <c r="BF330" i="73"/>
  <c r="AV332" i="73"/>
  <c r="BD332" i="73"/>
  <c r="AY333" i="73"/>
  <c r="BG333" i="73"/>
  <c r="AW335" i="73"/>
  <c r="BE335" i="73"/>
  <c r="AZ336" i="73"/>
  <c r="BH336" i="73"/>
  <c r="AY323" i="73"/>
  <c r="BG323" i="73"/>
  <c r="AQ204" i="73"/>
  <c r="AO374" i="73"/>
  <c r="AO376" i="73"/>
  <c r="AO378" i="73"/>
  <c r="AW324" i="73"/>
  <c r="BE324" i="73"/>
  <c r="AZ325" i="73"/>
  <c r="BH325" i="73"/>
  <c r="BC326" i="73"/>
  <c r="AX327" i="73"/>
  <c r="BF327" i="73"/>
  <c r="AV329" i="73"/>
  <c r="BD329" i="73"/>
  <c r="AY330" i="73"/>
  <c r="BG330" i="73"/>
  <c r="AW332" i="73"/>
  <c r="BE332" i="73"/>
  <c r="AZ333" i="73"/>
  <c r="BH333" i="73"/>
  <c r="BC334" i="73"/>
  <c r="AX335" i="73"/>
  <c r="BF335" i="73"/>
  <c r="AZ323" i="73"/>
  <c r="BH323" i="73"/>
  <c r="AQ209" i="73"/>
  <c r="AO369" i="73"/>
  <c r="AP374" i="73"/>
  <c r="AP376" i="73"/>
  <c r="AP378" i="73"/>
  <c r="AX324" i="73"/>
  <c r="BF324" i="73"/>
  <c r="AV326" i="73"/>
  <c r="BD326" i="73"/>
  <c r="AY327" i="73"/>
  <c r="BG327" i="73"/>
  <c r="AW329" i="73"/>
  <c r="BE329" i="73"/>
  <c r="AZ330" i="73"/>
  <c r="BH330" i="73"/>
  <c r="BC331" i="73"/>
  <c r="AX332" i="73"/>
  <c r="BF332" i="73"/>
  <c r="AV334" i="73"/>
  <c r="BD334" i="73"/>
  <c r="AY335" i="73"/>
  <c r="BG335" i="73"/>
  <c r="AQ206" i="73"/>
  <c r="AQ201" i="73"/>
  <c r="AQ369" i="73"/>
  <c r="AQ374" i="73"/>
  <c r="AQ376" i="73"/>
  <c r="AQ378" i="73"/>
  <c r="AY324" i="73"/>
  <c r="BG324" i="73"/>
  <c r="AW326" i="73"/>
  <c r="BE326" i="73"/>
  <c r="AZ327" i="73"/>
  <c r="BH327" i="73"/>
  <c r="BC328" i="73"/>
  <c r="AX329" i="73"/>
  <c r="BF329" i="73"/>
  <c r="AV331" i="73"/>
  <c r="BD331" i="73"/>
  <c r="AY332" i="73"/>
  <c r="BG332" i="73"/>
  <c r="AW334" i="73"/>
  <c r="BE334" i="73"/>
  <c r="AZ335" i="73"/>
  <c r="BH335" i="73"/>
  <c r="BC336" i="73"/>
  <c r="AQ203" i="73"/>
  <c r="AO371" i="73"/>
  <c r="BC325" i="73"/>
  <c r="BD328" i="73"/>
  <c r="BE331" i="73"/>
  <c r="BF334" i="73"/>
  <c r="AV336" i="73"/>
  <c r="AW331" i="73"/>
  <c r="BG326" i="73"/>
  <c r="AQ371" i="73"/>
  <c r="BD325" i="73"/>
  <c r="BE328" i="73"/>
  <c r="BF331" i="73"/>
  <c r="AV333" i="73"/>
  <c r="BG334" i="73"/>
  <c r="AW336" i="73"/>
  <c r="AQ205" i="73"/>
  <c r="AQ208" i="73"/>
  <c r="AO375" i="73"/>
  <c r="BC330" i="73"/>
  <c r="BD333" i="73"/>
  <c r="AV323" i="73"/>
  <c r="AV328" i="73"/>
  <c r="AX334" i="73"/>
  <c r="AW328" i="73"/>
  <c r="AY334" i="73"/>
  <c r="AM375" i="73"/>
  <c r="AZ324" i="73"/>
  <c r="BC333" i="73"/>
  <c r="BD336" i="73"/>
  <c r="BE336" i="73"/>
  <c r="BF326" i="73"/>
  <c r="BH332" i="73"/>
  <c r="AV325" i="73"/>
  <c r="BH329" i="73"/>
  <c r="AM377" i="73"/>
  <c r="BH324" i="73"/>
  <c r="AX326" i="73"/>
  <c r="AY329" i="73"/>
  <c r="AZ332" i="73"/>
  <c r="BC323" i="73"/>
  <c r="AO377" i="73"/>
  <c r="AY326" i="73"/>
  <c r="AZ329" i="73"/>
  <c r="BD323" i="73"/>
  <c r="AO367" i="73"/>
  <c r="BG329" i="73"/>
  <c r="AP367" i="73"/>
  <c r="AX331" i="73"/>
  <c r="AQ163" i="73"/>
  <c r="AQ169" i="73"/>
  <c r="AP168" i="73"/>
  <c r="AP170" i="73"/>
  <c r="AP169" i="73"/>
  <c r="AQ165" i="73"/>
  <c r="AQ164" i="73"/>
  <c r="AQ166" i="73"/>
  <c r="AQ168" i="73"/>
  <c r="AQ170" i="73"/>
  <c r="AQ167" i="73"/>
  <c r="AP167" i="73"/>
  <c r="AN181" i="73"/>
  <c r="AP183" i="73"/>
  <c r="AO194" i="73"/>
  <c r="AO181" i="73"/>
  <c r="AN184" i="73"/>
  <c r="AP186" i="73"/>
  <c r="AO189" i="73"/>
  <c r="AN192" i="73"/>
  <c r="AP194" i="73"/>
  <c r="AO184" i="73"/>
  <c r="AN187" i="73"/>
  <c r="AP189" i="73"/>
  <c r="AO192" i="73"/>
  <c r="AO180" i="73"/>
  <c r="AP181" i="73"/>
  <c r="AN182" i="73"/>
  <c r="AP184" i="73"/>
  <c r="AO187" i="73"/>
  <c r="AN190" i="73"/>
  <c r="AP192" i="73"/>
  <c r="AP180" i="73"/>
  <c r="AP193" i="73"/>
  <c r="AP188" i="73"/>
  <c r="AN194" i="73"/>
  <c r="AP191" i="73"/>
  <c r="AO182" i="73"/>
  <c r="AN185" i="73"/>
  <c r="AP187" i="73"/>
  <c r="AO190" i="73"/>
  <c r="AN193" i="73"/>
  <c r="AP185" i="73"/>
  <c r="AO188" i="73"/>
  <c r="AO183" i="73"/>
  <c r="AN189" i="73"/>
  <c r="AP182" i="73"/>
  <c r="AO185" i="73"/>
  <c r="AN188" i="73"/>
  <c r="AP190" i="73"/>
  <c r="AO193" i="73"/>
  <c r="AN183" i="73"/>
  <c r="AN191" i="73"/>
  <c r="AN186" i="73"/>
  <c r="AO191" i="73"/>
  <c r="AO186" i="73"/>
  <c r="AN8" i="73"/>
  <c r="AN9" i="73"/>
  <c r="AN388" i="73"/>
  <c r="AN387" i="73"/>
  <c r="AN385" i="73"/>
  <c r="AN384" i="73"/>
  <c r="H227" i="73"/>
  <c r="G394" i="73"/>
  <c r="AM394" i="73" s="1"/>
  <c r="I680" i="73"/>
  <c r="AO680" i="73" s="1"/>
  <c r="H680" i="73"/>
  <c r="AN680" i="73" s="1"/>
  <c r="AN579" i="73" l="1"/>
  <c r="AN315" i="73"/>
  <c r="AN437" i="73"/>
  <c r="AN580" i="73"/>
  <c r="AN316" i="73"/>
  <c r="AN438" i="73"/>
  <c r="J414" i="73"/>
  <c r="AP414" i="73" s="1"/>
  <c r="J415" i="73"/>
  <c r="AP415" i="73" s="1"/>
  <c r="J416" i="73"/>
  <c r="AP416" i="73" s="1"/>
  <c r="J417" i="73"/>
  <c r="AP417" i="73" s="1"/>
  <c r="H203" i="73" l="1"/>
  <c r="AN203" i="73" s="1"/>
  <c r="AZ210" i="73"/>
  <c r="S210" i="73"/>
  <c r="R210" i="73"/>
  <c r="AS210" i="73"/>
  <c r="AR210" i="73"/>
  <c r="J210" i="73"/>
  <c r="AP210" i="73" s="1"/>
  <c r="I210" i="73"/>
  <c r="AO210" i="73" s="1"/>
  <c r="H210" i="73"/>
  <c r="AN210" i="73" s="1"/>
  <c r="AZ209" i="73"/>
  <c r="S209" i="73"/>
  <c r="R209" i="73"/>
  <c r="AS209" i="73"/>
  <c r="AR209" i="73"/>
  <c r="J209" i="73"/>
  <c r="AP209" i="73" s="1"/>
  <c r="I209" i="73"/>
  <c r="AO209" i="73" s="1"/>
  <c r="H209" i="73"/>
  <c r="AN209" i="73" s="1"/>
  <c r="AZ208" i="73"/>
  <c r="S208" i="73"/>
  <c r="R208" i="73"/>
  <c r="AS208" i="73"/>
  <c r="AR208" i="73"/>
  <c r="AP208" i="73"/>
  <c r="I208" i="73"/>
  <c r="AO208" i="73" s="1"/>
  <c r="H208" i="73"/>
  <c r="AN208" i="73" s="1"/>
  <c r="AZ207" i="73"/>
  <c r="S207" i="73"/>
  <c r="R207" i="73"/>
  <c r="AS207" i="73"/>
  <c r="AR207" i="73"/>
  <c r="J207" i="73"/>
  <c r="AP207" i="73" s="1"/>
  <c r="I207" i="73"/>
  <c r="AO207" i="73" s="1"/>
  <c r="H207" i="73"/>
  <c r="AN207" i="73" s="1"/>
  <c r="AZ206" i="73"/>
  <c r="S206" i="73"/>
  <c r="R206" i="73"/>
  <c r="AS206" i="73"/>
  <c r="AR206" i="73"/>
  <c r="J206" i="73"/>
  <c r="AP206" i="73" s="1"/>
  <c r="I206" i="73"/>
  <c r="AO206" i="73" s="1"/>
  <c r="H206" i="73"/>
  <c r="AN206" i="73" s="1"/>
  <c r="AZ205" i="73"/>
  <c r="S205" i="73"/>
  <c r="R205" i="73"/>
  <c r="AS205" i="73"/>
  <c r="AR205" i="73"/>
  <c r="J205" i="73"/>
  <c r="AP205" i="73" s="1"/>
  <c r="I205" i="73"/>
  <c r="AO205" i="73" s="1"/>
  <c r="H205" i="73"/>
  <c r="AN205" i="73" s="1"/>
  <c r="AZ204" i="73"/>
  <c r="AS204" i="73"/>
  <c r="AR204" i="73"/>
  <c r="AP204" i="73"/>
  <c r="AO204" i="73"/>
  <c r="AZ203" i="73"/>
  <c r="S203" i="73"/>
  <c r="R203" i="73"/>
  <c r="AS203" i="73"/>
  <c r="AR203" i="73"/>
  <c r="J203" i="73"/>
  <c r="AP203" i="73" s="1"/>
  <c r="I203" i="73"/>
  <c r="AO203" i="73" s="1"/>
  <c r="AZ201" i="73"/>
  <c r="AS201" i="73"/>
  <c r="AR201" i="73"/>
  <c r="AP201" i="73"/>
  <c r="AO201" i="73"/>
  <c r="AZ202" i="73"/>
  <c r="AS202" i="73"/>
  <c r="AR202" i="73"/>
  <c r="AP202" i="73"/>
  <c r="AO202" i="73"/>
  <c r="O88" i="9" l="1"/>
  <c r="P404" i="73"/>
  <c r="AV404" i="73" s="1"/>
  <c r="P403" i="73"/>
  <c r="AV403" i="73" s="1"/>
  <c r="P402" i="73"/>
  <c r="AV402" i="73" s="1"/>
  <c r="P401" i="73"/>
  <c r="AV401" i="73" s="1"/>
  <c r="P400" i="73"/>
  <c r="AV400" i="73" s="1"/>
  <c r="P399" i="73"/>
  <c r="AV399" i="73" s="1"/>
  <c r="P398" i="73"/>
  <c r="AV398" i="73" s="1"/>
  <c r="P395" i="73"/>
  <c r="AV395" i="73" s="1"/>
  <c r="P394" i="73"/>
  <c r="AV394" i="73" s="1"/>
  <c r="P397" i="73"/>
  <c r="AV397" i="73" s="1"/>
  <c r="P396" i="73"/>
  <c r="AV396" i="73" s="1"/>
  <c r="O404" i="73"/>
  <c r="AU404" i="73" s="1"/>
  <c r="O403" i="73"/>
  <c r="AU403" i="73" s="1"/>
  <c r="O402" i="73"/>
  <c r="AU402" i="73" s="1"/>
  <c r="O401" i="73"/>
  <c r="AU401" i="73" s="1"/>
  <c r="O400" i="73"/>
  <c r="AU400" i="73" s="1"/>
  <c r="O399" i="73"/>
  <c r="AU399" i="73" s="1"/>
  <c r="O398" i="73"/>
  <c r="AU398" i="73" s="1"/>
  <c r="O397" i="73"/>
  <c r="AU397" i="73" s="1"/>
  <c r="O396" i="73"/>
  <c r="AU396" i="73" s="1"/>
  <c r="O395" i="73"/>
  <c r="AU395" i="73" s="1"/>
  <c r="O394" i="73"/>
  <c r="AU394" i="73" s="1"/>
  <c r="N404" i="73"/>
  <c r="AT404" i="73" s="1"/>
  <c r="N403" i="73"/>
  <c r="AT403" i="73" s="1"/>
  <c r="N402" i="73"/>
  <c r="AT402" i="73" s="1"/>
  <c r="N401" i="73"/>
  <c r="AT401" i="73" s="1"/>
  <c r="N400" i="73"/>
  <c r="AT400" i="73" s="1"/>
  <c r="N399" i="73"/>
  <c r="AT399" i="73" s="1"/>
  <c r="N398" i="73"/>
  <c r="AT398" i="73" s="1"/>
  <c r="N397" i="73"/>
  <c r="AT397" i="73" s="1"/>
  <c r="N396" i="73"/>
  <c r="AT396" i="73" s="1"/>
  <c r="N395" i="73"/>
  <c r="AT395" i="73" s="1"/>
  <c r="N394" i="73"/>
  <c r="AT394" i="73" s="1"/>
  <c r="M403" i="73"/>
  <c r="AS403" i="73" s="1"/>
  <c r="M402" i="73"/>
  <c r="AS402" i="73" s="1"/>
  <c r="M401" i="73"/>
  <c r="AS401" i="73" s="1"/>
  <c r="M400" i="73"/>
  <c r="AS400" i="73" s="1"/>
  <c r="M399" i="73"/>
  <c r="AS399" i="73" s="1"/>
  <c r="M398" i="73"/>
  <c r="AS398" i="73" s="1"/>
  <c r="M397" i="73"/>
  <c r="AS397" i="73" s="1"/>
  <c r="M396" i="73"/>
  <c r="AS396" i="73" s="1"/>
  <c r="M395" i="73"/>
  <c r="AS395" i="73" s="1"/>
  <c r="M394" i="73"/>
  <c r="AS394" i="73" s="1"/>
  <c r="L404" i="73"/>
  <c r="AR404" i="73" s="1"/>
  <c r="L403" i="73"/>
  <c r="AR403" i="73" s="1"/>
  <c r="L402" i="73"/>
  <c r="AR402" i="73" s="1"/>
  <c r="L401" i="73"/>
  <c r="AR401" i="73" s="1"/>
  <c r="L400" i="73"/>
  <c r="AR400" i="73" s="1"/>
  <c r="L399" i="73"/>
  <c r="AR399" i="73" s="1"/>
  <c r="L398" i="73"/>
  <c r="AR398" i="73" s="1"/>
  <c r="L397" i="73"/>
  <c r="AR397" i="73" s="1"/>
  <c r="L396" i="73"/>
  <c r="AR396" i="73" s="1"/>
  <c r="L395" i="73"/>
  <c r="AR395" i="73" s="1"/>
  <c r="L394" i="73"/>
  <c r="AR394" i="73" s="1"/>
  <c r="K404" i="73"/>
  <c r="AQ404" i="73" s="1"/>
  <c r="K403" i="73"/>
  <c r="AQ403" i="73" s="1"/>
  <c r="K402" i="73"/>
  <c r="AQ402" i="73" s="1"/>
  <c r="K401" i="73"/>
  <c r="AQ401" i="73" s="1"/>
  <c r="K400" i="73"/>
  <c r="AQ400" i="73" s="1"/>
  <c r="K399" i="73"/>
  <c r="AQ399" i="73" s="1"/>
  <c r="K398" i="73"/>
  <c r="AQ398" i="73" s="1"/>
  <c r="K397" i="73"/>
  <c r="AQ397" i="73" s="1"/>
  <c r="K396" i="73"/>
  <c r="AQ396" i="73" s="1"/>
  <c r="K395" i="73"/>
  <c r="AQ395" i="73" s="1"/>
  <c r="K394" i="73"/>
  <c r="AQ394" i="73" s="1"/>
  <c r="J404" i="73"/>
  <c r="AP404" i="73" s="1"/>
  <c r="J403" i="73"/>
  <c r="AP403" i="73" s="1"/>
  <c r="J402" i="73"/>
  <c r="AP402" i="73" s="1"/>
  <c r="J401" i="73"/>
  <c r="AP401" i="73" s="1"/>
  <c r="J400" i="73"/>
  <c r="AP400" i="73" s="1"/>
  <c r="J399" i="73"/>
  <c r="AP399" i="73" s="1"/>
  <c r="J398" i="73"/>
  <c r="AP398" i="73" s="1"/>
  <c r="J397" i="73"/>
  <c r="AP397" i="73" s="1"/>
  <c r="J396" i="73"/>
  <c r="AP396" i="73" s="1"/>
  <c r="J395" i="73"/>
  <c r="AP395" i="73" s="1"/>
  <c r="J394" i="73"/>
  <c r="AP394" i="73" s="1"/>
  <c r="H394" i="73"/>
  <c r="AN394" i="73" s="1"/>
  <c r="H404" i="73"/>
  <c r="AN404" i="73" s="1"/>
  <c r="H403" i="73"/>
  <c r="AN403" i="73" s="1"/>
  <c r="H402" i="73"/>
  <c r="AN402" i="73" s="1"/>
  <c r="H401" i="73"/>
  <c r="AN401" i="73" s="1"/>
  <c r="H400" i="73"/>
  <c r="AN400" i="73" s="1"/>
  <c r="H399" i="73"/>
  <c r="AN399" i="73" s="1"/>
  <c r="H398" i="73"/>
  <c r="AN398" i="73" s="1"/>
  <c r="H397" i="73"/>
  <c r="AN397" i="73" s="1"/>
  <c r="H396" i="73"/>
  <c r="AN396" i="73" s="1"/>
  <c r="H395" i="73"/>
  <c r="AN395" i="73" s="1"/>
  <c r="I402" i="73"/>
  <c r="AO402" i="73" s="1"/>
  <c r="I401" i="73"/>
  <c r="AO401" i="73" s="1"/>
  <c r="I400" i="73"/>
  <c r="AO400" i="73" s="1"/>
  <c r="I399" i="73"/>
  <c r="AO399" i="73" s="1"/>
  <c r="I398" i="73"/>
  <c r="AO398" i="73" s="1"/>
  <c r="I397" i="73"/>
  <c r="AO397" i="73" s="1"/>
  <c r="I396" i="73"/>
  <c r="AO396" i="73" s="1"/>
  <c r="I395" i="73"/>
  <c r="AO395" i="73" s="1"/>
  <c r="I404" i="73"/>
  <c r="AO404" i="73" s="1"/>
  <c r="I403" i="73"/>
  <c r="AO403" i="73" s="1"/>
  <c r="I394" i="73"/>
  <c r="AO394" i="73" s="1"/>
  <c r="G404" i="73"/>
  <c r="AM404" i="73" s="1"/>
  <c r="G403" i="73"/>
  <c r="AM403" i="73" s="1"/>
  <c r="G402" i="73"/>
  <c r="AM402" i="73" s="1"/>
  <c r="G401" i="73"/>
  <c r="AM401" i="73" s="1"/>
  <c r="G400" i="73"/>
  <c r="AM400" i="73" s="1"/>
  <c r="G399" i="73"/>
  <c r="AM399" i="73" s="1"/>
  <c r="G398" i="73"/>
  <c r="AM398" i="73" s="1"/>
  <c r="G397" i="73"/>
  <c r="AM397" i="73" s="1"/>
  <c r="G396" i="73"/>
  <c r="AM396" i="73" s="1"/>
  <c r="G395" i="73"/>
  <c r="AM395" i="73" s="1"/>
  <c r="H378" i="73"/>
  <c r="AN378" i="73" s="1"/>
  <c r="H377" i="73"/>
  <c r="AN377" i="73" s="1"/>
  <c r="H376" i="73"/>
  <c r="AN376" i="73" s="1"/>
  <c r="H375" i="73"/>
  <c r="AN375" i="73" s="1"/>
  <c r="H374" i="73"/>
  <c r="AN374" i="73" s="1"/>
  <c r="H373" i="73"/>
  <c r="AN373" i="73" s="1"/>
  <c r="H372" i="73"/>
  <c r="AN372" i="73" s="1"/>
  <c r="H371" i="73"/>
  <c r="AN371" i="73" s="1"/>
  <c r="H370" i="73"/>
  <c r="AN370" i="73" s="1"/>
  <c r="H369" i="73"/>
  <c r="AN369" i="73" s="1"/>
  <c r="H368" i="73"/>
  <c r="AN368" i="73" s="1"/>
  <c r="H367" i="73"/>
  <c r="AN367" i="73" s="1"/>
  <c r="L323" i="73"/>
  <c r="N323" i="73" s="1"/>
  <c r="AR323" i="73" l="1"/>
  <c r="AT323" i="73"/>
  <c r="J444" i="73"/>
  <c r="H437" i="73"/>
  <c r="H315" i="73"/>
  <c r="L444" i="73"/>
  <c r="BA323" i="73"/>
  <c r="H336" i="73"/>
  <c r="H335" i="73"/>
  <c r="H334" i="73"/>
  <c r="H333" i="73"/>
  <c r="H332" i="73"/>
  <c r="H331" i="73"/>
  <c r="H330" i="73"/>
  <c r="H329" i="73"/>
  <c r="H328" i="73"/>
  <c r="H327" i="73"/>
  <c r="H326" i="73"/>
  <c r="H325" i="73"/>
  <c r="H324" i="73"/>
  <c r="H323" i="73"/>
  <c r="G323" i="73"/>
  <c r="G336" i="73"/>
  <c r="G335" i="73"/>
  <c r="G334" i="73"/>
  <c r="G333" i="73"/>
  <c r="G332" i="73"/>
  <c r="G331" i="73"/>
  <c r="G330" i="73"/>
  <c r="G329" i="73"/>
  <c r="G328" i="73"/>
  <c r="G327" i="73"/>
  <c r="G326" i="73"/>
  <c r="G325" i="73"/>
  <c r="G324" i="73"/>
  <c r="BA336" i="73"/>
  <c r="BA335" i="73"/>
  <c r="BA334" i="73"/>
  <c r="BA333" i="73"/>
  <c r="BA332" i="73"/>
  <c r="BA331" i="73"/>
  <c r="BA330" i="73"/>
  <c r="BA329" i="73"/>
  <c r="BA328" i="73"/>
  <c r="BA327" i="73"/>
  <c r="BA326" i="73"/>
  <c r="BA325" i="73"/>
  <c r="BA324" i="73"/>
  <c r="AU337" i="73"/>
  <c r="AU336" i="73"/>
  <c r="AU335" i="73"/>
  <c r="AU334" i="73"/>
  <c r="AU333" i="73"/>
  <c r="AU332" i="73"/>
  <c r="AU331" i="73"/>
  <c r="AU330" i="73"/>
  <c r="AU329" i="73"/>
  <c r="AU328" i="73"/>
  <c r="AU327" i="73"/>
  <c r="AU326" i="73"/>
  <c r="AU325" i="73"/>
  <c r="AU324" i="73"/>
  <c r="AU323" i="73"/>
  <c r="L336" i="73"/>
  <c r="N336" i="73" s="1"/>
  <c r="L335" i="73"/>
  <c r="N335" i="73" s="1"/>
  <c r="L334" i="73"/>
  <c r="N334" i="73" s="1"/>
  <c r="L333" i="73"/>
  <c r="N333" i="73" s="1"/>
  <c r="L332" i="73"/>
  <c r="N332" i="73" s="1"/>
  <c r="L331" i="73"/>
  <c r="N331" i="73" s="1"/>
  <c r="L330" i="73"/>
  <c r="N330" i="73" s="1"/>
  <c r="L329" i="73"/>
  <c r="N329" i="73" s="1"/>
  <c r="L328" i="73"/>
  <c r="N328" i="73" s="1"/>
  <c r="L327" i="73"/>
  <c r="N327" i="73" s="1"/>
  <c r="L326" i="73"/>
  <c r="N326" i="73" s="1"/>
  <c r="L325" i="73"/>
  <c r="N325" i="73" s="1"/>
  <c r="L324" i="73"/>
  <c r="N324" i="73" s="1"/>
  <c r="K336" i="73"/>
  <c r="AQ336" i="73" s="1"/>
  <c r="K335" i="73"/>
  <c r="AQ335" i="73" s="1"/>
  <c r="K334" i="73"/>
  <c r="AQ334" i="73" s="1"/>
  <c r="K333" i="73"/>
  <c r="AQ333" i="73" s="1"/>
  <c r="K332" i="73"/>
  <c r="AQ332" i="73" s="1"/>
  <c r="K331" i="73"/>
  <c r="AQ331" i="73" s="1"/>
  <c r="K330" i="73"/>
  <c r="AQ330" i="73" s="1"/>
  <c r="K329" i="73"/>
  <c r="AQ329" i="73" s="1"/>
  <c r="K328" i="73"/>
  <c r="AQ328" i="73" s="1"/>
  <c r="K327" i="73"/>
  <c r="AQ327" i="73" s="1"/>
  <c r="K326" i="73"/>
  <c r="AQ326" i="73" s="1"/>
  <c r="K325" i="73"/>
  <c r="AQ325" i="73" s="1"/>
  <c r="K324" i="73"/>
  <c r="AQ324" i="73" s="1"/>
  <c r="K323" i="73"/>
  <c r="AQ323" i="73" s="1"/>
  <c r="J323" i="73"/>
  <c r="I323" i="73" l="1"/>
  <c r="AO323" i="73" s="1"/>
  <c r="I334" i="73"/>
  <c r="AO334" i="73" s="1"/>
  <c r="L353" i="73"/>
  <c r="J357" i="73" s="1"/>
  <c r="AR334" i="73"/>
  <c r="AT334" i="73"/>
  <c r="AR335" i="73"/>
  <c r="AT335" i="73"/>
  <c r="AR336" i="73"/>
  <c r="AT336" i="73"/>
  <c r="AR333" i="73"/>
  <c r="AT333" i="73"/>
  <c r="AR327" i="73"/>
  <c r="AT327" i="73"/>
  <c r="AR329" i="73"/>
  <c r="AT329" i="73"/>
  <c r="AR330" i="73"/>
  <c r="AT330" i="73"/>
  <c r="AR326" i="73"/>
  <c r="AT326" i="73"/>
  <c r="AR328" i="73"/>
  <c r="AT328" i="73"/>
  <c r="AR331" i="73"/>
  <c r="AT331" i="73"/>
  <c r="AR324" i="73"/>
  <c r="AT324" i="73"/>
  <c r="AR332" i="73"/>
  <c r="AT332" i="73"/>
  <c r="AR325" i="73"/>
  <c r="AT325" i="73"/>
  <c r="I332" i="73"/>
  <c r="AO332" i="73" s="1"/>
  <c r="I333" i="73"/>
  <c r="AO333" i="73" s="1"/>
  <c r="I327" i="73"/>
  <c r="AO327" i="73" s="1"/>
  <c r="I335" i="73"/>
  <c r="AO335" i="73" s="1"/>
  <c r="I328" i="73"/>
  <c r="AO328" i="73" s="1"/>
  <c r="I336" i="73"/>
  <c r="AO336" i="73" s="1"/>
  <c r="I329" i="73"/>
  <c r="AO329" i="73" s="1"/>
  <c r="I330" i="73"/>
  <c r="AO330" i="73" s="1"/>
  <c r="I331" i="73"/>
  <c r="AO331" i="73" s="1"/>
  <c r="I325" i="73"/>
  <c r="AO325" i="73" s="1"/>
  <c r="I324" i="73"/>
  <c r="AO324" i="73" s="1"/>
  <c r="I326" i="73"/>
  <c r="AO326" i="73" s="1"/>
  <c r="K166" i="73"/>
  <c r="AP166" i="73" s="1"/>
  <c r="AP165" i="73"/>
  <c r="AP164" i="73"/>
  <c r="AP163" i="73"/>
  <c r="J163" i="73"/>
  <c r="AO163" i="73" s="1"/>
  <c r="I170" i="73"/>
  <c r="AN170" i="73" s="1"/>
  <c r="I169" i="73"/>
  <c r="AN169" i="73" s="1"/>
  <c r="I168" i="73"/>
  <c r="AN168" i="73" s="1"/>
  <c r="I167" i="73"/>
  <c r="AN167" i="73" s="1"/>
  <c r="I166" i="73"/>
  <c r="AN166" i="73" s="1"/>
  <c r="I165" i="73"/>
  <c r="AN165" i="73" s="1"/>
  <c r="I164" i="73"/>
  <c r="I163" i="73"/>
  <c r="J165" i="73"/>
  <c r="AO165" i="73" s="1"/>
  <c r="J164" i="73"/>
  <c r="AO164" i="73" s="1"/>
  <c r="J167" i="73"/>
  <c r="AO167" i="73" s="1"/>
  <c r="J168" i="73"/>
  <c r="AO168" i="73" s="1"/>
  <c r="J169" i="73"/>
  <c r="AO169" i="73" s="1"/>
  <c r="J170" i="73"/>
  <c r="AO170" i="73" s="1"/>
  <c r="J166" i="73"/>
  <c r="AO166" i="73" s="1"/>
  <c r="J336" i="73"/>
  <c r="J335" i="73"/>
  <c r="J334" i="73"/>
  <c r="J333" i="73"/>
  <c r="J332" i="73"/>
  <c r="J331" i="73"/>
  <c r="J330" i="73"/>
  <c r="J329" i="73"/>
  <c r="J328" i="73"/>
  <c r="J327" i="73"/>
  <c r="J326" i="73"/>
  <c r="J325" i="73"/>
  <c r="J324" i="73"/>
  <c r="AR353" i="73" l="1"/>
  <c r="H411" i="73"/>
  <c r="AN411" i="73" s="1"/>
  <c r="I417" i="73"/>
  <c r="AO417" i="73" s="1"/>
  <c r="H412" i="73"/>
  <c r="AN412" i="73" s="1"/>
  <c r="J411" i="73"/>
  <c r="AP411" i="73" s="1"/>
  <c r="I416" i="73"/>
  <c r="AO416" i="73" s="1"/>
  <c r="H413" i="73"/>
  <c r="AN413" i="73" s="1"/>
  <c r="J412" i="73"/>
  <c r="AP412" i="73" s="1"/>
  <c r="I415" i="73"/>
  <c r="AO415" i="73" s="1"/>
  <c r="H414" i="73"/>
  <c r="AN414" i="73" s="1"/>
  <c r="J413" i="73"/>
  <c r="AP413" i="73" s="1"/>
  <c r="I414" i="73"/>
  <c r="AO414" i="73" s="1"/>
  <c r="H415" i="73"/>
  <c r="AN415" i="73" s="1"/>
  <c r="I411" i="73"/>
  <c r="AO411" i="73" s="1"/>
  <c r="H416" i="73"/>
  <c r="AN416" i="73" s="1"/>
  <c r="I413" i="73"/>
  <c r="AO413" i="73" s="1"/>
  <c r="I412" i="73"/>
  <c r="AO412" i="73" s="1"/>
  <c r="H417" i="73"/>
  <c r="AN417" i="73" s="1"/>
  <c r="J410" i="73"/>
  <c r="AP410" i="73" s="1"/>
  <c r="H410" i="73"/>
  <c r="AN410" i="73" s="1"/>
  <c r="I410" i="73"/>
  <c r="AO410" i="73" s="1"/>
  <c r="H87" i="73" l="1"/>
  <c r="K49" i="3"/>
  <c r="H86" i="73"/>
  <c r="K48" i="3"/>
  <c r="H82" i="73"/>
  <c r="H81" i="73"/>
  <c r="H80" i="73"/>
  <c r="H79" i="73"/>
  <c r="H78" i="73"/>
  <c r="H77" i="73"/>
  <c r="H76" i="73"/>
  <c r="H74" i="73"/>
  <c r="H73" i="73"/>
  <c r="H72" i="73"/>
  <c r="H71" i="73"/>
  <c r="H70" i="73"/>
  <c r="H69" i="73"/>
  <c r="H66" i="73"/>
  <c r="H65" i="73"/>
  <c r="H64" i="73"/>
  <c r="H61" i="73"/>
  <c r="H58" i="73"/>
  <c r="H57" i="73"/>
  <c r="H56" i="73"/>
  <c r="H54" i="73"/>
  <c r="I49" i="73"/>
  <c r="H48" i="73"/>
  <c r="H44" i="73"/>
  <c r="H43" i="73"/>
  <c r="H42" i="73"/>
  <c r="H40" i="73"/>
  <c r="H39" i="73"/>
  <c r="H38" i="73"/>
  <c r="H37" i="73"/>
  <c r="H36" i="73"/>
  <c r="H35" i="73"/>
  <c r="H32" i="73"/>
  <c r="H33" i="73"/>
  <c r="H31" i="73"/>
  <c r="H28" i="73"/>
  <c r="H27" i="73"/>
  <c r="H25" i="73"/>
  <c r="H60" i="73"/>
  <c r="H59" i="73"/>
  <c r="H51" i="73"/>
  <c r="H47" i="73"/>
  <c r="H24" i="73"/>
  <c r="H21" i="73"/>
  <c r="H20" i="73"/>
  <c r="H13" i="73"/>
  <c r="H12" i="73"/>
  <c r="C29" i="23" l="1"/>
  <c r="C58" i="56" s="1"/>
  <c r="N40" i="9" l="1"/>
  <c r="N39" i="9"/>
  <c r="B40" i="9"/>
  <c r="B39" i="9"/>
  <c r="Y18" i="56"/>
  <c r="Y17" i="56"/>
  <c r="Y16" i="56"/>
  <c r="Y15" i="56"/>
  <c r="Y14" i="56"/>
  <c r="Y13" i="56"/>
  <c r="X18" i="56"/>
  <c r="X17" i="56"/>
  <c r="X16" i="56"/>
  <c r="X15" i="56"/>
  <c r="X14" i="56"/>
  <c r="X13" i="56"/>
  <c r="X12" i="56"/>
  <c r="Y12" i="56"/>
  <c r="Y11" i="56"/>
  <c r="X11" i="56" l="1"/>
  <c r="AJ112" i="20" l="1"/>
  <c r="AK108" i="20"/>
  <c r="AK107" i="20"/>
  <c r="AK104" i="20"/>
  <c r="AK103" i="20"/>
  <c r="AK102" i="20"/>
  <c r="AK101" i="20"/>
  <c r="AK100" i="20"/>
  <c r="AK99" i="20"/>
  <c r="AK96" i="20"/>
  <c r="AK95" i="20"/>
  <c r="AK94" i="20"/>
  <c r="AK93" i="20"/>
  <c r="AK92" i="20"/>
  <c r="AK91" i="20"/>
  <c r="AK90" i="20"/>
  <c r="AK89" i="20"/>
  <c r="AK88" i="20"/>
  <c r="AK87" i="20"/>
  <c r="AK86" i="20"/>
  <c r="AK85" i="20"/>
  <c r="AK82" i="20"/>
  <c r="AK81" i="20"/>
  <c r="AK80" i="20"/>
  <c r="AK79" i="20"/>
  <c r="AK78" i="20"/>
  <c r="AK77" i="20"/>
  <c r="AK76" i="20"/>
  <c r="AK75" i="20"/>
  <c r="AK74" i="20"/>
  <c r="AK73" i="20"/>
  <c r="AK72" i="20"/>
  <c r="AK71" i="20"/>
  <c r="AK70" i="20"/>
  <c r="AK69" i="20"/>
  <c r="AK68" i="20"/>
  <c r="AK67" i="20"/>
  <c r="AK66" i="20"/>
  <c r="AK65" i="20"/>
  <c r="AK64" i="20"/>
  <c r="AK63" i="20"/>
  <c r="AK62" i="20"/>
  <c r="AK61" i="20"/>
  <c r="AK60" i="20"/>
  <c r="AK59" i="20"/>
  <c r="AK58" i="20"/>
  <c r="AK57" i="20"/>
  <c r="AK56" i="20"/>
  <c r="AK55" i="20"/>
  <c r="AK52" i="20"/>
  <c r="AK51" i="20"/>
  <c r="AK50" i="20"/>
  <c r="AK49" i="20"/>
  <c r="AK48" i="20"/>
  <c r="AK47" i="20"/>
  <c r="AK46" i="20"/>
  <c r="AK45" i="20"/>
  <c r="AK44" i="20"/>
  <c r="AK35" i="20"/>
  <c r="AK34" i="20"/>
  <c r="AK33" i="20"/>
  <c r="AK32" i="20"/>
  <c r="AK31" i="20"/>
  <c r="AK30" i="20"/>
  <c r="AK29" i="20"/>
  <c r="AK28" i="20"/>
  <c r="AK27" i="20"/>
  <c r="AK26" i="20"/>
  <c r="AK24" i="20"/>
  <c r="AK16" i="20"/>
  <c r="AK15" i="20"/>
  <c r="AK14" i="20"/>
  <c r="AK13" i="20"/>
  <c r="AK12" i="20"/>
  <c r="AK11" i="20"/>
  <c r="AK10" i="20"/>
  <c r="T21" i="56" l="1"/>
  <c r="T17" i="56"/>
  <c r="T16" i="56"/>
  <c r="T12" i="56"/>
  <c r="B50" i="20"/>
  <c r="H48" i="9"/>
  <c r="E88" i="56"/>
  <c r="E123" i="56" s="1"/>
  <c r="E93" i="56"/>
  <c r="E128" i="56" s="1"/>
  <c r="E92" i="56"/>
  <c r="E127" i="56" s="1"/>
  <c r="F98" i="56"/>
  <c r="F133" i="56" s="1"/>
  <c r="E98" i="56"/>
  <c r="E133" i="56" s="1"/>
  <c r="E97" i="56"/>
  <c r="E132" i="56" s="1"/>
  <c r="E96" i="56"/>
  <c r="E131" i="56" s="1"/>
  <c r="E95" i="56"/>
  <c r="E130" i="56" s="1"/>
  <c r="B8" i="63"/>
  <c r="Q95" i="9"/>
  <c r="Q94" i="9"/>
  <c r="Q93" i="9"/>
  <c r="Q92" i="9"/>
  <c r="Q91" i="9"/>
  <c r="Q90" i="9"/>
  <c r="Q89" i="9"/>
  <c r="Q88" i="9"/>
  <c r="Q87" i="9"/>
  <c r="P95" i="9"/>
  <c r="O95" i="9"/>
  <c r="M95" i="9"/>
  <c r="P94" i="9"/>
  <c r="O94" i="9"/>
  <c r="M94" i="9"/>
  <c r="P93" i="9"/>
  <c r="O93" i="9"/>
  <c r="M93" i="9"/>
  <c r="P92" i="9"/>
  <c r="O92" i="9"/>
  <c r="M92" i="9"/>
  <c r="P91" i="9"/>
  <c r="O91" i="9"/>
  <c r="M91" i="9"/>
  <c r="P90" i="9"/>
  <c r="O90" i="9"/>
  <c r="M90" i="9"/>
  <c r="P89" i="9"/>
  <c r="O89" i="9"/>
  <c r="M89" i="9"/>
  <c r="P88" i="9"/>
  <c r="M88" i="9"/>
  <c r="P87" i="9"/>
  <c r="O87" i="9"/>
  <c r="M87" i="9"/>
  <c r="C23" i="22"/>
  <c r="D23" i="22"/>
  <c r="E23" i="22"/>
  <c r="F24" i="22"/>
  <c r="O10" i="5"/>
  <c r="CM9" i="9"/>
  <c r="CN9" i="9"/>
  <c r="CO9" i="9"/>
  <c r="CP9" i="9"/>
  <c r="CQ9" i="9"/>
  <c r="CR9" i="9"/>
  <c r="CS9" i="9"/>
  <c r="CT9" i="9"/>
  <c r="CM10" i="9"/>
  <c r="CN10" i="9"/>
  <c r="CO10" i="9"/>
  <c r="CM11" i="9"/>
  <c r="CN11" i="9"/>
  <c r="CO11" i="9"/>
  <c r="CP11" i="9"/>
  <c r="CQ11" i="9"/>
  <c r="CR11" i="9"/>
  <c r="CS11" i="9"/>
  <c r="CT11" i="9"/>
  <c r="CM12" i="9"/>
  <c r="CN12" i="9"/>
  <c r="CO12" i="9"/>
  <c r="CP12" i="9"/>
  <c r="CQ12" i="9"/>
  <c r="CR12" i="9"/>
  <c r="CS12" i="9"/>
  <c r="CT12" i="9"/>
  <c r="CM13" i="9"/>
  <c r="CN13" i="9"/>
  <c r="CO13" i="9"/>
  <c r="CM14" i="9"/>
  <c r="CN14" i="9"/>
  <c r="CO14" i="9"/>
  <c r="CM15" i="9"/>
  <c r="CN15" i="9"/>
  <c r="CO15" i="9"/>
  <c r="CP15" i="9"/>
  <c r="CQ15" i="9"/>
  <c r="CR15" i="9"/>
  <c r="CS15" i="9"/>
  <c r="CT15" i="9"/>
  <c r="CM16" i="9"/>
  <c r="CN16" i="9"/>
  <c r="CO16" i="9"/>
  <c r="CP16" i="9"/>
  <c r="CQ16" i="9"/>
  <c r="CR16" i="9"/>
  <c r="CS16" i="9"/>
  <c r="CT16" i="9"/>
  <c r="CM17" i="9"/>
  <c r="CN17" i="9"/>
  <c r="CO17" i="9"/>
  <c r="CP17" i="9"/>
  <c r="CQ17" i="9"/>
  <c r="CR17" i="9"/>
  <c r="CS17" i="9"/>
  <c r="CT17" i="9"/>
  <c r="CM18" i="9"/>
  <c r="CN18" i="9"/>
  <c r="CO18" i="9"/>
  <c r="CP18" i="9"/>
  <c r="CQ18" i="9"/>
  <c r="CR18" i="9"/>
  <c r="CS18" i="9"/>
  <c r="CT18" i="9"/>
  <c r="CM19" i="9"/>
  <c r="CN19" i="9"/>
  <c r="CO19" i="9"/>
  <c r="CP19" i="9"/>
  <c r="CQ19" i="9"/>
  <c r="CR19" i="9"/>
  <c r="CS19" i="9"/>
  <c r="CT19" i="9"/>
  <c r="CM20" i="9"/>
  <c r="CN20" i="9"/>
  <c r="CO20" i="9"/>
  <c r="CP20" i="9"/>
  <c r="CQ20" i="9"/>
  <c r="CR20" i="9"/>
  <c r="CS20" i="9"/>
  <c r="CT20" i="9"/>
  <c r="CM37" i="9"/>
  <c r="CN37" i="9"/>
  <c r="CO37" i="9"/>
  <c r="CT8" i="9"/>
  <c r="CS8" i="9"/>
  <c r="CR8" i="9"/>
  <c r="CQ8" i="9"/>
  <c r="CP8" i="9"/>
  <c r="CO8" i="9"/>
  <c r="CN8" i="9"/>
  <c r="CM8" i="9"/>
  <c r="CD9" i="9"/>
  <c r="CE9" i="9"/>
  <c r="CF9" i="9"/>
  <c r="CD10" i="9"/>
  <c r="CE10" i="9"/>
  <c r="CF10" i="9"/>
  <c r="CD11" i="9"/>
  <c r="CE11" i="9"/>
  <c r="CF11" i="9"/>
  <c r="CG11" i="9"/>
  <c r="CH11" i="9"/>
  <c r="CI11" i="9"/>
  <c r="CJ11" i="9"/>
  <c r="CK11" i="9"/>
  <c r="CD12" i="9"/>
  <c r="CE12" i="9"/>
  <c r="CF12" i="9"/>
  <c r="CD13" i="9"/>
  <c r="CE13" i="9"/>
  <c r="CF13" i="9"/>
  <c r="CD14" i="9"/>
  <c r="CE14" i="9"/>
  <c r="CF14" i="9"/>
  <c r="CG14" i="9"/>
  <c r="CH14" i="9"/>
  <c r="CI14" i="9"/>
  <c r="CJ14" i="9"/>
  <c r="CK14" i="9"/>
  <c r="CD15" i="9"/>
  <c r="CE15" i="9"/>
  <c r="CF15" i="9"/>
  <c r="CD16" i="9"/>
  <c r="CE16" i="9"/>
  <c r="CF16" i="9"/>
  <c r="CD17" i="9"/>
  <c r="CE17" i="9"/>
  <c r="CF17" i="9"/>
  <c r="CG17" i="9"/>
  <c r="CH17" i="9"/>
  <c r="CI17" i="9"/>
  <c r="CJ17" i="9"/>
  <c r="CK17" i="9"/>
  <c r="CD18" i="9"/>
  <c r="CE18" i="9"/>
  <c r="CF18" i="9"/>
  <c r="CD19" i="9"/>
  <c r="CE19" i="9"/>
  <c r="CF19" i="9"/>
  <c r="CD20" i="9"/>
  <c r="CE20" i="9"/>
  <c r="CF20" i="9"/>
  <c r="CD37" i="9"/>
  <c r="CE37" i="9"/>
  <c r="CF37" i="9"/>
  <c r="CG37" i="9"/>
  <c r="CH37" i="9"/>
  <c r="CI37" i="9"/>
  <c r="CJ37" i="9"/>
  <c r="CK37" i="9"/>
  <c r="CK8" i="9"/>
  <c r="CJ8" i="9"/>
  <c r="CI8" i="9"/>
  <c r="CH8" i="9"/>
  <c r="CG8" i="9"/>
  <c r="CF8" i="9"/>
  <c r="CE8" i="9"/>
  <c r="CD8" i="9"/>
  <c r="BU9" i="9"/>
  <c r="BV9" i="9"/>
  <c r="BW9" i="9"/>
  <c r="BU10" i="9"/>
  <c r="BV10" i="9"/>
  <c r="BW10" i="9"/>
  <c r="BU11" i="9"/>
  <c r="BV11" i="9"/>
  <c r="BW11" i="9"/>
  <c r="BU12" i="9"/>
  <c r="BV12" i="9"/>
  <c r="BW12" i="9"/>
  <c r="BU13" i="9"/>
  <c r="BV13" i="9"/>
  <c r="BW13" i="9"/>
  <c r="BU14" i="9"/>
  <c r="BV14" i="9"/>
  <c r="BW14" i="9"/>
  <c r="BU15" i="9"/>
  <c r="BV15" i="9"/>
  <c r="BW15" i="9"/>
  <c r="BU16" i="9"/>
  <c r="BV16" i="9"/>
  <c r="BW16" i="9"/>
  <c r="BU17" i="9"/>
  <c r="BV17" i="9"/>
  <c r="BW17" i="9"/>
  <c r="BX17" i="9"/>
  <c r="BU18" i="9"/>
  <c r="BV18" i="9"/>
  <c r="BW18" i="9"/>
  <c r="BX18" i="9"/>
  <c r="BY18" i="9"/>
  <c r="BZ18" i="9"/>
  <c r="CA18" i="9"/>
  <c r="CB18" i="9"/>
  <c r="BU19" i="9"/>
  <c r="BV19" i="9"/>
  <c r="BW19" i="9"/>
  <c r="BX19" i="9"/>
  <c r="BY19" i="9"/>
  <c r="BZ19" i="9"/>
  <c r="CA19" i="9"/>
  <c r="CB19" i="9"/>
  <c r="BU20" i="9"/>
  <c r="BV20" i="9"/>
  <c r="BW20" i="9"/>
  <c r="BX20" i="9"/>
  <c r="BY20" i="9"/>
  <c r="BZ20" i="9"/>
  <c r="CA20" i="9"/>
  <c r="CB20" i="9"/>
  <c r="BU37" i="9"/>
  <c r="BV37" i="9"/>
  <c r="BW37" i="9"/>
  <c r="BX37" i="9"/>
  <c r="BY37" i="9"/>
  <c r="BZ37" i="9"/>
  <c r="CA37" i="9"/>
  <c r="CB37" i="9"/>
  <c r="CB8" i="9"/>
  <c r="CA8" i="9"/>
  <c r="BZ8" i="9"/>
  <c r="BY8" i="9"/>
  <c r="BX8" i="9"/>
  <c r="BW8" i="9"/>
  <c r="BV8" i="9"/>
  <c r="BU8" i="9"/>
  <c r="BL9" i="9"/>
  <c r="BM9" i="9"/>
  <c r="BN9" i="9"/>
  <c r="BL10" i="9"/>
  <c r="BM10" i="9"/>
  <c r="BN10" i="9"/>
  <c r="BL11" i="9"/>
  <c r="BM11" i="9"/>
  <c r="BN11" i="9"/>
  <c r="BL12" i="9"/>
  <c r="BM12" i="9"/>
  <c r="BN12" i="9"/>
  <c r="BL13" i="9"/>
  <c r="BM13" i="9"/>
  <c r="BN13" i="9"/>
  <c r="BL14" i="9"/>
  <c r="BM14" i="9"/>
  <c r="BN14" i="9"/>
  <c r="BL15" i="9"/>
  <c r="BM15" i="9"/>
  <c r="BN15" i="9"/>
  <c r="BL16" i="9"/>
  <c r="BM16" i="9"/>
  <c r="BN16" i="9"/>
  <c r="BL17" i="9"/>
  <c r="BM17" i="9"/>
  <c r="BN17" i="9"/>
  <c r="BO17" i="9"/>
  <c r="BP17" i="9"/>
  <c r="BQ17" i="9"/>
  <c r="BR17" i="9"/>
  <c r="BS17" i="9"/>
  <c r="BL18" i="9"/>
  <c r="BM18" i="9"/>
  <c r="BN18" i="9"/>
  <c r="BO18" i="9"/>
  <c r="BP18" i="9"/>
  <c r="BQ18" i="9"/>
  <c r="BR18" i="9"/>
  <c r="BS18" i="9"/>
  <c r="BL19" i="9"/>
  <c r="BM19" i="9"/>
  <c r="BN19" i="9"/>
  <c r="BO19" i="9"/>
  <c r="BP19" i="9"/>
  <c r="BQ19" i="9"/>
  <c r="BR19" i="9"/>
  <c r="BS19" i="9"/>
  <c r="BL20" i="9"/>
  <c r="BM20" i="9"/>
  <c r="BN20" i="9"/>
  <c r="BO20" i="9"/>
  <c r="BP20" i="9"/>
  <c r="BQ20" i="9"/>
  <c r="BR20" i="9"/>
  <c r="BS20" i="9"/>
  <c r="BL37" i="9"/>
  <c r="BM37" i="9"/>
  <c r="BN37" i="9"/>
  <c r="BO37" i="9"/>
  <c r="BP37" i="9"/>
  <c r="BQ37" i="9"/>
  <c r="BR37" i="9"/>
  <c r="BS37" i="9"/>
  <c r="BN8" i="9"/>
  <c r="BM8" i="9"/>
  <c r="BL8" i="9"/>
  <c r="BC9" i="9"/>
  <c r="BD9" i="9"/>
  <c r="BE9" i="9"/>
  <c r="BC10" i="9"/>
  <c r="BD10" i="9"/>
  <c r="BE10" i="9"/>
  <c r="BC11" i="9"/>
  <c r="BD11" i="9"/>
  <c r="BE11" i="9"/>
  <c r="BC12" i="9"/>
  <c r="BD12" i="9"/>
  <c r="BE12" i="9"/>
  <c r="BC13" i="9"/>
  <c r="BD13" i="9"/>
  <c r="BE13" i="9"/>
  <c r="BC14" i="9"/>
  <c r="BD14" i="9"/>
  <c r="BE14" i="9"/>
  <c r="BC15" i="9"/>
  <c r="BD15" i="9"/>
  <c r="BE15" i="9"/>
  <c r="BC16" i="9"/>
  <c r="BD16" i="9"/>
  <c r="BE16" i="9"/>
  <c r="BF16" i="9"/>
  <c r="BG16" i="9"/>
  <c r="BH16" i="9"/>
  <c r="BI16" i="9"/>
  <c r="BJ16" i="9"/>
  <c r="BC17" i="9"/>
  <c r="BD17" i="9"/>
  <c r="BE17" i="9"/>
  <c r="BF17" i="9"/>
  <c r="BG17" i="9"/>
  <c r="BH17" i="9"/>
  <c r="BI17" i="9"/>
  <c r="BJ17" i="9"/>
  <c r="BC18" i="9"/>
  <c r="BD18" i="9"/>
  <c r="BE18" i="9"/>
  <c r="BF18" i="9"/>
  <c r="BG18" i="9"/>
  <c r="BH18" i="9"/>
  <c r="BI18" i="9"/>
  <c r="BJ18" i="9"/>
  <c r="BC19" i="9"/>
  <c r="BD19" i="9"/>
  <c r="BE19" i="9"/>
  <c r="BF19" i="9"/>
  <c r="BG19" i="9"/>
  <c r="BH19" i="9"/>
  <c r="BI19" i="9"/>
  <c r="BJ19" i="9"/>
  <c r="BC20" i="9"/>
  <c r="BD20" i="9"/>
  <c r="BE20" i="9"/>
  <c r="BF20" i="9"/>
  <c r="BG20" i="9"/>
  <c r="BH20" i="9"/>
  <c r="BI20" i="9"/>
  <c r="BJ20" i="9"/>
  <c r="BC37" i="9"/>
  <c r="BD37" i="9"/>
  <c r="BE37" i="9"/>
  <c r="BF37" i="9"/>
  <c r="BG37" i="9"/>
  <c r="BH37" i="9"/>
  <c r="BI37" i="9"/>
  <c r="BJ37" i="9"/>
  <c r="BE8" i="9"/>
  <c r="BD8" i="9"/>
  <c r="BC8" i="9"/>
  <c r="AT9" i="9"/>
  <c r="AU9" i="9"/>
  <c r="AV9" i="9"/>
  <c r="AT10" i="9"/>
  <c r="AU10" i="9"/>
  <c r="AV10" i="9"/>
  <c r="AT11" i="9"/>
  <c r="AU11" i="9"/>
  <c r="AV11" i="9"/>
  <c r="AT12" i="9"/>
  <c r="AU12" i="9"/>
  <c r="AV12" i="9"/>
  <c r="AW12" i="9"/>
  <c r="AX12" i="9"/>
  <c r="AY12" i="9"/>
  <c r="AZ12" i="9"/>
  <c r="BA12" i="9"/>
  <c r="AT13" i="9"/>
  <c r="AU13" i="9"/>
  <c r="AV13" i="9"/>
  <c r="AT14" i="9"/>
  <c r="AU14" i="9"/>
  <c r="AV14" i="9"/>
  <c r="AW14" i="9"/>
  <c r="AX14" i="9"/>
  <c r="AY14" i="9"/>
  <c r="AZ14" i="9"/>
  <c r="BA14" i="9"/>
  <c r="AT15" i="9"/>
  <c r="AU15" i="9"/>
  <c r="AV15" i="9"/>
  <c r="AT16" i="9"/>
  <c r="AU16" i="9"/>
  <c r="AV16" i="9"/>
  <c r="AW16" i="9"/>
  <c r="AX16" i="9"/>
  <c r="AY16" i="9"/>
  <c r="AZ16" i="9"/>
  <c r="BA16" i="9"/>
  <c r="AT17" i="9"/>
  <c r="AU17" i="9"/>
  <c r="AV17" i="9"/>
  <c r="AW17" i="9"/>
  <c r="AX17" i="9"/>
  <c r="AY17" i="9"/>
  <c r="AZ17" i="9"/>
  <c r="BA17" i="9"/>
  <c r="AT18" i="9"/>
  <c r="AU18" i="9"/>
  <c r="AV18" i="9"/>
  <c r="AW18" i="9"/>
  <c r="AX18" i="9"/>
  <c r="AY18" i="9"/>
  <c r="AZ18" i="9"/>
  <c r="BA18" i="9"/>
  <c r="AT19" i="9"/>
  <c r="AU19" i="9"/>
  <c r="AV19" i="9"/>
  <c r="AW19" i="9"/>
  <c r="AX19" i="9"/>
  <c r="AY19" i="9"/>
  <c r="AZ19" i="9"/>
  <c r="BA19" i="9"/>
  <c r="AT20" i="9"/>
  <c r="AU20" i="9"/>
  <c r="AV20" i="9"/>
  <c r="AW20" i="9"/>
  <c r="AX20" i="9"/>
  <c r="AY20" i="9"/>
  <c r="AZ20" i="9"/>
  <c r="BA20" i="9"/>
  <c r="AT37" i="9"/>
  <c r="AU37" i="9"/>
  <c r="AV37" i="9"/>
  <c r="AW37" i="9"/>
  <c r="AX37" i="9"/>
  <c r="AY37" i="9"/>
  <c r="AZ37" i="9"/>
  <c r="BA37" i="9"/>
  <c r="AV8" i="9"/>
  <c r="AU8" i="9"/>
  <c r="AT8" i="9"/>
  <c r="AL9" i="9"/>
  <c r="AM9" i="9"/>
  <c r="AL10" i="9"/>
  <c r="AM10" i="9"/>
  <c r="AN10" i="9"/>
  <c r="AO10" i="9"/>
  <c r="AP10" i="9"/>
  <c r="AQ10" i="9"/>
  <c r="AR10" i="9"/>
  <c r="AL11" i="9"/>
  <c r="AM11" i="9"/>
  <c r="AN11" i="9"/>
  <c r="AO11" i="9"/>
  <c r="AP11" i="9"/>
  <c r="AQ11" i="9"/>
  <c r="AR11" i="9"/>
  <c r="AL12" i="9"/>
  <c r="AM12" i="9"/>
  <c r="AL13" i="9"/>
  <c r="AM13" i="9"/>
  <c r="AN13" i="9"/>
  <c r="AO13" i="9"/>
  <c r="AP13" i="9"/>
  <c r="AQ13" i="9"/>
  <c r="AR13" i="9"/>
  <c r="AL14" i="9"/>
  <c r="AM14" i="9"/>
  <c r="AL15" i="9"/>
  <c r="AM15" i="9"/>
  <c r="AN15" i="9"/>
  <c r="AO15" i="9"/>
  <c r="AP15" i="9"/>
  <c r="AQ15" i="9"/>
  <c r="AR15" i="9"/>
  <c r="AL16" i="9"/>
  <c r="AM16" i="9"/>
  <c r="AN16" i="9"/>
  <c r="AO16" i="9"/>
  <c r="AP16" i="9"/>
  <c r="AQ16" i="9"/>
  <c r="AR16" i="9"/>
  <c r="AL17" i="9"/>
  <c r="AM17" i="9"/>
  <c r="AN17" i="9"/>
  <c r="AO17" i="9"/>
  <c r="AP17" i="9"/>
  <c r="AQ17" i="9"/>
  <c r="AR17" i="9"/>
  <c r="AL18" i="9"/>
  <c r="AM18" i="9"/>
  <c r="AN18" i="9"/>
  <c r="AO18" i="9"/>
  <c r="AP18" i="9"/>
  <c r="AQ18" i="9"/>
  <c r="AR18" i="9"/>
  <c r="AL19" i="9"/>
  <c r="AM19" i="9"/>
  <c r="AN19" i="9"/>
  <c r="AO19" i="9"/>
  <c r="AP19" i="9"/>
  <c r="AQ19" i="9"/>
  <c r="AR19" i="9"/>
  <c r="AL20" i="9"/>
  <c r="AM20" i="9"/>
  <c r="AN20" i="9"/>
  <c r="AO20" i="9"/>
  <c r="AP20" i="9"/>
  <c r="AQ20" i="9"/>
  <c r="AR20" i="9"/>
  <c r="AL37" i="9"/>
  <c r="AM37" i="9"/>
  <c r="AN37" i="9"/>
  <c r="AO37" i="9"/>
  <c r="AP37" i="9"/>
  <c r="AQ37" i="9"/>
  <c r="AR37" i="9"/>
  <c r="AK9" i="9"/>
  <c r="AK10" i="9"/>
  <c r="AK11" i="9"/>
  <c r="AK12" i="9"/>
  <c r="AK13" i="9"/>
  <c r="AK14" i="9"/>
  <c r="AK15" i="9"/>
  <c r="AK16" i="9"/>
  <c r="AK17" i="9"/>
  <c r="AK18" i="9"/>
  <c r="AK19" i="9"/>
  <c r="AK20" i="9"/>
  <c r="AK37" i="9"/>
  <c r="AM8" i="9"/>
  <c r="AL8" i="9"/>
  <c r="AK8" i="9"/>
  <c r="J119" i="56"/>
  <c r="I119" i="56"/>
  <c r="H119" i="56"/>
  <c r="G119" i="56"/>
  <c r="F119" i="56"/>
  <c r="E119" i="56"/>
  <c r="D119" i="56"/>
  <c r="B15" i="20"/>
  <c r="B14" i="20"/>
  <c r="C39" i="56"/>
  <c r="B10" i="20"/>
  <c r="M98" i="56"/>
  <c r="M97" i="56"/>
  <c r="M96" i="56"/>
  <c r="M95" i="56"/>
  <c r="M94" i="56"/>
  <c r="M93" i="56"/>
  <c r="M92" i="56"/>
  <c r="M91" i="56"/>
  <c r="M90" i="56"/>
  <c r="M89" i="56"/>
  <c r="M88" i="56"/>
  <c r="M87" i="56"/>
  <c r="M86" i="56"/>
  <c r="G26" i="56"/>
  <c r="A33" i="60"/>
  <c r="B20" i="63"/>
  <c r="H20" i="63"/>
  <c r="A20" i="63"/>
  <c r="W21" i="9"/>
  <c r="W20" i="9"/>
  <c r="W19" i="9"/>
  <c r="W18" i="9"/>
  <c r="W17" i="9"/>
  <c r="W16" i="9"/>
  <c r="W15" i="9"/>
  <c r="W14" i="9"/>
  <c r="W13" i="9"/>
  <c r="W12" i="9"/>
  <c r="W11" i="9"/>
  <c r="W10" i="9"/>
  <c r="W9" i="9"/>
  <c r="W8" i="9"/>
  <c r="X21" i="9"/>
  <c r="X20" i="9"/>
  <c r="X19" i="9"/>
  <c r="X18" i="9"/>
  <c r="X17" i="9"/>
  <c r="X16" i="9"/>
  <c r="X14" i="9"/>
  <c r="X13" i="9"/>
  <c r="X12" i="9"/>
  <c r="X11" i="9"/>
  <c r="X10" i="9"/>
  <c r="X9" i="9"/>
  <c r="X8" i="9"/>
  <c r="M44" i="9"/>
  <c r="D9" i="57"/>
  <c r="Z21" i="9"/>
  <c r="AB21" i="9" s="1"/>
  <c r="Y21" i="9"/>
  <c r="AA21" i="9" s="1"/>
  <c r="Z20" i="9"/>
  <c r="AB20" i="9" s="1"/>
  <c r="Y20" i="9"/>
  <c r="AA20" i="9" s="1"/>
  <c r="Z19" i="9"/>
  <c r="AB19" i="9" s="1"/>
  <c r="Y19" i="9"/>
  <c r="AA19" i="9" s="1"/>
  <c r="Z18" i="9"/>
  <c r="Y18" i="9"/>
  <c r="Z17" i="9"/>
  <c r="AB17" i="9" s="1"/>
  <c r="Y17" i="9"/>
  <c r="AA17" i="9" s="1"/>
  <c r="Z16" i="9"/>
  <c r="Y16" i="9"/>
  <c r="AA16" i="9" s="1"/>
  <c r="Y15" i="9"/>
  <c r="Z14" i="9"/>
  <c r="AB14" i="9" s="1"/>
  <c r="Y14" i="9"/>
  <c r="Z13" i="9"/>
  <c r="Y13" i="9"/>
  <c r="Z12" i="9"/>
  <c r="Y12" i="9"/>
  <c r="Z11" i="9"/>
  <c r="Y11" i="9"/>
  <c r="AE11" i="9" s="1"/>
  <c r="Z10" i="9"/>
  <c r="Y10" i="9"/>
  <c r="Z9" i="9"/>
  <c r="Y9" i="9"/>
  <c r="Z8" i="9"/>
  <c r="Y8" i="9"/>
  <c r="AD8" i="9" s="1"/>
  <c r="D98" i="14"/>
  <c r="AO539" i="73" s="1"/>
  <c r="BJ9" i="27"/>
  <c r="BH13" i="27" s="1"/>
  <c r="BH14" i="27" s="1"/>
  <c r="BH15" i="27" s="1"/>
  <c r="BH16" i="27" s="1"/>
  <c r="BH17" i="27" s="1"/>
  <c r="BH18" i="27" s="1"/>
  <c r="BH19" i="27" s="1"/>
  <c r="BH20" i="27" s="1"/>
  <c r="BH21" i="27" s="1"/>
  <c r="BH22" i="27" s="1"/>
  <c r="BH23" i="27" s="1"/>
  <c r="BH24" i="27" s="1"/>
  <c r="BH25" i="27" s="1"/>
  <c r="BH26" i="27" s="1"/>
  <c r="BH27" i="27" s="1"/>
  <c r="BH28" i="27" s="1"/>
  <c r="BH29" i="27" s="1"/>
  <c r="BH30" i="27" s="1"/>
  <c r="BH31" i="27" s="1"/>
  <c r="BH32" i="27" s="1"/>
  <c r="BH33" i="27" s="1"/>
  <c r="BH34" i="27" s="1"/>
  <c r="BH35" i="27" s="1"/>
  <c r="BH36" i="27" s="1"/>
  <c r="BH37" i="27" s="1"/>
  <c r="BH38" i="27" s="1"/>
  <c r="BH39" i="27" s="1"/>
  <c r="BH40" i="27" s="1"/>
  <c r="BH41" i="27" s="1"/>
  <c r="BH42" i="27" s="1"/>
  <c r="BH43" i="27" s="1"/>
  <c r="BH44" i="27" s="1"/>
  <c r="BH45" i="27" s="1"/>
  <c r="BH46" i="27" s="1"/>
  <c r="BH47" i="27" s="1"/>
  <c r="BH48" i="27" s="1"/>
  <c r="BH49" i="27" s="1"/>
  <c r="BH50" i="27" s="1"/>
  <c r="BH51" i="27" s="1"/>
  <c r="BH52" i="27" s="1"/>
  <c r="BH53" i="27" s="1"/>
  <c r="BH54" i="27" s="1"/>
  <c r="BH55" i="27" s="1"/>
  <c r="BH56" i="27" s="1"/>
  <c r="BH57" i="27" s="1"/>
  <c r="BH58" i="27" s="1"/>
  <c r="BH59" i="27" s="1"/>
  <c r="BH60" i="27" s="1"/>
  <c r="BH61" i="27" s="1"/>
  <c r="BH62" i="27" s="1"/>
  <c r="BH63" i="27" s="1"/>
  <c r="BH64" i="27" s="1"/>
  <c r="BH65" i="27" s="1"/>
  <c r="BH66" i="27" s="1"/>
  <c r="BH67" i="27" s="1"/>
  <c r="BH68" i="27" s="1"/>
  <c r="BH69" i="27" s="1"/>
  <c r="BH70" i="27" s="1"/>
  <c r="BH71" i="27" s="1"/>
  <c r="BH72" i="27" s="1"/>
  <c r="BH73" i="27" s="1"/>
  <c r="BH74" i="27" s="1"/>
  <c r="BH75" i="27" s="1"/>
  <c r="BH76" i="27" s="1"/>
  <c r="BH77" i="27" s="1"/>
  <c r="BH78" i="27" s="1"/>
  <c r="BH79" i="27" s="1"/>
  <c r="BH80" i="27" s="1"/>
  <c r="BH81" i="27" s="1"/>
  <c r="BH82" i="27" s="1"/>
  <c r="BH83" i="27" s="1"/>
  <c r="BH84" i="27" s="1"/>
  <c r="BH85" i="27" s="1"/>
  <c r="BH86" i="27" s="1"/>
  <c r="BH87" i="27" s="1"/>
  <c r="BH88" i="27" s="1"/>
  <c r="BH89" i="27" s="1"/>
  <c r="BH90" i="27" s="1"/>
  <c r="BH91" i="27" s="1"/>
  <c r="BH92" i="27" s="1"/>
  <c r="BH93" i="27" s="1"/>
  <c r="BH94" i="27" s="1"/>
  <c r="BH95" i="27" s="1"/>
  <c r="BH96" i="27" s="1"/>
  <c r="BH97" i="27" s="1"/>
  <c r="BH98" i="27" s="1"/>
  <c r="BH99" i="27" s="1"/>
  <c r="BH100" i="27" s="1"/>
  <c r="BH101" i="27" s="1"/>
  <c r="BH102" i="27" s="1"/>
  <c r="BH103" i="27" s="1"/>
  <c r="BH104" i="27" s="1"/>
  <c r="BH105" i="27" s="1"/>
  <c r="BH106" i="27" s="1"/>
  <c r="BH107" i="27" s="1"/>
  <c r="BH108" i="27" s="1"/>
  <c r="BH109" i="27" s="1"/>
  <c r="BH110" i="27" s="1"/>
  <c r="BH111" i="27" s="1"/>
  <c r="BH112" i="27" s="1"/>
  <c r="BH113" i="27" s="1"/>
  <c r="BH114" i="27" s="1"/>
  <c r="BH115" i="27" s="1"/>
  <c r="BH116" i="27" s="1"/>
  <c r="BH117" i="27" s="1"/>
  <c r="BH118" i="27" s="1"/>
  <c r="BH119" i="27" s="1"/>
  <c r="BH120" i="27" s="1"/>
  <c r="BH121" i="27" s="1"/>
  <c r="BH122" i="27" s="1"/>
  <c r="BH123" i="27" s="1"/>
  <c r="BH124" i="27" s="1"/>
  <c r="BH125" i="27" s="1"/>
  <c r="BH126" i="27" s="1"/>
  <c r="BH127" i="27" s="1"/>
  <c r="BH128" i="27" s="1"/>
  <c r="BH129" i="27" s="1"/>
  <c r="BH130" i="27" s="1"/>
  <c r="BH131" i="27" s="1"/>
  <c r="BH132" i="27" s="1"/>
  <c r="BH133" i="27" s="1"/>
  <c r="BH134" i="27" s="1"/>
  <c r="BH135" i="27" s="1"/>
  <c r="BH136" i="27" s="1"/>
  <c r="BH137" i="27" s="1"/>
  <c r="BH138" i="27" s="1"/>
  <c r="BH139" i="27" s="1"/>
  <c r="BH140" i="27" s="1"/>
  <c r="BH141" i="27" s="1"/>
  <c r="BH142" i="27" s="1"/>
  <c r="BH143" i="27" s="1"/>
  <c r="BH144" i="27" s="1"/>
  <c r="BH145" i="27" s="1"/>
  <c r="BH146" i="27" s="1"/>
  <c r="BH147" i="27" s="1"/>
  <c r="BH148" i="27" s="1"/>
  <c r="BH149" i="27" s="1"/>
  <c r="BH150" i="27" s="1"/>
  <c r="BH151" i="27" s="1"/>
  <c r="BH152" i="27" s="1"/>
  <c r="BH153" i="27" s="1"/>
  <c r="BH154" i="27" s="1"/>
  <c r="BH155" i="27" s="1"/>
  <c r="BH156" i="27" s="1"/>
  <c r="BH157" i="27" s="1"/>
  <c r="BH158" i="27" s="1"/>
  <c r="BH159" i="27" s="1"/>
  <c r="BH160" i="27" s="1"/>
  <c r="BH161" i="27" s="1"/>
  <c r="BH162" i="27" s="1"/>
  <c r="BH163" i="27" s="1"/>
  <c r="BH164" i="27" s="1"/>
  <c r="BH165" i="27" s="1"/>
  <c r="BH166" i="27" s="1"/>
  <c r="BH167" i="27" s="1"/>
  <c r="BH168" i="27" s="1"/>
  <c r="BH169" i="27" s="1"/>
  <c r="BH170" i="27" s="1"/>
  <c r="BH171" i="27" s="1"/>
  <c r="BH172" i="27" s="1"/>
  <c r="BH173" i="27" s="1"/>
  <c r="BH174" i="27" s="1"/>
  <c r="BH175" i="27" s="1"/>
  <c r="BH176" i="27" s="1"/>
  <c r="BH177" i="27" s="1"/>
  <c r="BH178" i="27" s="1"/>
  <c r="BH179" i="27" s="1"/>
  <c r="BH180" i="27" s="1"/>
  <c r="BH181" i="27" s="1"/>
  <c r="BH182" i="27" s="1"/>
  <c r="BH183" i="27" s="1"/>
  <c r="BH184" i="27" s="1"/>
  <c r="BH185" i="27" s="1"/>
  <c r="BH186" i="27" s="1"/>
  <c r="BH187" i="27" s="1"/>
  <c r="BH188" i="27" s="1"/>
  <c r="BH189" i="27" s="1"/>
  <c r="BH190" i="27" s="1"/>
  <c r="BH191" i="27" s="1"/>
  <c r="BH192" i="27" s="1"/>
  <c r="BH193" i="27" s="1"/>
  <c r="BH194" i="27" s="1"/>
  <c r="BH195" i="27" s="1"/>
  <c r="BH196" i="27" s="1"/>
  <c r="BH197" i="27" s="1"/>
  <c r="BH198" i="27" s="1"/>
  <c r="BH199" i="27" s="1"/>
  <c r="BH200" i="27" s="1"/>
  <c r="BH201" i="27" s="1"/>
  <c r="BH202" i="27" s="1"/>
  <c r="BH203" i="27" s="1"/>
  <c r="BH204" i="27" s="1"/>
  <c r="BH205" i="27" s="1"/>
  <c r="BH206" i="27" s="1"/>
  <c r="BH207" i="27" s="1"/>
  <c r="BH208" i="27" s="1"/>
  <c r="BH209" i="27" s="1"/>
  <c r="BH210" i="27" s="1"/>
  <c r="BH211" i="27" s="1"/>
  <c r="BH212" i="27" s="1"/>
  <c r="BH213" i="27" s="1"/>
  <c r="BH214" i="27" s="1"/>
  <c r="BH215" i="27" s="1"/>
  <c r="BH216" i="27" s="1"/>
  <c r="BH217" i="27" s="1"/>
  <c r="BH218" i="27" s="1"/>
  <c r="BH219" i="27" s="1"/>
  <c r="BH220" i="27" s="1"/>
  <c r="BH221" i="27" s="1"/>
  <c r="BH222" i="27" s="1"/>
  <c r="BH223" i="27" s="1"/>
  <c r="BH224" i="27" s="1"/>
  <c r="BH225" i="27" s="1"/>
  <c r="BH226" i="27" s="1"/>
  <c r="BH227" i="27" s="1"/>
  <c r="BH228" i="27" s="1"/>
  <c r="BH229" i="27" s="1"/>
  <c r="BH230" i="27" s="1"/>
  <c r="BH231" i="27" s="1"/>
  <c r="BH232" i="27" s="1"/>
  <c r="BH233" i="27" s="1"/>
  <c r="BH234" i="27" s="1"/>
  <c r="BH235" i="27" s="1"/>
  <c r="BH236" i="27" s="1"/>
  <c r="BH237" i="27" s="1"/>
  <c r="BH238" i="27" s="1"/>
  <c r="BH239" i="27" s="1"/>
  <c r="BH240" i="27" s="1"/>
  <c r="BH241" i="27" s="1"/>
  <c r="BH242" i="27" s="1"/>
  <c r="BH243" i="27" s="1"/>
  <c r="BH244" i="27" s="1"/>
  <c r="BH245" i="27" s="1"/>
  <c r="BH246" i="27" s="1"/>
  <c r="BH247" i="27" s="1"/>
  <c r="BH248" i="27" s="1"/>
  <c r="BH249" i="27" s="1"/>
  <c r="BH250" i="27" s="1"/>
  <c r="BH251" i="27" s="1"/>
  <c r="BH252" i="27" s="1"/>
  <c r="BH253" i="27" s="1"/>
  <c r="BH254" i="27" s="1"/>
  <c r="BH255" i="27" s="1"/>
  <c r="BH256" i="27" s="1"/>
  <c r="BH257" i="27" s="1"/>
  <c r="BH258" i="27" s="1"/>
  <c r="BH259" i="27" s="1"/>
  <c r="BH260" i="27" s="1"/>
  <c r="BH261" i="27" s="1"/>
  <c r="BH262" i="27" s="1"/>
  <c r="BH263" i="27" s="1"/>
  <c r="BH264" i="27" s="1"/>
  <c r="BH265" i="27" s="1"/>
  <c r="BH266" i="27" s="1"/>
  <c r="BH267" i="27" s="1"/>
  <c r="BH268" i="27" s="1"/>
  <c r="BH269" i="27" s="1"/>
  <c r="BH270" i="27" s="1"/>
  <c r="BH271" i="27" s="1"/>
  <c r="BH272" i="27" s="1"/>
  <c r="BH273" i="27" s="1"/>
  <c r="BH274" i="27" s="1"/>
  <c r="BH275" i="27" s="1"/>
  <c r="BH276" i="27" s="1"/>
  <c r="BH277" i="27" s="1"/>
  <c r="BH278" i="27" s="1"/>
  <c r="BH279" i="27" s="1"/>
  <c r="BH280" i="27" s="1"/>
  <c r="BH281" i="27" s="1"/>
  <c r="BH282" i="27" s="1"/>
  <c r="BH283" i="27" s="1"/>
  <c r="BH284" i="27" s="1"/>
  <c r="BH285" i="27" s="1"/>
  <c r="BH286" i="27" s="1"/>
  <c r="BH287" i="27" s="1"/>
  <c r="BH288" i="27" s="1"/>
  <c r="BH289" i="27" s="1"/>
  <c r="BH290" i="27" s="1"/>
  <c r="BH291" i="27" s="1"/>
  <c r="BH292" i="27" s="1"/>
  <c r="BH293" i="27" s="1"/>
  <c r="BH294" i="27" s="1"/>
  <c r="BH295" i="27" s="1"/>
  <c r="BH296" i="27" s="1"/>
  <c r="BH297" i="27" s="1"/>
  <c r="BH298" i="27" s="1"/>
  <c r="BH299" i="27" s="1"/>
  <c r="BH300" i="27" s="1"/>
  <c r="BH301" i="27" s="1"/>
  <c r="BH302" i="27" s="1"/>
  <c r="BH303" i="27" s="1"/>
  <c r="BH304" i="27" s="1"/>
  <c r="BH305" i="27" s="1"/>
  <c r="BH306" i="27" s="1"/>
  <c r="BH307" i="27" s="1"/>
  <c r="BH308" i="27" s="1"/>
  <c r="BH309" i="27" s="1"/>
  <c r="BH310" i="27" s="1"/>
  <c r="BH311" i="27" s="1"/>
  <c r="BH312" i="27" s="1"/>
  <c r="BH313" i="27" s="1"/>
  <c r="BH314" i="27" s="1"/>
  <c r="BH315" i="27" s="1"/>
  <c r="BH316" i="27" s="1"/>
  <c r="BH317" i="27" s="1"/>
  <c r="BH318" i="27" s="1"/>
  <c r="BH319" i="27" s="1"/>
  <c r="BH320" i="27" s="1"/>
  <c r="BH321" i="27" s="1"/>
  <c r="BH322" i="27" s="1"/>
  <c r="BH323" i="27" s="1"/>
  <c r="BH324" i="27" s="1"/>
  <c r="BH325" i="27" s="1"/>
  <c r="BH326" i="27" s="1"/>
  <c r="BH327" i="27" s="1"/>
  <c r="BH328" i="27" s="1"/>
  <c r="BH329" i="27" s="1"/>
  <c r="BH330" i="27" s="1"/>
  <c r="BH331" i="27" s="1"/>
  <c r="BH332" i="27" s="1"/>
  <c r="BH333" i="27" s="1"/>
  <c r="BH334" i="27" s="1"/>
  <c r="BH335" i="27" s="1"/>
  <c r="BH336" i="27" s="1"/>
  <c r="BH337" i="27" s="1"/>
  <c r="BH338" i="27" s="1"/>
  <c r="BH339" i="27" s="1"/>
  <c r="BH340" i="27" s="1"/>
  <c r="BH341" i="27" s="1"/>
  <c r="BH342" i="27" s="1"/>
  <c r="BH343" i="27" s="1"/>
  <c r="BH344" i="27" s="1"/>
  <c r="BH345" i="27" s="1"/>
  <c r="BH346" i="27" s="1"/>
  <c r="BH347" i="27" s="1"/>
  <c r="BH348" i="27" s="1"/>
  <c r="BH349" i="27" s="1"/>
  <c r="BH350" i="27" s="1"/>
  <c r="BH351" i="27" s="1"/>
  <c r="BH352" i="27" s="1"/>
  <c r="BH353" i="27" s="1"/>
  <c r="BH354" i="27" s="1"/>
  <c r="BH355" i="27" s="1"/>
  <c r="BH356" i="27" s="1"/>
  <c r="BH357" i="27" s="1"/>
  <c r="BH358" i="27" s="1"/>
  <c r="BH359" i="27" s="1"/>
  <c r="BH360" i="27" s="1"/>
  <c r="BH361" i="27" s="1"/>
  <c r="BH362" i="27" s="1"/>
  <c r="BH363" i="27" s="1"/>
  <c r="BH364" i="27" s="1"/>
  <c r="BH365" i="27" s="1"/>
  <c r="BH366" i="27" s="1"/>
  <c r="BH367" i="27" s="1"/>
  <c r="BH368" i="27" s="1"/>
  <c r="BH369" i="27" s="1"/>
  <c r="BH370" i="27" s="1"/>
  <c r="BH371" i="27" s="1"/>
  <c r="BH372" i="27" s="1"/>
  <c r="BH373" i="27" s="1"/>
  <c r="BH374" i="27" s="1"/>
  <c r="BH375" i="27" s="1"/>
  <c r="BH376" i="27" s="1"/>
  <c r="BH377" i="27" s="1"/>
  <c r="BH378" i="27" s="1"/>
  <c r="BH379" i="27" s="1"/>
  <c r="BH380" i="27" s="1"/>
  <c r="BH381" i="27" s="1"/>
  <c r="BH382" i="27" s="1"/>
  <c r="BH383" i="27" s="1"/>
  <c r="BH384" i="27" s="1"/>
  <c r="BH385" i="27" s="1"/>
  <c r="BH386" i="27" s="1"/>
  <c r="BH387" i="27" s="1"/>
  <c r="BH388" i="27" s="1"/>
  <c r="BH389" i="27" s="1"/>
  <c r="BH390" i="27" s="1"/>
  <c r="BH391" i="27" s="1"/>
  <c r="BH392" i="27" s="1"/>
  <c r="BH393" i="27" s="1"/>
  <c r="BH394" i="27" s="1"/>
  <c r="BH395" i="27" s="1"/>
  <c r="BH396" i="27" s="1"/>
  <c r="BH397" i="27" s="1"/>
  <c r="BH398" i="27" s="1"/>
  <c r="BH399" i="27" s="1"/>
  <c r="BH400" i="27" s="1"/>
  <c r="BH401" i="27" s="1"/>
  <c r="BH402" i="27" s="1"/>
  <c r="BH403" i="27" s="1"/>
  <c r="BH404" i="27" s="1"/>
  <c r="BH405" i="27" s="1"/>
  <c r="BH406" i="27" s="1"/>
  <c r="BH407" i="27" s="1"/>
  <c r="BH408" i="27" s="1"/>
  <c r="BH409" i="27" s="1"/>
  <c r="BH410" i="27" s="1"/>
  <c r="BH411" i="27" s="1"/>
  <c r="BH412" i="27" s="1"/>
  <c r="BH413" i="27" s="1"/>
  <c r="BH414" i="27" s="1"/>
  <c r="BH415" i="27" s="1"/>
  <c r="BH416" i="27" s="1"/>
  <c r="BH417" i="27" s="1"/>
  <c r="BH418" i="27" s="1"/>
  <c r="BH419" i="27" s="1"/>
  <c r="BH420" i="27" s="1"/>
  <c r="BH421" i="27" s="1"/>
  <c r="BH422" i="27" s="1"/>
  <c r="BH423" i="27" s="1"/>
  <c r="BH424" i="27" s="1"/>
  <c r="BH425" i="27" s="1"/>
  <c r="BH426" i="27" s="1"/>
  <c r="BH427" i="27" s="1"/>
  <c r="BH428" i="27" s="1"/>
  <c r="BH429" i="27" s="1"/>
  <c r="BH430" i="27" s="1"/>
  <c r="BH431" i="27" s="1"/>
  <c r="BH432" i="27" s="1"/>
  <c r="BH433" i="27" s="1"/>
  <c r="BH434" i="27" s="1"/>
  <c r="BH435" i="27" s="1"/>
  <c r="BH436" i="27" s="1"/>
  <c r="BH437" i="27" s="1"/>
  <c r="BH438" i="27" s="1"/>
  <c r="BH439" i="27" s="1"/>
  <c r="BH440" i="27" s="1"/>
  <c r="BH441" i="27" s="1"/>
  <c r="BH442" i="27" s="1"/>
  <c r="BH443" i="27" s="1"/>
  <c r="BH444" i="27" s="1"/>
  <c r="BH445" i="27" s="1"/>
  <c r="BH446" i="27" s="1"/>
  <c r="BH447" i="27" s="1"/>
  <c r="BH448" i="27" s="1"/>
  <c r="BH449" i="27" s="1"/>
  <c r="BH450" i="27" s="1"/>
  <c r="BH451" i="27" s="1"/>
  <c r="BH452" i="27" s="1"/>
  <c r="BH453" i="27" s="1"/>
  <c r="BH454" i="27" s="1"/>
  <c r="BH455" i="27" s="1"/>
  <c r="BH456" i="27" s="1"/>
  <c r="BH457" i="27" s="1"/>
  <c r="BH458" i="27" s="1"/>
  <c r="BH459" i="27" s="1"/>
  <c r="BH460" i="27" s="1"/>
  <c r="BH461" i="27" s="1"/>
  <c r="BH462" i="27" s="1"/>
  <c r="BH463" i="27" s="1"/>
  <c r="BH464" i="27" s="1"/>
  <c r="BH465" i="27" s="1"/>
  <c r="BH466" i="27" s="1"/>
  <c r="BH467" i="27" s="1"/>
  <c r="BH468" i="27" s="1"/>
  <c r="BH469" i="27" s="1"/>
  <c r="BH470" i="27" s="1"/>
  <c r="BH471" i="27" s="1"/>
  <c r="BH472" i="27" s="1"/>
  <c r="BH473" i="27" s="1"/>
  <c r="BH474" i="27" s="1"/>
  <c r="BH475" i="27" s="1"/>
  <c r="BH476" i="27" s="1"/>
  <c r="BH477" i="27" s="1"/>
  <c r="BH478" i="27" s="1"/>
  <c r="BH479" i="27" s="1"/>
  <c r="BH480" i="27" s="1"/>
  <c r="BH481" i="27" s="1"/>
  <c r="BH482" i="27" s="1"/>
  <c r="BH483" i="27" s="1"/>
  <c r="BH484" i="27" s="1"/>
  <c r="BH485" i="27" s="1"/>
  <c r="BH486" i="27" s="1"/>
  <c r="BH487" i="27" s="1"/>
  <c r="BH488" i="27" s="1"/>
  <c r="BH489" i="27" s="1"/>
  <c r="BH490" i="27" s="1"/>
  <c r="BH491" i="27" s="1"/>
  <c r="BH492" i="27" s="1"/>
  <c r="BB9" i="27"/>
  <c r="AZ13" i="27" s="1"/>
  <c r="AZ14" i="27" s="1"/>
  <c r="AZ15" i="27" s="1"/>
  <c r="AZ16" i="27" s="1"/>
  <c r="AZ17" i="27" s="1"/>
  <c r="AZ18" i="27" s="1"/>
  <c r="AZ19" i="27" s="1"/>
  <c r="AZ20" i="27" s="1"/>
  <c r="AZ21" i="27" s="1"/>
  <c r="AZ22" i="27" s="1"/>
  <c r="AZ23" i="27" s="1"/>
  <c r="AZ24" i="27" s="1"/>
  <c r="AZ25" i="27" s="1"/>
  <c r="AZ26" i="27" s="1"/>
  <c r="AZ27" i="27" s="1"/>
  <c r="AZ28" i="27" s="1"/>
  <c r="AZ29" i="27" s="1"/>
  <c r="AZ30" i="27" s="1"/>
  <c r="AZ31" i="27" s="1"/>
  <c r="AZ32" i="27" s="1"/>
  <c r="AZ33" i="27" s="1"/>
  <c r="AZ34" i="27" s="1"/>
  <c r="AZ35" i="27" s="1"/>
  <c r="AZ36" i="27" s="1"/>
  <c r="AZ37" i="27" s="1"/>
  <c r="AZ38" i="27" s="1"/>
  <c r="AZ39" i="27" s="1"/>
  <c r="AZ40" i="27" s="1"/>
  <c r="AZ41" i="27" s="1"/>
  <c r="AZ42" i="27" s="1"/>
  <c r="AZ43" i="27" s="1"/>
  <c r="AZ44" i="27" s="1"/>
  <c r="AZ45" i="27" s="1"/>
  <c r="AZ46" i="27" s="1"/>
  <c r="AZ47" i="27" s="1"/>
  <c r="AZ48" i="27" s="1"/>
  <c r="AZ49" i="27" s="1"/>
  <c r="AZ50" i="27" s="1"/>
  <c r="AZ51" i="27" s="1"/>
  <c r="AZ52" i="27" s="1"/>
  <c r="AZ53" i="27" s="1"/>
  <c r="AZ54" i="27" s="1"/>
  <c r="AZ55" i="27" s="1"/>
  <c r="AZ56" i="27" s="1"/>
  <c r="AZ57" i="27" s="1"/>
  <c r="AZ58" i="27" s="1"/>
  <c r="AZ59" i="27" s="1"/>
  <c r="AZ60" i="27" s="1"/>
  <c r="AZ61" i="27" s="1"/>
  <c r="AZ62" i="27" s="1"/>
  <c r="AZ63" i="27" s="1"/>
  <c r="AZ64" i="27" s="1"/>
  <c r="AZ65" i="27" s="1"/>
  <c r="AZ66" i="27" s="1"/>
  <c r="AZ67" i="27" s="1"/>
  <c r="AZ68" i="27" s="1"/>
  <c r="AZ69" i="27" s="1"/>
  <c r="AZ70" i="27" s="1"/>
  <c r="AZ71" i="27" s="1"/>
  <c r="AZ72" i="27" s="1"/>
  <c r="AZ73" i="27" s="1"/>
  <c r="AZ74" i="27" s="1"/>
  <c r="AZ75" i="27" s="1"/>
  <c r="AZ76" i="27" s="1"/>
  <c r="AZ77" i="27" s="1"/>
  <c r="AZ78" i="27" s="1"/>
  <c r="AZ79" i="27" s="1"/>
  <c r="AZ80" i="27" s="1"/>
  <c r="AZ81" i="27" s="1"/>
  <c r="AZ82" i="27" s="1"/>
  <c r="AZ83" i="27" s="1"/>
  <c r="AZ84" i="27" s="1"/>
  <c r="AZ85" i="27" s="1"/>
  <c r="AZ86" i="27" s="1"/>
  <c r="AZ87" i="27" s="1"/>
  <c r="AZ88" i="27" s="1"/>
  <c r="AZ89" i="27" s="1"/>
  <c r="AZ90" i="27" s="1"/>
  <c r="AZ91" i="27" s="1"/>
  <c r="AZ92" i="27" s="1"/>
  <c r="AZ93" i="27" s="1"/>
  <c r="AZ94" i="27" s="1"/>
  <c r="AZ95" i="27" s="1"/>
  <c r="AZ96" i="27" s="1"/>
  <c r="AZ97" i="27" s="1"/>
  <c r="AZ98" i="27" s="1"/>
  <c r="AZ99" i="27" s="1"/>
  <c r="AZ100" i="27" s="1"/>
  <c r="AZ101" i="27" s="1"/>
  <c r="AZ102" i="27" s="1"/>
  <c r="AZ103" i="27" s="1"/>
  <c r="AZ104" i="27" s="1"/>
  <c r="AZ105" i="27" s="1"/>
  <c r="AZ106" i="27" s="1"/>
  <c r="AZ107" i="27" s="1"/>
  <c r="AZ108" i="27" s="1"/>
  <c r="AZ109" i="27" s="1"/>
  <c r="AZ110" i="27" s="1"/>
  <c r="AZ111" i="27" s="1"/>
  <c r="AZ112" i="27" s="1"/>
  <c r="AZ113" i="27" s="1"/>
  <c r="AZ114" i="27" s="1"/>
  <c r="AZ115" i="27" s="1"/>
  <c r="AZ116" i="27" s="1"/>
  <c r="AZ117" i="27" s="1"/>
  <c r="AZ118" i="27" s="1"/>
  <c r="AZ119" i="27" s="1"/>
  <c r="AZ120" i="27" s="1"/>
  <c r="AZ121" i="27" s="1"/>
  <c r="AZ122" i="27" s="1"/>
  <c r="AZ123" i="27" s="1"/>
  <c r="AZ124" i="27" s="1"/>
  <c r="AZ125" i="27" s="1"/>
  <c r="AZ126" i="27" s="1"/>
  <c r="AZ127" i="27" s="1"/>
  <c r="AZ128" i="27" s="1"/>
  <c r="AZ129" i="27" s="1"/>
  <c r="AZ130" i="27" s="1"/>
  <c r="AZ131" i="27" s="1"/>
  <c r="AZ132" i="27" s="1"/>
  <c r="AZ133" i="27" s="1"/>
  <c r="AZ134" i="27" s="1"/>
  <c r="AZ135" i="27" s="1"/>
  <c r="AZ136" i="27" s="1"/>
  <c r="AZ137" i="27" s="1"/>
  <c r="AZ138" i="27" s="1"/>
  <c r="AZ139" i="27" s="1"/>
  <c r="AZ140" i="27" s="1"/>
  <c r="AZ141" i="27" s="1"/>
  <c r="AZ142" i="27" s="1"/>
  <c r="AZ143" i="27" s="1"/>
  <c r="AZ144" i="27" s="1"/>
  <c r="AZ145" i="27" s="1"/>
  <c r="AZ146" i="27" s="1"/>
  <c r="AZ147" i="27" s="1"/>
  <c r="AZ148" i="27" s="1"/>
  <c r="AZ149" i="27" s="1"/>
  <c r="AZ150" i="27" s="1"/>
  <c r="AZ151" i="27" s="1"/>
  <c r="AZ152" i="27" s="1"/>
  <c r="AZ153" i="27" s="1"/>
  <c r="AZ154" i="27" s="1"/>
  <c r="AZ155" i="27" s="1"/>
  <c r="AZ156" i="27" s="1"/>
  <c r="AZ157" i="27" s="1"/>
  <c r="AZ158" i="27" s="1"/>
  <c r="AZ159" i="27" s="1"/>
  <c r="AZ160" i="27" s="1"/>
  <c r="AZ161" i="27" s="1"/>
  <c r="AZ162" i="27" s="1"/>
  <c r="AZ163" i="27" s="1"/>
  <c r="AZ164" i="27" s="1"/>
  <c r="AZ165" i="27" s="1"/>
  <c r="AZ166" i="27" s="1"/>
  <c r="AZ167" i="27" s="1"/>
  <c r="AZ168" i="27" s="1"/>
  <c r="AZ169" i="27" s="1"/>
  <c r="AZ170" i="27" s="1"/>
  <c r="AZ171" i="27" s="1"/>
  <c r="AZ172" i="27" s="1"/>
  <c r="AZ173" i="27" s="1"/>
  <c r="AZ174" i="27" s="1"/>
  <c r="AZ175" i="27" s="1"/>
  <c r="AZ176" i="27" s="1"/>
  <c r="AZ177" i="27" s="1"/>
  <c r="AZ178" i="27" s="1"/>
  <c r="AZ179" i="27" s="1"/>
  <c r="AZ180" i="27" s="1"/>
  <c r="AZ181" i="27" s="1"/>
  <c r="AZ182" i="27" s="1"/>
  <c r="AZ183" i="27" s="1"/>
  <c r="AZ184" i="27" s="1"/>
  <c r="AZ185" i="27" s="1"/>
  <c r="AZ186" i="27" s="1"/>
  <c r="AZ187" i="27" s="1"/>
  <c r="AZ188" i="27" s="1"/>
  <c r="AZ189" i="27" s="1"/>
  <c r="AZ190" i="27" s="1"/>
  <c r="AZ191" i="27" s="1"/>
  <c r="AZ192" i="27" s="1"/>
  <c r="AZ193" i="27" s="1"/>
  <c r="AZ194" i="27" s="1"/>
  <c r="AZ195" i="27" s="1"/>
  <c r="AZ196" i="27" s="1"/>
  <c r="AZ197" i="27" s="1"/>
  <c r="AZ198" i="27" s="1"/>
  <c r="AZ199" i="27" s="1"/>
  <c r="AZ200" i="27" s="1"/>
  <c r="AZ201" i="27" s="1"/>
  <c r="AZ202" i="27" s="1"/>
  <c r="AZ203" i="27" s="1"/>
  <c r="AZ204" i="27" s="1"/>
  <c r="AZ205" i="27" s="1"/>
  <c r="AZ206" i="27" s="1"/>
  <c r="AZ207" i="27" s="1"/>
  <c r="AZ208" i="27" s="1"/>
  <c r="AZ209" i="27" s="1"/>
  <c r="AZ210" i="27" s="1"/>
  <c r="AZ211" i="27" s="1"/>
  <c r="AZ212" i="27" s="1"/>
  <c r="AZ213" i="27" s="1"/>
  <c r="AZ214" i="27" s="1"/>
  <c r="AZ215" i="27" s="1"/>
  <c r="AZ216" i="27" s="1"/>
  <c r="AZ217" i="27" s="1"/>
  <c r="AZ218" i="27" s="1"/>
  <c r="AZ219" i="27" s="1"/>
  <c r="AZ220" i="27" s="1"/>
  <c r="AZ221" i="27" s="1"/>
  <c r="AZ222" i="27" s="1"/>
  <c r="AZ223" i="27" s="1"/>
  <c r="AZ224" i="27" s="1"/>
  <c r="AZ225" i="27" s="1"/>
  <c r="AZ226" i="27" s="1"/>
  <c r="AZ227" i="27" s="1"/>
  <c r="AZ228" i="27" s="1"/>
  <c r="AZ229" i="27" s="1"/>
  <c r="AZ230" i="27" s="1"/>
  <c r="AZ231" i="27" s="1"/>
  <c r="AZ232" i="27" s="1"/>
  <c r="AZ233" i="27" s="1"/>
  <c r="AZ234" i="27" s="1"/>
  <c r="AZ235" i="27" s="1"/>
  <c r="AZ236" i="27" s="1"/>
  <c r="AZ237" i="27" s="1"/>
  <c r="AZ238" i="27" s="1"/>
  <c r="AZ239" i="27" s="1"/>
  <c r="AZ240" i="27" s="1"/>
  <c r="AZ241" i="27" s="1"/>
  <c r="AZ242" i="27" s="1"/>
  <c r="AZ243" i="27" s="1"/>
  <c r="AZ244" i="27" s="1"/>
  <c r="AZ245" i="27" s="1"/>
  <c r="AZ246" i="27" s="1"/>
  <c r="AZ247" i="27" s="1"/>
  <c r="AZ248" i="27" s="1"/>
  <c r="AZ249" i="27" s="1"/>
  <c r="AZ250" i="27" s="1"/>
  <c r="AZ251" i="27" s="1"/>
  <c r="AZ252" i="27" s="1"/>
  <c r="AZ253" i="27" s="1"/>
  <c r="AZ254" i="27" s="1"/>
  <c r="AZ255" i="27" s="1"/>
  <c r="AZ256" i="27" s="1"/>
  <c r="AZ257" i="27" s="1"/>
  <c r="AZ258" i="27" s="1"/>
  <c r="AZ259" i="27" s="1"/>
  <c r="AZ260" i="27" s="1"/>
  <c r="AZ261" i="27" s="1"/>
  <c r="AZ262" i="27" s="1"/>
  <c r="AZ263" i="27" s="1"/>
  <c r="AZ264" i="27" s="1"/>
  <c r="AZ265" i="27" s="1"/>
  <c r="AZ266" i="27" s="1"/>
  <c r="AZ267" i="27" s="1"/>
  <c r="AZ268" i="27" s="1"/>
  <c r="AZ269" i="27" s="1"/>
  <c r="AZ270" i="27" s="1"/>
  <c r="AZ271" i="27" s="1"/>
  <c r="AZ272" i="27" s="1"/>
  <c r="AZ273" i="27" s="1"/>
  <c r="AZ274" i="27" s="1"/>
  <c r="AZ275" i="27" s="1"/>
  <c r="AZ276" i="27" s="1"/>
  <c r="AZ277" i="27" s="1"/>
  <c r="AZ278" i="27" s="1"/>
  <c r="AZ279" i="27" s="1"/>
  <c r="AZ280" i="27" s="1"/>
  <c r="AZ281" i="27" s="1"/>
  <c r="AZ282" i="27" s="1"/>
  <c r="AZ283" i="27" s="1"/>
  <c r="AZ284" i="27" s="1"/>
  <c r="AZ285" i="27" s="1"/>
  <c r="AZ286" i="27" s="1"/>
  <c r="AZ287" i="27" s="1"/>
  <c r="AZ288" i="27" s="1"/>
  <c r="AZ289" i="27" s="1"/>
  <c r="AZ290" i="27" s="1"/>
  <c r="AZ291" i="27" s="1"/>
  <c r="AZ292" i="27" s="1"/>
  <c r="AZ293" i="27" s="1"/>
  <c r="AZ294" i="27" s="1"/>
  <c r="AZ295" i="27" s="1"/>
  <c r="AZ296" i="27" s="1"/>
  <c r="AZ297" i="27" s="1"/>
  <c r="AZ298" i="27" s="1"/>
  <c r="AZ299" i="27" s="1"/>
  <c r="AZ300" i="27" s="1"/>
  <c r="AZ301" i="27" s="1"/>
  <c r="AZ302" i="27" s="1"/>
  <c r="AZ303" i="27" s="1"/>
  <c r="AZ304" i="27" s="1"/>
  <c r="AZ305" i="27" s="1"/>
  <c r="AZ306" i="27" s="1"/>
  <c r="AZ307" i="27" s="1"/>
  <c r="AZ308" i="27" s="1"/>
  <c r="AZ309" i="27" s="1"/>
  <c r="AZ310" i="27" s="1"/>
  <c r="AZ311" i="27" s="1"/>
  <c r="AZ312" i="27" s="1"/>
  <c r="AZ313" i="27" s="1"/>
  <c r="AZ314" i="27" s="1"/>
  <c r="AZ315" i="27" s="1"/>
  <c r="AZ316" i="27" s="1"/>
  <c r="AZ317" i="27" s="1"/>
  <c r="AZ318" i="27" s="1"/>
  <c r="AZ319" i="27" s="1"/>
  <c r="AZ320" i="27" s="1"/>
  <c r="AZ321" i="27" s="1"/>
  <c r="AZ322" i="27" s="1"/>
  <c r="AZ323" i="27" s="1"/>
  <c r="AZ324" i="27" s="1"/>
  <c r="AZ325" i="27" s="1"/>
  <c r="AZ326" i="27" s="1"/>
  <c r="AZ327" i="27" s="1"/>
  <c r="AZ328" i="27" s="1"/>
  <c r="AZ329" i="27" s="1"/>
  <c r="AZ330" i="27" s="1"/>
  <c r="AZ331" i="27" s="1"/>
  <c r="AZ332" i="27" s="1"/>
  <c r="AZ333" i="27" s="1"/>
  <c r="AZ334" i="27" s="1"/>
  <c r="AZ335" i="27" s="1"/>
  <c r="AZ336" i="27" s="1"/>
  <c r="AZ337" i="27" s="1"/>
  <c r="AZ338" i="27" s="1"/>
  <c r="AZ339" i="27" s="1"/>
  <c r="AZ340" i="27" s="1"/>
  <c r="AZ341" i="27" s="1"/>
  <c r="AZ342" i="27" s="1"/>
  <c r="AZ343" i="27" s="1"/>
  <c r="AZ344" i="27" s="1"/>
  <c r="AZ345" i="27" s="1"/>
  <c r="AZ346" i="27" s="1"/>
  <c r="AZ347" i="27" s="1"/>
  <c r="AZ348" i="27" s="1"/>
  <c r="AZ349" i="27" s="1"/>
  <c r="AZ350" i="27" s="1"/>
  <c r="AZ351" i="27" s="1"/>
  <c r="AZ352" i="27" s="1"/>
  <c r="AZ353" i="27" s="1"/>
  <c r="AZ354" i="27" s="1"/>
  <c r="AZ355" i="27" s="1"/>
  <c r="AZ356" i="27" s="1"/>
  <c r="AZ357" i="27" s="1"/>
  <c r="AZ358" i="27" s="1"/>
  <c r="AZ359" i="27" s="1"/>
  <c r="AZ360" i="27" s="1"/>
  <c r="AZ361" i="27" s="1"/>
  <c r="AZ362" i="27" s="1"/>
  <c r="AZ363" i="27" s="1"/>
  <c r="AZ364" i="27" s="1"/>
  <c r="AZ365" i="27" s="1"/>
  <c r="AZ366" i="27" s="1"/>
  <c r="AZ367" i="27" s="1"/>
  <c r="AZ368" i="27" s="1"/>
  <c r="AZ369" i="27" s="1"/>
  <c r="AZ370" i="27" s="1"/>
  <c r="AZ371" i="27" s="1"/>
  <c r="AZ372" i="27" s="1"/>
  <c r="AZ373" i="27" s="1"/>
  <c r="AZ374" i="27" s="1"/>
  <c r="AZ375" i="27" s="1"/>
  <c r="AZ376" i="27" s="1"/>
  <c r="AZ377" i="27" s="1"/>
  <c r="AZ378" i="27" s="1"/>
  <c r="AZ379" i="27" s="1"/>
  <c r="AZ380" i="27" s="1"/>
  <c r="AZ381" i="27" s="1"/>
  <c r="AZ382" i="27" s="1"/>
  <c r="AZ383" i="27" s="1"/>
  <c r="AZ384" i="27" s="1"/>
  <c r="AZ385" i="27" s="1"/>
  <c r="AZ386" i="27" s="1"/>
  <c r="AZ387" i="27" s="1"/>
  <c r="AZ388" i="27" s="1"/>
  <c r="AZ389" i="27" s="1"/>
  <c r="AZ390" i="27" s="1"/>
  <c r="AZ391" i="27" s="1"/>
  <c r="AZ392" i="27" s="1"/>
  <c r="AZ393" i="27" s="1"/>
  <c r="AZ394" i="27" s="1"/>
  <c r="AZ395" i="27" s="1"/>
  <c r="AZ396" i="27" s="1"/>
  <c r="AZ397" i="27" s="1"/>
  <c r="AZ398" i="27" s="1"/>
  <c r="AZ399" i="27" s="1"/>
  <c r="AZ400" i="27" s="1"/>
  <c r="AZ401" i="27" s="1"/>
  <c r="AZ402" i="27" s="1"/>
  <c r="AZ403" i="27" s="1"/>
  <c r="AZ404" i="27" s="1"/>
  <c r="AZ405" i="27" s="1"/>
  <c r="AZ406" i="27" s="1"/>
  <c r="AZ407" i="27" s="1"/>
  <c r="AZ408" i="27" s="1"/>
  <c r="AZ409" i="27" s="1"/>
  <c r="AZ410" i="27" s="1"/>
  <c r="AZ411" i="27" s="1"/>
  <c r="AZ412" i="27" s="1"/>
  <c r="AZ413" i="27" s="1"/>
  <c r="AZ414" i="27" s="1"/>
  <c r="AZ415" i="27" s="1"/>
  <c r="AZ416" i="27" s="1"/>
  <c r="AZ417" i="27" s="1"/>
  <c r="AZ418" i="27" s="1"/>
  <c r="AZ419" i="27" s="1"/>
  <c r="AZ420" i="27" s="1"/>
  <c r="AZ421" i="27" s="1"/>
  <c r="AZ422" i="27" s="1"/>
  <c r="AZ423" i="27" s="1"/>
  <c r="AZ424" i="27" s="1"/>
  <c r="AZ425" i="27" s="1"/>
  <c r="AZ426" i="27" s="1"/>
  <c r="AZ427" i="27" s="1"/>
  <c r="AZ428" i="27" s="1"/>
  <c r="AZ429" i="27" s="1"/>
  <c r="AZ430" i="27" s="1"/>
  <c r="AZ431" i="27" s="1"/>
  <c r="AZ432" i="27" s="1"/>
  <c r="AZ433" i="27" s="1"/>
  <c r="AZ434" i="27" s="1"/>
  <c r="AZ435" i="27" s="1"/>
  <c r="AZ436" i="27" s="1"/>
  <c r="AZ437" i="27" s="1"/>
  <c r="AZ438" i="27" s="1"/>
  <c r="AZ439" i="27" s="1"/>
  <c r="AZ440" i="27" s="1"/>
  <c r="AZ441" i="27" s="1"/>
  <c r="AZ442" i="27" s="1"/>
  <c r="AZ443" i="27" s="1"/>
  <c r="AZ444" i="27" s="1"/>
  <c r="AZ445" i="27" s="1"/>
  <c r="AZ446" i="27" s="1"/>
  <c r="AZ447" i="27" s="1"/>
  <c r="AZ448" i="27" s="1"/>
  <c r="AZ449" i="27" s="1"/>
  <c r="AZ450" i="27" s="1"/>
  <c r="AZ451" i="27" s="1"/>
  <c r="AZ452" i="27" s="1"/>
  <c r="AZ453" i="27" s="1"/>
  <c r="AZ454" i="27" s="1"/>
  <c r="AZ455" i="27" s="1"/>
  <c r="AZ456" i="27" s="1"/>
  <c r="AZ457" i="27" s="1"/>
  <c r="AZ458" i="27" s="1"/>
  <c r="AZ459" i="27" s="1"/>
  <c r="AZ460" i="27" s="1"/>
  <c r="AZ461" i="27" s="1"/>
  <c r="AZ462" i="27" s="1"/>
  <c r="AZ463" i="27" s="1"/>
  <c r="AZ464" i="27" s="1"/>
  <c r="AZ465" i="27" s="1"/>
  <c r="AZ466" i="27" s="1"/>
  <c r="AZ467" i="27" s="1"/>
  <c r="AZ468" i="27" s="1"/>
  <c r="AZ469" i="27" s="1"/>
  <c r="AZ470" i="27" s="1"/>
  <c r="AZ471" i="27" s="1"/>
  <c r="AZ472" i="27" s="1"/>
  <c r="AZ473" i="27" s="1"/>
  <c r="AZ474" i="27" s="1"/>
  <c r="AZ475" i="27" s="1"/>
  <c r="AZ476" i="27" s="1"/>
  <c r="AZ477" i="27" s="1"/>
  <c r="AZ478" i="27" s="1"/>
  <c r="AZ479" i="27" s="1"/>
  <c r="AZ480" i="27" s="1"/>
  <c r="AZ481" i="27" s="1"/>
  <c r="AZ482" i="27" s="1"/>
  <c r="AZ483" i="27" s="1"/>
  <c r="AZ484" i="27" s="1"/>
  <c r="AZ485" i="27" s="1"/>
  <c r="AZ486" i="27" s="1"/>
  <c r="AZ487" i="27" s="1"/>
  <c r="AZ488" i="27" s="1"/>
  <c r="AZ489" i="27" s="1"/>
  <c r="AZ490" i="27" s="1"/>
  <c r="AZ491" i="27" s="1"/>
  <c r="AZ492" i="27" s="1"/>
  <c r="AT9" i="27"/>
  <c r="AL9" i="27"/>
  <c r="AJ13" i="27" s="1"/>
  <c r="AJ14" i="27" s="1"/>
  <c r="AJ15" i="27" s="1"/>
  <c r="AJ16" i="27" s="1"/>
  <c r="AJ17" i="27" s="1"/>
  <c r="AJ18" i="27" s="1"/>
  <c r="AJ19" i="27" s="1"/>
  <c r="AJ20" i="27" s="1"/>
  <c r="AJ21" i="27" s="1"/>
  <c r="AJ22" i="27" s="1"/>
  <c r="AJ23" i="27" s="1"/>
  <c r="AJ24" i="27" s="1"/>
  <c r="AJ25" i="27" s="1"/>
  <c r="AJ26" i="27" s="1"/>
  <c r="AJ27" i="27" s="1"/>
  <c r="AJ28" i="27" s="1"/>
  <c r="AJ29" i="27" s="1"/>
  <c r="AJ30" i="27" s="1"/>
  <c r="AJ31" i="27" s="1"/>
  <c r="AJ32" i="27" s="1"/>
  <c r="AJ33" i="27" s="1"/>
  <c r="AJ34" i="27" s="1"/>
  <c r="AJ35" i="27" s="1"/>
  <c r="AJ36" i="27" s="1"/>
  <c r="AJ37" i="27" s="1"/>
  <c r="AJ38" i="27" s="1"/>
  <c r="AJ39" i="27" s="1"/>
  <c r="AJ40" i="27" s="1"/>
  <c r="AJ41" i="27" s="1"/>
  <c r="AJ42" i="27" s="1"/>
  <c r="AJ43" i="27" s="1"/>
  <c r="AJ44" i="27" s="1"/>
  <c r="AJ45" i="27" s="1"/>
  <c r="AJ46" i="27" s="1"/>
  <c r="AJ47" i="27" s="1"/>
  <c r="AJ48" i="27" s="1"/>
  <c r="AJ49" i="27" s="1"/>
  <c r="AJ50" i="27" s="1"/>
  <c r="AJ51" i="27" s="1"/>
  <c r="AJ52" i="27" s="1"/>
  <c r="AJ53" i="27" s="1"/>
  <c r="AJ54" i="27" s="1"/>
  <c r="AJ55" i="27" s="1"/>
  <c r="AJ56" i="27" s="1"/>
  <c r="AJ57" i="27" s="1"/>
  <c r="AJ58" i="27" s="1"/>
  <c r="AJ59" i="27" s="1"/>
  <c r="AJ60" i="27" s="1"/>
  <c r="AJ61" i="27" s="1"/>
  <c r="AJ62" i="27" s="1"/>
  <c r="AJ63" i="27" s="1"/>
  <c r="AJ64" i="27" s="1"/>
  <c r="AJ65" i="27" s="1"/>
  <c r="AJ66" i="27" s="1"/>
  <c r="AJ67" i="27" s="1"/>
  <c r="AJ68" i="27" s="1"/>
  <c r="AJ69" i="27" s="1"/>
  <c r="AJ70" i="27" s="1"/>
  <c r="AJ71" i="27" s="1"/>
  <c r="AJ72" i="27" s="1"/>
  <c r="AJ73" i="27" s="1"/>
  <c r="AJ74" i="27" s="1"/>
  <c r="AJ75" i="27" s="1"/>
  <c r="AJ76" i="27" s="1"/>
  <c r="AJ77" i="27" s="1"/>
  <c r="AJ78" i="27" s="1"/>
  <c r="AJ79" i="27" s="1"/>
  <c r="AJ80" i="27" s="1"/>
  <c r="AJ81" i="27" s="1"/>
  <c r="AJ82" i="27" s="1"/>
  <c r="AJ83" i="27" s="1"/>
  <c r="AJ84" i="27" s="1"/>
  <c r="AJ85" i="27" s="1"/>
  <c r="AJ86" i="27" s="1"/>
  <c r="AJ87" i="27" s="1"/>
  <c r="AJ88" i="27" s="1"/>
  <c r="AJ89" i="27" s="1"/>
  <c r="AJ90" i="27" s="1"/>
  <c r="AJ91" i="27" s="1"/>
  <c r="AJ92" i="27" s="1"/>
  <c r="AJ93" i="27" s="1"/>
  <c r="AJ94" i="27" s="1"/>
  <c r="AJ95" i="27" s="1"/>
  <c r="AJ96" i="27" s="1"/>
  <c r="AJ97" i="27" s="1"/>
  <c r="AJ98" i="27" s="1"/>
  <c r="AJ99" i="27" s="1"/>
  <c r="AJ100" i="27" s="1"/>
  <c r="AJ101" i="27" s="1"/>
  <c r="AJ102" i="27" s="1"/>
  <c r="AJ103" i="27" s="1"/>
  <c r="AJ104" i="27" s="1"/>
  <c r="AJ105" i="27" s="1"/>
  <c r="AJ106" i="27" s="1"/>
  <c r="AJ107" i="27" s="1"/>
  <c r="AJ108" i="27" s="1"/>
  <c r="AJ109" i="27" s="1"/>
  <c r="AJ110" i="27" s="1"/>
  <c r="AJ111" i="27" s="1"/>
  <c r="AJ112" i="27" s="1"/>
  <c r="AJ113" i="27" s="1"/>
  <c r="AJ114" i="27" s="1"/>
  <c r="AJ115" i="27" s="1"/>
  <c r="AJ116" i="27" s="1"/>
  <c r="AJ117" i="27" s="1"/>
  <c r="AJ118" i="27" s="1"/>
  <c r="AJ119" i="27" s="1"/>
  <c r="AJ120" i="27" s="1"/>
  <c r="AJ121" i="27" s="1"/>
  <c r="AJ122" i="27" s="1"/>
  <c r="AJ123" i="27" s="1"/>
  <c r="AJ124" i="27" s="1"/>
  <c r="AJ125" i="27" s="1"/>
  <c r="AJ126" i="27" s="1"/>
  <c r="AJ127" i="27" s="1"/>
  <c r="AJ128" i="27" s="1"/>
  <c r="AJ129" i="27" s="1"/>
  <c r="AJ130" i="27" s="1"/>
  <c r="AJ131" i="27" s="1"/>
  <c r="AJ132" i="27" s="1"/>
  <c r="AJ133" i="27" s="1"/>
  <c r="AJ134" i="27" s="1"/>
  <c r="AJ135" i="27" s="1"/>
  <c r="AJ136" i="27" s="1"/>
  <c r="AJ137" i="27" s="1"/>
  <c r="AJ138" i="27" s="1"/>
  <c r="AJ139" i="27" s="1"/>
  <c r="AJ140" i="27" s="1"/>
  <c r="AJ141" i="27" s="1"/>
  <c r="AJ142" i="27" s="1"/>
  <c r="AJ143" i="27" s="1"/>
  <c r="AJ144" i="27" s="1"/>
  <c r="AJ145" i="27" s="1"/>
  <c r="AJ146" i="27" s="1"/>
  <c r="AJ147" i="27" s="1"/>
  <c r="AJ148" i="27" s="1"/>
  <c r="AJ149" i="27" s="1"/>
  <c r="AJ150" i="27" s="1"/>
  <c r="AJ151" i="27" s="1"/>
  <c r="AJ152" i="27" s="1"/>
  <c r="AJ153" i="27" s="1"/>
  <c r="AJ154" i="27" s="1"/>
  <c r="AJ155" i="27" s="1"/>
  <c r="AJ156" i="27" s="1"/>
  <c r="AJ157" i="27" s="1"/>
  <c r="AJ158" i="27" s="1"/>
  <c r="AJ159" i="27" s="1"/>
  <c r="AJ160" i="27" s="1"/>
  <c r="AJ161" i="27" s="1"/>
  <c r="AJ162" i="27" s="1"/>
  <c r="AJ163" i="27" s="1"/>
  <c r="AJ164" i="27" s="1"/>
  <c r="AJ165" i="27" s="1"/>
  <c r="AJ166" i="27" s="1"/>
  <c r="AJ167" i="27" s="1"/>
  <c r="AJ168" i="27" s="1"/>
  <c r="AJ169" i="27" s="1"/>
  <c r="AJ170" i="27" s="1"/>
  <c r="AJ171" i="27" s="1"/>
  <c r="AJ172" i="27" s="1"/>
  <c r="AJ173" i="27" s="1"/>
  <c r="AJ174" i="27" s="1"/>
  <c r="AJ175" i="27" s="1"/>
  <c r="AJ176" i="27" s="1"/>
  <c r="AJ177" i="27" s="1"/>
  <c r="AJ178" i="27" s="1"/>
  <c r="AJ179" i="27" s="1"/>
  <c r="AJ180" i="27" s="1"/>
  <c r="AJ181" i="27" s="1"/>
  <c r="AJ182" i="27" s="1"/>
  <c r="AJ183" i="27" s="1"/>
  <c r="AJ184" i="27" s="1"/>
  <c r="AJ185" i="27" s="1"/>
  <c r="AJ186" i="27" s="1"/>
  <c r="AJ187" i="27" s="1"/>
  <c r="AJ188" i="27" s="1"/>
  <c r="AJ189" i="27" s="1"/>
  <c r="AJ190" i="27" s="1"/>
  <c r="AJ191" i="27" s="1"/>
  <c r="AJ192" i="27" s="1"/>
  <c r="AJ193" i="27" s="1"/>
  <c r="AJ194" i="27" s="1"/>
  <c r="AJ195" i="27" s="1"/>
  <c r="AJ196" i="27" s="1"/>
  <c r="AJ197" i="27" s="1"/>
  <c r="AJ198" i="27" s="1"/>
  <c r="AJ199" i="27" s="1"/>
  <c r="AJ200" i="27" s="1"/>
  <c r="AJ201" i="27" s="1"/>
  <c r="AJ202" i="27" s="1"/>
  <c r="AJ203" i="27" s="1"/>
  <c r="AJ204" i="27" s="1"/>
  <c r="AJ205" i="27" s="1"/>
  <c r="AJ206" i="27" s="1"/>
  <c r="AJ207" i="27" s="1"/>
  <c r="AJ208" i="27" s="1"/>
  <c r="AJ209" i="27" s="1"/>
  <c r="AJ210" i="27" s="1"/>
  <c r="AJ211" i="27" s="1"/>
  <c r="AJ212" i="27" s="1"/>
  <c r="AJ213" i="27" s="1"/>
  <c r="AJ214" i="27" s="1"/>
  <c r="AJ215" i="27" s="1"/>
  <c r="AJ216" i="27" s="1"/>
  <c r="AJ217" i="27" s="1"/>
  <c r="AJ218" i="27" s="1"/>
  <c r="AJ219" i="27" s="1"/>
  <c r="AJ220" i="27" s="1"/>
  <c r="AJ221" i="27" s="1"/>
  <c r="AJ222" i="27" s="1"/>
  <c r="AJ223" i="27" s="1"/>
  <c r="AJ224" i="27" s="1"/>
  <c r="AJ225" i="27" s="1"/>
  <c r="AJ226" i="27" s="1"/>
  <c r="AJ227" i="27" s="1"/>
  <c r="AJ228" i="27" s="1"/>
  <c r="AJ229" i="27" s="1"/>
  <c r="AJ230" i="27" s="1"/>
  <c r="AJ231" i="27" s="1"/>
  <c r="AJ232" i="27" s="1"/>
  <c r="AJ233" i="27" s="1"/>
  <c r="AJ234" i="27" s="1"/>
  <c r="AJ235" i="27" s="1"/>
  <c r="AJ236" i="27" s="1"/>
  <c r="AJ237" i="27" s="1"/>
  <c r="AJ238" i="27" s="1"/>
  <c r="AJ239" i="27" s="1"/>
  <c r="AJ240" i="27" s="1"/>
  <c r="AJ241" i="27" s="1"/>
  <c r="AJ242" i="27" s="1"/>
  <c r="AJ243" i="27" s="1"/>
  <c r="AJ244" i="27" s="1"/>
  <c r="AJ245" i="27" s="1"/>
  <c r="AJ246" i="27" s="1"/>
  <c r="AJ247" i="27" s="1"/>
  <c r="AJ248" i="27" s="1"/>
  <c r="AJ249" i="27" s="1"/>
  <c r="AJ250" i="27" s="1"/>
  <c r="AJ251" i="27" s="1"/>
  <c r="AJ252" i="27" s="1"/>
  <c r="AJ253" i="27" s="1"/>
  <c r="AJ254" i="27" s="1"/>
  <c r="AJ255" i="27" s="1"/>
  <c r="AJ256" i="27" s="1"/>
  <c r="AJ257" i="27" s="1"/>
  <c r="AJ258" i="27" s="1"/>
  <c r="AJ259" i="27" s="1"/>
  <c r="AJ260" i="27" s="1"/>
  <c r="AJ261" i="27" s="1"/>
  <c r="AJ262" i="27" s="1"/>
  <c r="AJ263" i="27" s="1"/>
  <c r="AJ264" i="27" s="1"/>
  <c r="AJ265" i="27" s="1"/>
  <c r="AJ266" i="27" s="1"/>
  <c r="AJ267" i="27" s="1"/>
  <c r="AJ268" i="27" s="1"/>
  <c r="AJ269" i="27" s="1"/>
  <c r="AJ270" i="27" s="1"/>
  <c r="AJ271" i="27" s="1"/>
  <c r="AJ272" i="27" s="1"/>
  <c r="AJ273" i="27" s="1"/>
  <c r="AJ274" i="27" s="1"/>
  <c r="AJ275" i="27" s="1"/>
  <c r="AJ276" i="27" s="1"/>
  <c r="AJ277" i="27" s="1"/>
  <c r="AJ278" i="27" s="1"/>
  <c r="AJ279" i="27" s="1"/>
  <c r="AJ280" i="27" s="1"/>
  <c r="AJ281" i="27" s="1"/>
  <c r="AJ282" i="27" s="1"/>
  <c r="AJ283" i="27" s="1"/>
  <c r="AJ284" i="27" s="1"/>
  <c r="AJ285" i="27" s="1"/>
  <c r="AJ286" i="27" s="1"/>
  <c r="AJ287" i="27" s="1"/>
  <c r="AJ288" i="27" s="1"/>
  <c r="AJ289" i="27" s="1"/>
  <c r="AJ290" i="27" s="1"/>
  <c r="AJ291" i="27" s="1"/>
  <c r="AJ292" i="27" s="1"/>
  <c r="AJ293" i="27" s="1"/>
  <c r="AJ294" i="27" s="1"/>
  <c r="AJ295" i="27" s="1"/>
  <c r="AJ296" i="27" s="1"/>
  <c r="AJ297" i="27" s="1"/>
  <c r="AJ298" i="27" s="1"/>
  <c r="AJ299" i="27" s="1"/>
  <c r="AJ300" i="27" s="1"/>
  <c r="AJ301" i="27" s="1"/>
  <c r="AJ302" i="27" s="1"/>
  <c r="AJ303" i="27" s="1"/>
  <c r="AJ304" i="27" s="1"/>
  <c r="AJ305" i="27" s="1"/>
  <c r="AJ306" i="27" s="1"/>
  <c r="AJ307" i="27" s="1"/>
  <c r="AJ308" i="27" s="1"/>
  <c r="AJ309" i="27" s="1"/>
  <c r="AJ310" i="27" s="1"/>
  <c r="AJ311" i="27" s="1"/>
  <c r="AJ312" i="27" s="1"/>
  <c r="AJ313" i="27" s="1"/>
  <c r="AJ314" i="27" s="1"/>
  <c r="AJ315" i="27" s="1"/>
  <c r="AJ316" i="27" s="1"/>
  <c r="AJ317" i="27" s="1"/>
  <c r="AJ318" i="27" s="1"/>
  <c r="AJ319" i="27" s="1"/>
  <c r="AJ320" i="27" s="1"/>
  <c r="AJ321" i="27" s="1"/>
  <c r="AJ322" i="27" s="1"/>
  <c r="AJ323" i="27" s="1"/>
  <c r="AJ324" i="27" s="1"/>
  <c r="AJ325" i="27" s="1"/>
  <c r="AJ326" i="27" s="1"/>
  <c r="AJ327" i="27" s="1"/>
  <c r="AJ328" i="27" s="1"/>
  <c r="AJ329" i="27" s="1"/>
  <c r="AJ330" i="27" s="1"/>
  <c r="AJ331" i="27" s="1"/>
  <c r="AJ332" i="27" s="1"/>
  <c r="AJ333" i="27" s="1"/>
  <c r="AJ334" i="27" s="1"/>
  <c r="AJ335" i="27" s="1"/>
  <c r="AJ336" i="27" s="1"/>
  <c r="AJ337" i="27" s="1"/>
  <c r="AJ338" i="27" s="1"/>
  <c r="AJ339" i="27" s="1"/>
  <c r="AJ340" i="27" s="1"/>
  <c r="AJ341" i="27" s="1"/>
  <c r="AJ342" i="27" s="1"/>
  <c r="AJ343" i="27" s="1"/>
  <c r="AJ344" i="27" s="1"/>
  <c r="AJ345" i="27" s="1"/>
  <c r="AJ346" i="27" s="1"/>
  <c r="AJ347" i="27" s="1"/>
  <c r="AJ348" i="27" s="1"/>
  <c r="AJ349" i="27" s="1"/>
  <c r="AJ350" i="27" s="1"/>
  <c r="AJ351" i="27" s="1"/>
  <c r="AJ352" i="27" s="1"/>
  <c r="AJ353" i="27" s="1"/>
  <c r="AJ354" i="27" s="1"/>
  <c r="AJ355" i="27" s="1"/>
  <c r="AJ356" i="27" s="1"/>
  <c r="AJ357" i="27" s="1"/>
  <c r="AJ358" i="27" s="1"/>
  <c r="AJ359" i="27" s="1"/>
  <c r="AJ360" i="27" s="1"/>
  <c r="AJ361" i="27" s="1"/>
  <c r="AJ362" i="27" s="1"/>
  <c r="AJ363" i="27" s="1"/>
  <c r="AJ364" i="27" s="1"/>
  <c r="AJ365" i="27" s="1"/>
  <c r="AJ366" i="27" s="1"/>
  <c r="AJ367" i="27" s="1"/>
  <c r="AJ368" i="27" s="1"/>
  <c r="AJ369" i="27" s="1"/>
  <c r="AJ370" i="27" s="1"/>
  <c r="AJ371" i="27" s="1"/>
  <c r="AJ372" i="27" s="1"/>
  <c r="AJ373" i="27" s="1"/>
  <c r="AJ374" i="27" s="1"/>
  <c r="AJ375" i="27" s="1"/>
  <c r="AJ376" i="27" s="1"/>
  <c r="AJ377" i="27" s="1"/>
  <c r="AJ378" i="27" s="1"/>
  <c r="AJ379" i="27" s="1"/>
  <c r="AJ380" i="27" s="1"/>
  <c r="AJ381" i="27" s="1"/>
  <c r="AJ382" i="27" s="1"/>
  <c r="AJ383" i="27" s="1"/>
  <c r="AJ384" i="27" s="1"/>
  <c r="AJ385" i="27" s="1"/>
  <c r="AJ386" i="27" s="1"/>
  <c r="AJ387" i="27" s="1"/>
  <c r="AJ388" i="27" s="1"/>
  <c r="AJ389" i="27" s="1"/>
  <c r="AJ390" i="27" s="1"/>
  <c r="AJ391" i="27" s="1"/>
  <c r="AJ392" i="27" s="1"/>
  <c r="AJ393" i="27" s="1"/>
  <c r="AJ394" i="27" s="1"/>
  <c r="AJ395" i="27" s="1"/>
  <c r="AJ396" i="27" s="1"/>
  <c r="AJ397" i="27" s="1"/>
  <c r="AJ398" i="27" s="1"/>
  <c r="AJ399" i="27" s="1"/>
  <c r="AJ400" i="27" s="1"/>
  <c r="AJ401" i="27" s="1"/>
  <c r="AJ402" i="27" s="1"/>
  <c r="AJ403" i="27" s="1"/>
  <c r="AJ404" i="27" s="1"/>
  <c r="AJ405" i="27" s="1"/>
  <c r="AJ406" i="27" s="1"/>
  <c r="AJ407" i="27" s="1"/>
  <c r="AJ408" i="27" s="1"/>
  <c r="AJ409" i="27" s="1"/>
  <c r="AJ410" i="27" s="1"/>
  <c r="AJ411" i="27" s="1"/>
  <c r="AJ412" i="27" s="1"/>
  <c r="AJ413" i="27" s="1"/>
  <c r="AJ414" i="27" s="1"/>
  <c r="AJ415" i="27" s="1"/>
  <c r="AJ416" i="27" s="1"/>
  <c r="AJ417" i="27" s="1"/>
  <c r="AJ418" i="27" s="1"/>
  <c r="AJ419" i="27" s="1"/>
  <c r="AJ420" i="27" s="1"/>
  <c r="AJ421" i="27" s="1"/>
  <c r="AJ422" i="27" s="1"/>
  <c r="AJ423" i="27" s="1"/>
  <c r="AJ424" i="27" s="1"/>
  <c r="AJ425" i="27" s="1"/>
  <c r="AJ426" i="27" s="1"/>
  <c r="AJ427" i="27" s="1"/>
  <c r="AJ428" i="27" s="1"/>
  <c r="AJ429" i="27" s="1"/>
  <c r="AJ430" i="27" s="1"/>
  <c r="AJ431" i="27" s="1"/>
  <c r="AJ432" i="27" s="1"/>
  <c r="AJ433" i="27" s="1"/>
  <c r="AJ434" i="27" s="1"/>
  <c r="AJ435" i="27" s="1"/>
  <c r="AJ436" i="27" s="1"/>
  <c r="AJ437" i="27" s="1"/>
  <c r="AJ438" i="27" s="1"/>
  <c r="AJ439" i="27" s="1"/>
  <c r="AJ440" i="27" s="1"/>
  <c r="AJ441" i="27" s="1"/>
  <c r="AJ442" i="27" s="1"/>
  <c r="AJ443" i="27" s="1"/>
  <c r="AJ444" i="27" s="1"/>
  <c r="AJ445" i="27" s="1"/>
  <c r="AJ446" i="27" s="1"/>
  <c r="AJ447" i="27" s="1"/>
  <c r="AJ448" i="27" s="1"/>
  <c r="AJ449" i="27" s="1"/>
  <c r="AJ450" i="27" s="1"/>
  <c r="AJ451" i="27" s="1"/>
  <c r="AJ452" i="27" s="1"/>
  <c r="AJ453" i="27" s="1"/>
  <c r="AJ454" i="27" s="1"/>
  <c r="AJ455" i="27" s="1"/>
  <c r="AJ456" i="27" s="1"/>
  <c r="AJ457" i="27" s="1"/>
  <c r="AJ458" i="27" s="1"/>
  <c r="AJ459" i="27" s="1"/>
  <c r="AJ460" i="27" s="1"/>
  <c r="AJ461" i="27" s="1"/>
  <c r="AJ462" i="27" s="1"/>
  <c r="AJ463" i="27" s="1"/>
  <c r="AJ464" i="27" s="1"/>
  <c r="AJ465" i="27" s="1"/>
  <c r="AJ466" i="27" s="1"/>
  <c r="AJ467" i="27" s="1"/>
  <c r="AJ468" i="27" s="1"/>
  <c r="AJ469" i="27" s="1"/>
  <c r="AJ470" i="27" s="1"/>
  <c r="AJ471" i="27" s="1"/>
  <c r="AJ472" i="27" s="1"/>
  <c r="AJ473" i="27" s="1"/>
  <c r="AJ474" i="27" s="1"/>
  <c r="AJ475" i="27" s="1"/>
  <c r="AJ476" i="27" s="1"/>
  <c r="AJ477" i="27" s="1"/>
  <c r="AJ478" i="27" s="1"/>
  <c r="AJ479" i="27" s="1"/>
  <c r="AJ480" i="27" s="1"/>
  <c r="AJ481" i="27" s="1"/>
  <c r="AJ482" i="27" s="1"/>
  <c r="AJ483" i="27" s="1"/>
  <c r="AJ484" i="27" s="1"/>
  <c r="AJ485" i="27" s="1"/>
  <c r="AJ486" i="27" s="1"/>
  <c r="AJ487" i="27" s="1"/>
  <c r="AJ488" i="27" s="1"/>
  <c r="AJ489" i="27" s="1"/>
  <c r="AJ490" i="27" s="1"/>
  <c r="AJ491" i="27" s="1"/>
  <c r="AJ492" i="27" s="1"/>
  <c r="AD9" i="27"/>
  <c r="AB13" i="27" s="1"/>
  <c r="AB14" i="27" s="1"/>
  <c r="AB15" i="27" s="1"/>
  <c r="AB16" i="27" s="1"/>
  <c r="AB17" i="27" s="1"/>
  <c r="AB18" i="27" s="1"/>
  <c r="AB19" i="27" s="1"/>
  <c r="AB20" i="27" s="1"/>
  <c r="AB21" i="27" s="1"/>
  <c r="AB22" i="27" s="1"/>
  <c r="AB23" i="27" s="1"/>
  <c r="AB24" i="27" s="1"/>
  <c r="AB25" i="27" s="1"/>
  <c r="AB26" i="27" s="1"/>
  <c r="AB27" i="27" s="1"/>
  <c r="AB28" i="27" s="1"/>
  <c r="AB29" i="27" s="1"/>
  <c r="AB30" i="27" s="1"/>
  <c r="AB31" i="27" s="1"/>
  <c r="AB32" i="27" s="1"/>
  <c r="AB33" i="27" s="1"/>
  <c r="AB34" i="27" s="1"/>
  <c r="AB35" i="27" s="1"/>
  <c r="AB36" i="27" s="1"/>
  <c r="AB37" i="27" s="1"/>
  <c r="AB38" i="27" s="1"/>
  <c r="AB39" i="27" s="1"/>
  <c r="AB40" i="27" s="1"/>
  <c r="AB41" i="27" s="1"/>
  <c r="AB42" i="27" s="1"/>
  <c r="AB43" i="27" s="1"/>
  <c r="AB44" i="27" s="1"/>
  <c r="AB45" i="27" s="1"/>
  <c r="AB46" i="27" s="1"/>
  <c r="AB47" i="27" s="1"/>
  <c r="AB48" i="27" s="1"/>
  <c r="AB49" i="27" s="1"/>
  <c r="AB50" i="27" s="1"/>
  <c r="AB51" i="27" s="1"/>
  <c r="AB52" i="27" s="1"/>
  <c r="AB53" i="27" s="1"/>
  <c r="AB54" i="27" s="1"/>
  <c r="AB55" i="27" s="1"/>
  <c r="AB56" i="27" s="1"/>
  <c r="AB57" i="27" s="1"/>
  <c r="AB58" i="27" s="1"/>
  <c r="AB59" i="27" s="1"/>
  <c r="AB60" i="27" s="1"/>
  <c r="AB61" i="27" s="1"/>
  <c r="AB62" i="27" s="1"/>
  <c r="AB63" i="27" s="1"/>
  <c r="AB64" i="27" s="1"/>
  <c r="AB65" i="27" s="1"/>
  <c r="AB66" i="27" s="1"/>
  <c r="AB67" i="27" s="1"/>
  <c r="AB68" i="27" s="1"/>
  <c r="AB69" i="27" s="1"/>
  <c r="AB70" i="27" s="1"/>
  <c r="AB71" i="27" s="1"/>
  <c r="AB72" i="27" s="1"/>
  <c r="AB73" i="27" s="1"/>
  <c r="AB74" i="27" s="1"/>
  <c r="AB75" i="27" s="1"/>
  <c r="AB76" i="27" s="1"/>
  <c r="AB77" i="27" s="1"/>
  <c r="AB78" i="27" s="1"/>
  <c r="AB79" i="27" s="1"/>
  <c r="AB80" i="27" s="1"/>
  <c r="AB81" i="27" s="1"/>
  <c r="AB82" i="27" s="1"/>
  <c r="AB83" i="27" s="1"/>
  <c r="AB84" i="27" s="1"/>
  <c r="AB85" i="27" s="1"/>
  <c r="AB86" i="27" s="1"/>
  <c r="AB87" i="27" s="1"/>
  <c r="AB88" i="27" s="1"/>
  <c r="AB89" i="27" s="1"/>
  <c r="AB90" i="27" s="1"/>
  <c r="AB91" i="27" s="1"/>
  <c r="AB92" i="27" s="1"/>
  <c r="AB93" i="27" s="1"/>
  <c r="AB94" i="27" s="1"/>
  <c r="AB95" i="27" s="1"/>
  <c r="AB96" i="27" s="1"/>
  <c r="AB97" i="27" s="1"/>
  <c r="AB98" i="27" s="1"/>
  <c r="AB99" i="27" s="1"/>
  <c r="AB100" i="27" s="1"/>
  <c r="AB101" i="27" s="1"/>
  <c r="AB102" i="27" s="1"/>
  <c r="AB103" i="27" s="1"/>
  <c r="AB104" i="27" s="1"/>
  <c r="AB105" i="27" s="1"/>
  <c r="AB106" i="27" s="1"/>
  <c r="AB107" i="27" s="1"/>
  <c r="AB108" i="27" s="1"/>
  <c r="AB109" i="27" s="1"/>
  <c r="AB110" i="27" s="1"/>
  <c r="AB111" i="27" s="1"/>
  <c r="AB112" i="27" s="1"/>
  <c r="AB113" i="27" s="1"/>
  <c r="AB114" i="27" s="1"/>
  <c r="AB115" i="27" s="1"/>
  <c r="AB116" i="27" s="1"/>
  <c r="AB117" i="27" s="1"/>
  <c r="AB118" i="27" s="1"/>
  <c r="AB119" i="27" s="1"/>
  <c r="AB120" i="27" s="1"/>
  <c r="AB121" i="27" s="1"/>
  <c r="AB122" i="27" s="1"/>
  <c r="AB123" i="27" s="1"/>
  <c r="AB124" i="27" s="1"/>
  <c r="AB125" i="27" s="1"/>
  <c r="AB126" i="27" s="1"/>
  <c r="AB127" i="27" s="1"/>
  <c r="AB128" i="27" s="1"/>
  <c r="AB129" i="27" s="1"/>
  <c r="AB130" i="27" s="1"/>
  <c r="AB131" i="27" s="1"/>
  <c r="AB132" i="27" s="1"/>
  <c r="AB133" i="27" s="1"/>
  <c r="AB134" i="27" s="1"/>
  <c r="AB135" i="27" s="1"/>
  <c r="AB136" i="27" s="1"/>
  <c r="AB137" i="27" s="1"/>
  <c r="AB138" i="27" s="1"/>
  <c r="AB139" i="27" s="1"/>
  <c r="AB140" i="27" s="1"/>
  <c r="AB141" i="27" s="1"/>
  <c r="AB142" i="27" s="1"/>
  <c r="AB143" i="27" s="1"/>
  <c r="AB144" i="27" s="1"/>
  <c r="AB145" i="27" s="1"/>
  <c r="AB146" i="27" s="1"/>
  <c r="AB147" i="27" s="1"/>
  <c r="AB148" i="27" s="1"/>
  <c r="AB149" i="27" s="1"/>
  <c r="AB150" i="27" s="1"/>
  <c r="AB151" i="27" s="1"/>
  <c r="AB152" i="27" s="1"/>
  <c r="AB153" i="27" s="1"/>
  <c r="AB154" i="27" s="1"/>
  <c r="AB155" i="27" s="1"/>
  <c r="AB156" i="27" s="1"/>
  <c r="AB157" i="27" s="1"/>
  <c r="AB158" i="27" s="1"/>
  <c r="AB159" i="27" s="1"/>
  <c r="AB160" i="27" s="1"/>
  <c r="AB161" i="27" s="1"/>
  <c r="AB162" i="27" s="1"/>
  <c r="AB163" i="27" s="1"/>
  <c r="AB164" i="27" s="1"/>
  <c r="AB165" i="27" s="1"/>
  <c r="AB166" i="27" s="1"/>
  <c r="AB167" i="27" s="1"/>
  <c r="AB168" i="27" s="1"/>
  <c r="AB169" i="27" s="1"/>
  <c r="AB170" i="27" s="1"/>
  <c r="AB171" i="27" s="1"/>
  <c r="AB172" i="27" s="1"/>
  <c r="AB173" i="27" s="1"/>
  <c r="AB174" i="27" s="1"/>
  <c r="AB175" i="27" s="1"/>
  <c r="AB176" i="27" s="1"/>
  <c r="AB177" i="27" s="1"/>
  <c r="AB178" i="27" s="1"/>
  <c r="AB179" i="27" s="1"/>
  <c r="AB180" i="27" s="1"/>
  <c r="AB181" i="27" s="1"/>
  <c r="AB182" i="27" s="1"/>
  <c r="AB183" i="27" s="1"/>
  <c r="AB184" i="27" s="1"/>
  <c r="AB185" i="27" s="1"/>
  <c r="AB186" i="27" s="1"/>
  <c r="AB187" i="27" s="1"/>
  <c r="AB188" i="27" s="1"/>
  <c r="AB189" i="27" s="1"/>
  <c r="AB190" i="27" s="1"/>
  <c r="AB191" i="27" s="1"/>
  <c r="AB192" i="27" s="1"/>
  <c r="AB193" i="27" s="1"/>
  <c r="AB194" i="27" s="1"/>
  <c r="AB195" i="27" s="1"/>
  <c r="AB196" i="27" s="1"/>
  <c r="AB197" i="27" s="1"/>
  <c r="AB198" i="27" s="1"/>
  <c r="AB199" i="27" s="1"/>
  <c r="AB200" i="27" s="1"/>
  <c r="AB201" i="27" s="1"/>
  <c r="AB202" i="27" s="1"/>
  <c r="AB203" i="27" s="1"/>
  <c r="AB204" i="27" s="1"/>
  <c r="AB205" i="27" s="1"/>
  <c r="AB206" i="27" s="1"/>
  <c r="AB207" i="27" s="1"/>
  <c r="AB208" i="27" s="1"/>
  <c r="AB209" i="27" s="1"/>
  <c r="AB210" i="27" s="1"/>
  <c r="AB211" i="27" s="1"/>
  <c r="AB212" i="27" s="1"/>
  <c r="AB213" i="27" s="1"/>
  <c r="AB214" i="27" s="1"/>
  <c r="AB215" i="27" s="1"/>
  <c r="AB216" i="27" s="1"/>
  <c r="AB217" i="27" s="1"/>
  <c r="AB218" i="27" s="1"/>
  <c r="AB219" i="27" s="1"/>
  <c r="AB220" i="27" s="1"/>
  <c r="AB221" i="27" s="1"/>
  <c r="AB222" i="27" s="1"/>
  <c r="AB223" i="27" s="1"/>
  <c r="AB224" i="27" s="1"/>
  <c r="AB225" i="27" s="1"/>
  <c r="AB226" i="27" s="1"/>
  <c r="AB227" i="27" s="1"/>
  <c r="AB228" i="27" s="1"/>
  <c r="AB229" i="27" s="1"/>
  <c r="AB230" i="27" s="1"/>
  <c r="AB231" i="27" s="1"/>
  <c r="AB232" i="27" s="1"/>
  <c r="AB233" i="27" s="1"/>
  <c r="AB234" i="27" s="1"/>
  <c r="AB235" i="27" s="1"/>
  <c r="AB236" i="27" s="1"/>
  <c r="AB237" i="27" s="1"/>
  <c r="AB238" i="27" s="1"/>
  <c r="AB239" i="27" s="1"/>
  <c r="AB240" i="27" s="1"/>
  <c r="AB241" i="27" s="1"/>
  <c r="AB242" i="27" s="1"/>
  <c r="AB243" i="27" s="1"/>
  <c r="AB244" i="27" s="1"/>
  <c r="AB245" i="27" s="1"/>
  <c r="AB246" i="27" s="1"/>
  <c r="AB247" i="27" s="1"/>
  <c r="AB248" i="27" s="1"/>
  <c r="AB249" i="27" s="1"/>
  <c r="AB250" i="27" s="1"/>
  <c r="AB251" i="27" s="1"/>
  <c r="AB252" i="27" s="1"/>
  <c r="AB253" i="27" s="1"/>
  <c r="AB254" i="27" s="1"/>
  <c r="AB255" i="27" s="1"/>
  <c r="AB256" i="27" s="1"/>
  <c r="AB257" i="27" s="1"/>
  <c r="AB258" i="27" s="1"/>
  <c r="AB259" i="27" s="1"/>
  <c r="AB260" i="27" s="1"/>
  <c r="AB261" i="27" s="1"/>
  <c r="AB262" i="27" s="1"/>
  <c r="AB263" i="27" s="1"/>
  <c r="AB264" i="27" s="1"/>
  <c r="AB265" i="27" s="1"/>
  <c r="AB266" i="27" s="1"/>
  <c r="AB267" i="27" s="1"/>
  <c r="AB268" i="27" s="1"/>
  <c r="AB269" i="27" s="1"/>
  <c r="AB270" i="27" s="1"/>
  <c r="AB271" i="27" s="1"/>
  <c r="AB272" i="27" s="1"/>
  <c r="AB273" i="27" s="1"/>
  <c r="AB274" i="27" s="1"/>
  <c r="AB275" i="27" s="1"/>
  <c r="AB276" i="27" s="1"/>
  <c r="AB277" i="27" s="1"/>
  <c r="AB278" i="27" s="1"/>
  <c r="AB279" i="27" s="1"/>
  <c r="AB280" i="27" s="1"/>
  <c r="AB281" i="27" s="1"/>
  <c r="AB282" i="27" s="1"/>
  <c r="AB283" i="27" s="1"/>
  <c r="AB284" i="27" s="1"/>
  <c r="AB285" i="27" s="1"/>
  <c r="AB286" i="27" s="1"/>
  <c r="AB287" i="27" s="1"/>
  <c r="AB288" i="27" s="1"/>
  <c r="AB289" i="27" s="1"/>
  <c r="AB290" i="27" s="1"/>
  <c r="AB291" i="27" s="1"/>
  <c r="AB292" i="27" s="1"/>
  <c r="AB293" i="27" s="1"/>
  <c r="AB294" i="27" s="1"/>
  <c r="AB295" i="27" s="1"/>
  <c r="AB296" i="27" s="1"/>
  <c r="AB297" i="27" s="1"/>
  <c r="AB298" i="27" s="1"/>
  <c r="AB299" i="27" s="1"/>
  <c r="AB300" i="27" s="1"/>
  <c r="AB301" i="27" s="1"/>
  <c r="AB302" i="27" s="1"/>
  <c r="AB303" i="27" s="1"/>
  <c r="AB304" i="27" s="1"/>
  <c r="AB305" i="27" s="1"/>
  <c r="AB306" i="27" s="1"/>
  <c r="AB307" i="27" s="1"/>
  <c r="AB308" i="27" s="1"/>
  <c r="AB309" i="27" s="1"/>
  <c r="AB310" i="27" s="1"/>
  <c r="AB311" i="27" s="1"/>
  <c r="AB312" i="27" s="1"/>
  <c r="AB313" i="27" s="1"/>
  <c r="AB314" i="27" s="1"/>
  <c r="AB315" i="27" s="1"/>
  <c r="AB316" i="27" s="1"/>
  <c r="AB317" i="27" s="1"/>
  <c r="AB318" i="27" s="1"/>
  <c r="AB319" i="27" s="1"/>
  <c r="AB320" i="27" s="1"/>
  <c r="AB321" i="27" s="1"/>
  <c r="AB322" i="27" s="1"/>
  <c r="AB323" i="27" s="1"/>
  <c r="AB324" i="27" s="1"/>
  <c r="AB325" i="27" s="1"/>
  <c r="AB326" i="27" s="1"/>
  <c r="AB327" i="27" s="1"/>
  <c r="AB328" i="27" s="1"/>
  <c r="AB329" i="27" s="1"/>
  <c r="AB330" i="27" s="1"/>
  <c r="AB331" i="27" s="1"/>
  <c r="AB332" i="27" s="1"/>
  <c r="AB333" i="27" s="1"/>
  <c r="AB334" i="27" s="1"/>
  <c r="AB335" i="27" s="1"/>
  <c r="AB336" i="27" s="1"/>
  <c r="AB337" i="27" s="1"/>
  <c r="AB338" i="27" s="1"/>
  <c r="AB339" i="27" s="1"/>
  <c r="AB340" i="27" s="1"/>
  <c r="AB341" i="27" s="1"/>
  <c r="AB342" i="27" s="1"/>
  <c r="AB343" i="27" s="1"/>
  <c r="AB344" i="27" s="1"/>
  <c r="AB345" i="27" s="1"/>
  <c r="AB346" i="27" s="1"/>
  <c r="AB347" i="27" s="1"/>
  <c r="AB348" i="27" s="1"/>
  <c r="AB349" i="27" s="1"/>
  <c r="AB350" i="27" s="1"/>
  <c r="AB351" i="27" s="1"/>
  <c r="AB352" i="27" s="1"/>
  <c r="AB353" i="27" s="1"/>
  <c r="AB354" i="27" s="1"/>
  <c r="AB355" i="27" s="1"/>
  <c r="AB356" i="27" s="1"/>
  <c r="AB357" i="27" s="1"/>
  <c r="AB358" i="27" s="1"/>
  <c r="AB359" i="27" s="1"/>
  <c r="AB360" i="27" s="1"/>
  <c r="AB361" i="27" s="1"/>
  <c r="AB362" i="27" s="1"/>
  <c r="AB363" i="27" s="1"/>
  <c r="AB364" i="27" s="1"/>
  <c r="AB365" i="27" s="1"/>
  <c r="AB366" i="27" s="1"/>
  <c r="AB367" i="27" s="1"/>
  <c r="AB368" i="27" s="1"/>
  <c r="AB369" i="27" s="1"/>
  <c r="AB370" i="27" s="1"/>
  <c r="AB371" i="27" s="1"/>
  <c r="AB372" i="27" s="1"/>
  <c r="AB373" i="27" s="1"/>
  <c r="AB374" i="27" s="1"/>
  <c r="AB375" i="27" s="1"/>
  <c r="AB376" i="27" s="1"/>
  <c r="AB377" i="27" s="1"/>
  <c r="AB378" i="27" s="1"/>
  <c r="AB379" i="27" s="1"/>
  <c r="AB380" i="27" s="1"/>
  <c r="AB381" i="27" s="1"/>
  <c r="AB382" i="27" s="1"/>
  <c r="AB383" i="27" s="1"/>
  <c r="AB384" i="27" s="1"/>
  <c r="AB385" i="27" s="1"/>
  <c r="AB386" i="27" s="1"/>
  <c r="AB387" i="27" s="1"/>
  <c r="AB388" i="27" s="1"/>
  <c r="AB389" i="27" s="1"/>
  <c r="AB390" i="27" s="1"/>
  <c r="AB391" i="27" s="1"/>
  <c r="AB392" i="27" s="1"/>
  <c r="AB393" i="27" s="1"/>
  <c r="AB394" i="27" s="1"/>
  <c r="AB395" i="27" s="1"/>
  <c r="AB396" i="27" s="1"/>
  <c r="AB397" i="27" s="1"/>
  <c r="AB398" i="27" s="1"/>
  <c r="AB399" i="27" s="1"/>
  <c r="AB400" i="27" s="1"/>
  <c r="AB401" i="27" s="1"/>
  <c r="AB402" i="27" s="1"/>
  <c r="AB403" i="27" s="1"/>
  <c r="AB404" i="27" s="1"/>
  <c r="AB405" i="27" s="1"/>
  <c r="AB406" i="27" s="1"/>
  <c r="AB407" i="27" s="1"/>
  <c r="AB408" i="27" s="1"/>
  <c r="AB409" i="27" s="1"/>
  <c r="AB410" i="27" s="1"/>
  <c r="AB411" i="27" s="1"/>
  <c r="AB412" i="27" s="1"/>
  <c r="AB413" i="27" s="1"/>
  <c r="AB414" i="27" s="1"/>
  <c r="AB415" i="27" s="1"/>
  <c r="AB416" i="27" s="1"/>
  <c r="AB417" i="27" s="1"/>
  <c r="AB418" i="27" s="1"/>
  <c r="AB419" i="27" s="1"/>
  <c r="AB420" i="27" s="1"/>
  <c r="AB421" i="27" s="1"/>
  <c r="AB422" i="27" s="1"/>
  <c r="AB423" i="27" s="1"/>
  <c r="AB424" i="27" s="1"/>
  <c r="AB425" i="27" s="1"/>
  <c r="AB426" i="27" s="1"/>
  <c r="AB427" i="27" s="1"/>
  <c r="AB428" i="27" s="1"/>
  <c r="AB429" i="27" s="1"/>
  <c r="AB430" i="27" s="1"/>
  <c r="AB431" i="27" s="1"/>
  <c r="AB432" i="27" s="1"/>
  <c r="AB433" i="27" s="1"/>
  <c r="AB434" i="27" s="1"/>
  <c r="AB435" i="27" s="1"/>
  <c r="AB436" i="27" s="1"/>
  <c r="AB437" i="27" s="1"/>
  <c r="AB438" i="27" s="1"/>
  <c r="AB439" i="27" s="1"/>
  <c r="AB440" i="27" s="1"/>
  <c r="AB441" i="27" s="1"/>
  <c r="AB442" i="27" s="1"/>
  <c r="AB443" i="27" s="1"/>
  <c r="AB444" i="27" s="1"/>
  <c r="AB445" i="27" s="1"/>
  <c r="AB446" i="27" s="1"/>
  <c r="AB447" i="27" s="1"/>
  <c r="AB448" i="27" s="1"/>
  <c r="AB449" i="27" s="1"/>
  <c r="AB450" i="27" s="1"/>
  <c r="AB451" i="27" s="1"/>
  <c r="AB452" i="27" s="1"/>
  <c r="AB453" i="27" s="1"/>
  <c r="AB454" i="27" s="1"/>
  <c r="AB455" i="27" s="1"/>
  <c r="AB456" i="27" s="1"/>
  <c r="AB457" i="27" s="1"/>
  <c r="AB458" i="27" s="1"/>
  <c r="AB459" i="27" s="1"/>
  <c r="AB460" i="27" s="1"/>
  <c r="AB461" i="27" s="1"/>
  <c r="AB462" i="27" s="1"/>
  <c r="AB463" i="27" s="1"/>
  <c r="AB464" i="27" s="1"/>
  <c r="AB465" i="27" s="1"/>
  <c r="AB466" i="27" s="1"/>
  <c r="AB467" i="27" s="1"/>
  <c r="AB468" i="27" s="1"/>
  <c r="AB469" i="27" s="1"/>
  <c r="AB470" i="27" s="1"/>
  <c r="AB471" i="27" s="1"/>
  <c r="AB472" i="27" s="1"/>
  <c r="AB473" i="27" s="1"/>
  <c r="AB474" i="27" s="1"/>
  <c r="AB475" i="27" s="1"/>
  <c r="AB476" i="27" s="1"/>
  <c r="AB477" i="27" s="1"/>
  <c r="AB478" i="27" s="1"/>
  <c r="AB479" i="27" s="1"/>
  <c r="AB480" i="27" s="1"/>
  <c r="AB481" i="27" s="1"/>
  <c r="AB482" i="27" s="1"/>
  <c r="AB483" i="27" s="1"/>
  <c r="AB484" i="27" s="1"/>
  <c r="AB485" i="27" s="1"/>
  <c r="AB486" i="27" s="1"/>
  <c r="AB487" i="27" s="1"/>
  <c r="AB488" i="27" s="1"/>
  <c r="AB489" i="27" s="1"/>
  <c r="AB490" i="27" s="1"/>
  <c r="AB491" i="27" s="1"/>
  <c r="AB492" i="27" s="1"/>
  <c r="V9" i="27"/>
  <c r="T13" i="27" s="1"/>
  <c r="T14" i="27" s="1"/>
  <c r="T15" i="27" s="1"/>
  <c r="T16" i="27" s="1"/>
  <c r="T17" i="27" s="1"/>
  <c r="T18" i="27" s="1"/>
  <c r="T19" i="27" s="1"/>
  <c r="T20" i="27" s="1"/>
  <c r="T21" i="27" s="1"/>
  <c r="T22" i="27" s="1"/>
  <c r="T23" i="27" s="1"/>
  <c r="T24" i="27" s="1"/>
  <c r="T25" i="27" s="1"/>
  <c r="T26" i="27" s="1"/>
  <c r="T27" i="27" s="1"/>
  <c r="T28" i="27" s="1"/>
  <c r="T29" i="27" s="1"/>
  <c r="T30" i="27" s="1"/>
  <c r="T31" i="27" s="1"/>
  <c r="T32" i="27" s="1"/>
  <c r="T33" i="27" s="1"/>
  <c r="T34" i="27" s="1"/>
  <c r="T35" i="27" s="1"/>
  <c r="T36" i="27" s="1"/>
  <c r="T37" i="27" s="1"/>
  <c r="T38" i="27" s="1"/>
  <c r="T39" i="27" s="1"/>
  <c r="T40" i="27" s="1"/>
  <c r="T41" i="27" s="1"/>
  <c r="T42" i="27" s="1"/>
  <c r="T43" i="27" s="1"/>
  <c r="T44" i="27" s="1"/>
  <c r="T45" i="27" s="1"/>
  <c r="T46" i="27" s="1"/>
  <c r="T47" i="27" s="1"/>
  <c r="T48" i="27" s="1"/>
  <c r="T49" i="27" s="1"/>
  <c r="T50" i="27" s="1"/>
  <c r="T51" i="27" s="1"/>
  <c r="T52" i="27" s="1"/>
  <c r="T53" i="27" s="1"/>
  <c r="T54" i="27" s="1"/>
  <c r="T55" i="27" s="1"/>
  <c r="T56" i="27" s="1"/>
  <c r="T57" i="27" s="1"/>
  <c r="T58" i="27" s="1"/>
  <c r="T59" i="27" s="1"/>
  <c r="T60" i="27" s="1"/>
  <c r="T61" i="27" s="1"/>
  <c r="T62" i="27" s="1"/>
  <c r="T63" i="27" s="1"/>
  <c r="T64" i="27" s="1"/>
  <c r="T65" i="27" s="1"/>
  <c r="T66" i="27" s="1"/>
  <c r="T67" i="27" s="1"/>
  <c r="T68" i="27" s="1"/>
  <c r="T69" i="27" s="1"/>
  <c r="T70" i="27" s="1"/>
  <c r="T71" i="27" s="1"/>
  <c r="T72" i="27" s="1"/>
  <c r="T73" i="27" s="1"/>
  <c r="T74" i="27" s="1"/>
  <c r="T75" i="27" s="1"/>
  <c r="T76" i="27" s="1"/>
  <c r="T77" i="27" s="1"/>
  <c r="T78" i="27" s="1"/>
  <c r="T79" i="27" s="1"/>
  <c r="T80" i="27" s="1"/>
  <c r="T81" i="27" s="1"/>
  <c r="T82" i="27" s="1"/>
  <c r="T83" i="27" s="1"/>
  <c r="T84" i="27" s="1"/>
  <c r="T85" i="27" s="1"/>
  <c r="T86" i="27" s="1"/>
  <c r="T87" i="27" s="1"/>
  <c r="T88" i="27" s="1"/>
  <c r="T89" i="27" s="1"/>
  <c r="T90" i="27" s="1"/>
  <c r="T91" i="27" s="1"/>
  <c r="T92" i="27" s="1"/>
  <c r="T93" i="27" s="1"/>
  <c r="T94" i="27" s="1"/>
  <c r="T95" i="27" s="1"/>
  <c r="T96" i="27" s="1"/>
  <c r="T97" i="27" s="1"/>
  <c r="T98" i="27" s="1"/>
  <c r="T99" i="27" s="1"/>
  <c r="T100" i="27" s="1"/>
  <c r="T101" i="27" s="1"/>
  <c r="T102" i="27" s="1"/>
  <c r="T103" i="27" s="1"/>
  <c r="T104" i="27" s="1"/>
  <c r="T105" i="27" s="1"/>
  <c r="T106" i="27" s="1"/>
  <c r="T107" i="27" s="1"/>
  <c r="T108" i="27" s="1"/>
  <c r="T109" i="27" s="1"/>
  <c r="T110" i="27" s="1"/>
  <c r="T111" i="27" s="1"/>
  <c r="T112" i="27" s="1"/>
  <c r="T113" i="27" s="1"/>
  <c r="T114" i="27" s="1"/>
  <c r="T115" i="27" s="1"/>
  <c r="T116" i="27" s="1"/>
  <c r="T117" i="27" s="1"/>
  <c r="T118" i="27" s="1"/>
  <c r="T119" i="27" s="1"/>
  <c r="T120" i="27" s="1"/>
  <c r="T121" i="27" s="1"/>
  <c r="T122" i="27" s="1"/>
  <c r="T123" i="27" s="1"/>
  <c r="T124" i="27" s="1"/>
  <c r="T125" i="27" s="1"/>
  <c r="T126" i="27" s="1"/>
  <c r="T127" i="27" s="1"/>
  <c r="T128" i="27" s="1"/>
  <c r="T129" i="27" s="1"/>
  <c r="T130" i="27" s="1"/>
  <c r="T131" i="27" s="1"/>
  <c r="T132" i="27" s="1"/>
  <c r="T133" i="27" s="1"/>
  <c r="T134" i="27" s="1"/>
  <c r="T135" i="27" s="1"/>
  <c r="T136" i="27" s="1"/>
  <c r="T137" i="27" s="1"/>
  <c r="T138" i="27" s="1"/>
  <c r="T139" i="27" s="1"/>
  <c r="T140" i="27" s="1"/>
  <c r="T141" i="27" s="1"/>
  <c r="T142" i="27" s="1"/>
  <c r="T143" i="27" s="1"/>
  <c r="T144" i="27" s="1"/>
  <c r="T145" i="27" s="1"/>
  <c r="T146" i="27" s="1"/>
  <c r="T147" i="27" s="1"/>
  <c r="T148" i="27" s="1"/>
  <c r="T149" i="27" s="1"/>
  <c r="T150" i="27" s="1"/>
  <c r="T151" i="27" s="1"/>
  <c r="T152" i="27" s="1"/>
  <c r="T153" i="27" s="1"/>
  <c r="T154" i="27" s="1"/>
  <c r="T155" i="27" s="1"/>
  <c r="T156" i="27" s="1"/>
  <c r="T157" i="27" s="1"/>
  <c r="T158" i="27" s="1"/>
  <c r="T159" i="27" s="1"/>
  <c r="T160" i="27" s="1"/>
  <c r="T161" i="27" s="1"/>
  <c r="T162" i="27" s="1"/>
  <c r="T163" i="27" s="1"/>
  <c r="T164" i="27" s="1"/>
  <c r="T165" i="27" s="1"/>
  <c r="T166" i="27" s="1"/>
  <c r="T167" i="27" s="1"/>
  <c r="T168" i="27" s="1"/>
  <c r="T169" i="27" s="1"/>
  <c r="T170" i="27" s="1"/>
  <c r="T171" i="27" s="1"/>
  <c r="T172" i="27" s="1"/>
  <c r="T173" i="27" s="1"/>
  <c r="T174" i="27" s="1"/>
  <c r="T175" i="27" s="1"/>
  <c r="T176" i="27" s="1"/>
  <c r="T177" i="27" s="1"/>
  <c r="T178" i="27" s="1"/>
  <c r="T179" i="27" s="1"/>
  <c r="T180" i="27" s="1"/>
  <c r="T181" i="27" s="1"/>
  <c r="T182" i="27" s="1"/>
  <c r="T183" i="27" s="1"/>
  <c r="T184" i="27" s="1"/>
  <c r="T185" i="27" s="1"/>
  <c r="T186" i="27" s="1"/>
  <c r="T187" i="27" s="1"/>
  <c r="T188" i="27" s="1"/>
  <c r="T189" i="27" s="1"/>
  <c r="T190" i="27" s="1"/>
  <c r="T191" i="27" s="1"/>
  <c r="T192" i="27" s="1"/>
  <c r="T193" i="27" s="1"/>
  <c r="T194" i="27" s="1"/>
  <c r="T195" i="27" s="1"/>
  <c r="T196" i="27" s="1"/>
  <c r="T197" i="27" s="1"/>
  <c r="T198" i="27" s="1"/>
  <c r="T199" i="27" s="1"/>
  <c r="T200" i="27" s="1"/>
  <c r="T201" i="27" s="1"/>
  <c r="T202" i="27" s="1"/>
  <c r="T203" i="27" s="1"/>
  <c r="T204" i="27" s="1"/>
  <c r="T205" i="27" s="1"/>
  <c r="T206" i="27" s="1"/>
  <c r="T207" i="27" s="1"/>
  <c r="T208" i="27" s="1"/>
  <c r="T209" i="27" s="1"/>
  <c r="T210" i="27" s="1"/>
  <c r="T211" i="27" s="1"/>
  <c r="T212" i="27" s="1"/>
  <c r="T213" i="27" s="1"/>
  <c r="T214" i="27" s="1"/>
  <c r="T215" i="27" s="1"/>
  <c r="T216" i="27" s="1"/>
  <c r="T217" i="27" s="1"/>
  <c r="T218" i="27" s="1"/>
  <c r="T219" i="27" s="1"/>
  <c r="T220" i="27" s="1"/>
  <c r="T221" i="27" s="1"/>
  <c r="T222" i="27" s="1"/>
  <c r="T223" i="27" s="1"/>
  <c r="T224" i="27" s="1"/>
  <c r="T225" i="27" s="1"/>
  <c r="T226" i="27" s="1"/>
  <c r="T227" i="27" s="1"/>
  <c r="T228" i="27" s="1"/>
  <c r="T229" i="27" s="1"/>
  <c r="T230" i="27" s="1"/>
  <c r="T231" i="27" s="1"/>
  <c r="T232" i="27" s="1"/>
  <c r="T233" i="27" s="1"/>
  <c r="T234" i="27" s="1"/>
  <c r="T235" i="27" s="1"/>
  <c r="T236" i="27" s="1"/>
  <c r="T237" i="27" s="1"/>
  <c r="T238" i="27" s="1"/>
  <c r="T239" i="27" s="1"/>
  <c r="T240" i="27" s="1"/>
  <c r="T241" i="27" s="1"/>
  <c r="T242" i="27" s="1"/>
  <c r="T243" i="27" s="1"/>
  <c r="T244" i="27" s="1"/>
  <c r="T245" i="27" s="1"/>
  <c r="T246" i="27" s="1"/>
  <c r="T247" i="27" s="1"/>
  <c r="T248" i="27" s="1"/>
  <c r="T249" i="27" s="1"/>
  <c r="T250" i="27" s="1"/>
  <c r="T251" i="27" s="1"/>
  <c r="T252" i="27" s="1"/>
  <c r="T253" i="27" s="1"/>
  <c r="T254" i="27" s="1"/>
  <c r="T255" i="27" s="1"/>
  <c r="T256" i="27" s="1"/>
  <c r="T257" i="27" s="1"/>
  <c r="T258" i="27" s="1"/>
  <c r="T259" i="27" s="1"/>
  <c r="T260" i="27" s="1"/>
  <c r="T261" i="27" s="1"/>
  <c r="T262" i="27" s="1"/>
  <c r="T263" i="27" s="1"/>
  <c r="T264" i="27" s="1"/>
  <c r="T265" i="27" s="1"/>
  <c r="T266" i="27" s="1"/>
  <c r="T267" i="27" s="1"/>
  <c r="T268" i="27" s="1"/>
  <c r="T269" i="27" s="1"/>
  <c r="T270" i="27" s="1"/>
  <c r="T271" i="27" s="1"/>
  <c r="T272" i="27" s="1"/>
  <c r="T273" i="27" s="1"/>
  <c r="T274" i="27" s="1"/>
  <c r="T275" i="27" s="1"/>
  <c r="T276" i="27" s="1"/>
  <c r="T277" i="27" s="1"/>
  <c r="T278" i="27" s="1"/>
  <c r="T279" i="27" s="1"/>
  <c r="T280" i="27" s="1"/>
  <c r="T281" i="27" s="1"/>
  <c r="T282" i="27" s="1"/>
  <c r="T283" i="27" s="1"/>
  <c r="T284" i="27" s="1"/>
  <c r="T285" i="27" s="1"/>
  <c r="T286" i="27" s="1"/>
  <c r="T287" i="27" s="1"/>
  <c r="T288" i="27" s="1"/>
  <c r="T289" i="27" s="1"/>
  <c r="T290" i="27" s="1"/>
  <c r="T291" i="27" s="1"/>
  <c r="T292" i="27" s="1"/>
  <c r="T293" i="27" s="1"/>
  <c r="T294" i="27" s="1"/>
  <c r="T295" i="27" s="1"/>
  <c r="T296" i="27" s="1"/>
  <c r="T297" i="27" s="1"/>
  <c r="T298" i="27" s="1"/>
  <c r="T299" i="27" s="1"/>
  <c r="T300" i="27" s="1"/>
  <c r="T301" i="27" s="1"/>
  <c r="T302" i="27" s="1"/>
  <c r="T303" i="27" s="1"/>
  <c r="T304" i="27" s="1"/>
  <c r="T305" i="27" s="1"/>
  <c r="T306" i="27" s="1"/>
  <c r="T307" i="27" s="1"/>
  <c r="T308" i="27" s="1"/>
  <c r="T309" i="27" s="1"/>
  <c r="T310" i="27" s="1"/>
  <c r="T311" i="27" s="1"/>
  <c r="T312" i="27" s="1"/>
  <c r="T313" i="27" s="1"/>
  <c r="T314" i="27" s="1"/>
  <c r="T315" i="27" s="1"/>
  <c r="T316" i="27" s="1"/>
  <c r="T317" i="27" s="1"/>
  <c r="T318" i="27" s="1"/>
  <c r="T319" i="27" s="1"/>
  <c r="T320" i="27" s="1"/>
  <c r="T321" i="27" s="1"/>
  <c r="T322" i="27" s="1"/>
  <c r="T323" i="27" s="1"/>
  <c r="T324" i="27" s="1"/>
  <c r="T325" i="27" s="1"/>
  <c r="T326" i="27" s="1"/>
  <c r="T327" i="27" s="1"/>
  <c r="T328" i="27" s="1"/>
  <c r="T329" i="27" s="1"/>
  <c r="T330" i="27" s="1"/>
  <c r="T331" i="27" s="1"/>
  <c r="T332" i="27" s="1"/>
  <c r="T333" i="27" s="1"/>
  <c r="T334" i="27" s="1"/>
  <c r="T335" i="27" s="1"/>
  <c r="T336" i="27" s="1"/>
  <c r="T337" i="27" s="1"/>
  <c r="T338" i="27" s="1"/>
  <c r="T339" i="27" s="1"/>
  <c r="T340" i="27" s="1"/>
  <c r="T341" i="27" s="1"/>
  <c r="T342" i="27" s="1"/>
  <c r="T343" i="27" s="1"/>
  <c r="T344" i="27" s="1"/>
  <c r="T345" i="27" s="1"/>
  <c r="T346" i="27" s="1"/>
  <c r="T347" i="27" s="1"/>
  <c r="T348" i="27" s="1"/>
  <c r="T349" i="27" s="1"/>
  <c r="T350" i="27" s="1"/>
  <c r="T351" i="27" s="1"/>
  <c r="T352" i="27" s="1"/>
  <c r="T353" i="27" s="1"/>
  <c r="T354" i="27" s="1"/>
  <c r="T355" i="27" s="1"/>
  <c r="T356" i="27" s="1"/>
  <c r="T357" i="27" s="1"/>
  <c r="T358" i="27" s="1"/>
  <c r="T359" i="27" s="1"/>
  <c r="T360" i="27" s="1"/>
  <c r="T361" i="27" s="1"/>
  <c r="T362" i="27" s="1"/>
  <c r="T363" i="27" s="1"/>
  <c r="T364" i="27" s="1"/>
  <c r="T365" i="27" s="1"/>
  <c r="T366" i="27" s="1"/>
  <c r="T367" i="27" s="1"/>
  <c r="T368" i="27" s="1"/>
  <c r="T369" i="27" s="1"/>
  <c r="T370" i="27" s="1"/>
  <c r="T371" i="27" s="1"/>
  <c r="T372" i="27" s="1"/>
  <c r="T373" i="27" s="1"/>
  <c r="T374" i="27" s="1"/>
  <c r="T375" i="27" s="1"/>
  <c r="T376" i="27" s="1"/>
  <c r="T377" i="27" s="1"/>
  <c r="T378" i="27" s="1"/>
  <c r="T379" i="27" s="1"/>
  <c r="T380" i="27" s="1"/>
  <c r="T381" i="27" s="1"/>
  <c r="T382" i="27" s="1"/>
  <c r="T383" i="27" s="1"/>
  <c r="T384" i="27" s="1"/>
  <c r="T385" i="27" s="1"/>
  <c r="T386" i="27" s="1"/>
  <c r="T387" i="27" s="1"/>
  <c r="T388" i="27" s="1"/>
  <c r="T389" i="27" s="1"/>
  <c r="T390" i="27" s="1"/>
  <c r="T391" i="27" s="1"/>
  <c r="T392" i="27" s="1"/>
  <c r="T393" i="27" s="1"/>
  <c r="T394" i="27" s="1"/>
  <c r="T395" i="27" s="1"/>
  <c r="T396" i="27" s="1"/>
  <c r="T397" i="27" s="1"/>
  <c r="T398" i="27" s="1"/>
  <c r="T399" i="27" s="1"/>
  <c r="T400" i="27" s="1"/>
  <c r="T401" i="27" s="1"/>
  <c r="T402" i="27" s="1"/>
  <c r="T403" i="27" s="1"/>
  <c r="T404" i="27" s="1"/>
  <c r="T405" i="27" s="1"/>
  <c r="T406" i="27" s="1"/>
  <c r="T407" i="27" s="1"/>
  <c r="T408" i="27" s="1"/>
  <c r="T409" i="27" s="1"/>
  <c r="T410" i="27" s="1"/>
  <c r="T411" i="27" s="1"/>
  <c r="T412" i="27" s="1"/>
  <c r="T413" i="27" s="1"/>
  <c r="T414" i="27" s="1"/>
  <c r="T415" i="27" s="1"/>
  <c r="T416" i="27" s="1"/>
  <c r="T417" i="27" s="1"/>
  <c r="T418" i="27" s="1"/>
  <c r="T419" i="27" s="1"/>
  <c r="T420" i="27" s="1"/>
  <c r="T421" i="27" s="1"/>
  <c r="T422" i="27" s="1"/>
  <c r="T423" i="27" s="1"/>
  <c r="T424" i="27" s="1"/>
  <c r="T425" i="27" s="1"/>
  <c r="T426" i="27" s="1"/>
  <c r="T427" i="27" s="1"/>
  <c r="T428" i="27" s="1"/>
  <c r="T429" i="27" s="1"/>
  <c r="T430" i="27" s="1"/>
  <c r="T431" i="27" s="1"/>
  <c r="T432" i="27" s="1"/>
  <c r="T433" i="27" s="1"/>
  <c r="T434" i="27" s="1"/>
  <c r="T435" i="27" s="1"/>
  <c r="T436" i="27" s="1"/>
  <c r="T437" i="27" s="1"/>
  <c r="T438" i="27" s="1"/>
  <c r="T439" i="27" s="1"/>
  <c r="T440" i="27" s="1"/>
  <c r="T441" i="27" s="1"/>
  <c r="T442" i="27" s="1"/>
  <c r="T443" i="27" s="1"/>
  <c r="T444" i="27" s="1"/>
  <c r="T445" i="27" s="1"/>
  <c r="T446" i="27" s="1"/>
  <c r="T447" i="27" s="1"/>
  <c r="T448" i="27" s="1"/>
  <c r="T449" i="27" s="1"/>
  <c r="T450" i="27" s="1"/>
  <c r="T451" i="27" s="1"/>
  <c r="T452" i="27" s="1"/>
  <c r="T453" i="27" s="1"/>
  <c r="T454" i="27" s="1"/>
  <c r="T455" i="27" s="1"/>
  <c r="T456" i="27" s="1"/>
  <c r="T457" i="27" s="1"/>
  <c r="T458" i="27" s="1"/>
  <c r="T459" i="27" s="1"/>
  <c r="T460" i="27" s="1"/>
  <c r="T461" i="27" s="1"/>
  <c r="T462" i="27" s="1"/>
  <c r="T463" i="27" s="1"/>
  <c r="T464" i="27" s="1"/>
  <c r="T465" i="27" s="1"/>
  <c r="T466" i="27" s="1"/>
  <c r="T467" i="27" s="1"/>
  <c r="T468" i="27" s="1"/>
  <c r="T469" i="27" s="1"/>
  <c r="T470" i="27" s="1"/>
  <c r="T471" i="27" s="1"/>
  <c r="T472" i="27" s="1"/>
  <c r="T473" i="27" s="1"/>
  <c r="T474" i="27" s="1"/>
  <c r="T475" i="27" s="1"/>
  <c r="T476" i="27" s="1"/>
  <c r="T477" i="27" s="1"/>
  <c r="T478" i="27" s="1"/>
  <c r="T479" i="27" s="1"/>
  <c r="T480" i="27" s="1"/>
  <c r="T481" i="27" s="1"/>
  <c r="T482" i="27" s="1"/>
  <c r="T483" i="27" s="1"/>
  <c r="T484" i="27" s="1"/>
  <c r="T485" i="27" s="1"/>
  <c r="T486" i="27" s="1"/>
  <c r="T487" i="27" s="1"/>
  <c r="T488" i="27" s="1"/>
  <c r="T489" i="27" s="1"/>
  <c r="T490" i="27" s="1"/>
  <c r="T491" i="27" s="1"/>
  <c r="T492" i="27" s="1"/>
  <c r="N9" i="27"/>
  <c r="L13" i="27" s="1"/>
  <c r="L14" i="27" s="1"/>
  <c r="L15" i="27" s="1"/>
  <c r="L16" i="27" s="1"/>
  <c r="L17" i="27" s="1"/>
  <c r="L18" i="27" s="1"/>
  <c r="L19" i="27" s="1"/>
  <c r="L20" i="27" s="1"/>
  <c r="L21" i="27" s="1"/>
  <c r="L22" i="27" s="1"/>
  <c r="L23" i="27" s="1"/>
  <c r="L24" i="27" s="1"/>
  <c r="L25" i="27" s="1"/>
  <c r="L26" i="27" s="1"/>
  <c r="L27" i="27" s="1"/>
  <c r="L28" i="27" s="1"/>
  <c r="L29" i="27" s="1"/>
  <c r="L30" i="27" s="1"/>
  <c r="L31" i="27" s="1"/>
  <c r="L32" i="27" s="1"/>
  <c r="L33" i="27" s="1"/>
  <c r="L34" i="27" s="1"/>
  <c r="L35" i="27" s="1"/>
  <c r="L36" i="27" s="1"/>
  <c r="L37" i="27" s="1"/>
  <c r="L38" i="27" s="1"/>
  <c r="L39" i="27" s="1"/>
  <c r="L40" i="27" s="1"/>
  <c r="L41" i="27" s="1"/>
  <c r="L42" i="27" s="1"/>
  <c r="L43" i="27" s="1"/>
  <c r="L44" i="27" s="1"/>
  <c r="L45" i="27" s="1"/>
  <c r="L46" i="27" s="1"/>
  <c r="L47" i="27" s="1"/>
  <c r="L48" i="27" s="1"/>
  <c r="L49" i="27" s="1"/>
  <c r="L50" i="27" s="1"/>
  <c r="L51" i="27" s="1"/>
  <c r="L52" i="27" s="1"/>
  <c r="L53" i="27" s="1"/>
  <c r="L54" i="27" s="1"/>
  <c r="L55" i="27" s="1"/>
  <c r="L56" i="27" s="1"/>
  <c r="L57" i="27" s="1"/>
  <c r="L58" i="27" s="1"/>
  <c r="L59" i="27" s="1"/>
  <c r="L60" i="27" s="1"/>
  <c r="L61" i="27" s="1"/>
  <c r="L62" i="27" s="1"/>
  <c r="L63" i="27" s="1"/>
  <c r="L64" i="27" s="1"/>
  <c r="L65" i="27" s="1"/>
  <c r="L66" i="27" s="1"/>
  <c r="L67" i="27" s="1"/>
  <c r="L68" i="27" s="1"/>
  <c r="L69" i="27" s="1"/>
  <c r="L70" i="27" s="1"/>
  <c r="L71" i="27" s="1"/>
  <c r="L72" i="27" s="1"/>
  <c r="L73" i="27" s="1"/>
  <c r="L74" i="27" s="1"/>
  <c r="L75" i="27" s="1"/>
  <c r="L76" i="27" s="1"/>
  <c r="L77" i="27" s="1"/>
  <c r="L78" i="27" s="1"/>
  <c r="L79" i="27" s="1"/>
  <c r="L80" i="27" s="1"/>
  <c r="L81" i="27" s="1"/>
  <c r="L82" i="27" s="1"/>
  <c r="L83" i="27" s="1"/>
  <c r="L84" i="27" s="1"/>
  <c r="L85" i="27" s="1"/>
  <c r="L86" i="27" s="1"/>
  <c r="L87" i="27" s="1"/>
  <c r="L88" i="27" s="1"/>
  <c r="L89" i="27" s="1"/>
  <c r="L90" i="27" s="1"/>
  <c r="L91" i="27" s="1"/>
  <c r="L92" i="27" s="1"/>
  <c r="L93" i="27" s="1"/>
  <c r="L94" i="27" s="1"/>
  <c r="L95" i="27" s="1"/>
  <c r="L96" i="27" s="1"/>
  <c r="L97" i="27" s="1"/>
  <c r="L98" i="27" s="1"/>
  <c r="L99" i="27" s="1"/>
  <c r="L100" i="27" s="1"/>
  <c r="L101" i="27" s="1"/>
  <c r="L102" i="27" s="1"/>
  <c r="L103" i="27" s="1"/>
  <c r="L104" i="27" s="1"/>
  <c r="L105" i="27" s="1"/>
  <c r="L106" i="27" s="1"/>
  <c r="L107" i="27" s="1"/>
  <c r="L108" i="27" s="1"/>
  <c r="L109" i="27" s="1"/>
  <c r="L110" i="27" s="1"/>
  <c r="L111" i="27" s="1"/>
  <c r="L112" i="27" s="1"/>
  <c r="L113" i="27" s="1"/>
  <c r="L114" i="27" s="1"/>
  <c r="L115" i="27" s="1"/>
  <c r="L116" i="27" s="1"/>
  <c r="L117" i="27" s="1"/>
  <c r="L118" i="27" s="1"/>
  <c r="L119" i="27" s="1"/>
  <c r="L120" i="27" s="1"/>
  <c r="L121" i="27" s="1"/>
  <c r="L122" i="27" s="1"/>
  <c r="L123" i="27" s="1"/>
  <c r="L124" i="27" s="1"/>
  <c r="L125" i="27" s="1"/>
  <c r="L126" i="27" s="1"/>
  <c r="L127" i="27" s="1"/>
  <c r="L128" i="27" s="1"/>
  <c r="L129" i="27" s="1"/>
  <c r="L130" i="27" s="1"/>
  <c r="L131" i="27" s="1"/>
  <c r="L132" i="27" s="1"/>
  <c r="L133" i="27" s="1"/>
  <c r="L134" i="27" s="1"/>
  <c r="L135" i="27" s="1"/>
  <c r="L136" i="27" s="1"/>
  <c r="L137" i="27" s="1"/>
  <c r="L138" i="27" s="1"/>
  <c r="L139" i="27" s="1"/>
  <c r="L140" i="27" s="1"/>
  <c r="L141" i="27" s="1"/>
  <c r="L142" i="27" s="1"/>
  <c r="L143" i="27" s="1"/>
  <c r="L144" i="27" s="1"/>
  <c r="L145" i="27" s="1"/>
  <c r="L146" i="27" s="1"/>
  <c r="L147" i="27" s="1"/>
  <c r="L148" i="27" s="1"/>
  <c r="L149" i="27" s="1"/>
  <c r="L150" i="27" s="1"/>
  <c r="L151" i="27" s="1"/>
  <c r="L152" i="27" s="1"/>
  <c r="L153" i="27" s="1"/>
  <c r="L154" i="27" s="1"/>
  <c r="L155" i="27" s="1"/>
  <c r="L156" i="27" s="1"/>
  <c r="L157" i="27" s="1"/>
  <c r="L158" i="27" s="1"/>
  <c r="L159" i="27" s="1"/>
  <c r="L160" i="27" s="1"/>
  <c r="L161" i="27" s="1"/>
  <c r="L162" i="27" s="1"/>
  <c r="L163" i="27" s="1"/>
  <c r="L164" i="27" s="1"/>
  <c r="L165" i="27" s="1"/>
  <c r="L166" i="27" s="1"/>
  <c r="L167" i="27" s="1"/>
  <c r="L168" i="27" s="1"/>
  <c r="L169" i="27" s="1"/>
  <c r="L170" i="27" s="1"/>
  <c r="L171" i="27" s="1"/>
  <c r="L172" i="27" s="1"/>
  <c r="L173" i="27" s="1"/>
  <c r="L174" i="27" s="1"/>
  <c r="L175" i="27" s="1"/>
  <c r="L176" i="27" s="1"/>
  <c r="L177" i="27" s="1"/>
  <c r="L178" i="27" s="1"/>
  <c r="L179" i="27" s="1"/>
  <c r="L180" i="27" s="1"/>
  <c r="L181" i="27" s="1"/>
  <c r="L182" i="27" s="1"/>
  <c r="L183" i="27" s="1"/>
  <c r="L184" i="27" s="1"/>
  <c r="L185" i="27" s="1"/>
  <c r="L186" i="27" s="1"/>
  <c r="L187" i="27" s="1"/>
  <c r="L188" i="27" s="1"/>
  <c r="L189" i="27" s="1"/>
  <c r="L190" i="27" s="1"/>
  <c r="L191" i="27" s="1"/>
  <c r="L192" i="27" s="1"/>
  <c r="L193" i="27" s="1"/>
  <c r="L194" i="27" s="1"/>
  <c r="L195" i="27" s="1"/>
  <c r="L196" i="27" s="1"/>
  <c r="L197" i="27" s="1"/>
  <c r="L198" i="27" s="1"/>
  <c r="L199" i="27" s="1"/>
  <c r="L200" i="27" s="1"/>
  <c r="L201" i="27" s="1"/>
  <c r="L202" i="27" s="1"/>
  <c r="L203" i="27" s="1"/>
  <c r="L204" i="27" s="1"/>
  <c r="L205" i="27" s="1"/>
  <c r="L206" i="27" s="1"/>
  <c r="L207" i="27" s="1"/>
  <c r="L208" i="27" s="1"/>
  <c r="L209" i="27" s="1"/>
  <c r="L210" i="27" s="1"/>
  <c r="L211" i="27" s="1"/>
  <c r="L212" i="27" s="1"/>
  <c r="L213" i="27" s="1"/>
  <c r="L214" i="27" s="1"/>
  <c r="L215" i="27" s="1"/>
  <c r="L216" i="27" s="1"/>
  <c r="L217" i="27" s="1"/>
  <c r="L218" i="27" s="1"/>
  <c r="L219" i="27" s="1"/>
  <c r="L220" i="27" s="1"/>
  <c r="L221" i="27" s="1"/>
  <c r="L222" i="27" s="1"/>
  <c r="L223" i="27" s="1"/>
  <c r="L224" i="27" s="1"/>
  <c r="L225" i="27" s="1"/>
  <c r="L226" i="27" s="1"/>
  <c r="L227" i="27" s="1"/>
  <c r="L228" i="27" s="1"/>
  <c r="L229" i="27" s="1"/>
  <c r="L230" i="27" s="1"/>
  <c r="L231" i="27" s="1"/>
  <c r="L232" i="27" s="1"/>
  <c r="L233" i="27" s="1"/>
  <c r="L234" i="27" s="1"/>
  <c r="L235" i="27" s="1"/>
  <c r="L236" i="27" s="1"/>
  <c r="L237" i="27" s="1"/>
  <c r="L238" i="27" s="1"/>
  <c r="L239" i="27" s="1"/>
  <c r="L240" i="27" s="1"/>
  <c r="L241" i="27" s="1"/>
  <c r="L242" i="27" s="1"/>
  <c r="L243" i="27" s="1"/>
  <c r="L244" i="27" s="1"/>
  <c r="L245" i="27" s="1"/>
  <c r="L246" i="27" s="1"/>
  <c r="L247" i="27" s="1"/>
  <c r="L248" i="27" s="1"/>
  <c r="L249" i="27" s="1"/>
  <c r="L250" i="27" s="1"/>
  <c r="L251" i="27" s="1"/>
  <c r="L252" i="27" s="1"/>
  <c r="L253" i="27" s="1"/>
  <c r="L254" i="27" s="1"/>
  <c r="L255" i="27" s="1"/>
  <c r="L256" i="27" s="1"/>
  <c r="L257" i="27" s="1"/>
  <c r="L258" i="27" s="1"/>
  <c r="L259" i="27" s="1"/>
  <c r="L260" i="27" s="1"/>
  <c r="L261" i="27" s="1"/>
  <c r="L262" i="27" s="1"/>
  <c r="L263" i="27" s="1"/>
  <c r="L264" i="27" s="1"/>
  <c r="L265" i="27" s="1"/>
  <c r="L266" i="27" s="1"/>
  <c r="L267" i="27" s="1"/>
  <c r="L268" i="27" s="1"/>
  <c r="L269" i="27" s="1"/>
  <c r="L270" i="27" s="1"/>
  <c r="L271" i="27" s="1"/>
  <c r="L272" i="27" s="1"/>
  <c r="L273" i="27" s="1"/>
  <c r="L274" i="27" s="1"/>
  <c r="L275" i="27" s="1"/>
  <c r="L276" i="27" s="1"/>
  <c r="L277" i="27" s="1"/>
  <c r="L278" i="27" s="1"/>
  <c r="L279" i="27" s="1"/>
  <c r="L280" i="27" s="1"/>
  <c r="L281" i="27" s="1"/>
  <c r="L282" i="27" s="1"/>
  <c r="L283" i="27" s="1"/>
  <c r="L284" i="27" s="1"/>
  <c r="L285" i="27" s="1"/>
  <c r="L286" i="27" s="1"/>
  <c r="L287" i="27" s="1"/>
  <c r="L288" i="27" s="1"/>
  <c r="L289" i="27" s="1"/>
  <c r="L290" i="27" s="1"/>
  <c r="L291" i="27" s="1"/>
  <c r="L292" i="27" s="1"/>
  <c r="L293" i="27" s="1"/>
  <c r="L294" i="27" s="1"/>
  <c r="L295" i="27" s="1"/>
  <c r="L296" i="27" s="1"/>
  <c r="L297" i="27" s="1"/>
  <c r="L298" i="27" s="1"/>
  <c r="L299" i="27" s="1"/>
  <c r="L300" i="27" s="1"/>
  <c r="L301" i="27" s="1"/>
  <c r="L302" i="27" s="1"/>
  <c r="L303" i="27" s="1"/>
  <c r="L304" i="27" s="1"/>
  <c r="L305" i="27" s="1"/>
  <c r="L306" i="27" s="1"/>
  <c r="L307" i="27" s="1"/>
  <c r="L308" i="27" s="1"/>
  <c r="L309" i="27" s="1"/>
  <c r="L310" i="27" s="1"/>
  <c r="L311" i="27" s="1"/>
  <c r="L312" i="27" s="1"/>
  <c r="L313" i="27" s="1"/>
  <c r="L314" i="27" s="1"/>
  <c r="L315" i="27" s="1"/>
  <c r="L316" i="27" s="1"/>
  <c r="L317" i="27" s="1"/>
  <c r="L318" i="27" s="1"/>
  <c r="L319" i="27" s="1"/>
  <c r="L320" i="27" s="1"/>
  <c r="L321" i="27" s="1"/>
  <c r="L322" i="27" s="1"/>
  <c r="L323" i="27" s="1"/>
  <c r="L324" i="27" s="1"/>
  <c r="L325" i="27" s="1"/>
  <c r="L326" i="27" s="1"/>
  <c r="L327" i="27" s="1"/>
  <c r="L328" i="27" s="1"/>
  <c r="L329" i="27" s="1"/>
  <c r="L330" i="27" s="1"/>
  <c r="L331" i="27" s="1"/>
  <c r="L332" i="27" s="1"/>
  <c r="L333" i="27" s="1"/>
  <c r="L334" i="27" s="1"/>
  <c r="L335" i="27" s="1"/>
  <c r="L336" i="27" s="1"/>
  <c r="L337" i="27" s="1"/>
  <c r="L338" i="27" s="1"/>
  <c r="L339" i="27" s="1"/>
  <c r="L340" i="27" s="1"/>
  <c r="L341" i="27" s="1"/>
  <c r="L342" i="27" s="1"/>
  <c r="L343" i="27" s="1"/>
  <c r="L344" i="27" s="1"/>
  <c r="L345" i="27" s="1"/>
  <c r="L346" i="27" s="1"/>
  <c r="L347" i="27" s="1"/>
  <c r="L348" i="27" s="1"/>
  <c r="L349" i="27" s="1"/>
  <c r="L350" i="27" s="1"/>
  <c r="L351" i="27" s="1"/>
  <c r="L352" i="27" s="1"/>
  <c r="L353" i="27" s="1"/>
  <c r="L354" i="27" s="1"/>
  <c r="L355" i="27" s="1"/>
  <c r="L356" i="27" s="1"/>
  <c r="L357" i="27" s="1"/>
  <c r="L358" i="27" s="1"/>
  <c r="L359" i="27" s="1"/>
  <c r="L360" i="27" s="1"/>
  <c r="L361" i="27" s="1"/>
  <c r="L362" i="27" s="1"/>
  <c r="L363" i="27" s="1"/>
  <c r="L364" i="27" s="1"/>
  <c r="L365" i="27" s="1"/>
  <c r="L366" i="27" s="1"/>
  <c r="L367" i="27" s="1"/>
  <c r="L368" i="27" s="1"/>
  <c r="L369" i="27" s="1"/>
  <c r="L370" i="27" s="1"/>
  <c r="L371" i="27" s="1"/>
  <c r="L372" i="27" s="1"/>
  <c r="L373" i="27" s="1"/>
  <c r="L374" i="27" s="1"/>
  <c r="L375" i="27" s="1"/>
  <c r="L376" i="27" s="1"/>
  <c r="L377" i="27" s="1"/>
  <c r="L378" i="27" s="1"/>
  <c r="L379" i="27" s="1"/>
  <c r="L380" i="27" s="1"/>
  <c r="L381" i="27" s="1"/>
  <c r="L382" i="27" s="1"/>
  <c r="L383" i="27" s="1"/>
  <c r="L384" i="27" s="1"/>
  <c r="L385" i="27" s="1"/>
  <c r="L386" i="27" s="1"/>
  <c r="L387" i="27" s="1"/>
  <c r="L388" i="27" s="1"/>
  <c r="L389" i="27" s="1"/>
  <c r="L390" i="27" s="1"/>
  <c r="L391" i="27" s="1"/>
  <c r="L392" i="27" s="1"/>
  <c r="L393" i="27" s="1"/>
  <c r="L394" i="27" s="1"/>
  <c r="L395" i="27" s="1"/>
  <c r="L396" i="27" s="1"/>
  <c r="L397" i="27" s="1"/>
  <c r="L398" i="27" s="1"/>
  <c r="L399" i="27" s="1"/>
  <c r="L400" i="27" s="1"/>
  <c r="L401" i="27" s="1"/>
  <c r="L402" i="27" s="1"/>
  <c r="L403" i="27" s="1"/>
  <c r="L404" i="27" s="1"/>
  <c r="L405" i="27" s="1"/>
  <c r="L406" i="27" s="1"/>
  <c r="L407" i="27" s="1"/>
  <c r="L408" i="27" s="1"/>
  <c r="L409" i="27" s="1"/>
  <c r="L410" i="27" s="1"/>
  <c r="L411" i="27" s="1"/>
  <c r="L412" i="27" s="1"/>
  <c r="L413" i="27" s="1"/>
  <c r="L414" i="27" s="1"/>
  <c r="L415" i="27" s="1"/>
  <c r="L416" i="27" s="1"/>
  <c r="L417" i="27" s="1"/>
  <c r="L418" i="27" s="1"/>
  <c r="L419" i="27" s="1"/>
  <c r="L420" i="27" s="1"/>
  <c r="L421" i="27" s="1"/>
  <c r="L422" i="27" s="1"/>
  <c r="L423" i="27" s="1"/>
  <c r="L424" i="27" s="1"/>
  <c r="L425" i="27" s="1"/>
  <c r="L426" i="27" s="1"/>
  <c r="L427" i="27" s="1"/>
  <c r="L428" i="27" s="1"/>
  <c r="L429" i="27" s="1"/>
  <c r="L430" i="27" s="1"/>
  <c r="L431" i="27" s="1"/>
  <c r="L432" i="27" s="1"/>
  <c r="L433" i="27" s="1"/>
  <c r="L434" i="27" s="1"/>
  <c r="L435" i="27" s="1"/>
  <c r="L436" i="27" s="1"/>
  <c r="L437" i="27" s="1"/>
  <c r="L438" i="27" s="1"/>
  <c r="L439" i="27" s="1"/>
  <c r="L440" i="27" s="1"/>
  <c r="L441" i="27" s="1"/>
  <c r="L442" i="27" s="1"/>
  <c r="L443" i="27" s="1"/>
  <c r="L444" i="27" s="1"/>
  <c r="L445" i="27" s="1"/>
  <c r="L446" i="27" s="1"/>
  <c r="L447" i="27" s="1"/>
  <c r="L448" i="27" s="1"/>
  <c r="L449" i="27" s="1"/>
  <c r="L450" i="27" s="1"/>
  <c r="L451" i="27" s="1"/>
  <c r="L452" i="27" s="1"/>
  <c r="L453" i="27" s="1"/>
  <c r="L454" i="27" s="1"/>
  <c r="L455" i="27" s="1"/>
  <c r="L456" i="27" s="1"/>
  <c r="L457" i="27" s="1"/>
  <c r="L458" i="27" s="1"/>
  <c r="L459" i="27" s="1"/>
  <c r="L460" i="27" s="1"/>
  <c r="L461" i="27" s="1"/>
  <c r="L462" i="27" s="1"/>
  <c r="L463" i="27" s="1"/>
  <c r="L464" i="27" s="1"/>
  <c r="L465" i="27" s="1"/>
  <c r="L466" i="27" s="1"/>
  <c r="L467" i="27" s="1"/>
  <c r="L468" i="27" s="1"/>
  <c r="L469" i="27" s="1"/>
  <c r="L470" i="27" s="1"/>
  <c r="L471" i="27" s="1"/>
  <c r="L472" i="27" s="1"/>
  <c r="L473" i="27" s="1"/>
  <c r="L474" i="27" s="1"/>
  <c r="L475" i="27" s="1"/>
  <c r="L476" i="27" s="1"/>
  <c r="L477" i="27" s="1"/>
  <c r="L478" i="27" s="1"/>
  <c r="L479" i="27" s="1"/>
  <c r="L480" i="27" s="1"/>
  <c r="L481" i="27" s="1"/>
  <c r="L482" i="27" s="1"/>
  <c r="L483" i="27" s="1"/>
  <c r="L484" i="27" s="1"/>
  <c r="L485" i="27" s="1"/>
  <c r="L486" i="27" s="1"/>
  <c r="L487" i="27" s="1"/>
  <c r="L488" i="27" s="1"/>
  <c r="L489" i="27" s="1"/>
  <c r="L490" i="27" s="1"/>
  <c r="L491" i="27" s="1"/>
  <c r="L492" i="27" s="1"/>
  <c r="E9" i="27"/>
  <c r="C13" i="27" s="1"/>
  <c r="A13" i="27" s="1"/>
  <c r="G67" i="3"/>
  <c r="I88" i="22"/>
  <c r="J83" i="22"/>
  <c r="I83" i="22"/>
  <c r="I74" i="22"/>
  <c r="I59" i="22"/>
  <c r="I26" i="22"/>
  <c r="I28" i="22" s="1"/>
  <c r="J74" i="22"/>
  <c r="J88" i="22"/>
  <c r="J59" i="22"/>
  <c r="F7" i="20"/>
  <c r="E7" i="20"/>
  <c r="F6" i="20"/>
  <c r="E6" i="20"/>
  <c r="E25" i="22"/>
  <c r="D25" i="22"/>
  <c r="C25" i="22"/>
  <c r="B9" i="63"/>
  <c r="B38" i="63"/>
  <c r="B41" i="63"/>
  <c r="C68" i="3"/>
  <c r="C67" i="3"/>
  <c r="C66" i="3"/>
  <c r="H10" i="66" s="1"/>
  <c r="B15" i="63"/>
  <c r="B52" i="20"/>
  <c r="B42" i="63"/>
  <c r="B28" i="63"/>
  <c r="B36" i="63"/>
  <c r="B35" i="63"/>
  <c r="B34" i="63"/>
  <c r="H34" i="63"/>
  <c r="H19" i="63"/>
  <c r="H18" i="63"/>
  <c r="B31" i="63"/>
  <c r="H31" i="63"/>
  <c r="H25" i="63"/>
  <c r="B27" i="63"/>
  <c r="B26" i="63"/>
  <c r="B25" i="63"/>
  <c r="D25" i="63"/>
  <c r="D24" i="63"/>
  <c r="H10" i="63"/>
  <c r="H14" i="63"/>
  <c r="N46" i="63"/>
  <c r="H16" i="63" s="1"/>
  <c r="B115" i="22"/>
  <c r="B112" i="22"/>
  <c r="H11" i="63"/>
  <c r="H12" i="63"/>
  <c r="B13" i="63"/>
  <c r="A43" i="63"/>
  <c r="A42" i="63"/>
  <c r="A41" i="63"/>
  <c r="A40" i="63"/>
  <c r="A38" i="63"/>
  <c r="A37" i="63"/>
  <c r="A36" i="63"/>
  <c r="A35" i="63"/>
  <c r="A34" i="63"/>
  <c r="A33" i="63"/>
  <c r="A31" i="63"/>
  <c r="A30" i="63"/>
  <c r="A29" i="63"/>
  <c r="A28" i="63"/>
  <c r="A27" i="63"/>
  <c r="A26" i="63"/>
  <c r="A25" i="63"/>
  <c r="A24" i="63"/>
  <c r="A23" i="63"/>
  <c r="A22" i="63"/>
  <c r="A19" i="63"/>
  <c r="A18" i="63"/>
  <c r="A17" i="63"/>
  <c r="A16" i="63"/>
  <c r="A15" i="63"/>
  <c r="A14" i="63"/>
  <c r="A13" i="63"/>
  <c r="A12" i="63"/>
  <c r="A11" i="63"/>
  <c r="A10" i="63"/>
  <c r="A9" i="63"/>
  <c r="A8" i="63"/>
  <c r="A7" i="63"/>
  <c r="I8" i="33"/>
  <c r="I7" i="33"/>
  <c r="A2" i="71"/>
  <c r="I269" i="3"/>
  <c r="I287" i="3"/>
  <c r="I234" i="3"/>
  <c r="I240" i="3"/>
  <c r="I262" i="3"/>
  <c r="I265" i="3"/>
  <c r="I279" i="3"/>
  <c r="I226" i="3"/>
  <c r="I232" i="3"/>
  <c r="I254" i="3"/>
  <c r="I303" i="3"/>
  <c r="I245" i="3"/>
  <c r="I239" i="3"/>
  <c r="I284" i="3"/>
  <c r="I267" i="3"/>
  <c r="I302" i="3"/>
  <c r="I241" i="3"/>
  <c r="I231" i="3"/>
  <c r="I280" i="3"/>
  <c r="I227" i="3"/>
  <c r="I282" i="3"/>
  <c r="I235" i="3"/>
  <c r="I289" i="3"/>
  <c r="I274" i="3"/>
  <c r="I264" i="3"/>
  <c r="I237" i="3"/>
  <c r="I298" i="3"/>
  <c r="I251" i="3"/>
  <c r="I297" i="3"/>
  <c r="I290" i="3"/>
  <c r="I272" i="3"/>
  <c r="I270" i="3"/>
  <c r="I277" i="3"/>
  <c r="I250" i="3"/>
  <c r="I252" i="3"/>
  <c r="I273" i="3"/>
  <c r="I295" i="3"/>
  <c r="I248" i="3"/>
  <c r="I285" i="3"/>
  <c r="I266" i="3"/>
  <c r="I260" i="3"/>
  <c r="I281" i="3"/>
  <c r="I236" i="3"/>
  <c r="I256" i="3"/>
  <c r="I286" i="3"/>
  <c r="I261" i="3"/>
  <c r="I271" i="3"/>
  <c r="I299" i="3"/>
  <c r="I246" i="3"/>
  <c r="I263" i="3"/>
  <c r="I296" i="3"/>
  <c r="I253" i="3"/>
  <c r="I255" i="3"/>
  <c r="I292" i="3"/>
  <c r="I283" i="3"/>
  <c r="I230" i="3"/>
  <c r="I249" i="3"/>
  <c r="I247" i="3"/>
  <c r="I288" i="3"/>
  <c r="I275" i="3"/>
  <c r="I259" i="3"/>
  <c r="I293" i="3"/>
  <c r="I229" i="3"/>
  <c r="I268" i="3"/>
  <c r="I225" i="3"/>
  <c r="I301" i="3"/>
  <c r="I276" i="3"/>
  <c r="I233" i="3"/>
  <c r="I243" i="3"/>
  <c r="I228" i="3"/>
  <c r="I278" i="3"/>
  <c r="I242" i="3"/>
  <c r="I244" i="3"/>
  <c r="I294" i="3"/>
  <c r="I258" i="3"/>
  <c r="I238" i="3"/>
  <c r="I300" i="3"/>
  <c r="I257" i="3"/>
  <c r="I291" i="3"/>
  <c r="B8" i="60"/>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F116" i="3"/>
  <c r="B29" i="20"/>
  <c r="C27" i="23"/>
  <c r="C26" i="23"/>
  <c r="C25" i="23"/>
  <c r="C24" i="23"/>
  <c r="K39" i="61"/>
  <c r="J39" i="61"/>
  <c r="I39" i="61"/>
  <c r="H39" i="61"/>
  <c r="G39" i="61"/>
  <c r="F39" i="61"/>
  <c r="E39" i="61"/>
  <c r="D39" i="61"/>
  <c r="C39" i="61"/>
  <c r="B39" i="61"/>
  <c r="K27" i="61"/>
  <c r="J27" i="61"/>
  <c r="I27" i="61"/>
  <c r="H27" i="61"/>
  <c r="G27" i="61"/>
  <c r="F27" i="61"/>
  <c r="E27" i="61"/>
  <c r="D27" i="61"/>
  <c r="C27" i="61"/>
  <c r="B27" i="61"/>
  <c r="K15" i="61"/>
  <c r="J15" i="61"/>
  <c r="I15" i="61"/>
  <c r="H15" i="61"/>
  <c r="G15" i="61"/>
  <c r="F15" i="61"/>
  <c r="E15" i="61"/>
  <c r="D15" i="61"/>
  <c r="C15" i="61"/>
  <c r="B15" i="61"/>
  <c r="K3" i="61"/>
  <c r="J3" i="61"/>
  <c r="I3" i="61"/>
  <c r="H3" i="61"/>
  <c r="G3" i="61"/>
  <c r="F3" i="61"/>
  <c r="E3" i="61"/>
  <c r="D3" i="61"/>
  <c r="C3" i="61"/>
  <c r="B3" i="61"/>
  <c r="N7" i="5"/>
  <c r="H48" i="3"/>
  <c r="A2" i="32"/>
  <c r="BJ4" i="27"/>
  <c r="BB4" i="27"/>
  <c r="AT4" i="27"/>
  <c r="AL4" i="27"/>
  <c r="AD4" i="27"/>
  <c r="V4" i="27"/>
  <c r="N4" i="27"/>
  <c r="E4" i="27"/>
  <c r="D34" i="17"/>
  <c r="D36" i="17"/>
  <c r="F30" i="5" s="1"/>
  <c r="P11" i="26"/>
  <c r="O11" i="26"/>
  <c r="N11" i="26"/>
  <c r="P10" i="26"/>
  <c r="O10" i="26"/>
  <c r="N10" i="26"/>
  <c r="M11" i="26"/>
  <c r="L11" i="26"/>
  <c r="K11" i="26"/>
  <c r="M10" i="26"/>
  <c r="L10" i="26"/>
  <c r="K10" i="26"/>
  <c r="J11" i="26"/>
  <c r="I11" i="26"/>
  <c r="H11" i="26"/>
  <c r="G11" i="26"/>
  <c r="F11" i="26"/>
  <c r="J10" i="26"/>
  <c r="I10" i="26"/>
  <c r="H10" i="26"/>
  <c r="G10" i="26"/>
  <c r="F10" i="26"/>
  <c r="E10" i="26"/>
  <c r="E11" i="26"/>
  <c r="P71" i="26"/>
  <c r="O71" i="26"/>
  <c r="N71" i="26"/>
  <c r="M71" i="26"/>
  <c r="L71" i="26"/>
  <c r="P64" i="26"/>
  <c r="O64" i="26"/>
  <c r="N64" i="26"/>
  <c r="M64" i="26"/>
  <c r="L64" i="26"/>
  <c r="P56" i="26"/>
  <c r="O56" i="26"/>
  <c r="N56" i="26"/>
  <c r="M56" i="26"/>
  <c r="L56" i="26"/>
  <c r="P51" i="26"/>
  <c r="O51" i="26"/>
  <c r="N51" i="26"/>
  <c r="M51" i="26"/>
  <c r="L51" i="26"/>
  <c r="P46" i="26"/>
  <c r="O46" i="26"/>
  <c r="N46" i="26"/>
  <c r="N73" i="26" s="1"/>
  <c r="AD87" i="14" s="1"/>
  <c r="M46" i="26"/>
  <c r="L46" i="26"/>
  <c r="P32" i="26"/>
  <c r="O32" i="26"/>
  <c r="N32" i="26"/>
  <c r="M32" i="26"/>
  <c r="L32" i="26"/>
  <c r="L73" i="26" s="1"/>
  <c r="Z87" i="14" s="1"/>
  <c r="P25" i="26"/>
  <c r="O25" i="26"/>
  <c r="O73" i="26" s="1"/>
  <c r="AF87" i="14" s="1"/>
  <c r="N25" i="26"/>
  <c r="M25" i="26"/>
  <c r="M73" i="26" s="1"/>
  <c r="L25" i="26"/>
  <c r="P18" i="26"/>
  <c r="O18" i="26"/>
  <c r="N18" i="26"/>
  <c r="M18" i="26"/>
  <c r="L18" i="26"/>
  <c r="P9" i="26"/>
  <c r="P21" i="26"/>
  <c r="O9" i="26"/>
  <c r="O21" i="26" s="1"/>
  <c r="N9" i="26"/>
  <c r="N21" i="26" s="1"/>
  <c r="M9" i="26"/>
  <c r="M21" i="26" s="1"/>
  <c r="L9" i="26"/>
  <c r="L21" i="26" s="1"/>
  <c r="K71" i="26"/>
  <c r="K64" i="26"/>
  <c r="K56" i="26"/>
  <c r="K51" i="26"/>
  <c r="K46" i="26"/>
  <c r="K32" i="26"/>
  <c r="K25" i="26"/>
  <c r="J71" i="26"/>
  <c r="J64" i="26"/>
  <c r="J56" i="26"/>
  <c r="J51" i="26"/>
  <c r="J46" i="26"/>
  <c r="J32" i="26"/>
  <c r="J25" i="26"/>
  <c r="P73" i="26"/>
  <c r="AH87" i="14" s="1"/>
  <c r="A2" i="70"/>
  <c r="A2" i="28"/>
  <c r="D12" i="56"/>
  <c r="A2" i="33"/>
  <c r="E4" i="34"/>
  <c r="C5" i="66"/>
  <c r="A2" i="66"/>
  <c r="H61" i="66"/>
  <c r="B57" i="66"/>
  <c r="F57" i="66" s="1"/>
  <c r="B56" i="66"/>
  <c r="F56" i="66" s="1"/>
  <c r="B55" i="66"/>
  <c r="F55" i="66"/>
  <c r="B54" i="66"/>
  <c r="F54" i="66"/>
  <c r="B53" i="66"/>
  <c r="F53" i="66" s="1"/>
  <c r="H48" i="66"/>
  <c r="I20" i="66"/>
  <c r="R7" i="59"/>
  <c r="Q7" i="59"/>
  <c r="P7" i="59"/>
  <c r="N88" i="22"/>
  <c r="N83" i="22"/>
  <c r="N74" i="22"/>
  <c r="N59" i="22"/>
  <c r="N28" i="22"/>
  <c r="N15" i="22"/>
  <c r="E22" i="22"/>
  <c r="D22" i="22"/>
  <c r="C22" i="22"/>
  <c r="E21" i="22"/>
  <c r="D21" i="22"/>
  <c r="C21" i="22"/>
  <c r="E20" i="22"/>
  <c r="D20" i="22"/>
  <c r="C20" i="22"/>
  <c r="F87" i="22"/>
  <c r="F82" i="22"/>
  <c r="F81" i="22"/>
  <c r="F77" i="22"/>
  <c r="F73" i="22"/>
  <c r="F72" i="22"/>
  <c r="F71" i="22"/>
  <c r="C94" i="20" s="1"/>
  <c r="AJ94" i="20" s="1"/>
  <c r="F70" i="22"/>
  <c r="K70" i="22" s="1"/>
  <c r="F68" i="22"/>
  <c r="F67" i="22"/>
  <c r="F66" i="22"/>
  <c r="F65" i="22"/>
  <c r="H644" i="73" s="1"/>
  <c r="F64" i="22"/>
  <c r="F63" i="22"/>
  <c r="H642" i="73" s="1"/>
  <c r="F62" i="22"/>
  <c r="F58" i="22"/>
  <c r="F57" i="22"/>
  <c r="F56" i="22"/>
  <c r="F55" i="22"/>
  <c r="F54" i="22"/>
  <c r="F53" i="22"/>
  <c r="F52" i="22"/>
  <c r="H630" i="73" s="1"/>
  <c r="F51" i="22"/>
  <c r="F50" i="22"/>
  <c r="F49" i="22"/>
  <c r="F48" i="22"/>
  <c r="H626" i="73" s="1"/>
  <c r="F47" i="22"/>
  <c r="F46" i="22"/>
  <c r="H624" i="73" s="1"/>
  <c r="F45" i="22"/>
  <c r="F44" i="22"/>
  <c r="H622" i="73" s="1"/>
  <c r="F43" i="22"/>
  <c r="F42" i="22"/>
  <c r="K42" i="22" s="1"/>
  <c r="F41" i="22"/>
  <c r="F40" i="22"/>
  <c r="H618" i="73" s="1"/>
  <c r="F39" i="22"/>
  <c r="F38" i="22"/>
  <c r="K38" i="22" s="1"/>
  <c r="F37" i="22"/>
  <c r="F36" i="22"/>
  <c r="H614" i="73" s="1"/>
  <c r="F35" i="22"/>
  <c r="F34" i="22"/>
  <c r="F33" i="22"/>
  <c r="F14" i="22"/>
  <c r="F13" i="22"/>
  <c r="F12" i="22"/>
  <c r="F11" i="22"/>
  <c r="F10" i="22"/>
  <c r="H588" i="73" s="1"/>
  <c r="F9" i="22"/>
  <c r="F8" i="22"/>
  <c r="E88" i="22"/>
  <c r="E83" i="22"/>
  <c r="E74" i="22"/>
  <c r="E15" i="22"/>
  <c r="D83" i="22"/>
  <c r="D74" i="22"/>
  <c r="D59" i="22"/>
  <c r="D15" i="22"/>
  <c r="C88" i="22"/>
  <c r="F32" i="22"/>
  <c r="H610" i="73" s="1"/>
  <c r="C15" i="22"/>
  <c r="C59" i="22"/>
  <c r="F23" i="22"/>
  <c r="F31" i="22"/>
  <c r="H609" i="73" s="1"/>
  <c r="E59" i="22"/>
  <c r="D14" i="56"/>
  <c r="D11" i="56"/>
  <c r="D10" i="56"/>
  <c r="D9" i="56"/>
  <c r="B187" i="57"/>
  <c r="D187" i="57"/>
  <c r="F187" i="57" s="1"/>
  <c r="E187" i="57"/>
  <c r="G187" i="57"/>
  <c r="B186" i="57"/>
  <c r="D186" i="57"/>
  <c r="F186" i="57" s="1"/>
  <c r="E186" i="57"/>
  <c r="G186" i="57"/>
  <c r="B185" i="57"/>
  <c r="D185" i="57"/>
  <c r="F185" i="57" s="1"/>
  <c r="E185" i="57"/>
  <c r="G185" i="57"/>
  <c r="B184" i="57"/>
  <c r="D184" i="57"/>
  <c r="F184" i="57" s="1"/>
  <c r="E184" i="57"/>
  <c r="G184" i="57"/>
  <c r="B183" i="57"/>
  <c r="D183" i="57"/>
  <c r="F183" i="57" s="1"/>
  <c r="E183" i="57"/>
  <c r="G183" i="57"/>
  <c r="B182" i="57"/>
  <c r="D182" i="57"/>
  <c r="F182" i="57" s="1"/>
  <c r="E182" i="57"/>
  <c r="G182" i="57"/>
  <c r="B181" i="57"/>
  <c r="D181" i="57"/>
  <c r="F181" i="57" s="1"/>
  <c r="E181" i="57"/>
  <c r="G181" i="57"/>
  <c r="B180" i="57"/>
  <c r="D180" i="57"/>
  <c r="F180" i="57" s="1"/>
  <c r="E180" i="57"/>
  <c r="G180" i="57"/>
  <c r="B179" i="57"/>
  <c r="D179" i="57"/>
  <c r="F179" i="57" s="1"/>
  <c r="E179" i="57"/>
  <c r="G179" i="57"/>
  <c r="B178" i="57"/>
  <c r="D178" i="57"/>
  <c r="F178" i="57" s="1"/>
  <c r="E178" i="57"/>
  <c r="G178" i="57"/>
  <c r="B177" i="57"/>
  <c r="D177" i="57"/>
  <c r="F177" i="57" s="1"/>
  <c r="E177" i="57"/>
  <c r="G177" i="57"/>
  <c r="B176" i="57"/>
  <c r="D176" i="57"/>
  <c r="F176" i="57" s="1"/>
  <c r="E176" i="57"/>
  <c r="G176" i="57"/>
  <c r="B175" i="57"/>
  <c r="D175" i="57"/>
  <c r="F175" i="57" s="1"/>
  <c r="E175" i="57"/>
  <c r="G175" i="57"/>
  <c r="B174" i="57"/>
  <c r="D174" i="57"/>
  <c r="F174" i="57" s="1"/>
  <c r="E174" i="57"/>
  <c r="G174" i="57"/>
  <c r="B173" i="57"/>
  <c r="D173" i="57"/>
  <c r="F173" i="57" s="1"/>
  <c r="E173" i="57"/>
  <c r="G173" i="57"/>
  <c r="B172" i="57"/>
  <c r="D172" i="57"/>
  <c r="F172" i="57" s="1"/>
  <c r="E172" i="57"/>
  <c r="G172" i="57"/>
  <c r="B171" i="57"/>
  <c r="D171" i="57"/>
  <c r="F171" i="57" s="1"/>
  <c r="E171" i="57"/>
  <c r="G171" i="57"/>
  <c r="B170" i="57"/>
  <c r="D170" i="57"/>
  <c r="F170" i="57" s="1"/>
  <c r="E170" i="57"/>
  <c r="G170" i="57"/>
  <c r="B169" i="57"/>
  <c r="D169" i="57"/>
  <c r="F169" i="57" s="1"/>
  <c r="E169" i="57"/>
  <c r="G169" i="57"/>
  <c r="B168" i="57"/>
  <c r="D168" i="57"/>
  <c r="F168" i="57" s="1"/>
  <c r="E168" i="57"/>
  <c r="G168" i="57"/>
  <c r="B167" i="57"/>
  <c r="D167" i="57"/>
  <c r="F167" i="57" s="1"/>
  <c r="E167" i="57"/>
  <c r="G167" i="57"/>
  <c r="B166" i="57"/>
  <c r="D166" i="57"/>
  <c r="F166" i="57" s="1"/>
  <c r="E166" i="57"/>
  <c r="G166" i="57"/>
  <c r="B165" i="57"/>
  <c r="D165" i="57"/>
  <c r="F165" i="57" s="1"/>
  <c r="E165" i="57"/>
  <c r="G165" i="57"/>
  <c r="B164" i="57"/>
  <c r="D164" i="57"/>
  <c r="F164" i="57" s="1"/>
  <c r="E164" i="57"/>
  <c r="G164" i="57"/>
  <c r="B163" i="57"/>
  <c r="D163" i="57"/>
  <c r="F163" i="57" s="1"/>
  <c r="E163" i="57"/>
  <c r="G163" i="57"/>
  <c r="B162" i="57"/>
  <c r="D162" i="57"/>
  <c r="F162" i="57" s="1"/>
  <c r="E162" i="57"/>
  <c r="G162" i="57"/>
  <c r="B161" i="57"/>
  <c r="D161" i="57"/>
  <c r="F161" i="57" s="1"/>
  <c r="E161" i="57"/>
  <c r="G161" i="57"/>
  <c r="B160" i="57"/>
  <c r="D160" i="57"/>
  <c r="F160" i="57" s="1"/>
  <c r="E160" i="57"/>
  <c r="G160" i="57"/>
  <c r="B159" i="57"/>
  <c r="D159" i="57"/>
  <c r="F159" i="57" s="1"/>
  <c r="E159" i="57"/>
  <c r="G159" i="57"/>
  <c r="B158" i="57"/>
  <c r="D158" i="57"/>
  <c r="F158" i="57" s="1"/>
  <c r="E158" i="57"/>
  <c r="G158" i="57"/>
  <c r="B157" i="57"/>
  <c r="D157" i="57"/>
  <c r="F157" i="57" s="1"/>
  <c r="E157" i="57"/>
  <c r="G157" i="57"/>
  <c r="B156" i="57"/>
  <c r="D156" i="57"/>
  <c r="F156" i="57" s="1"/>
  <c r="E156" i="57"/>
  <c r="G156" i="57"/>
  <c r="B155" i="57"/>
  <c r="D155" i="57"/>
  <c r="F155" i="57" s="1"/>
  <c r="E155" i="57"/>
  <c r="G155" i="57"/>
  <c r="B154" i="57"/>
  <c r="D154" i="57"/>
  <c r="F154" i="57" s="1"/>
  <c r="E154" i="57"/>
  <c r="G154" i="57"/>
  <c r="B153" i="57"/>
  <c r="D153" i="57"/>
  <c r="F153" i="57" s="1"/>
  <c r="E153" i="57"/>
  <c r="G153" i="57"/>
  <c r="B152" i="57"/>
  <c r="D152" i="57"/>
  <c r="F152" i="57" s="1"/>
  <c r="E152" i="57"/>
  <c r="G152" i="57"/>
  <c r="B151" i="57"/>
  <c r="D151" i="57"/>
  <c r="F151" i="57" s="1"/>
  <c r="E151" i="57"/>
  <c r="G151" i="57"/>
  <c r="B150" i="57"/>
  <c r="D150" i="57"/>
  <c r="F150" i="57" s="1"/>
  <c r="E150" i="57"/>
  <c r="G150" i="57"/>
  <c r="B149" i="57"/>
  <c r="D149" i="57"/>
  <c r="F149" i="57" s="1"/>
  <c r="E149" i="57"/>
  <c r="G149" i="57"/>
  <c r="B148" i="57"/>
  <c r="D148" i="57"/>
  <c r="F148" i="57" s="1"/>
  <c r="E148" i="57"/>
  <c r="G148" i="57"/>
  <c r="B147" i="57"/>
  <c r="D147" i="57"/>
  <c r="F147" i="57" s="1"/>
  <c r="E147" i="57"/>
  <c r="G147" i="57"/>
  <c r="B146" i="57"/>
  <c r="D146" i="57"/>
  <c r="F146" i="57" s="1"/>
  <c r="E146" i="57"/>
  <c r="G146" i="57"/>
  <c r="B145" i="57"/>
  <c r="D145" i="57"/>
  <c r="F145" i="57" s="1"/>
  <c r="E145" i="57"/>
  <c r="G145" i="57"/>
  <c r="B144" i="57"/>
  <c r="D144" i="57"/>
  <c r="F144" i="57" s="1"/>
  <c r="E144" i="57"/>
  <c r="G144" i="57"/>
  <c r="B143" i="57"/>
  <c r="D143" i="57"/>
  <c r="F143" i="57" s="1"/>
  <c r="E143" i="57"/>
  <c r="G143" i="57"/>
  <c r="B142" i="57"/>
  <c r="D142" i="57"/>
  <c r="F142" i="57" s="1"/>
  <c r="E142" i="57"/>
  <c r="G142" i="57"/>
  <c r="B141" i="57"/>
  <c r="D141" i="57"/>
  <c r="F141" i="57" s="1"/>
  <c r="E141" i="57"/>
  <c r="G141" i="57"/>
  <c r="B140" i="57"/>
  <c r="D140" i="57"/>
  <c r="F140" i="57" s="1"/>
  <c r="E140" i="57"/>
  <c r="G140" i="57"/>
  <c r="B139" i="57"/>
  <c r="D139" i="57"/>
  <c r="F139" i="57" s="1"/>
  <c r="E139" i="57"/>
  <c r="G139" i="57"/>
  <c r="B138" i="57"/>
  <c r="D138" i="57"/>
  <c r="F138" i="57" s="1"/>
  <c r="E138" i="57"/>
  <c r="G138" i="57"/>
  <c r="B137" i="57"/>
  <c r="D137" i="57"/>
  <c r="F137" i="57" s="1"/>
  <c r="E137" i="57"/>
  <c r="G137" i="57"/>
  <c r="B136" i="57"/>
  <c r="D136" i="57"/>
  <c r="F136" i="57" s="1"/>
  <c r="E136" i="57"/>
  <c r="G136" i="57"/>
  <c r="B135" i="57"/>
  <c r="D135" i="57"/>
  <c r="F135" i="57" s="1"/>
  <c r="E135" i="57"/>
  <c r="G135" i="57"/>
  <c r="B134" i="57"/>
  <c r="D134" i="57"/>
  <c r="F134" i="57" s="1"/>
  <c r="E134" i="57"/>
  <c r="G134" i="57"/>
  <c r="B133" i="57"/>
  <c r="D133" i="57"/>
  <c r="F133" i="57" s="1"/>
  <c r="E133" i="57"/>
  <c r="G133" i="57"/>
  <c r="B132" i="57"/>
  <c r="D132" i="57"/>
  <c r="F132" i="57" s="1"/>
  <c r="E132" i="57"/>
  <c r="G132" i="57"/>
  <c r="B131" i="57"/>
  <c r="D131" i="57"/>
  <c r="F131" i="57" s="1"/>
  <c r="E131" i="57"/>
  <c r="G131" i="57"/>
  <c r="B130" i="57"/>
  <c r="D130" i="57"/>
  <c r="F130" i="57" s="1"/>
  <c r="E130" i="57"/>
  <c r="G130" i="57"/>
  <c r="B129" i="57"/>
  <c r="D129" i="57"/>
  <c r="F129" i="57" s="1"/>
  <c r="E129" i="57"/>
  <c r="G129" i="57"/>
  <c r="B128" i="57"/>
  <c r="D128" i="57"/>
  <c r="F128" i="57" s="1"/>
  <c r="E128" i="57"/>
  <c r="G128" i="57"/>
  <c r="B127" i="57"/>
  <c r="D127" i="57"/>
  <c r="F127" i="57" s="1"/>
  <c r="E127" i="57"/>
  <c r="G127" i="57"/>
  <c r="B126" i="57"/>
  <c r="D126" i="57"/>
  <c r="F126" i="57" s="1"/>
  <c r="E126" i="57"/>
  <c r="G126" i="57"/>
  <c r="B125" i="57"/>
  <c r="C125" i="57"/>
  <c r="D125" i="57"/>
  <c r="F125" i="57" s="1"/>
  <c r="E125" i="57"/>
  <c r="G125" i="57"/>
  <c r="B124" i="57"/>
  <c r="C124" i="57"/>
  <c r="D124" i="57"/>
  <c r="F124" i="57" s="1"/>
  <c r="E124" i="57"/>
  <c r="G124" i="57"/>
  <c r="B123" i="57"/>
  <c r="C123" i="57"/>
  <c r="D123" i="57"/>
  <c r="F123" i="57" s="1"/>
  <c r="E123" i="57"/>
  <c r="G123" i="57"/>
  <c r="B122" i="57"/>
  <c r="C122" i="57"/>
  <c r="D122" i="57"/>
  <c r="F122" i="57" s="1"/>
  <c r="E122" i="57"/>
  <c r="G122" i="57"/>
  <c r="B121" i="57"/>
  <c r="C121" i="57"/>
  <c r="D121" i="57"/>
  <c r="F121" i="57" s="1"/>
  <c r="E121" i="57"/>
  <c r="G121" i="57"/>
  <c r="B120" i="57"/>
  <c r="C120" i="57"/>
  <c r="D120" i="57"/>
  <c r="F120" i="57" s="1"/>
  <c r="E120" i="57"/>
  <c r="G120" i="57"/>
  <c r="B119" i="57"/>
  <c r="C119" i="57"/>
  <c r="D119" i="57"/>
  <c r="F119" i="57" s="1"/>
  <c r="E119" i="57"/>
  <c r="G119" i="57"/>
  <c r="B118" i="57"/>
  <c r="C118" i="57"/>
  <c r="D118" i="57"/>
  <c r="F118" i="57" s="1"/>
  <c r="E118" i="57"/>
  <c r="G118" i="57"/>
  <c r="B117" i="57"/>
  <c r="C117" i="57"/>
  <c r="D117" i="57"/>
  <c r="F117" i="57" s="1"/>
  <c r="E117" i="57"/>
  <c r="G117" i="57"/>
  <c r="B116" i="57"/>
  <c r="C116" i="57"/>
  <c r="D116" i="57"/>
  <c r="F116" i="57" s="1"/>
  <c r="E116" i="57"/>
  <c r="G116" i="57"/>
  <c r="B115" i="57"/>
  <c r="C115" i="57"/>
  <c r="D115" i="57"/>
  <c r="F115" i="57" s="1"/>
  <c r="E115" i="57"/>
  <c r="G115" i="57"/>
  <c r="B114" i="57"/>
  <c r="C114" i="57"/>
  <c r="D114" i="57"/>
  <c r="F114" i="57" s="1"/>
  <c r="E114" i="57"/>
  <c r="G114" i="57"/>
  <c r="B113" i="57"/>
  <c r="C113" i="57"/>
  <c r="D113" i="57"/>
  <c r="F113" i="57" s="1"/>
  <c r="E113" i="57"/>
  <c r="G113" i="57"/>
  <c r="B112" i="57"/>
  <c r="C112" i="57"/>
  <c r="D112" i="57"/>
  <c r="F112" i="57" s="1"/>
  <c r="E112" i="57"/>
  <c r="G112" i="57"/>
  <c r="B111" i="57"/>
  <c r="C111" i="57"/>
  <c r="D111" i="57"/>
  <c r="F111" i="57" s="1"/>
  <c r="E111" i="57"/>
  <c r="G111" i="57"/>
  <c r="B110" i="57"/>
  <c r="C110" i="57"/>
  <c r="D110" i="57"/>
  <c r="F110" i="57" s="1"/>
  <c r="E110" i="57"/>
  <c r="G110" i="57"/>
  <c r="C109" i="57"/>
  <c r="B109" i="57"/>
  <c r="D109" i="57"/>
  <c r="F109" i="57" s="1"/>
  <c r="E109" i="57"/>
  <c r="G109" i="57"/>
  <c r="D304" i="3"/>
  <c r="D43" i="63" s="1"/>
  <c r="C304" i="3"/>
  <c r="B43" i="63" s="1"/>
  <c r="B108" i="57"/>
  <c r="G108" i="57"/>
  <c r="AH101" i="14"/>
  <c r="AI99" i="14"/>
  <c r="AH99" i="14"/>
  <c r="AI98" i="14"/>
  <c r="AI97" i="14"/>
  <c r="AI96" i="14"/>
  <c r="AI95" i="14"/>
  <c r="AI92" i="14"/>
  <c r="AI91" i="14"/>
  <c r="AI89" i="14"/>
  <c r="AI87" i="14"/>
  <c r="AI85" i="14"/>
  <c r="AH85" i="14"/>
  <c r="AI84" i="14"/>
  <c r="AI83" i="14"/>
  <c r="AI82" i="14"/>
  <c r="AI81" i="14"/>
  <c r="AI80" i="14"/>
  <c r="AI79" i="14"/>
  <c r="AI78" i="14"/>
  <c r="AI77" i="14"/>
  <c r="AI76" i="14"/>
  <c r="AI74" i="14"/>
  <c r="AH74" i="14"/>
  <c r="AI73" i="14"/>
  <c r="AI72" i="14"/>
  <c r="AI71" i="14"/>
  <c r="AI70" i="14"/>
  <c r="AI69" i="14"/>
  <c r="AI68" i="14"/>
  <c r="AI67" i="14"/>
  <c r="AI66" i="14"/>
  <c r="AI65" i="14"/>
  <c r="AI64" i="14"/>
  <c r="AI63" i="14"/>
  <c r="AI62" i="14"/>
  <c r="AI61" i="14"/>
  <c r="AI60" i="14"/>
  <c r="AI59" i="14"/>
  <c r="AI58" i="14"/>
  <c r="AI57" i="14"/>
  <c r="AI56" i="14"/>
  <c r="AI55" i="14"/>
  <c r="AI54" i="14"/>
  <c r="AI53" i="14"/>
  <c r="AI52" i="14"/>
  <c r="AI51" i="14"/>
  <c r="AI50" i="14"/>
  <c r="AI49" i="14"/>
  <c r="AI47" i="14"/>
  <c r="AH47" i="14"/>
  <c r="AI46" i="14"/>
  <c r="AI45" i="14"/>
  <c r="AI44" i="14"/>
  <c r="AI43" i="14"/>
  <c r="AI42" i="14"/>
  <c r="AI41" i="14"/>
  <c r="AI39" i="14"/>
  <c r="AH39" i="14"/>
  <c r="AI38" i="14"/>
  <c r="AI37" i="14"/>
  <c r="AI36" i="14"/>
  <c r="AI35" i="14"/>
  <c r="AI34" i="14"/>
  <c r="AI33" i="14"/>
  <c r="AI32" i="14"/>
  <c r="AI31" i="14"/>
  <c r="AI30" i="14"/>
  <c r="AI29" i="14"/>
  <c r="AI28" i="14"/>
  <c r="AI27" i="14"/>
  <c r="AI26" i="14"/>
  <c r="AI25" i="14"/>
  <c r="AI24" i="14"/>
  <c r="AI23" i="14"/>
  <c r="AI22" i="14"/>
  <c r="AI21" i="14"/>
  <c r="AI20" i="14"/>
  <c r="AI17" i="14"/>
  <c r="AH17" i="14"/>
  <c r="AI16" i="14"/>
  <c r="AI15" i="14"/>
  <c r="AI14" i="14"/>
  <c r="AI13" i="14"/>
  <c r="AI12" i="14"/>
  <c r="AF101" i="14"/>
  <c r="AG99" i="14"/>
  <c r="AF99" i="14"/>
  <c r="AG98" i="14"/>
  <c r="AG97" i="14"/>
  <c r="AG96" i="14"/>
  <c r="AG95" i="14"/>
  <c r="AG92" i="14"/>
  <c r="AG91" i="14"/>
  <c r="AG89" i="14"/>
  <c r="AG87" i="14"/>
  <c r="AG85" i="14"/>
  <c r="AF85" i="14"/>
  <c r="AG84" i="14"/>
  <c r="AG83" i="14"/>
  <c r="AG82" i="14"/>
  <c r="AG81" i="14"/>
  <c r="AG80" i="14"/>
  <c r="AG79" i="14"/>
  <c r="AG78" i="14"/>
  <c r="AG77" i="14"/>
  <c r="AG76" i="14"/>
  <c r="AG74" i="14"/>
  <c r="AF74" i="14"/>
  <c r="AG73" i="14"/>
  <c r="AG72" i="14"/>
  <c r="AG71" i="14"/>
  <c r="AG70" i="14"/>
  <c r="AG69" i="14"/>
  <c r="AG68" i="14"/>
  <c r="AG67" i="14"/>
  <c r="AG66" i="14"/>
  <c r="AG65" i="14"/>
  <c r="AG64" i="14"/>
  <c r="AG63" i="14"/>
  <c r="AG62" i="14"/>
  <c r="AG61" i="14"/>
  <c r="AG60" i="14"/>
  <c r="AG59" i="14"/>
  <c r="AG58" i="14"/>
  <c r="AG57" i="14"/>
  <c r="AG56" i="14"/>
  <c r="AG55" i="14"/>
  <c r="AG54" i="14"/>
  <c r="AG53" i="14"/>
  <c r="AG52" i="14"/>
  <c r="AG51" i="14"/>
  <c r="AG50" i="14"/>
  <c r="AG49" i="14"/>
  <c r="AG47" i="14"/>
  <c r="AF47" i="14"/>
  <c r="AG46" i="14"/>
  <c r="AG45" i="14"/>
  <c r="AG44" i="14"/>
  <c r="AG43" i="14"/>
  <c r="AG42" i="14"/>
  <c r="AG41" i="14"/>
  <c r="AG39" i="14"/>
  <c r="AF39" i="14"/>
  <c r="AG38" i="14"/>
  <c r="AG37" i="14"/>
  <c r="AG36" i="14"/>
  <c r="AG35" i="14"/>
  <c r="AG34" i="14"/>
  <c r="AG33" i="14"/>
  <c r="AG32" i="14"/>
  <c r="AG31" i="14"/>
  <c r="AG30" i="14"/>
  <c r="AG29" i="14"/>
  <c r="AG28" i="14"/>
  <c r="AG27" i="14"/>
  <c r="AG26" i="14"/>
  <c r="AG25" i="14"/>
  <c r="AG24" i="14"/>
  <c r="AG23" i="14"/>
  <c r="AG22" i="14"/>
  <c r="AG21" i="14"/>
  <c r="AG20" i="14"/>
  <c r="AG17" i="14"/>
  <c r="AF17" i="14"/>
  <c r="AG16" i="14"/>
  <c r="AG15" i="14"/>
  <c r="AG14" i="14"/>
  <c r="AG13" i="14"/>
  <c r="AG12" i="14"/>
  <c r="AE98" i="14"/>
  <c r="AE97" i="14"/>
  <c r="AE96" i="14"/>
  <c r="AE95" i="14"/>
  <c r="AE92" i="14"/>
  <c r="AE91" i="14"/>
  <c r="AE89" i="14"/>
  <c r="AE87" i="14"/>
  <c r="AE85" i="14"/>
  <c r="AE84" i="14"/>
  <c r="AE83" i="14"/>
  <c r="AE82" i="14"/>
  <c r="AE81" i="14"/>
  <c r="AE80" i="14"/>
  <c r="AE79" i="14"/>
  <c r="AE78" i="14"/>
  <c r="AE77" i="14"/>
  <c r="AE76" i="14"/>
  <c r="AE74" i="14"/>
  <c r="AE73" i="14"/>
  <c r="AE72" i="14"/>
  <c r="AE71" i="14"/>
  <c r="AE70" i="14"/>
  <c r="AE69" i="14"/>
  <c r="AE68" i="14"/>
  <c r="AE67" i="14"/>
  <c r="AE66" i="14"/>
  <c r="AE65" i="14"/>
  <c r="AE64" i="14"/>
  <c r="AE63" i="14"/>
  <c r="AE62" i="14"/>
  <c r="AE61" i="14"/>
  <c r="AE60" i="14"/>
  <c r="AE59" i="14"/>
  <c r="AE58" i="14"/>
  <c r="AE57" i="14"/>
  <c r="AE56" i="14"/>
  <c r="AE55" i="14"/>
  <c r="AE54" i="14"/>
  <c r="AE53" i="14"/>
  <c r="AE52" i="14"/>
  <c r="AE51" i="14"/>
  <c r="AE50" i="14"/>
  <c r="AE49" i="14"/>
  <c r="AE47" i="14"/>
  <c r="AE46" i="14"/>
  <c r="AE45" i="14"/>
  <c r="AE44" i="14"/>
  <c r="AE43" i="14"/>
  <c r="AE42" i="14"/>
  <c r="AE41" i="14"/>
  <c r="AE39" i="14"/>
  <c r="AE38" i="14"/>
  <c r="AE37" i="14"/>
  <c r="AE36" i="14"/>
  <c r="AE35" i="14"/>
  <c r="AE34" i="14"/>
  <c r="AE33" i="14"/>
  <c r="AE32" i="14"/>
  <c r="AE31" i="14"/>
  <c r="AE30" i="14"/>
  <c r="AE29" i="14"/>
  <c r="AE28" i="14"/>
  <c r="AE27" i="14"/>
  <c r="AE26" i="14"/>
  <c r="AE25" i="14"/>
  <c r="AE24" i="14"/>
  <c r="AE23" i="14"/>
  <c r="AE22" i="14"/>
  <c r="AE21" i="14"/>
  <c r="AE20" i="14"/>
  <c r="AE17" i="14"/>
  <c r="AE16" i="14"/>
  <c r="AE15" i="14"/>
  <c r="AE14" i="14"/>
  <c r="AE13" i="14"/>
  <c r="AE12" i="14"/>
  <c r="AD101" i="14"/>
  <c r="AE99" i="14"/>
  <c r="AD99" i="14"/>
  <c r="AD85" i="14"/>
  <c r="AD74" i="14"/>
  <c r="AD47" i="14"/>
  <c r="AD39" i="14"/>
  <c r="AD17" i="14"/>
  <c r="AC85" i="14"/>
  <c r="AC91" i="14"/>
  <c r="AC92" i="14"/>
  <c r="AC89" i="14"/>
  <c r="AC87" i="14"/>
  <c r="AC84" i="14"/>
  <c r="AC83" i="14"/>
  <c r="AC82" i="14"/>
  <c r="AC81" i="14"/>
  <c r="AC80" i="14"/>
  <c r="AC79" i="14"/>
  <c r="AC78" i="14"/>
  <c r="AC77" i="14"/>
  <c r="AC76" i="14"/>
  <c r="AC74" i="14"/>
  <c r="AC73" i="14"/>
  <c r="AC72" i="14"/>
  <c r="AC71" i="14"/>
  <c r="AC70" i="14"/>
  <c r="AC69" i="14"/>
  <c r="AC68" i="14"/>
  <c r="AC67" i="14"/>
  <c r="AC66" i="14"/>
  <c r="AC65" i="14"/>
  <c r="AC64" i="14"/>
  <c r="AC63" i="14"/>
  <c r="AC62" i="14"/>
  <c r="AC61" i="14"/>
  <c r="AC60" i="14"/>
  <c r="AC59" i="14"/>
  <c r="AC58" i="14"/>
  <c r="AC57" i="14"/>
  <c r="AC56" i="14"/>
  <c r="AC55" i="14"/>
  <c r="AC54" i="14"/>
  <c r="AC53" i="14"/>
  <c r="AC52" i="14"/>
  <c r="AC51" i="14"/>
  <c r="AC50" i="14"/>
  <c r="AC49" i="14"/>
  <c r="AC47" i="14"/>
  <c r="AC46" i="14"/>
  <c r="AC45" i="14"/>
  <c r="AC44" i="14"/>
  <c r="AC43" i="14"/>
  <c r="AC42" i="14"/>
  <c r="AC41" i="14"/>
  <c r="AC39" i="14"/>
  <c r="AC38" i="14"/>
  <c r="AC37" i="14"/>
  <c r="AC36" i="14"/>
  <c r="AC35" i="14"/>
  <c r="AC34" i="14"/>
  <c r="AC33" i="14"/>
  <c r="AC32" i="14"/>
  <c r="AC31" i="14"/>
  <c r="AC30" i="14"/>
  <c r="AC29" i="14"/>
  <c r="AC28" i="14"/>
  <c r="AC27" i="14"/>
  <c r="AC26" i="14"/>
  <c r="AC25" i="14"/>
  <c r="AC24" i="14"/>
  <c r="AC23" i="14"/>
  <c r="AC22" i="14"/>
  <c r="AC21" i="14"/>
  <c r="AC98" i="14"/>
  <c r="AC97" i="14"/>
  <c r="AC96" i="14"/>
  <c r="AC95" i="14"/>
  <c r="AA98" i="14"/>
  <c r="AA97" i="14"/>
  <c r="AA96" i="14"/>
  <c r="AA95" i="14"/>
  <c r="AC20" i="14"/>
  <c r="AC17" i="14"/>
  <c r="AA17" i="14"/>
  <c r="AC16" i="14"/>
  <c r="AC15" i="14"/>
  <c r="AC14" i="14"/>
  <c r="AC13" i="14"/>
  <c r="AC12" i="14"/>
  <c r="AB101" i="14"/>
  <c r="AC99" i="14"/>
  <c r="AB99" i="14"/>
  <c r="AB87" i="14"/>
  <c r="AB85" i="14"/>
  <c r="AB74" i="14"/>
  <c r="AB47" i="14"/>
  <c r="AB39" i="14"/>
  <c r="AB17" i="14"/>
  <c r="AA99" i="14"/>
  <c r="AA92" i="14"/>
  <c r="AA91" i="14"/>
  <c r="AA89" i="14"/>
  <c r="AA87" i="14"/>
  <c r="AA85" i="14"/>
  <c r="AA84" i="14"/>
  <c r="AA83" i="14"/>
  <c r="AA82" i="14"/>
  <c r="AA81" i="14"/>
  <c r="AA80" i="14"/>
  <c r="AA79" i="14"/>
  <c r="AA78" i="14"/>
  <c r="AA77" i="14"/>
  <c r="AA76" i="14"/>
  <c r="AA74" i="14"/>
  <c r="AA73" i="14"/>
  <c r="AA72" i="14"/>
  <c r="AA71" i="14"/>
  <c r="AA70" i="14"/>
  <c r="AA69" i="14"/>
  <c r="AA68" i="14"/>
  <c r="AA67" i="14"/>
  <c r="AA66" i="14"/>
  <c r="AA65" i="14"/>
  <c r="AA64" i="14"/>
  <c r="AA63" i="14"/>
  <c r="AA62" i="14"/>
  <c r="AA61" i="14"/>
  <c r="AA60" i="14"/>
  <c r="AA59" i="14"/>
  <c r="AA58" i="14"/>
  <c r="AA57" i="14"/>
  <c r="AA56" i="14"/>
  <c r="AA55" i="14"/>
  <c r="AA54" i="14"/>
  <c r="AA53" i="14"/>
  <c r="AA52" i="14"/>
  <c r="AA51" i="14"/>
  <c r="AA50" i="14"/>
  <c r="AA49" i="14"/>
  <c r="AA47" i="14"/>
  <c r="AA46" i="14"/>
  <c r="AA45" i="14"/>
  <c r="AA44" i="14"/>
  <c r="AA43" i="14"/>
  <c r="AA42" i="14"/>
  <c r="AA41" i="14"/>
  <c r="AA39" i="14"/>
  <c r="AA38" i="14"/>
  <c r="AA37" i="14"/>
  <c r="AA36" i="14"/>
  <c r="AA35" i="14"/>
  <c r="AA34" i="14"/>
  <c r="AA33" i="14"/>
  <c r="AA32" i="14"/>
  <c r="AA31" i="14"/>
  <c r="AA30" i="14"/>
  <c r="AA29" i="14"/>
  <c r="AA28" i="14"/>
  <c r="AA27" i="14"/>
  <c r="AA26" i="14"/>
  <c r="AA25" i="14"/>
  <c r="AA24" i="14"/>
  <c r="AA23" i="14"/>
  <c r="AA22" i="14"/>
  <c r="AA21" i="14"/>
  <c r="AA20" i="14"/>
  <c r="AA16" i="14"/>
  <c r="AA15" i="14"/>
  <c r="AA14" i="14"/>
  <c r="AA13" i="14"/>
  <c r="AA12" i="14"/>
  <c r="Y16" i="14"/>
  <c r="Y15" i="14"/>
  <c r="Y14" i="14"/>
  <c r="Y13" i="14"/>
  <c r="Y12" i="14"/>
  <c r="W16" i="14"/>
  <c r="W15" i="14"/>
  <c r="W14" i="14"/>
  <c r="W13" i="14"/>
  <c r="W12" i="14"/>
  <c r="U16" i="14"/>
  <c r="U15" i="14"/>
  <c r="U14" i="14"/>
  <c r="U13" i="14"/>
  <c r="U12" i="14"/>
  <c r="S16" i="14"/>
  <c r="S15" i="14"/>
  <c r="S14" i="14"/>
  <c r="S13" i="14"/>
  <c r="S12" i="14"/>
  <c r="Q16" i="14"/>
  <c r="Q15" i="14"/>
  <c r="J15" i="14" s="1"/>
  <c r="Q14" i="14"/>
  <c r="Q13" i="14"/>
  <c r="Q12" i="14"/>
  <c r="Z101" i="14"/>
  <c r="Z99" i="14"/>
  <c r="Z85" i="14"/>
  <c r="Z74" i="14"/>
  <c r="Z47" i="14"/>
  <c r="Z39" i="14"/>
  <c r="Z17" i="14"/>
  <c r="X85" i="14"/>
  <c r="V85" i="14"/>
  <c r="T85" i="14"/>
  <c r="R85" i="14"/>
  <c r="P85" i="14"/>
  <c r="N85" i="14"/>
  <c r="L85" i="14"/>
  <c r="F85" i="14"/>
  <c r="D20" i="56" s="1"/>
  <c r="X47" i="14"/>
  <c r="V47" i="14"/>
  <c r="T47" i="14"/>
  <c r="R47" i="14"/>
  <c r="P47" i="14"/>
  <c r="N47" i="14"/>
  <c r="L47" i="14"/>
  <c r="F47" i="14"/>
  <c r="D18" i="56" s="1"/>
  <c r="Y45" i="14"/>
  <c r="D36" i="23"/>
  <c r="D35" i="23"/>
  <c r="D34" i="23"/>
  <c r="D33" i="23"/>
  <c r="D32" i="23"/>
  <c r="C31" i="20" s="1"/>
  <c r="D29" i="23"/>
  <c r="D26" i="23"/>
  <c r="D14" i="23"/>
  <c r="C24" i="20" s="1"/>
  <c r="D13" i="23"/>
  <c r="D12" i="23"/>
  <c r="D11" i="23"/>
  <c r="G41" i="56" s="1"/>
  <c r="D10" i="23"/>
  <c r="D9" i="23"/>
  <c r="D8" i="23"/>
  <c r="E94" i="56"/>
  <c r="E129" i="56" s="1"/>
  <c r="E91" i="56"/>
  <c r="E126" i="56" s="1"/>
  <c r="E90" i="56"/>
  <c r="E125" i="56" s="1"/>
  <c r="E89" i="56"/>
  <c r="E124" i="56" s="1"/>
  <c r="E87" i="56"/>
  <c r="E122" i="56" s="1"/>
  <c r="E86" i="56"/>
  <c r="E121" i="56" s="1"/>
  <c r="E85" i="56"/>
  <c r="E120" i="56" s="1"/>
  <c r="F119" i="3"/>
  <c r="F118" i="3"/>
  <c r="F117" i="3"/>
  <c r="F115" i="3"/>
  <c r="F114" i="3"/>
  <c r="F113" i="3"/>
  <c r="B24" i="60"/>
  <c r="B7" i="60"/>
  <c r="X17" i="14"/>
  <c r="V17" i="14"/>
  <c r="T17" i="14"/>
  <c r="R17" i="14"/>
  <c r="P17" i="14"/>
  <c r="N17" i="14"/>
  <c r="L17" i="14"/>
  <c r="B28" i="14"/>
  <c r="F17" i="14"/>
  <c r="Y84" i="14"/>
  <c r="W84" i="14"/>
  <c r="U84" i="14"/>
  <c r="S84" i="14"/>
  <c r="Q84" i="14"/>
  <c r="E84" i="14"/>
  <c r="Y69" i="14"/>
  <c r="W69" i="14"/>
  <c r="U69" i="14"/>
  <c r="S69" i="14"/>
  <c r="Q69" i="14"/>
  <c r="J69" i="14" s="1"/>
  <c r="Y68" i="14"/>
  <c r="W68" i="14"/>
  <c r="U68" i="14"/>
  <c r="S68" i="14"/>
  <c r="Q68" i="14"/>
  <c r="J68" i="14" s="1"/>
  <c r="Y67" i="14"/>
  <c r="W67" i="14"/>
  <c r="U67" i="14"/>
  <c r="S67" i="14"/>
  <c r="Q67" i="14"/>
  <c r="Y64" i="14"/>
  <c r="W64" i="14"/>
  <c r="U64" i="14"/>
  <c r="S64" i="14"/>
  <c r="Q64" i="14"/>
  <c r="Y63" i="14"/>
  <c r="W63" i="14"/>
  <c r="U63" i="14"/>
  <c r="S63" i="14"/>
  <c r="Q63" i="14"/>
  <c r="J63" i="14" s="1"/>
  <c r="Y55" i="14"/>
  <c r="W55" i="14"/>
  <c r="U55" i="14"/>
  <c r="S55" i="14"/>
  <c r="Q55" i="14"/>
  <c r="H9" i="5"/>
  <c r="Y46" i="14"/>
  <c r="W46" i="14"/>
  <c r="U46" i="14"/>
  <c r="S46" i="14"/>
  <c r="Q46" i="14"/>
  <c r="E46" i="14"/>
  <c r="Y37" i="14"/>
  <c r="W37" i="14"/>
  <c r="U37" i="14"/>
  <c r="S37" i="14"/>
  <c r="Q37" i="14"/>
  <c r="Y36" i="14"/>
  <c r="W36" i="14"/>
  <c r="U36" i="14"/>
  <c r="S36" i="14"/>
  <c r="Q36" i="14"/>
  <c r="Y27" i="14"/>
  <c r="W27" i="14"/>
  <c r="U27" i="14"/>
  <c r="S27" i="14"/>
  <c r="Q27" i="14"/>
  <c r="I114" i="3"/>
  <c r="B9" i="60"/>
  <c r="D35" i="57"/>
  <c r="D34" i="57"/>
  <c r="D317" i="3"/>
  <c r="C317" i="3"/>
  <c r="H41" i="73"/>
  <c r="W87" i="14"/>
  <c r="C21" i="26"/>
  <c r="K9" i="26"/>
  <c r="K21" i="26" s="1"/>
  <c r="J9" i="26"/>
  <c r="J21" i="26"/>
  <c r="I9" i="26"/>
  <c r="I21" i="26" s="1"/>
  <c r="K18" i="26"/>
  <c r="J18" i="26"/>
  <c r="H9" i="26"/>
  <c r="H21" i="26" s="1"/>
  <c r="G9" i="26"/>
  <c r="G21" i="26" s="1"/>
  <c r="F9" i="26"/>
  <c r="F21" i="26" s="1"/>
  <c r="E9" i="26"/>
  <c r="E21" i="26" s="1"/>
  <c r="D9" i="26"/>
  <c r="D21" i="26" s="1"/>
  <c r="G51" i="59"/>
  <c r="J15" i="22"/>
  <c r="I15" i="22"/>
  <c r="BJ8" i="27"/>
  <c r="BB8" i="27"/>
  <c r="BJ7" i="27"/>
  <c r="BB7" i="27"/>
  <c r="BJ6" i="27"/>
  <c r="BI13" i="27" s="1"/>
  <c r="BB6" i="27"/>
  <c r="BA13" i="27" s="1"/>
  <c r="AT8" i="27"/>
  <c r="AT7" i="27"/>
  <c r="AT6" i="27"/>
  <c r="AS13" i="27" s="1"/>
  <c r="AR13" i="27"/>
  <c r="AR14" i="27" s="1"/>
  <c r="AR15" i="27" s="1"/>
  <c r="AR16" i="27" s="1"/>
  <c r="AR17" i="27" s="1"/>
  <c r="AR18" i="27" s="1"/>
  <c r="AR19" i="27" s="1"/>
  <c r="AR20" i="27" s="1"/>
  <c r="AR21" i="27" s="1"/>
  <c r="AR22" i="27" s="1"/>
  <c r="AR23" i="27" s="1"/>
  <c r="AR24" i="27" s="1"/>
  <c r="AR25" i="27" s="1"/>
  <c r="AR26" i="27" s="1"/>
  <c r="AR27" i="27" s="1"/>
  <c r="AR28" i="27" s="1"/>
  <c r="AR29" i="27" s="1"/>
  <c r="AR30" i="27" s="1"/>
  <c r="AR31" i="27" s="1"/>
  <c r="AR32" i="27" s="1"/>
  <c r="AR33" i="27" s="1"/>
  <c r="AR34" i="27" s="1"/>
  <c r="AR35" i="27" s="1"/>
  <c r="AR36" i="27" s="1"/>
  <c r="AR37" i="27" s="1"/>
  <c r="AR38" i="27" s="1"/>
  <c r="AR39" i="27" s="1"/>
  <c r="AR40" i="27" s="1"/>
  <c r="AR41" i="27" s="1"/>
  <c r="AR42" i="27" s="1"/>
  <c r="AR43" i="27" s="1"/>
  <c r="AR44" i="27" s="1"/>
  <c r="AR45" i="27" s="1"/>
  <c r="AR46" i="27" s="1"/>
  <c r="AR47" i="27" s="1"/>
  <c r="AR48" i="27" s="1"/>
  <c r="AR49" i="27" s="1"/>
  <c r="AR50" i="27" s="1"/>
  <c r="AR51" i="27" s="1"/>
  <c r="AR52" i="27" s="1"/>
  <c r="AR53" i="27" s="1"/>
  <c r="AR54" i="27" s="1"/>
  <c r="AR55" i="27" s="1"/>
  <c r="AR56" i="27" s="1"/>
  <c r="AR57" i="27" s="1"/>
  <c r="AR58" i="27" s="1"/>
  <c r="AR59" i="27" s="1"/>
  <c r="AR60" i="27" s="1"/>
  <c r="AR61" i="27" s="1"/>
  <c r="AR62" i="27" s="1"/>
  <c r="AR63" i="27" s="1"/>
  <c r="AR64" i="27" s="1"/>
  <c r="AR65" i="27" s="1"/>
  <c r="AR66" i="27" s="1"/>
  <c r="AR67" i="27" s="1"/>
  <c r="AR68" i="27" s="1"/>
  <c r="AR69" i="27" s="1"/>
  <c r="AR70" i="27" s="1"/>
  <c r="AR71" i="27" s="1"/>
  <c r="AR72" i="27" s="1"/>
  <c r="AR73" i="27" s="1"/>
  <c r="AR74" i="27" s="1"/>
  <c r="AR75" i="27" s="1"/>
  <c r="AR76" i="27" s="1"/>
  <c r="AR77" i="27" s="1"/>
  <c r="AR78" i="27" s="1"/>
  <c r="AR79" i="27" s="1"/>
  <c r="AR80" i="27" s="1"/>
  <c r="AR81" i="27" s="1"/>
  <c r="AR82" i="27" s="1"/>
  <c r="AR83" i="27" s="1"/>
  <c r="AR84" i="27" s="1"/>
  <c r="AR85" i="27" s="1"/>
  <c r="AR86" i="27" s="1"/>
  <c r="AR87" i="27" s="1"/>
  <c r="AR88" i="27" s="1"/>
  <c r="AR89" i="27" s="1"/>
  <c r="AR90" i="27" s="1"/>
  <c r="AR91" i="27" s="1"/>
  <c r="AR92" i="27" s="1"/>
  <c r="AR93" i="27" s="1"/>
  <c r="AR94" i="27" s="1"/>
  <c r="AR95" i="27" s="1"/>
  <c r="AR96" i="27" s="1"/>
  <c r="AR97" i="27" s="1"/>
  <c r="AR98" i="27" s="1"/>
  <c r="AR99" i="27" s="1"/>
  <c r="AR100" i="27" s="1"/>
  <c r="AR101" i="27" s="1"/>
  <c r="AR102" i="27" s="1"/>
  <c r="AR103" i="27" s="1"/>
  <c r="AR104" i="27" s="1"/>
  <c r="AR105" i="27" s="1"/>
  <c r="AR106" i="27" s="1"/>
  <c r="AR107" i="27" s="1"/>
  <c r="AR108" i="27" s="1"/>
  <c r="AR109" i="27" s="1"/>
  <c r="AR110" i="27" s="1"/>
  <c r="AR111" i="27" s="1"/>
  <c r="AR112" i="27" s="1"/>
  <c r="AR113" i="27" s="1"/>
  <c r="AR114" i="27" s="1"/>
  <c r="AR115" i="27" s="1"/>
  <c r="AR116" i="27" s="1"/>
  <c r="AR117" i="27" s="1"/>
  <c r="AR118" i="27" s="1"/>
  <c r="AR119" i="27" s="1"/>
  <c r="AR120" i="27" s="1"/>
  <c r="AR121" i="27" s="1"/>
  <c r="AR122" i="27" s="1"/>
  <c r="AR123" i="27" s="1"/>
  <c r="AR124" i="27" s="1"/>
  <c r="AR125" i="27" s="1"/>
  <c r="AR126" i="27" s="1"/>
  <c r="AR127" i="27" s="1"/>
  <c r="AR128" i="27" s="1"/>
  <c r="AR129" i="27" s="1"/>
  <c r="AR130" i="27" s="1"/>
  <c r="AR131" i="27" s="1"/>
  <c r="AR132" i="27" s="1"/>
  <c r="AR133" i="27" s="1"/>
  <c r="AR134" i="27" s="1"/>
  <c r="AR135" i="27" s="1"/>
  <c r="AR136" i="27" s="1"/>
  <c r="AR137" i="27" s="1"/>
  <c r="AR138" i="27" s="1"/>
  <c r="AR139" i="27" s="1"/>
  <c r="AR140" i="27" s="1"/>
  <c r="AR141" i="27" s="1"/>
  <c r="AR142" i="27" s="1"/>
  <c r="AR143" i="27" s="1"/>
  <c r="AR144" i="27" s="1"/>
  <c r="AR145" i="27" s="1"/>
  <c r="AR146" i="27" s="1"/>
  <c r="AR147" i="27" s="1"/>
  <c r="AR148" i="27" s="1"/>
  <c r="AR149" i="27" s="1"/>
  <c r="AR150" i="27" s="1"/>
  <c r="AR151" i="27" s="1"/>
  <c r="AR152" i="27" s="1"/>
  <c r="AR153" i="27" s="1"/>
  <c r="AR154" i="27" s="1"/>
  <c r="AR155" i="27" s="1"/>
  <c r="AR156" i="27" s="1"/>
  <c r="AR157" i="27" s="1"/>
  <c r="AR158" i="27" s="1"/>
  <c r="AR159" i="27" s="1"/>
  <c r="AR160" i="27" s="1"/>
  <c r="AR161" i="27" s="1"/>
  <c r="AR162" i="27" s="1"/>
  <c r="AR163" i="27" s="1"/>
  <c r="AR164" i="27" s="1"/>
  <c r="AR165" i="27" s="1"/>
  <c r="AR166" i="27" s="1"/>
  <c r="AR167" i="27" s="1"/>
  <c r="AR168" i="27" s="1"/>
  <c r="AR169" i="27" s="1"/>
  <c r="AR170" i="27" s="1"/>
  <c r="AR171" i="27" s="1"/>
  <c r="AR172" i="27" s="1"/>
  <c r="AR173" i="27" s="1"/>
  <c r="AR174" i="27" s="1"/>
  <c r="AR175" i="27" s="1"/>
  <c r="AR176" i="27" s="1"/>
  <c r="AR177" i="27" s="1"/>
  <c r="AR178" i="27" s="1"/>
  <c r="AR179" i="27" s="1"/>
  <c r="AR180" i="27" s="1"/>
  <c r="AR181" i="27" s="1"/>
  <c r="AR182" i="27" s="1"/>
  <c r="AR183" i="27" s="1"/>
  <c r="AR184" i="27" s="1"/>
  <c r="AR185" i="27" s="1"/>
  <c r="AR186" i="27" s="1"/>
  <c r="AR187" i="27" s="1"/>
  <c r="AR188" i="27" s="1"/>
  <c r="AR189" i="27" s="1"/>
  <c r="AR190" i="27" s="1"/>
  <c r="AR191" i="27" s="1"/>
  <c r="AR192" i="27" s="1"/>
  <c r="AR193" i="27" s="1"/>
  <c r="AR194" i="27" s="1"/>
  <c r="AR195" i="27" s="1"/>
  <c r="AR196" i="27" s="1"/>
  <c r="AR197" i="27" s="1"/>
  <c r="AR198" i="27" s="1"/>
  <c r="AR199" i="27" s="1"/>
  <c r="AR200" i="27" s="1"/>
  <c r="AR201" i="27" s="1"/>
  <c r="AR202" i="27" s="1"/>
  <c r="AR203" i="27" s="1"/>
  <c r="AR204" i="27" s="1"/>
  <c r="AR205" i="27" s="1"/>
  <c r="AR206" i="27" s="1"/>
  <c r="AR207" i="27" s="1"/>
  <c r="AR208" i="27" s="1"/>
  <c r="AR209" i="27" s="1"/>
  <c r="AR210" i="27" s="1"/>
  <c r="AR211" i="27" s="1"/>
  <c r="AR212" i="27" s="1"/>
  <c r="AR213" i="27" s="1"/>
  <c r="AR214" i="27" s="1"/>
  <c r="AR215" i="27" s="1"/>
  <c r="AR216" i="27" s="1"/>
  <c r="AR217" i="27" s="1"/>
  <c r="AR218" i="27" s="1"/>
  <c r="AR219" i="27" s="1"/>
  <c r="AR220" i="27" s="1"/>
  <c r="AR221" i="27" s="1"/>
  <c r="AR222" i="27" s="1"/>
  <c r="AR223" i="27" s="1"/>
  <c r="AR224" i="27" s="1"/>
  <c r="AR225" i="27" s="1"/>
  <c r="AR226" i="27" s="1"/>
  <c r="AR227" i="27" s="1"/>
  <c r="AR228" i="27" s="1"/>
  <c r="AR229" i="27" s="1"/>
  <c r="AR230" i="27" s="1"/>
  <c r="AR231" i="27" s="1"/>
  <c r="AR232" i="27" s="1"/>
  <c r="AR233" i="27" s="1"/>
  <c r="AR234" i="27" s="1"/>
  <c r="AR235" i="27" s="1"/>
  <c r="AR236" i="27" s="1"/>
  <c r="AR237" i="27" s="1"/>
  <c r="AR238" i="27" s="1"/>
  <c r="AR239" i="27" s="1"/>
  <c r="AR240" i="27" s="1"/>
  <c r="AR241" i="27" s="1"/>
  <c r="AR242" i="27" s="1"/>
  <c r="AR243" i="27" s="1"/>
  <c r="AR244" i="27" s="1"/>
  <c r="AR245" i="27" s="1"/>
  <c r="AR246" i="27" s="1"/>
  <c r="AR247" i="27" s="1"/>
  <c r="AR248" i="27" s="1"/>
  <c r="AR249" i="27" s="1"/>
  <c r="AR250" i="27" s="1"/>
  <c r="AR251" i="27" s="1"/>
  <c r="AR252" i="27" s="1"/>
  <c r="AR253" i="27" s="1"/>
  <c r="AR254" i="27" s="1"/>
  <c r="AR255" i="27" s="1"/>
  <c r="AR256" i="27" s="1"/>
  <c r="AR257" i="27" s="1"/>
  <c r="AR258" i="27" s="1"/>
  <c r="AR259" i="27" s="1"/>
  <c r="AR260" i="27" s="1"/>
  <c r="AR261" i="27" s="1"/>
  <c r="AR262" i="27" s="1"/>
  <c r="AR263" i="27" s="1"/>
  <c r="AR264" i="27" s="1"/>
  <c r="AR265" i="27" s="1"/>
  <c r="AR266" i="27" s="1"/>
  <c r="AR267" i="27" s="1"/>
  <c r="AR268" i="27" s="1"/>
  <c r="AR269" i="27" s="1"/>
  <c r="AR270" i="27" s="1"/>
  <c r="AR271" i="27" s="1"/>
  <c r="AR272" i="27" s="1"/>
  <c r="AR273" i="27" s="1"/>
  <c r="AR274" i="27" s="1"/>
  <c r="AR275" i="27" s="1"/>
  <c r="AR276" i="27" s="1"/>
  <c r="AR277" i="27" s="1"/>
  <c r="AR278" i="27" s="1"/>
  <c r="AR279" i="27" s="1"/>
  <c r="AR280" i="27" s="1"/>
  <c r="AR281" i="27" s="1"/>
  <c r="AR282" i="27" s="1"/>
  <c r="AR283" i="27" s="1"/>
  <c r="AR284" i="27" s="1"/>
  <c r="AR285" i="27" s="1"/>
  <c r="AR286" i="27" s="1"/>
  <c r="AR287" i="27" s="1"/>
  <c r="AR288" i="27" s="1"/>
  <c r="AR289" i="27" s="1"/>
  <c r="AR290" i="27" s="1"/>
  <c r="AR291" i="27" s="1"/>
  <c r="AR292" i="27" s="1"/>
  <c r="AR293" i="27" s="1"/>
  <c r="AR294" i="27" s="1"/>
  <c r="AR295" i="27" s="1"/>
  <c r="AR296" i="27" s="1"/>
  <c r="AR297" i="27" s="1"/>
  <c r="AR298" i="27" s="1"/>
  <c r="AR299" i="27" s="1"/>
  <c r="AR300" i="27" s="1"/>
  <c r="AR301" i="27" s="1"/>
  <c r="AR302" i="27" s="1"/>
  <c r="AR303" i="27" s="1"/>
  <c r="AR304" i="27" s="1"/>
  <c r="AR305" i="27" s="1"/>
  <c r="AR306" i="27" s="1"/>
  <c r="AR307" i="27" s="1"/>
  <c r="AR308" i="27" s="1"/>
  <c r="AR309" i="27" s="1"/>
  <c r="AR310" i="27" s="1"/>
  <c r="AR311" i="27" s="1"/>
  <c r="AR312" i="27" s="1"/>
  <c r="AR313" i="27" s="1"/>
  <c r="AR314" i="27" s="1"/>
  <c r="AR315" i="27" s="1"/>
  <c r="AR316" i="27" s="1"/>
  <c r="AR317" i="27" s="1"/>
  <c r="AR318" i="27" s="1"/>
  <c r="AR319" i="27" s="1"/>
  <c r="AR320" i="27" s="1"/>
  <c r="AR321" i="27" s="1"/>
  <c r="AR322" i="27" s="1"/>
  <c r="AR323" i="27" s="1"/>
  <c r="AR324" i="27" s="1"/>
  <c r="AR325" i="27" s="1"/>
  <c r="AR326" i="27" s="1"/>
  <c r="AR327" i="27" s="1"/>
  <c r="AR328" i="27" s="1"/>
  <c r="AR329" i="27" s="1"/>
  <c r="AR330" i="27" s="1"/>
  <c r="AR331" i="27" s="1"/>
  <c r="AR332" i="27" s="1"/>
  <c r="AR333" i="27" s="1"/>
  <c r="AR334" i="27" s="1"/>
  <c r="AR335" i="27" s="1"/>
  <c r="AR336" i="27" s="1"/>
  <c r="AR337" i="27" s="1"/>
  <c r="AR338" i="27" s="1"/>
  <c r="AR339" i="27" s="1"/>
  <c r="AR340" i="27" s="1"/>
  <c r="AR341" i="27" s="1"/>
  <c r="AR342" i="27" s="1"/>
  <c r="AR343" i="27" s="1"/>
  <c r="AR344" i="27" s="1"/>
  <c r="AR345" i="27" s="1"/>
  <c r="AR346" i="27" s="1"/>
  <c r="AR347" i="27" s="1"/>
  <c r="AR348" i="27" s="1"/>
  <c r="AR349" i="27" s="1"/>
  <c r="AR350" i="27" s="1"/>
  <c r="AR351" i="27" s="1"/>
  <c r="AR352" i="27" s="1"/>
  <c r="AR353" i="27" s="1"/>
  <c r="AR354" i="27" s="1"/>
  <c r="AR355" i="27" s="1"/>
  <c r="AR356" i="27" s="1"/>
  <c r="AR357" i="27" s="1"/>
  <c r="AR358" i="27" s="1"/>
  <c r="AR359" i="27" s="1"/>
  <c r="AR360" i="27" s="1"/>
  <c r="AR361" i="27" s="1"/>
  <c r="AR362" i="27" s="1"/>
  <c r="AR363" i="27" s="1"/>
  <c r="AR364" i="27" s="1"/>
  <c r="AR365" i="27" s="1"/>
  <c r="AR366" i="27" s="1"/>
  <c r="AR367" i="27" s="1"/>
  <c r="AR368" i="27" s="1"/>
  <c r="AR369" i="27" s="1"/>
  <c r="AR370" i="27" s="1"/>
  <c r="AR371" i="27" s="1"/>
  <c r="AR372" i="27" s="1"/>
  <c r="AR373" i="27" s="1"/>
  <c r="AR374" i="27" s="1"/>
  <c r="AR375" i="27" s="1"/>
  <c r="AR376" i="27" s="1"/>
  <c r="AR377" i="27" s="1"/>
  <c r="AR378" i="27" s="1"/>
  <c r="AR379" i="27" s="1"/>
  <c r="AR380" i="27" s="1"/>
  <c r="AR381" i="27" s="1"/>
  <c r="AR382" i="27" s="1"/>
  <c r="AR383" i="27" s="1"/>
  <c r="AR384" i="27" s="1"/>
  <c r="AR385" i="27" s="1"/>
  <c r="AR386" i="27" s="1"/>
  <c r="AR387" i="27" s="1"/>
  <c r="AR388" i="27" s="1"/>
  <c r="AR389" i="27" s="1"/>
  <c r="AR390" i="27" s="1"/>
  <c r="AR391" i="27" s="1"/>
  <c r="AR392" i="27" s="1"/>
  <c r="AR393" i="27" s="1"/>
  <c r="AR394" i="27" s="1"/>
  <c r="AR395" i="27" s="1"/>
  <c r="AR396" i="27" s="1"/>
  <c r="AR397" i="27" s="1"/>
  <c r="AR398" i="27" s="1"/>
  <c r="AR399" i="27" s="1"/>
  <c r="AR400" i="27" s="1"/>
  <c r="AR401" i="27" s="1"/>
  <c r="AR402" i="27" s="1"/>
  <c r="AR403" i="27" s="1"/>
  <c r="AR404" i="27" s="1"/>
  <c r="AR405" i="27" s="1"/>
  <c r="AR406" i="27" s="1"/>
  <c r="AR407" i="27" s="1"/>
  <c r="AR408" i="27" s="1"/>
  <c r="AR409" i="27" s="1"/>
  <c r="AR410" i="27" s="1"/>
  <c r="AR411" i="27" s="1"/>
  <c r="AR412" i="27" s="1"/>
  <c r="AR413" i="27" s="1"/>
  <c r="AR414" i="27" s="1"/>
  <c r="AR415" i="27" s="1"/>
  <c r="AR416" i="27" s="1"/>
  <c r="AR417" i="27" s="1"/>
  <c r="AR418" i="27" s="1"/>
  <c r="AR419" i="27" s="1"/>
  <c r="AR420" i="27" s="1"/>
  <c r="AR421" i="27" s="1"/>
  <c r="AR422" i="27" s="1"/>
  <c r="AR423" i="27" s="1"/>
  <c r="AR424" i="27" s="1"/>
  <c r="AR425" i="27" s="1"/>
  <c r="AR426" i="27" s="1"/>
  <c r="AR427" i="27" s="1"/>
  <c r="AR428" i="27" s="1"/>
  <c r="AR429" i="27" s="1"/>
  <c r="AR430" i="27" s="1"/>
  <c r="AR431" i="27" s="1"/>
  <c r="AR432" i="27" s="1"/>
  <c r="AR433" i="27" s="1"/>
  <c r="AR434" i="27" s="1"/>
  <c r="AR435" i="27" s="1"/>
  <c r="AR436" i="27" s="1"/>
  <c r="AR437" i="27" s="1"/>
  <c r="AR438" i="27" s="1"/>
  <c r="AR439" i="27" s="1"/>
  <c r="AR440" i="27" s="1"/>
  <c r="AR441" i="27" s="1"/>
  <c r="AR442" i="27" s="1"/>
  <c r="AR443" i="27" s="1"/>
  <c r="AR444" i="27" s="1"/>
  <c r="AR445" i="27" s="1"/>
  <c r="AR446" i="27" s="1"/>
  <c r="AR447" i="27" s="1"/>
  <c r="AR448" i="27" s="1"/>
  <c r="AR449" i="27" s="1"/>
  <c r="AR450" i="27" s="1"/>
  <c r="AR451" i="27" s="1"/>
  <c r="AR452" i="27" s="1"/>
  <c r="AR453" i="27" s="1"/>
  <c r="AR454" i="27" s="1"/>
  <c r="AR455" i="27" s="1"/>
  <c r="AR456" i="27" s="1"/>
  <c r="AR457" i="27" s="1"/>
  <c r="AR458" i="27" s="1"/>
  <c r="AR459" i="27" s="1"/>
  <c r="AR460" i="27" s="1"/>
  <c r="AR461" i="27" s="1"/>
  <c r="AR462" i="27" s="1"/>
  <c r="AR463" i="27" s="1"/>
  <c r="AR464" i="27" s="1"/>
  <c r="AR465" i="27" s="1"/>
  <c r="AR466" i="27" s="1"/>
  <c r="AR467" i="27" s="1"/>
  <c r="AR468" i="27" s="1"/>
  <c r="AR469" i="27" s="1"/>
  <c r="AR470" i="27" s="1"/>
  <c r="AR471" i="27" s="1"/>
  <c r="AR472" i="27" s="1"/>
  <c r="AR473" i="27" s="1"/>
  <c r="AR474" i="27" s="1"/>
  <c r="AR475" i="27" s="1"/>
  <c r="AR476" i="27" s="1"/>
  <c r="AR477" i="27" s="1"/>
  <c r="AR478" i="27" s="1"/>
  <c r="AR479" i="27" s="1"/>
  <c r="AR480" i="27" s="1"/>
  <c r="AR481" i="27" s="1"/>
  <c r="AR482" i="27" s="1"/>
  <c r="AR483" i="27" s="1"/>
  <c r="AR484" i="27" s="1"/>
  <c r="AR485" i="27" s="1"/>
  <c r="AR486" i="27" s="1"/>
  <c r="AR487" i="27" s="1"/>
  <c r="AR488" i="27" s="1"/>
  <c r="AR489" i="27" s="1"/>
  <c r="AR490" i="27" s="1"/>
  <c r="AR491" i="27" s="1"/>
  <c r="AR492" i="27" s="1"/>
  <c r="AL8" i="27"/>
  <c r="AL7" i="27"/>
  <c r="AL6" i="27"/>
  <c r="AK13" i="27" s="1"/>
  <c r="AD8" i="27"/>
  <c r="AD7" i="27"/>
  <c r="AD6" i="27"/>
  <c r="AC13" i="27" s="1"/>
  <c r="B26" i="60"/>
  <c r="B25" i="60"/>
  <c r="B22" i="60"/>
  <c r="B23" i="60"/>
  <c r="B21" i="60"/>
  <c r="B20" i="60"/>
  <c r="B18" i="60"/>
  <c r="H82" i="9"/>
  <c r="H61" i="9"/>
  <c r="F81" i="9"/>
  <c r="H80" i="9"/>
  <c r="H79" i="9"/>
  <c r="H78" i="9"/>
  <c r="H77" i="9"/>
  <c r="H76" i="9"/>
  <c r="H75" i="9"/>
  <c r="H74" i="9"/>
  <c r="H73" i="9"/>
  <c r="H72" i="9"/>
  <c r="H71" i="9"/>
  <c r="H70" i="9"/>
  <c r="H69" i="9"/>
  <c r="F60" i="9"/>
  <c r="H49" i="9"/>
  <c r="H51" i="9"/>
  <c r="H52" i="9"/>
  <c r="H53" i="9"/>
  <c r="H54" i="9"/>
  <c r="H55" i="9"/>
  <c r="H56" i="9"/>
  <c r="H57" i="9"/>
  <c r="H58" i="9"/>
  <c r="H59" i="9"/>
  <c r="O13" i="5"/>
  <c r="O12" i="5"/>
  <c r="F44" i="23"/>
  <c r="B3" i="23"/>
  <c r="H46" i="3"/>
  <c r="F44" i="5"/>
  <c r="H85" i="73" s="1"/>
  <c r="V8" i="27"/>
  <c r="V7" i="27"/>
  <c r="V6" i="27"/>
  <c r="U13" i="27" s="1"/>
  <c r="N8" i="27"/>
  <c r="N7" i="27"/>
  <c r="N6" i="27"/>
  <c r="M13" i="27" s="1"/>
  <c r="N13" i="27" s="1"/>
  <c r="D27" i="63"/>
  <c r="D26" i="63"/>
  <c r="D35" i="8"/>
  <c r="E35" i="8" s="1"/>
  <c r="F35" i="8" s="1"/>
  <c r="G35" i="8" s="1"/>
  <c r="D36" i="8"/>
  <c r="E36" i="8" s="1"/>
  <c r="F36" i="8" s="1"/>
  <c r="G36" i="8" s="1"/>
  <c r="E9" i="34"/>
  <c r="B19" i="60"/>
  <c r="D25" i="57"/>
  <c r="D22" i="57"/>
  <c r="D24" i="57"/>
  <c r="A2" i="8"/>
  <c r="F99" i="9"/>
  <c r="L9" i="9" s="1"/>
  <c r="D18" i="63"/>
  <c r="D6" i="59"/>
  <c r="A2" i="63"/>
  <c r="H59" i="28"/>
  <c r="G59" i="28"/>
  <c r="AZ10" i="9"/>
  <c r="BR16" i="9"/>
  <c r="AK112" i="20"/>
  <c r="AI116" i="20"/>
  <c r="AH116" i="20"/>
  <c r="AG116" i="20"/>
  <c r="AF116" i="20"/>
  <c r="AE116" i="20"/>
  <c r="AC116" i="20"/>
  <c r="AB116" i="20"/>
  <c r="AA116" i="20"/>
  <c r="Z116" i="20"/>
  <c r="Y116" i="20"/>
  <c r="X116" i="20"/>
  <c r="W116" i="20"/>
  <c r="V116" i="20"/>
  <c r="U116" i="20"/>
  <c r="T116" i="20"/>
  <c r="S116" i="20"/>
  <c r="R116" i="20"/>
  <c r="Q116" i="20"/>
  <c r="P116" i="20"/>
  <c r="O116" i="20"/>
  <c r="N116" i="20"/>
  <c r="M116" i="20"/>
  <c r="L116" i="20"/>
  <c r="K116" i="20"/>
  <c r="J116" i="20"/>
  <c r="I116" i="20"/>
  <c r="H116" i="20"/>
  <c r="G116" i="20"/>
  <c r="F116" i="20"/>
  <c r="E116" i="20"/>
  <c r="E118" i="20" s="1"/>
  <c r="D23" i="57"/>
  <c r="D21" i="57"/>
  <c r="D20" i="57"/>
  <c r="D19" i="57"/>
  <c r="C30" i="20"/>
  <c r="AJ30" i="20" s="1"/>
  <c r="O161" i="3"/>
  <c r="O160" i="3"/>
  <c r="O145" i="3"/>
  <c r="O153" i="3"/>
  <c r="D30" i="63"/>
  <c r="F30" i="63" s="1"/>
  <c r="D29" i="63"/>
  <c r="F29" i="63" s="1"/>
  <c r="A99" i="3"/>
  <c r="A98" i="3"/>
  <c r="A93" i="3"/>
  <c r="A92" i="3"/>
  <c r="A91" i="3"/>
  <c r="A102" i="3"/>
  <c r="A101" i="3"/>
  <c r="A100" i="3"/>
  <c r="A97" i="3"/>
  <c r="A96" i="3"/>
  <c r="A95" i="3"/>
  <c r="A94" i="3"/>
  <c r="E25" i="20"/>
  <c r="E36" i="20" s="1"/>
  <c r="A90" i="3"/>
  <c r="B82" i="20"/>
  <c r="B108" i="20"/>
  <c r="B106" i="20"/>
  <c r="B104" i="20"/>
  <c r="B103" i="20"/>
  <c r="B102" i="20"/>
  <c r="B100" i="20"/>
  <c r="C99" i="20"/>
  <c r="AJ99" i="20" s="1"/>
  <c r="B99" i="20"/>
  <c r="B98" i="20"/>
  <c r="B96" i="20"/>
  <c r="B95" i="20"/>
  <c r="B94" i="20"/>
  <c r="B93" i="20"/>
  <c r="B91" i="20"/>
  <c r="C90" i="20"/>
  <c r="AJ90" i="20" s="1"/>
  <c r="B90" i="20"/>
  <c r="B89" i="20"/>
  <c r="C88" i="20"/>
  <c r="AJ88" i="20" s="1"/>
  <c r="B88" i="20"/>
  <c r="B87" i="20"/>
  <c r="C86" i="20"/>
  <c r="B86" i="20"/>
  <c r="B85" i="20"/>
  <c r="B84" i="20"/>
  <c r="C82" i="20"/>
  <c r="AJ82" i="20" s="1"/>
  <c r="B81" i="20"/>
  <c r="B80" i="20"/>
  <c r="B79" i="20"/>
  <c r="C78" i="20"/>
  <c r="B78" i="20"/>
  <c r="B77" i="20"/>
  <c r="B76" i="20"/>
  <c r="B75" i="20"/>
  <c r="B74" i="20"/>
  <c r="B73" i="20"/>
  <c r="B72" i="20"/>
  <c r="B71" i="20"/>
  <c r="B70" i="20"/>
  <c r="B69" i="20"/>
  <c r="B68" i="20"/>
  <c r="B67" i="20"/>
  <c r="B66" i="20"/>
  <c r="B65" i="20"/>
  <c r="B64" i="20"/>
  <c r="B63" i="20"/>
  <c r="B62" i="20"/>
  <c r="B61" i="20"/>
  <c r="C60" i="20"/>
  <c r="AJ60" i="20" s="1"/>
  <c r="B60" i="20"/>
  <c r="B59" i="20"/>
  <c r="B58" i="20"/>
  <c r="B57" i="20"/>
  <c r="B56" i="20"/>
  <c r="B55" i="20"/>
  <c r="B54" i="20"/>
  <c r="B51" i="20"/>
  <c r="B49" i="20"/>
  <c r="B47" i="20"/>
  <c r="B45" i="20"/>
  <c r="B44" i="20"/>
  <c r="B43" i="20"/>
  <c r="K77" i="22"/>
  <c r="K44" i="22"/>
  <c r="K67" i="22"/>
  <c r="K65" i="22"/>
  <c r="A2" i="57"/>
  <c r="C136" i="3"/>
  <c r="D104" i="3"/>
  <c r="E97" i="3" s="1"/>
  <c r="M12" i="14"/>
  <c r="O15" i="14"/>
  <c r="O13" i="14"/>
  <c r="O14" i="14"/>
  <c r="M15" i="14"/>
  <c r="M13" i="14"/>
  <c r="J13" i="14"/>
  <c r="O16" i="14"/>
  <c r="J16" i="14"/>
  <c r="O12" i="14"/>
  <c r="J12" i="14"/>
  <c r="M14" i="14"/>
  <c r="M16" i="14"/>
  <c r="J14" i="14"/>
  <c r="M69" i="14"/>
  <c r="O68" i="14"/>
  <c r="M63" i="14"/>
  <c r="O55" i="14"/>
  <c r="M55" i="14"/>
  <c r="O84" i="14"/>
  <c r="M67" i="14"/>
  <c r="O64" i="14"/>
  <c r="M84" i="14"/>
  <c r="J84" i="14"/>
  <c r="O69" i="14"/>
  <c r="M64" i="14"/>
  <c r="J64" i="14"/>
  <c r="O63" i="14"/>
  <c r="M68" i="14"/>
  <c r="O67" i="14"/>
  <c r="F47" i="23"/>
  <c r="O37" i="14"/>
  <c r="M37" i="14"/>
  <c r="O36" i="14"/>
  <c r="O46" i="14"/>
  <c r="M36" i="14"/>
  <c r="J36" i="14"/>
  <c r="M46" i="14"/>
  <c r="O27" i="14"/>
  <c r="M27" i="14"/>
  <c r="J27" i="14"/>
  <c r="K46" i="22"/>
  <c r="J46" i="14"/>
  <c r="J37" i="14"/>
  <c r="J67" i="14"/>
  <c r="J55" i="14"/>
  <c r="X109" i="20"/>
  <c r="C155" i="3"/>
  <c r="C147" i="3"/>
  <c r="Y109" i="20"/>
  <c r="N159" i="3"/>
  <c r="M159" i="3"/>
  <c r="L159" i="3"/>
  <c r="K159" i="3"/>
  <c r="J159" i="3"/>
  <c r="I159" i="3"/>
  <c r="H159" i="3"/>
  <c r="G159" i="3"/>
  <c r="F159" i="3"/>
  <c r="E159" i="3"/>
  <c r="D159" i="3"/>
  <c r="C159" i="3"/>
  <c r="N151" i="3"/>
  <c r="M151" i="3"/>
  <c r="L151" i="3"/>
  <c r="K151" i="3"/>
  <c r="J151" i="3"/>
  <c r="I151" i="3"/>
  <c r="H151" i="3"/>
  <c r="G151" i="3"/>
  <c r="F151" i="3"/>
  <c r="E151" i="3"/>
  <c r="J143" i="3"/>
  <c r="I143" i="3"/>
  <c r="H143" i="3"/>
  <c r="G143" i="3"/>
  <c r="F143" i="3"/>
  <c r="E143" i="3"/>
  <c r="D143" i="3"/>
  <c r="O144" i="3" s="1"/>
  <c r="C143" i="3"/>
  <c r="Z109" i="20"/>
  <c r="AA109" i="20"/>
  <c r="AB109" i="20"/>
  <c r="C4" i="60"/>
  <c r="B4" i="61" s="1"/>
  <c r="A46" i="60"/>
  <c r="A45" i="60"/>
  <c r="A44" i="60"/>
  <c r="AD109" i="20"/>
  <c r="A43" i="60"/>
  <c r="A42" i="60"/>
  <c r="A41" i="60"/>
  <c r="Y99" i="14"/>
  <c r="Y98" i="14"/>
  <c r="Y97" i="14"/>
  <c r="Y96" i="14"/>
  <c r="Y95" i="14"/>
  <c r="Y91" i="14"/>
  <c r="Y89" i="14"/>
  <c r="Y87" i="14"/>
  <c r="Y85" i="14"/>
  <c r="Y83" i="14"/>
  <c r="Y82" i="14"/>
  <c r="Y81" i="14"/>
  <c r="Y80" i="14"/>
  <c r="Y79" i="14"/>
  <c r="Y78" i="14"/>
  <c r="Y77" i="14"/>
  <c r="Y76" i="14"/>
  <c r="Y74" i="14"/>
  <c r="Y73" i="14"/>
  <c r="Y72" i="14"/>
  <c r="Y71" i="14"/>
  <c r="Y70" i="14"/>
  <c r="Y66" i="14"/>
  <c r="Y65" i="14"/>
  <c r="Y62" i="14"/>
  <c r="Y61" i="14"/>
  <c r="Y60" i="14"/>
  <c r="Y59" i="14"/>
  <c r="Y58" i="14"/>
  <c r="Y57" i="14"/>
  <c r="Y56" i="14"/>
  <c r="Y54" i="14"/>
  <c r="Y53" i="14"/>
  <c r="Y52" i="14"/>
  <c r="Y51" i="14"/>
  <c r="Y50" i="14"/>
  <c r="Y49" i="14"/>
  <c r="Y47" i="14"/>
  <c r="Y44" i="14"/>
  <c r="Y43" i="14"/>
  <c r="Y42" i="14"/>
  <c r="Y41" i="14"/>
  <c r="Y39" i="14"/>
  <c r="Y38" i="14"/>
  <c r="Y35" i="14"/>
  <c r="Y34" i="14"/>
  <c r="Y33" i="14"/>
  <c r="Y32" i="14"/>
  <c r="Y31" i="14"/>
  <c r="Y30" i="14"/>
  <c r="Y29" i="14"/>
  <c r="Y28" i="14"/>
  <c r="Y26" i="14"/>
  <c r="Y25" i="14"/>
  <c r="Y24" i="14"/>
  <c r="Y23" i="14"/>
  <c r="Y22" i="14"/>
  <c r="Y21" i="14"/>
  <c r="Y20" i="14"/>
  <c r="Y17" i="14"/>
  <c r="X101" i="14"/>
  <c r="X99" i="14"/>
  <c r="X74" i="14"/>
  <c r="X39" i="14"/>
  <c r="W91" i="14"/>
  <c r="W89" i="14"/>
  <c r="W85" i="14"/>
  <c r="W83" i="14"/>
  <c r="W82" i="14"/>
  <c r="W81" i="14"/>
  <c r="W80" i="14"/>
  <c r="W79" i="14"/>
  <c r="W78" i="14"/>
  <c r="W77" i="14"/>
  <c r="W76" i="14"/>
  <c r="W74" i="14"/>
  <c r="W73" i="14"/>
  <c r="W72" i="14"/>
  <c r="W71" i="14"/>
  <c r="W70" i="14"/>
  <c r="W66" i="14"/>
  <c r="W65" i="14"/>
  <c r="W62" i="14"/>
  <c r="W61" i="14"/>
  <c r="W60" i="14"/>
  <c r="W59" i="14"/>
  <c r="W58" i="14"/>
  <c r="W57" i="14"/>
  <c r="W56" i="14"/>
  <c r="W54" i="14"/>
  <c r="W53" i="14"/>
  <c r="W52" i="14"/>
  <c r="W51" i="14"/>
  <c r="W50" i="14"/>
  <c r="W49" i="14"/>
  <c r="W47" i="14"/>
  <c r="W45" i="14"/>
  <c r="W44" i="14"/>
  <c r="W43" i="14"/>
  <c r="W42" i="14"/>
  <c r="W41" i="14"/>
  <c r="W39" i="14"/>
  <c r="W38" i="14"/>
  <c r="W35" i="14"/>
  <c r="W34" i="14"/>
  <c r="W33" i="14"/>
  <c r="W32" i="14"/>
  <c r="W31" i="14"/>
  <c r="W30" i="14"/>
  <c r="W29" i="14"/>
  <c r="W28" i="14"/>
  <c r="W26" i="14"/>
  <c r="W25" i="14"/>
  <c r="W24" i="14"/>
  <c r="W23" i="14"/>
  <c r="W22" i="14"/>
  <c r="W21" i="14"/>
  <c r="W99" i="14"/>
  <c r="W98" i="14"/>
  <c r="W97" i="14"/>
  <c r="W96" i="14"/>
  <c r="W95" i="14"/>
  <c r="W20" i="14"/>
  <c r="W17" i="14"/>
  <c r="V101" i="14"/>
  <c r="V99" i="14"/>
  <c r="V74" i="14"/>
  <c r="V39" i="14"/>
  <c r="G49" i="59"/>
  <c r="K12" i="22"/>
  <c r="C108" i="57"/>
  <c r="M15" i="22"/>
  <c r="F21" i="56"/>
  <c r="A2" i="56"/>
  <c r="D22" i="56"/>
  <c r="G98" i="56"/>
  <c r="G133" i="56" s="1"/>
  <c r="G97" i="56"/>
  <c r="G96" i="56"/>
  <c r="G131" i="56" s="1"/>
  <c r="G95" i="56"/>
  <c r="G130" i="56" s="1"/>
  <c r="G94" i="56"/>
  <c r="G129" i="56" s="1"/>
  <c r="G93" i="56"/>
  <c r="G128" i="56" s="1"/>
  <c r="G92" i="56"/>
  <c r="G127" i="56" s="1"/>
  <c r="G91" i="56"/>
  <c r="G126" i="56" s="1"/>
  <c r="G86" i="56"/>
  <c r="G121" i="56" s="1"/>
  <c r="G85" i="56"/>
  <c r="G120" i="56" s="1"/>
  <c r="F97" i="56"/>
  <c r="F132" i="56" s="1"/>
  <c r="F96" i="56"/>
  <c r="F131" i="56" s="1"/>
  <c r="F95" i="56"/>
  <c r="F130" i="56" s="1"/>
  <c r="F94" i="56"/>
  <c r="F129" i="56" s="1"/>
  <c r="F93" i="56"/>
  <c r="F128" i="56" s="1"/>
  <c r="F91" i="56"/>
  <c r="F126" i="56" s="1"/>
  <c r="F90" i="56"/>
  <c r="F125" i="56" s="1"/>
  <c r="F89" i="56"/>
  <c r="F124" i="56" s="1"/>
  <c r="F88" i="56"/>
  <c r="F123" i="56" s="1"/>
  <c r="F87" i="56"/>
  <c r="F122" i="56" s="1"/>
  <c r="F86" i="56"/>
  <c r="F121" i="56" s="1"/>
  <c r="F85" i="56"/>
  <c r="F120" i="56" s="1"/>
  <c r="D98" i="56"/>
  <c r="D133" i="56" s="1"/>
  <c r="D97" i="56"/>
  <c r="D132" i="56" s="1"/>
  <c r="D96" i="56"/>
  <c r="D131" i="56" s="1"/>
  <c r="D95" i="56"/>
  <c r="D130" i="56" s="1"/>
  <c r="D94" i="56"/>
  <c r="D129" i="56" s="1"/>
  <c r="D93" i="56"/>
  <c r="D128" i="56" s="1"/>
  <c r="D92" i="56"/>
  <c r="D127" i="56" s="1"/>
  <c r="D91" i="56"/>
  <c r="D126" i="56" s="1"/>
  <c r="D90" i="56"/>
  <c r="D125" i="56" s="1"/>
  <c r="D89" i="56"/>
  <c r="D124" i="56" s="1"/>
  <c r="D88" i="56"/>
  <c r="D123" i="56" s="1"/>
  <c r="D87" i="56"/>
  <c r="D122" i="56" s="1"/>
  <c r="D86" i="56"/>
  <c r="D121" i="56" s="1"/>
  <c r="D85" i="56"/>
  <c r="D120" i="56" s="1"/>
  <c r="A2" i="20"/>
  <c r="A2" i="27"/>
  <c r="D18" i="57"/>
  <c r="D17" i="57"/>
  <c r="D16" i="57"/>
  <c r="D15" i="57"/>
  <c r="U91" i="14"/>
  <c r="U89" i="14"/>
  <c r="U87" i="14"/>
  <c r="U85" i="14"/>
  <c r="U83" i="14"/>
  <c r="U82" i="14"/>
  <c r="U81" i="14"/>
  <c r="U80" i="14"/>
  <c r="U79" i="14"/>
  <c r="U78" i="14"/>
  <c r="U77" i="14"/>
  <c r="U76" i="14"/>
  <c r="U74" i="14"/>
  <c r="U73" i="14"/>
  <c r="U72" i="14"/>
  <c r="U71" i="14"/>
  <c r="U70" i="14"/>
  <c r="U66" i="14"/>
  <c r="U65" i="14"/>
  <c r="U62" i="14"/>
  <c r="U61" i="14"/>
  <c r="U60" i="14"/>
  <c r="U59" i="14"/>
  <c r="U58" i="14"/>
  <c r="U57" i="14"/>
  <c r="U56" i="14"/>
  <c r="U54" i="14"/>
  <c r="U53" i="14"/>
  <c r="U52" i="14"/>
  <c r="U51" i="14"/>
  <c r="U50" i="14"/>
  <c r="U49" i="14"/>
  <c r="U47" i="14"/>
  <c r="U45" i="14"/>
  <c r="U44" i="14"/>
  <c r="U43" i="14"/>
  <c r="U42" i="14"/>
  <c r="U41" i="14"/>
  <c r="U39" i="14"/>
  <c r="U38" i="14"/>
  <c r="U35" i="14"/>
  <c r="U34" i="14"/>
  <c r="U33" i="14"/>
  <c r="U32" i="14"/>
  <c r="U31" i="14"/>
  <c r="U30" i="14"/>
  <c r="U29" i="14"/>
  <c r="U28" i="14"/>
  <c r="U26" i="14"/>
  <c r="U25" i="14"/>
  <c r="U24" i="14"/>
  <c r="U23" i="14"/>
  <c r="U22" i="14"/>
  <c r="U21" i="14"/>
  <c r="U20" i="14"/>
  <c r="U17" i="14"/>
  <c r="U99" i="14"/>
  <c r="U98" i="14"/>
  <c r="U97" i="14"/>
  <c r="U96" i="14"/>
  <c r="U95" i="14"/>
  <c r="S99" i="14"/>
  <c r="S98" i="14"/>
  <c r="S97" i="14"/>
  <c r="S96" i="14"/>
  <c r="S95" i="14"/>
  <c r="S91" i="14"/>
  <c r="S89" i="14"/>
  <c r="S87" i="14"/>
  <c r="S85" i="14"/>
  <c r="S83" i="14"/>
  <c r="S82" i="14"/>
  <c r="S81" i="14"/>
  <c r="S80" i="14"/>
  <c r="S79" i="14"/>
  <c r="S78" i="14"/>
  <c r="S77" i="14"/>
  <c r="S76" i="14"/>
  <c r="S74" i="14"/>
  <c r="S73" i="14"/>
  <c r="S72" i="14"/>
  <c r="S71" i="14"/>
  <c r="S70" i="14"/>
  <c r="S66" i="14"/>
  <c r="S65" i="14"/>
  <c r="S62" i="14"/>
  <c r="S61" i="14"/>
  <c r="S60" i="14"/>
  <c r="S59" i="14"/>
  <c r="S58" i="14"/>
  <c r="S57" i="14"/>
  <c r="S56" i="14"/>
  <c r="S54" i="14"/>
  <c r="S53" i="14"/>
  <c r="S52" i="14"/>
  <c r="S51" i="14"/>
  <c r="S50" i="14"/>
  <c r="S49" i="14"/>
  <c r="S47" i="14"/>
  <c r="S45" i="14"/>
  <c r="S44" i="14"/>
  <c r="S43" i="14"/>
  <c r="S42" i="14"/>
  <c r="S41" i="14"/>
  <c r="S39" i="14"/>
  <c r="S38" i="14"/>
  <c r="S35" i="14"/>
  <c r="S34" i="14"/>
  <c r="S33" i="14"/>
  <c r="S32" i="14"/>
  <c r="S31" i="14"/>
  <c r="S30" i="14"/>
  <c r="S29" i="14"/>
  <c r="S28" i="14"/>
  <c r="S26" i="14"/>
  <c r="S25" i="14"/>
  <c r="S24" i="14"/>
  <c r="S23" i="14"/>
  <c r="S22" i="14"/>
  <c r="S21" i="14"/>
  <c r="S20" i="14"/>
  <c r="S17" i="14"/>
  <c r="Q89" i="14"/>
  <c r="J89" i="14" s="1"/>
  <c r="Q85" i="14"/>
  <c r="J85" i="14" s="1"/>
  <c r="Q83" i="14"/>
  <c r="Q82" i="14"/>
  <c r="Q81" i="14"/>
  <c r="J81" i="14" s="1"/>
  <c r="Q80" i="14"/>
  <c r="J80" i="14" s="1"/>
  <c r="Q79" i="14"/>
  <c r="Q78" i="14"/>
  <c r="J78" i="14" s="1"/>
  <c r="Q77" i="14"/>
  <c r="J77" i="14" s="1"/>
  <c r="Q76" i="14"/>
  <c r="Q73" i="14"/>
  <c r="J73" i="14" s="1"/>
  <c r="Q72" i="14"/>
  <c r="J72" i="14" s="1"/>
  <c r="Q71" i="14"/>
  <c r="J71" i="14" s="1"/>
  <c r="Q70" i="14"/>
  <c r="J70" i="14" s="1"/>
  <c r="Q66" i="14"/>
  <c r="Q65" i="14"/>
  <c r="J65" i="14" s="1"/>
  <c r="Q62" i="14"/>
  <c r="J62" i="14" s="1"/>
  <c r="Q61" i="14"/>
  <c r="Q60" i="14"/>
  <c r="Q59" i="14"/>
  <c r="J59" i="14" s="1"/>
  <c r="Q58" i="14"/>
  <c r="J58" i="14" s="1"/>
  <c r="Q57" i="14"/>
  <c r="J57" i="14" s="1"/>
  <c r="Q56" i="14"/>
  <c r="Q54" i="14"/>
  <c r="J54" i="14" s="1"/>
  <c r="Q53" i="14"/>
  <c r="J53" i="14" s="1"/>
  <c r="Q52" i="14"/>
  <c r="J52" i="14" s="1"/>
  <c r="Q51" i="14"/>
  <c r="J51" i="14" s="1"/>
  <c r="Q50" i="14"/>
  <c r="J50" i="14" s="1"/>
  <c r="Q49" i="14"/>
  <c r="J49" i="14" s="1"/>
  <c r="Q47" i="14"/>
  <c r="J47" i="14" s="1"/>
  <c r="Q45" i="14"/>
  <c r="Q44" i="14"/>
  <c r="J44" i="14" s="1"/>
  <c r="Q43" i="14"/>
  <c r="J43" i="14" s="1"/>
  <c r="Q42" i="14"/>
  <c r="Q41" i="14"/>
  <c r="J41" i="14" s="1"/>
  <c r="Q38" i="14"/>
  <c r="J38" i="14" s="1"/>
  <c r="Q35" i="14"/>
  <c r="J35" i="14" s="1"/>
  <c r="Q34" i="14"/>
  <c r="J34" i="14" s="1"/>
  <c r="Q33" i="14"/>
  <c r="Q32" i="14"/>
  <c r="J32" i="14" s="1"/>
  <c r="Q31" i="14"/>
  <c r="J31" i="14" s="1"/>
  <c r="Q30" i="14"/>
  <c r="J30" i="14" s="1"/>
  <c r="Q29" i="14"/>
  <c r="Q28" i="14"/>
  <c r="J28" i="14" s="1"/>
  <c r="Q26" i="14"/>
  <c r="J26" i="14" s="1"/>
  <c r="Q25" i="14"/>
  <c r="J25" i="14" s="1"/>
  <c r="Q24" i="14"/>
  <c r="Q23" i="14"/>
  <c r="J23" i="14" s="1"/>
  <c r="Q22" i="14"/>
  <c r="J22" i="14" s="1"/>
  <c r="Q21" i="14"/>
  <c r="J21" i="14" s="1"/>
  <c r="Q20" i="14"/>
  <c r="Q17" i="14"/>
  <c r="J17" i="14" s="1"/>
  <c r="Q98" i="14"/>
  <c r="J98" i="14" s="1"/>
  <c r="Q97" i="14"/>
  <c r="Q96" i="14"/>
  <c r="Q95" i="14"/>
  <c r="J95" i="14" s="1"/>
  <c r="M17" i="14"/>
  <c r="O98" i="14"/>
  <c r="O97" i="14"/>
  <c r="O96" i="14"/>
  <c r="O95" i="14"/>
  <c r="O89" i="14"/>
  <c r="O83" i="14"/>
  <c r="O82" i="14"/>
  <c r="O81" i="14"/>
  <c r="O80" i="14"/>
  <c r="O79" i="14"/>
  <c r="O78" i="14"/>
  <c r="O77" i="14"/>
  <c r="O76" i="14"/>
  <c r="O73" i="14"/>
  <c r="O72" i="14"/>
  <c r="O71" i="14"/>
  <c r="O70" i="14"/>
  <c r="O66" i="14"/>
  <c r="O65" i="14"/>
  <c r="O62" i="14"/>
  <c r="O61" i="14"/>
  <c r="O60" i="14"/>
  <c r="O59" i="14"/>
  <c r="O58" i="14"/>
  <c r="O57" i="14"/>
  <c r="O56" i="14"/>
  <c r="O54" i="14"/>
  <c r="O53" i="14"/>
  <c r="O52" i="14"/>
  <c r="O51" i="14"/>
  <c r="O50" i="14"/>
  <c r="O49" i="14"/>
  <c r="O45" i="14"/>
  <c r="O44" i="14"/>
  <c r="O43" i="14"/>
  <c r="O42" i="14"/>
  <c r="O41" i="14"/>
  <c r="O38" i="14"/>
  <c r="O35" i="14"/>
  <c r="O34" i="14"/>
  <c r="O33" i="14"/>
  <c r="O32" i="14"/>
  <c r="O31" i="14"/>
  <c r="O30" i="14"/>
  <c r="O29" i="14"/>
  <c r="O28" i="14"/>
  <c r="O26" i="14"/>
  <c r="O25" i="14"/>
  <c r="O24" i="14"/>
  <c r="O23" i="14"/>
  <c r="O22" i="14"/>
  <c r="O21" i="14"/>
  <c r="O20" i="14"/>
  <c r="O17" i="14"/>
  <c r="M98" i="14"/>
  <c r="M97" i="14"/>
  <c r="M96" i="14"/>
  <c r="M95" i="14"/>
  <c r="M89" i="14"/>
  <c r="M83" i="14"/>
  <c r="M82" i="14"/>
  <c r="M81" i="14"/>
  <c r="M80" i="14"/>
  <c r="M79" i="14"/>
  <c r="M78" i="14"/>
  <c r="M77" i="14"/>
  <c r="M76" i="14"/>
  <c r="M73" i="14"/>
  <c r="M72" i="14"/>
  <c r="M71" i="14"/>
  <c r="M70" i="14"/>
  <c r="M66" i="14"/>
  <c r="M65" i="14"/>
  <c r="M62" i="14"/>
  <c r="M61" i="14"/>
  <c r="M60" i="14"/>
  <c r="M59" i="14"/>
  <c r="M58" i="14"/>
  <c r="M57" i="14"/>
  <c r="M56" i="14"/>
  <c r="M54" i="14"/>
  <c r="H54" i="14" s="1"/>
  <c r="M53" i="14"/>
  <c r="M52" i="14"/>
  <c r="M51" i="14"/>
  <c r="M50" i="14"/>
  <c r="M49" i="14"/>
  <c r="M45" i="14"/>
  <c r="M44" i="14"/>
  <c r="M43" i="14"/>
  <c r="M42" i="14"/>
  <c r="M41" i="14"/>
  <c r="M38" i="14"/>
  <c r="M35" i="14"/>
  <c r="M34" i="14"/>
  <c r="M33" i="14"/>
  <c r="M32" i="14"/>
  <c r="M31" i="14"/>
  <c r="M30" i="14"/>
  <c r="M29" i="14"/>
  <c r="M28" i="14"/>
  <c r="M26" i="14"/>
  <c r="M25" i="14"/>
  <c r="M24" i="14"/>
  <c r="M23" i="14"/>
  <c r="M22" i="14"/>
  <c r="M21" i="14"/>
  <c r="M20" i="14"/>
  <c r="R99" i="14"/>
  <c r="A2" i="17"/>
  <c r="T101" i="14"/>
  <c r="T99" i="14"/>
  <c r="T74" i="14"/>
  <c r="T39" i="14"/>
  <c r="R101" i="14"/>
  <c r="R74" i="14"/>
  <c r="R39" i="14"/>
  <c r="P101" i="14"/>
  <c r="P99" i="14"/>
  <c r="Q99" i="14"/>
  <c r="J99" i="14" s="1"/>
  <c r="P74" i="14"/>
  <c r="Q74" i="14"/>
  <c r="P39" i="14"/>
  <c r="Q39" i="14"/>
  <c r="J39" i="14" s="1"/>
  <c r="N101" i="14"/>
  <c r="N99" i="14"/>
  <c r="O99" i="14"/>
  <c r="O85" i="14"/>
  <c r="N74" i="14"/>
  <c r="O74" i="14"/>
  <c r="O47" i="14"/>
  <c r="N39" i="14"/>
  <c r="O39" i="14"/>
  <c r="J96" i="14"/>
  <c r="J97" i="14"/>
  <c r="J61" i="14"/>
  <c r="J42" i="14"/>
  <c r="J33" i="14"/>
  <c r="J79" i="14"/>
  <c r="J66" i="14"/>
  <c r="J45" i="14"/>
  <c r="J20" i="14"/>
  <c r="J24" i="14"/>
  <c r="J60" i="14"/>
  <c r="J76" i="14"/>
  <c r="J56" i="14"/>
  <c r="J83" i="14"/>
  <c r="J82" i="14"/>
  <c r="J29" i="14"/>
  <c r="A2" i="61"/>
  <c r="C9" i="61"/>
  <c r="D9" i="61"/>
  <c r="E9" i="61"/>
  <c r="F9" i="61"/>
  <c r="G9" i="61"/>
  <c r="H9" i="61"/>
  <c r="I9" i="61"/>
  <c r="J9" i="61"/>
  <c r="K9" i="61"/>
  <c r="B21" i="61"/>
  <c r="C21" i="61"/>
  <c r="D21" i="61"/>
  <c r="E21" i="61"/>
  <c r="F21" i="61"/>
  <c r="G21" i="61"/>
  <c r="H21" i="61"/>
  <c r="I21" i="61"/>
  <c r="J21" i="61"/>
  <c r="K21" i="61"/>
  <c r="B33" i="61"/>
  <c r="C33" i="61"/>
  <c r="D33" i="61"/>
  <c r="E33" i="61"/>
  <c r="F33" i="61"/>
  <c r="G33" i="61"/>
  <c r="H33" i="61"/>
  <c r="I33" i="61"/>
  <c r="J33" i="61"/>
  <c r="K33" i="61"/>
  <c r="B45" i="61"/>
  <c r="C45" i="61"/>
  <c r="D45" i="61"/>
  <c r="E45" i="61"/>
  <c r="F45" i="61"/>
  <c r="G45" i="61"/>
  <c r="H45" i="61"/>
  <c r="I45" i="61"/>
  <c r="J45" i="61"/>
  <c r="K45" i="61"/>
  <c r="B9" i="61"/>
  <c r="B14" i="60"/>
  <c r="B13" i="60"/>
  <c r="B12" i="60"/>
  <c r="B11" i="60"/>
  <c r="B6" i="60"/>
  <c r="B5" i="60"/>
  <c r="A2" i="60"/>
  <c r="A2" i="59"/>
  <c r="E7" i="59" s="1"/>
  <c r="G54" i="59"/>
  <c r="G53" i="59"/>
  <c r="F25" i="22"/>
  <c r="G52" i="59"/>
  <c r="G46" i="59"/>
  <c r="G45" i="59"/>
  <c r="G44" i="59"/>
  <c r="G43" i="59"/>
  <c r="G42" i="59"/>
  <c r="G41" i="59"/>
  <c r="G40" i="59"/>
  <c r="G38" i="59"/>
  <c r="G37" i="59"/>
  <c r="G36" i="59"/>
  <c r="G35" i="59"/>
  <c r="G34" i="59"/>
  <c r="G33" i="59"/>
  <c r="G32" i="59"/>
  <c r="G31" i="59"/>
  <c r="G30" i="59"/>
  <c r="G29" i="59"/>
  <c r="G28" i="59"/>
  <c r="G27" i="59"/>
  <c r="G26" i="59"/>
  <c r="G25" i="59"/>
  <c r="G24" i="59"/>
  <c r="G23" i="59"/>
  <c r="G22" i="59"/>
  <c r="G21" i="59"/>
  <c r="G20" i="59"/>
  <c r="G19" i="59"/>
  <c r="G18" i="59"/>
  <c r="G17" i="59"/>
  <c r="G16" i="59"/>
  <c r="G15" i="59"/>
  <c r="G14" i="59"/>
  <c r="G13" i="59"/>
  <c r="G12" i="59"/>
  <c r="G11" i="59"/>
  <c r="G10" i="59"/>
  <c r="G9" i="59"/>
  <c r="R47" i="59"/>
  <c r="R48" i="59" s="1"/>
  <c r="R50" i="59" s="1"/>
  <c r="E19" i="22"/>
  <c r="R39" i="59"/>
  <c r="E18" i="22"/>
  <c r="Q47" i="59"/>
  <c r="Q39" i="59"/>
  <c r="D18" i="22" s="1"/>
  <c r="P47" i="59"/>
  <c r="C19" i="22" s="1"/>
  <c r="P39" i="59"/>
  <c r="P48" i="59" s="1"/>
  <c r="P50" i="59" s="1"/>
  <c r="P55" i="59" s="1"/>
  <c r="A2" i="22"/>
  <c r="A2" i="5"/>
  <c r="A2" i="14"/>
  <c r="A2" i="9"/>
  <c r="A2" i="26"/>
  <c r="A1" i="9"/>
  <c r="R55" i="59"/>
  <c r="F27" i="22"/>
  <c r="D69" i="56" s="1"/>
  <c r="F109" i="20"/>
  <c r="W109" i="20"/>
  <c r="F86" i="22"/>
  <c r="D88" i="22"/>
  <c r="G109" i="20"/>
  <c r="E11" i="17"/>
  <c r="E13" i="17" s="1"/>
  <c r="AC109" i="20"/>
  <c r="I109" i="20"/>
  <c r="C63" i="3"/>
  <c r="J109" i="20"/>
  <c r="K109" i="20"/>
  <c r="N109" i="20"/>
  <c r="M109" i="20"/>
  <c r="L15" i="5"/>
  <c r="O109" i="20"/>
  <c r="L11" i="5"/>
  <c r="L12" i="5"/>
  <c r="L13" i="5"/>
  <c r="I551" i="73" s="1"/>
  <c r="Q551" i="73" s="1"/>
  <c r="L10" i="5"/>
  <c r="D12" i="57"/>
  <c r="D10" i="57"/>
  <c r="C4" i="5"/>
  <c r="E7" i="27"/>
  <c r="P109" i="20"/>
  <c r="I115" i="3"/>
  <c r="L21" i="9"/>
  <c r="N21" i="9" s="1"/>
  <c r="H98" i="56" s="1"/>
  <c r="L20" i="9"/>
  <c r="S20" i="9" s="1"/>
  <c r="CI20" i="9" s="1"/>
  <c r="L17" i="9"/>
  <c r="N17" i="9" s="1"/>
  <c r="H94" i="56" s="1"/>
  <c r="I99" i="9"/>
  <c r="H99" i="9"/>
  <c r="M404" i="73" s="1"/>
  <c r="AS404" i="73" s="1"/>
  <c r="L19" i="9"/>
  <c r="P19" i="9" s="1"/>
  <c r="G99" i="9"/>
  <c r="L10" i="9" s="1"/>
  <c r="S10" i="9" s="1"/>
  <c r="BH10" i="9" s="1"/>
  <c r="E99" i="9"/>
  <c r="D99" i="9"/>
  <c r="C99" i="9"/>
  <c r="L15" i="9"/>
  <c r="P15" i="9" s="1"/>
  <c r="BB330" i="73" s="1"/>
  <c r="L14" i="9"/>
  <c r="P14" i="9" s="1"/>
  <c r="BB329" i="73" s="1"/>
  <c r="BS16" i="9"/>
  <c r="L18" i="9"/>
  <c r="S18" i="9" s="1"/>
  <c r="CI18" i="9" s="1"/>
  <c r="R109" i="20"/>
  <c r="L101" i="14"/>
  <c r="L99" i="14"/>
  <c r="BA10" i="9"/>
  <c r="S109" i="20"/>
  <c r="M99" i="14"/>
  <c r="T109" i="20"/>
  <c r="U109" i="20"/>
  <c r="E81" i="9"/>
  <c r="L39" i="14"/>
  <c r="M39" i="14"/>
  <c r="H39" i="14" s="1"/>
  <c r="M47" i="14"/>
  <c r="L74" i="14"/>
  <c r="M74" i="14"/>
  <c r="M85" i="14"/>
  <c r="J74" i="14"/>
  <c r="V11" i="9"/>
  <c r="O13" i="55"/>
  <c r="O14" i="55" s="1"/>
  <c r="O15" i="55" s="1"/>
  <c r="O16" i="55" s="1"/>
  <c r="O17" i="55" s="1"/>
  <c r="O18" i="55" s="1"/>
  <c r="O19" i="55" s="1"/>
  <c r="O20" i="55" s="1"/>
  <c r="O21" i="55" s="1"/>
  <c r="O22" i="55" s="1"/>
  <c r="O23" i="55" s="1"/>
  <c r="O24" i="55" s="1"/>
  <c r="O25" i="55" s="1"/>
  <c r="O26" i="55" s="1"/>
  <c r="O27" i="55" s="1"/>
  <c r="O28" i="55" s="1"/>
  <c r="O29" i="55" s="1"/>
  <c r="O30" i="55" s="1"/>
  <c r="O31" i="55" s="1"/>
  <c r="O32" i="55" s="1"/>
  <c r="O33" i="55" s="1"/>
  <c r="O34" i="55" s="1"/>
  <c r="O35" i="55" s="1"/>
  <c r="O36" i="55" s="1"/>
  <c r="O37" i="55" s="1"/>
  <c r="O38" i="55" s="1"/>
  <c r="O39" i="55" s="1"/>
  <c r="O40" i="55" s="1"/>
  <c r="O41" i="55" s="1"/>
  <c r="I113"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AX114" i="3"/>
  <c r="AW114" i="3"/>
  <c r="AV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AX113" i="3"/>
  <c r="AW113" i="3"/>
  <c r="AV113" i="3"/>
  <c r="AU113" i="3"/>
  <c r="AT113" i="3"/>
  <c r="AS113" i="3"/>
  <c r="AR113" i="3"/>
  <c r="AQ113" i="3"/>
  <c r="AP113" i="3"/>
  <c r="AO113" i="3"/>
  <c r="AN113" i="3"/>
  <c r="AM113" i="3"/>
  <c r="AL113" i="3"/>
  <c r="AK113" i="3"/>
  <c r="AJ113"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9" i="3"/>
  <c r="I118" i="3"/>
  <c r="I117" i="3"/>
  <c r="I112" i="3"/>
  <c r="J112" i="3" s="1"/>
  <c r="K112" i="3" s="1"/>
  <c r="L112" i="3" s="1"/>
  <c r="M112" i="3" s="1"/>
  <c r="N112" i="3" s="1"/>
  <c r="O112" i="3" s="1"/>
  <c r="P112" i="3" s="1"/>
  <c r="Q112" i="3" s="1"/>
  <c r="R112" i="3" s="1"/>
  <c r="S112" i="3" s="1"/>
  <c r="T112" i="3" s="1"/>
  <c r="U112" i="3" s="1"/>
  <c r="V112" i="3" s="1"/>
  <c r="W112" i="3" s="1"/>
  <c r="X112" i="3" s="1"/>
  <c r="Y112" i="3" s="1"/>
  <c r="Z112" i="3" s="1"/>
  <c r="AA112" i="3" s="1"/>
  <c r="AB112" i="3" s="1"/>
  <c r="AC112" i="3" s="1"/>
  <c r="AD112" i="3" s="1"/>
  <c r="AE112" i="3" s="1"/>
  <c r="AF112" i="3" s="1"/>
  <c r="AG112" i="3" s="1"/>
  <c r="AH112" i="3" s="1"/>
  <c r="AI112" i="3" s="1"/>
  <c r="AJ112" i="3" s="1"/>
  <c r="AK112" i="3" s="1"/>
  <c r="AL112" i="3" s="1"/>
  <c r="AM112" i="3" s="1"/>
  <c r="AN112" i="3" s="1"/>
  <c r="AO112" i="3" s="1"/>
  <c r="AP112" i="3" s="1"/>
  <c r="AQ112" i="3" s="1"/>
  <c r="AR112" i="3" s="1"/>
  <c r="AS112" i="3" s="1"/>
  <c r="AT112" i="3" s="1"/>
  <c r="AU112" i="3" s="1"/>
  <c r="AV112" i="3" s="1"/>
  <c r="AW112" i="3" s="1"/>
  <c r="AX112" i="3" s="1"/>
  <c r="I2" i="56"/>
  <c r="G2" i="22"/>
  <c r="G2" i="14"/>
  <c r="D4" i="23"/>
  <c r="H2" i="8"/>
  <c r="H2" i="28"/>
  <c r="H2" i="5"/>
  <c r="K2" i="70"/>
  <c r="D47" i="14"/>
  <c r="I486" i="73" s="1"/>
  <c r="AO486" i="73" s="1"/>
  <c r="D9" i="32"/>
  <c r="D16" i="32"/>
  <c r="D42" i="32"/>
  <c r="D47" i="32"/>
  <c r="J59" i="33"/>
  <c r="J68" i="33"/>
  <c r="F23" i="34" s="1"/>
  <c r="J80" i="33"/>
  <c r="I89" i="33"/>
  <c r="I92" i="33"/>
  <c r="E10" i="34"/>
  <c r="E11" i="34"/>
  <c r="J4" i="23"/>
  <c r="L53" i="23"/>
  <c r="L54" i="23"/>
  <c r="L55" i="23"/>
  <c r="L56" i="23"/>
  <c r="L44" i="23"/>
  <c r="L48" i="23" s="1"/>
  <c r="L45" i="23"/>
  <c r="L46" i="23"/>
  <c r="I50" i="23"/>
  <c r="D18" i="26"/>
  <c r="E18" i="26"/>
  <c r="F18" i="26"/>
  <c r="G18" i="26"/>
  <c r="H18" i="26"/>
  <c r="I18" i="26"/>
  <c r="C18" i="26"/>
  <c r="D15" i="14" s="1"/>
  <c r="I452" i="73" s="1"/>
  <c r="AO452" i="73" s="1"/>
  <c r="D25" i="26"/>
  <c r="E25" i="26"/>
  <c r="F25" i="26"/>
  <c r="G25" i="26"/>
  <c r="G73" i="26" s="1"/>
  <c r="H25" i="26"/>
  <c r="I25" i="26"/>
  <c r="C25" i="26"/>
  <c r="D32" i="26"/>
  <c r="E32" i="26"/>
  <c r="F32" i="26"/>
  <c r="F73" i="26" s="1"/>
  <c r="G32" i="26"/>
  <c r="H32" i="26"/>
  <c r="H73" i="26" s="1"/>
  <c r="I32" i="26"/>
  <c r="C32" i="26"/>
  <c r="D46" i="26"/>
  <c r="E46" i="26"/>
  <c r="F46" i="26"/>
  <c r="G46" i="26"/>
  <c r="H46" i="26"/>
  <c r="I46" i="26"/>
  <c r="C46" i="26"/>
  <c r="D51" i="26"/>
  <c r="E51" i="26"/>
  <c r="F51" i="26"/>
  <c r="G51" i="26"/>
  <c r="H51" i="26"/>
  <c r="I51" i="26"/>
  <c r="C51" i="26"/>
  <c r="D56" i="26"/>
  <c r="E56" i="26"/>
  <c r="F56" i="26"/>
  <c r="G56" i="26"/>
  <c r="H56" i="26"/>
  <c r="I56" i="26"/>
  <c r="C56" i="26"/>
  <c r="D64" i="26"/>
  <c r="E64" i="26"/>
  <c r="F64" i="26"/>
  <c r="G64" i="26"/>
  <c r="H64" i="26"/>
  <c r="I64" i="26"/>
  <c r="C64" i="26"/>
  <c r="D71" i="26"/>
  <c r="E71" i="26"/>
  <c r="F71" i="26"/>
  <c r="G71" i="26"/>
  <c r="H71" i="26"/>
  <c r="I71" i="26"/>
  <c r="C71" i="26"/>
  <c r="G79" i="26"/>
  <c r="H79" i="26" s="1"/>
  <c r="G80" i="26"/>
  <c r="G81" i="26"/>
  <c r="H81" i="26"/>
  <c r="G82" i="26"/>
  <c r="H82" i="26" s="1"/>
  <c r="G84" i="26"/>
  <c r="H84" i="26" s="1"/>
  <c r="G86" i="26"/>
  <c r="H86" i="26" s="1"/>
  <c r="G87" i="26"/>
  <c r="H87" i="26" s="1"/>
  <c r="G89" i="26"/>
  <c r="H89" i="26" s="1"/>
  <c r="G91" i="26"/>
  <c r="H91" i="26" s="1"/>
  <c r="G93" i="26"/>
  <c r="H93" i="26" s="1"/>
  <c r="G94" i="26"/>
  <c r="H94" i="26" s="1"/>
  <c r="G95" i="26"/>
  <c r="H95" i="26" s="1"/>
  <c r="G97" i="26"/>
  <c r="H97" i="26"/>
  <c r="G98" i="26"/>
  <c r="H98" i="26"/>
  <c r="G99" i="26"/>
  <c r="H99" i="26"/>
  <c r="G100" i="26"/>
  <c r="H100" i="26" s="1"/>
  <c r="G101" i="26"/>
  <c r="H101" i="26"/>
  <c r="G103" i="26"/>
  <c r="H103" i="26"/>
  <c r="G104" i="26"/>
  <c r="H104" i="26"/>
  <c r="G105" i="26"/>
  <c r="H105" i="26" s="1"/>
  <c r="F39" i="14"/>
  <c r="D17" i="56" s="1"/>
  <c r="F74" i="14"/>
  <c r="D19" i="56" s="1"/>
  <c r="F78" i="22"/>
  <c r="F99" i="14"/>
  <c r="F101" i="14"/>
  <c r="G107" i="14"/>
  <c r="G108" i="14"/>
  <c r="G109" i="14"/>
  <c r="G110" i="14"/>
  <c r="G112" i="14"/>
  <c r="G114" i="14"/>
  <c r="G115" i="14"/>
  <c r="G117" i="14"/>
  <c r="G119" i="14"/>
  <c r="G121" i="14"/>
  <c r="G122" i="14"/>
  <c r="G123" i="14"/>
  <c r="G125" i="14"/>
  <c r="G126" i="14"/>
  <c r="G127" i="14"/>
  <c r="G128" i="14"/>
  <c r="G129" i="14"/>
  <c r="G131" i="14"/>
  <c r="G132" i="14"/>
  <c r="G133" i="14"/>
  <c r="C34" i="17"/>
  <c r="D9" i="17" s="1"/>
  <c r="C93" i="22"/>
  <c r="C104" i="22"/>
  <c r="V8" i="9"/>
  <c r="AE8" i="9"/>
  <c r="AF8" i="9"/>
  <c r="AG8" i="9"/>
  <c r="V9" i="9"/>
  <c r="AD9" i="9"/>
  <c r="AE9" i="9"/>
  <c r="AF9" i="9"/>
  <c r="AG9" i="9"/>
  <c r="AX10" i="9"/>
  <c r="AY10" i="9"/>
  <c r="V10" i="9"/>
  <c r="AD10" i="9"/>
  <c r="AE10" i="9"/>
  <c r="AF10" i="9"/>
  <c r="AG10" i="9"/>
  <c r="AD11" i="9"/>
  <c r="AF11" i="9"/>
  <c r="AG11" i="9"/>
  <c r="V12" i="9"/>
  <c r="AD12" i="9"/>
  <c r="AE12" i="9"/>
  <c r="AF12" i="9"/>
  <c r="AG12" i="9"/>
  <c r="V13" i="9"/>
  <c r="AD13" i="9"/>
  <c r="AE13" i="9"/>
  <c r="AF13" i="9"/>
  <c r="AG13" i="9"/>
  <c r="V14" i="9"/>
  <c r="AD14" i="9"/>
  <c r="AE14" i="9"/>
  <c r="AF14" i="9"/>
  <c r="AG14" i="9"/>
  <c r="AD15" i="9"/>
  <c r="AE15" i="9"/>
  <c r="AF15" i="9"/>
  <c r="BO16" i="9"/>
  <c r="BQ16" i="9"/>
  <c r="V16" i="9"/>
  <c r="AD16" i="9"/>
  <c r="AE16" i="9"/>
  <c r="AF16" i="9"/>
  <c r="AG16" i="9"/>
  <c r="V17" i="9"/>
  <c r="AD17" i="9"/>
  <c r="AE17" i="9"/>
  <c r="AF17" i="9"/>
  <c r="AG17" i="9"/>
  <c r="V18" i="9"/>
  <c r="AD18" i="9"/>
  <c r="AE18" i="9"/>
  <c r="AF18" i="9"/>
  <c r="AG18" i="9"/>
  <c r="V19" i="9"/>
  <c r="AD19" i="9"/>
  <c r="AE19" i="9"/>
  <c r="AF19" i="9"/>
  <c r="AG19" i="9"/>
  <c r="V20" i="9"/>
  <c r="AD20" i="9"/>
  <c r="AE20" i="9"/>
  <c r="AF20" i="9"/>
  <c r="AG20" i="9"/>
  <c r="V21" i="9"/>
  <c r="AD21" i="9"/>
  <c r="AE21" i="9"/>
  <c r="AF21" i="9"/>
  <c r="AG21" i="9"/>
  <c r="E60" i="9"/>
  <c r="C58" i="28"/>
  <c r="D58" i="28"/>
  <c r="E58" i="28"/>
  <c r="F58" i="28"/>
  <c r="G58" i="28"/>
  <c r="H58" i="28"/>
  <c r="I58" i="28"/>
  <c r="J58" i="28"/>
  <c r="K58" i="28"/>
  <c r="L58" i="28"/>
  <c r="M58" i="28"/>
  <c r="N58" i="28"/>
  <c r="O58" i="28"/>
  <c r="P58" i="28"/>
  <c r="Q58" i="28"/>
  <c r="R58" i="28"/>
  <c r="C59" i="28"/>
  <c r="D59" i="28"/>
  <c r="E59" i="28"/>
  <c r="F59" i="28"/>
  <c r="I59" i="28"/>
  <c r="J59" i="28"/>
  <c r="K59" i="28"/>
  <c r="L59" i="28"/>
  <c r="M59" i="28"/>
  <c r="N59" i="28"/>
  <c r="O59" i="28"/>
  <c r="P59" i="28"/>
  <c r="Q59" i="28"/>
  <c r="R59" i="28"/>
  <c r="C60" i="28"/>
  <c r="D60" i="28"/>
  <c r="E60" i="28"/>
  <c r="F60" i="28"/>
  <c r="G60" i="28"/>
  <c r="H60" i="28"/>
  <c r="I60" i="28"/>
  <c r="J60" i="28"/>
  <c r="K60" i="28"/>
  <c r="L60" i="28"/>
  <c r="M60" i="28"/>
  <c r="N60" i="28"/>
  <c r="O60" i="28"/>
  <c r="P60" i="28"/>
  <c r="Q60" i="28"/>
  <c r="R60" i="28"/>
  <c r="C63" i="28"/>
  <c r="C64" i="28"/>
  <c r="C65" i="28"/>
  <c r="C66" i="28"/>
  <c r="C67" i="28"/>
  <c r="C32" i="8"/>
  <c r="E32" i="8"/>
  <c r="C33" i="8"/>
  <c r="D33" i="8"/>
  <c r="B4" i="1"/>
  <c r="B5" i="1"/>
  <c r="BP16" i="9"/>
  <c r="G11" i="56"/>
  <c r="K73" i="26"/>
  <c r="X87" i="14" s="1"/>
  <c r="C26" i="60"/>
  <c r="B7" i="61" s="1"/>
  <c r="L14" i="5"/>
  <c r="I552" i="73" s="1"/>
  <c r="Q552" i="73" s="1"/>
  <c r="G22" i="56"/>
  <c r="R87" i="14"/>
  <c r="G23" i="34"/>
  <c r="H23" i="34"/>
  <c r="E33" i="8"/>
  <c r="N87" i="14"/>
  <c r="M83" i="22"/>
  <c r="P87" i="14"/>
  <c r="Q87" i="14" s="1"/>
  <c r="J87" i="14" s="1"/>
  <c r="AB18" i="9"/>
  <c r="AA18" i="9"/>
  <c r="D73" i="26"/>
  <c r="F87" i="14" s="1"/>
  <c r="G32" i="8"/>
  <c r="D32" i="8"/>
  <c r="K72" i="22"/>
  <c r="C73" i="26"/>
  <c r="D87" i="14" s="1"/>
  <c r="I73" i="26"/>
  <c r="T87" i="14" s="1"/>
  <c r="G9" i="17"/>
  <c r="H14" i="23"/>
  <c r="I13" i="23"/>
  <c r="H12" i="23"/>
  <c r="I9" i="23"/>
  <c r="C20" i="32"/>
  <c r="J81" i="33"/>
  <c r="J82" i="33"/>
  <c r="B22" i="23"/>
  <c r="I8" i="23"/>
  <c r="E73" i="26"/>
  <c r="L87" i="14" s="1"/>
  <c r="G13" i="17"/>
  <c r="G11" i="17"/>
  <c r="M87" i="14"/>
  <c r="D30" i="57"/>
  <c r="M88" i="22"/>
  <c r="F33" i="8"/>
  <c r="F32" i="8"/>
  <c r="G28" i="56"/>
  <c r="D28" i="56"/>
  <c r="M26" i="22"/>
  <c r="M28" i="22" s="1"/>
  <c r="E99" i="22"/>
  <c r="M74" i="22"/>
  <c r="E102" i="22"/>
  <c r="E103" i="22"/>
  <c r="M59" i="22"/>
  <c r="C151" i="3"/>
  <c r="O152" i="3" s="1"/>
  <c r="N143" i="3"/>
  <c r="M143" i="3"/>
  <c r="D151" i="3"/>
  <c r="L143" i="3"/>
  <c r="K143" i="3"/>
  <c r="V109" i="20"/>
  <c r="G33" i="8"/>
  <c r="J73" i="26"/>
  <c r="V87" i="14"/>
  <c r="E98" i="22"/>
  <c r="C74" i="22"/>
  <c r="F69" i="22"/>
  <c r="D37" i="63"/>
  <c r="F37" i="63" s="1"/>
  <c r="AD116" i="20"/>
  <c r="AG109" i="20"/>
  <c r="AK117" i="20"/>
  <c r="AF109" i="20"/>
  <c r="AH109" i="20"/>
  <c r="AE109" i="20"/>
  <c r="AI109" i="20"/>
  <c r="F42" i="5"/>
  <c r="B31" i="20"/>
  <c r="AW10" i="9"/>
  <c r="G87" i="56"/>
  <c r="G122" i="56" s="1"/>
  <c r="F79" i="22"/>
  <c r="Q109" i="20"/>
  <c r="L109" i="20"/>
  <c r="H109" i="20"/>
  <c r="E45" i="57"/>
  <c r="E21" i="57"/>
  <c r="E35" i="57"/>
  <c r="E49" i="57"/>
  <c r="E34" i="57"/>
  <c r="E32" i="57"/>
  <c r="E36" i="57"/>
  <c r="E20" i="57"/>
  <c r="E25" i="57"/>
  <c r="E38" i="57"/>
  <c r="E47" i="57"/>
  <c r="E31" i="57"/>
  <c r="E18" i="57"/>
  <c r="E43" i="57"/>
  <c r="E39" i="57"/>
  <c r="E19" i="57"/>
  <c r="E27" i="57"/>
  <c r="E9" i="57"/>
  <c r="E48" i="57"/>
  <c r="E14" i="57"/>
  <c r="E23" i="57"/>
  <c r="E26" i="57"/>
  <c r="E29" i="57"/>
  <c r="E33" i="57"/>
  <c r="E40" i="57"/>
  <c r="E17" i="57"/>
  <c r="E13" i="57"/>
  <c r="E22" i="57"/>
  <c r="E50" i="57"/>
  <c r="E46" i="57"/>
  <c r="E12" i="57"/>
  <c r="E41" i="57"/>
  <c r="E10" i="57"/>
  <c r="E28" i="57"/>
  <c r="E15" i="57"/>
  <c r="E42" i="57"/>
  <c r="E30" i="57"/>
  <c r="E16" i="57"/>
  <c r="E24" i="57"/>
  <c r="E44" i="57"/>
  <c r="E37" i="57"/>
  <c r="CH19" i="9" l="1"/>
  <c r="V334" i="73"/>
  <c r="C25" i="60"/>
  <c r="V91" i="14"/>
  <c r="V92" i="14" s="1"/>
  <c r="C44" i="56"/>
  <c r="B16" i="20"/>
  <c r="C41" i="56"/>
  <c r="B13" i="20"/>
  <c r="D75" i="56"/>
  <c r="J20" i="23"/>
  <c r="G75" i="56" s="1"/>
  <c r="C103" i="20"/>
  <c r="H657" i="73"/>
  <c r="J19" i="23"/>
  <c r="T91" i="14"/>
  <c r="T92" i="14" s="1"/>
  <c r="X91" i="14"/>
  <c r="X92" i="14" s="1"/>
  <c r="D56" i="56"/>
  <c r="E564" i="73"/>
  <c r="H564" i="73"/>
  <c r="M564" i="73" s="1"/>
  <c r="P564" i="73" s="1"/>
  <c r="D74" i="56"/>
  <c r="J17" i="23"/>
  <c r="G74" i="56" s="1"/>
  <c r="P9" i="9"/>
  <c r="L12" i="9"/>
  <c r="G89" i="56" s="1"/>
  <c r="G124" i="56" s="1"/>
  <c r="L8" i="9"/>
  <c r="L13" i="9"/>
  <c r="C104" i="20"/>
  <c r="C27" i="20"/>
  <c r="AJ27" i="20" s="1"/>
  <c r="G55" i="56"/>
  <c r="F55" i="56" s="1"/>
  <c r="B25" i="20"/>
  <c r="C53" i="56"/>
  <c r="B35" i="20"/>
  <c r="C63" i="56"/>
  <c r="G59" i="56"/>
  <c r="D59" i="56"/>
  <c r="G60" i="56"/>
  <c r="D60" i="56"/>
  <c r="B34" i="20"/>
  <c r="C62" i="56"/>
  <c r="G61" i="56"/>
  <c r="D61" i="56"/>
  <c r="C34" i="20"/>
  <c r="D34" i="20" s="1"/>
  <c r="D62" i="56"/>
  <c r="G62" i="56"/>
  <c r="C35" i="20"/>
  <c r="D35" i="20" s="1"/>
  <c r="D63" i="56"/>
  <c r="G63" i="56"/>
  <c r="CH9" i="9"/>
  <c r="CI10" i="9"/>
  <c r="AO9" i="9"/>
  <c r="BY9" i="9"/>
  <c r="B26" i="20"/>
  <c r="C54" i="56"/>
  <c r="B27" i="20"/>
  <c r="C55" i="56"/>
  <c r="B28" i="20"/>
  <c r="C56" i="56"/>
  <c r="B32" i="20"/>
  <c r="C60" i="56"/>
  <c r="B33" i="20"/>
  <c r="C61" i="56"/>
  <c r="C29" i="20"/>
  <c r="AJ29" i="20" s="1"/>
  <c r="G58" i="56"/>
  <c r="C12" i="20"/>
  <c r="AJ12" i="20" s="1"/>
  <c r="G40" i="56"/>
  <c r="F40" i="56" s="1"/>
  <c r="C11" i="20"/>
  <c r="AJ11" i="20" s="1"/>
  <c r="G39" i="56"/>
  <c r="F39" i="56" s="1"/>
  <c r="C14" i="20"/>
  <c r="AJ14" i="20" s="1"/>
  <c r="G42" i="56"/>
  <c r="F42" i="56" s="1"/>
  <c r="C15" i="20"/>
  <c r="AJ15" i="20" s="1"/>
  <c r="G43" i="56"/>
  <c r="F43" i="56" s="1"/>
  <c r="C16" i="20"/>
  <c r="AJ16" i="20" s="1"/>
  <c r="G44" i="56"/>
  <c r="F44" i="56" s="1"/>
  <c r="C10" i="20"/>
  <c r="D10" i="20" s="1"/>
  <c r="G38" i="56"/>
  <c r="F38" i="56" s="1"/>
  <c r="C33" i="20"/>
  <c r="AJ33" i="20" s="1"/>
  <c r="CQ14" i="9"/>
  <c r="D104" i="9"/>
  <c r="E50" i="23" s="1"/>
  <c r="C104" i="9"/>
  <c r="F50" i="23" s="1"/>
  <c r="C105" i="9"/>
  <c r="F51" i="23" s="1"/>
  <c r="D105" i="9"/>
  <c r="E51" i="23" s="1"/>
  <c r="AB9" i="9"/>
  <c r="I550" i="73"/>
  <c r="I549" i="73"/>
  <c r="I553" i="73"/>
  <c r="Q553" i="73" s="1"/>
  <c r="I548" i="73"/>
  <c r="B11" i="20"/>
  <c r="D27" i="23"/>
  <c r="F50" i="56"/>
  <c r="L91" i="14"/>
  <c r="L92" i="14" s="1"/>
  <c r="C95" i="20"/>
  <c r="AJ95" i="20" s="1"/>
  <c r="K54" i="22"/>
  <c r="E102" i="3"/>
  <c r="K82" i="22"/>
  <c r="K73" i="22"/>
  <c r="C62" i="20"/>
  <c r="D62" i="20" s="1"/>
  <c r="D10" i="63"/>
  <c r="C70" i="20"/>
  <c r="D70" i="20" s="1"/>
  <c r="C43" i="56"/>
  <c r="G90" i="56"/>
  <c r="G125" i="56" s="1"/>
  <c r="E90" i="3"/>
  <c r="T19" i="56" s="1"/>
  <c r="E93" i="3"/>
  <c r="C116" i="20"/>
  <c r="C117" i="20" s="1"/>
  <c r="AJ117" i="20" s="1"/>
  <c r="C42" i="56"/>
  <c r="B12" i="20"/>
  <c r="C40" i="56"/>
  <c r="F51" i="56"/>
  <c r="F41" i="56"/>
  <c r="F48" i="56"/>
  <c r="L45" i="56"/>
  <c r="F45" i="56"/>
  <c r="C8" i="60"/>
  <c r="D8" i="60" s="1"/>
  <c r="E8" i="60" s="1"/>
  <c r="F8" i="60" s="1"/>
  <c r="G8" i="60" s="1"/>
  <c r="H8" i="60" s="1"/>
  <c r="I8" i="60" s="1"/>
  <c r="J8" i="60" s="1"/>
  <c r="K8" i="60" s="1"/>
  <c r="L8" i="60" s="1"/>
  <c r="M8" i="60" s="1"/>
  <c r="N8" i="60" s="1"/>
  <c r="O8" i="60" s="1"/>
  <c r="P8" i="60" s="1"/>
  <c r="Q8" i="60" s="1"/>
  <c r="R8" i="60" s="1"/>
  <c r="S8" i="60" s="1"/>
  <c r="T8" i="60" s="1"/>
  <c r="U8" i="60" s="1"/>
  <c r="V8" i="60" s="1"/>
  <c r="W8" i="60" s="1"/>
  <c r="X8" i="60" s="1"/>
  <c r="Y8" i="60" s="1"/>
  <c r="Z8" i="60" s="1"/>
  <c r="AA8" i="60" s="1"/>
  <c r="AB8" i="60" s="1"/>
  <c r="AC8" i="60" s="1"/>
  <c r="AD8" i="60" s="1"/>
  <c r="AE8" i="60" s="1"/>
  <c r="AF8" i="60" s="1"/>
  <c r="AG8" i="60" s="1"/>
  <c r="AH8" i="60" s="1"/>
  <c r="AI8" i="60" s="1"/>
  <c r="AJ8" i="60" s="1"/>
  <c r="AK8" i="60" s="1"/>
  <c r="AL8" i="60" s="1"/>
  <c r="AM8" i="60" s="1"/>
  <c r="AN8" i="60" s="1"/>
  <c r="AO8" i="60" s="1"/>
  <c r="AP8" i="60" s="1"/>
  <c r="CP13" i="9"/>
  <c r="BQ10" i="9"/>
  <c r="K40" i="22"/>
  <c r="K48" i="22"/>
  <c r="C64" i="20"/>
  <c r="AJ64" i="20" s="1"/>
  <c r="K32" i="22"/>
  <c r="C72" i="20"/>
  <c r="AJ72" i="20" s="1"/>
  <c r="K56" i="22"/>
  <c r="C56" i="20"/>
  <c r="AJ56" i="20" s="1"/>
  <c r="C80" i="20"/>
  <c r="AJ80" i="20" s="1"/>
  <c r="AD13" i="27"/>
  <c r="BB13" i="27"/>
  <c r="AL13" i="27"/>
  <c r="BJ13" i="27"/>
  <c r="V13" i="27"/>
  <c r="C36" i="17"/>
  <c r="F28" i="5" s="1"/>
  <c r="C52" i="20"/>
  <c r="AJ52" i="20" s="1"/>
  <c r="H605" i="73"/>
  <c r="C50" i="20"/>
  <c r="AJ50" i="20" s="1"/>
  <c r="H602" i="73"/>
  <c r="K71" i="22"/>
  <c r="C93" i="20"/>
  <c r="AJ93" i="20" s="1"/>
  <c r="K57" i="22"/>
  <c r="K58" i="22"/>
  <c r="H637" i="73"/>
  <c r="K13" i="22"/>
  <c r="K14" i="22"/>
  <c r="J18" i="33"/>
  <c r="CP37" i="9"/>
  <c r="CR37" i="9"/>
  <c r="CQ37" i="9"/>
  <c r="S21" i="9"/>
  <c r="BP15" i="9"/>
  <c r="BP14" i="9"/>
  <c r="H27" i="14"/>
  <c r="H65" i="14"/>
  <c r="N91" i="14"/>
  <c r="N92" i="14" s="1"/>
  <c r="H63" i="14"/>
  <c r="O87" i="14"/>
  <c r="AE13" i="27"/>
  <c r="H68" i="14"/>
  <c r="H16" i="14"/>
  <c r="H72" i="14"/>
  <c r="H20" i="14"/>
  <c r="H41" i="14"/>
  <c r="H62" i="14"/>
  <c r="H13" i="14"/>
  <c r="H38" i="14"/>
  <c r="H60" i="14"/>
  <c r="H89" i="14"/>
  <c r="H85" i="14"/>
  <c r="H58" i="14"/>
  <c r="H14" i="14"/>
  <c r="M91" i="14"/>
  <c r="M92" i="14" s="1"/>
  <c r="C79" i="20"/>
  <c r="AJ79" i="20" s="1"/>
  <c r="K23" i="22"/>
  <c r="H601" i="73"/>
  <c r="K25" i="22"/>
  <c r="H60" i="9"/>
  <c r="F27" i="63" s="1"/>
  <c r="G18" i="56"/>
  <c r="F18" i="56" s="1"/>
  <c r="L16" i="9"/>
  <c r="S16" i="9" s="1"/>
  <c r="H81" i="9"/>
  <c r="AA13" i="9"/>
  <c r="H29" i="14"/>
  <c r="H43" i="14"/>
  <c r="H78" i="14"/>
  <c r="H15" i="14"/>
  <c r="H24" i="14"/>
  <c r="H49" i="14"/>
  <c r="H84" i="14"/>
  <c r="I84" i="14" s="1"/>
  <c r="H46" i="14"/>
  <c r="I46" i="14" s="1"/>
  <c r="H47" i="14"/>
  <c r="H30" i="14"/>
  <c r="H52" i="14"/>
  <c r="H61" i="14"/>
  <c r="H76" i="14"/>
  <c r="H22" i="14"/>
  <c r="H31" i="14"/>
  <c r="H69" i="14"/>
  <c r="H23" i="14"/>
  <c r="H79" i="14"/>
  <c r="H12" i="14"/>
  <c r="K63" i="22"/>
  <c r="K46" i="14"/>
  <c r="C20" i="60"/>
  <c r="CJ16" i="9"/>
  <c r="CK16" i="9"/>
  <c r="BY15" i="9"/>
  <c r="CH15" i="9"/>
  <c r="BY14" i="9"/>
  <c r="H87" i="14"/>
  <c r="C68" i="20"/>
  <c r="AJ68" i="20" s="1"/>
  <c r="K52" i="22"/>
  <c r="K31" i="22"/>
  <c r="C76" i="20"/>
  <c r="AJ76" i="20" s="1"/>
  <c r="C55" i="20"/>
  <c r="AJ55" i="20" s="1"/>
  <c r="K36" i="22"/>
  <c r="J13" i="23"/>
  <c r="G73" i="56" s="1"/>
  <c r="H667" i="73"/>
  <c r="K87" i="22"/>
  <c r="H668" i="73"/>
  <c r="D19" i="63"/>
  <c r="H658" i="73"/>
  <c r="H662" i="73"/>
  <c r="K79" i="22"/>
  <c r="H659" i="73"/>
  <c r="C85" i="20"/>
  <c r="D85" i="20" s="1"/>
  <c r="H641" i="73"/>
  <c r="C87" i="20"/>
  <c r="D87" i="20" s="1"/>
  <c r="H643" i="73"/>
  <c r="B84" i="22"/>
  <c r="B105" i="20" s="1"/>
  <c r="H645" i="73"/>
  <c r="I618" i="73" s="1"/>
  <c r="K69" i="22"/>
  <c r="H648" i="73"/>
  <c r="D90" i="20"/>
  <c r="K68" i="22"/>
  <c r="H647" i="73"/>
  <c r="H19" i="66"/>
  <c r="H629" i="73"/>
  <c r="C61" i="20"/>
  <c r="AJ61" i="20" s="1"/>
  <c r="H615" i="73"/>
  <c r="K45" i="22"/>
  <c r="H623" i="73"/>
  <c r="C77" i="20"/>
  <c r="AJ77" i="20" s="1"/>
  <c r="H631" i="73"/>
  <c r="C74" i="20"/>
  <c r="AJ74" i="20" s="1"/>
  <c r="H628" i="73"/>
  <c r="K43" i="22"/>
  <c r="H621" i="73"/>
  <c r="H616" i="73"/>
  <c r="R14" i="22"/>
  <c r="K33" i="22"/>
  <c r="H611" i="73"/>
  <c r="D23" i="34"/>
  <c r="D24" i="34" s="1"/>
  <c r="H619" i="73"/>
  <c r="C73" i="20"/>
  <c r="AJ73" i="20" s="1"/>
  <c r="H627" i="73"/>
  <c r="C66" i="20"/>
  <c r="D66" i="20" s="1"/>
  <c r="H620" i="73"/>
  <c r="C59" i="20"/>
  <c r="D59" i="20" s="1"/>
  <c r="H613" i="73"/>
  <c r="I613" i="73" s="1"/>
  <c r="K50" i="22"/>
  <c r="D12" i="63"/>
  <c r="H617" i="73"/>
  <c r="C71" i="20"/>
  <c r="AJ71" i="20" s="1"/>
  <c r="H625" i="73"/>
  <c r="C58" i="20"/>
  <c r="D58" i="20" s="1"/>
  <c r="H612" i="73"/>
  <c r="K34" i="22"/>
  <c r="K51" i="22"/>
  <c r="K11" i="22"/>
  <c r="H589" i="73"/>
  <c r="K10" i="22"/>
  <c r="K9" i="22"/>
  <c r="H587" i="73"/>
  <c r="K8" i="22"/>
  <c r="H586" i="73"/>
  <c r="AU13" i="27"/>
  <c r="D31" i="57"/>
  <c r="K84" i="14"/>
  <c r="H55" i="14"/>
  <c r="H33" i="14"/>
  <c r="H45" i="14"/>
  <c r="H57" i="14"/>
  <c r="H70" i="14"/>
  <c r="H80" i="14"/>
  <c r="H67" i="14"/>
  <c r="H64" i="14"/>
  <c r="H26" i="14"/>
  <c r="H50" i="14"/>
  <c r="H59" i="14"/>
  <c r="H82" i="14"/>
  <c r="H28" i="14"/>
  <c r="H51" i="14"/>
  <c r="H83" i="14"/>
  <c r="H73" i="14"/>
  <c r="H21" i="14"/>
  <c r="H42" i="14"/>
  <c r="H53" i="14"/>
  <c r="H77" i="14"/>
  <c r="H32" i="14"/>
  <c r="H44" i="14"/>
  <c r="H56" i="14"/>
  <c r="H66" i="14"/>
  <c r="H37" i="14"/>
  <c r="H25" i="14"/>
  <c r="H34" i="14"/>
  <c r="H71" i="14"/>
  <c r="H81" i="14"/>
  <c r="H35" i="14"/>
  <c r="H74" i="14"/>
  <c r="H36" i="14"/>
  <c r="J101" i="14"/>
  <c r="AX15" i="9"/>
  <c r="S15" i="9"/>
  <c r="BQ15" i="9" s="1"/>
  <c r="AO14" i="9"/>
  <c r="BX13" i="9"/>
  <c r="C106" i="9"/>
  <c r="AN423" i="73" s="1"/>
  <c r="BZ10" i="9"/>
  <c r="H115" i="73"/>
  <c r="AN115" i="73"/>
  <c r="H114" i="73"/>
  <c r="AN114" i="73"/>
  <c r="H113" i="73"/>
  <c r="AN113" i="73"/>
  <c r="K47" i="3"/>
  <c r="Q19" i="9"/>
  <c r="N96" i="56" s="1"/>
  <c r="J131" i="56" s="1"/>
  <c r="BB334" i="73"/>
  <c r="N15" i="9"/>
  <c r="N19" i="9"/>
  <c r="P13" i="9"/>
  <c r="AW13" i="9"/>
  <c r="BA13" i="9"/>
  <c r="AZ13" i="9"/>
  <c r="AQ12" i="9"/>
  <c r="AR12" i="9"/>
  <c r="CT10" i="9"/>
  <c r="CS10" i="9"/>
  <c r="CR10" i="9"/>
  <c r="P18" i="9"/>
  <c r="S17" i="9"/>
  <c r="BZ17" i="9" s="1"/>
  <c r="N18" i="9"/>
  <c r="P17" i="9"/>
  <c r="BY17" i="9" s="1"/>
  <c r="P20" i="9"/>
  <c r="S19" i="9"/>
  <c r="CI19" i="9" s="1"/>
  <c r="N20" i="9"/>
  <c r="G6" i="20"/>
  <c r="D4" i="60"/>
  <c r="C4" i="61" s="1"/>
  <c r="D30" i="20"/>
  <c r="P91" i="14"/>
  <c r="D31" i="63"/>
  <c r="F31" i="63" s="1"/>
  <c r="S92" i="14"/>
  <c r="E9" i="14"/>
  <c r="B139" i="3"/>
  <c r="B147" i="3" s="1"/>
  <c r="B155" i="3" s="1"/>
  <c r="G9" i="14"/>
  <c r="R91" i="14"/>
  <c r="R92" i="14" s="1"/>
  <c r="E94" i="3"/>
  <c r="AE25" i="20"/>
  <c r="AE36" i="20" s="1"/>
  <c r="AE38" i="20" s="1"/>
  <c r="AB91" i="14"/>
  <c r="AB92" i="14" s="1"/>
  <c r="AF91" i="14"/>
  <c r="AF92" i="14" s="1"/>
  <c r="AH91" i="14"/>
  <c r="AH92" i="14" s="1"/>
  <c r="C70" i="3"/>
  <c r="E91" i="3"/>
  <c r="E103" i="3"/>
  <c r="E95" i="3"/>
  <c r="E100" i="3"/>
  <c r="E101" i="3"/>
  <c r="E99" i="3"/>
  <c r="G7" i="20"/>
  <c r="E92" i="3"/>
  <c r="D32" i="57"/>
  <c r="Z91" i="14"/>
  <c r="Z92" i="14" s="1"/>
  <c r="W92" i="14"/>
  <c r="D25" i="60"/>
  <c r="E25" i="60" s="1"/>
  <c r="F25" i="60" s="1"/>
  <c r="G25" i="60" s="1"/>
  <c r="H25" i="60" s="1"/>
  <c r="I25" i="60" s="1"/>
  <c r="J25" i="60" s="1"/>
  <c r="K25" i="60" s="1"/>
  <c r="L25" i="60" s="1"/>
  <c r="M25" i="60" s="1"/>
  <c r="N25" i="60" s="1"/>
  <c r="O25" i="60" s="1"/>
  <c r="P25" i="60" s="1"/>
  <c r="Q25" i="60" s="1"/>
  <c r="R25" i="60" s="1"/>
  <c r="S25" i="60" s="1"/>
  <c r="T25" i="60" s="1"/>
  <c r="U25" i="60" s="1"/>
  <c r="V25" i="60" s="1"/>
  <c r="W25" i="60" s="1"/>
  <c r="X25" i="60" s="1"/>
  <c r="Y25" i="60" s="1"/>
  <c r="Z25" i="60" s="1"/>
  <c r="AA25" i="60" s="1"/>
  <c r="AB25" i="60" s="1"/>
  <c r="AC25" i="60" s="1"/>
  <c r="AD25" i="60" s="1"/>
  <c r="AE25" i="60" s="1"/>
  <c r="AF25" i="60" s="1"/>
  <c r="AG25" i="60" s="1"/>
  <c r="AH25" i="60" s="1"/>
  <c r="AI25" i="60" s="1"/>
  <c r="AJ25" i="60" s="1"/>
  <c r="AK25" i="60" s="1"/>
  <c r="AL25" i="60" s="1"/>
  <c r="AM25" i="60" s="1"/>
  <c r="AN25" i="60" s="1"/>
  <c r="AO25" i="60" s="1"/>
  <c r="AP25" i="60" s="1"/>
  <c r="L47" i="23"/>
  <c r="E96" i="3"/>
  <c r="L23" i="5"/>
  <c r="D13" i="27"/>
  <c r="U92" i="14"/>
  <c r="E98" i="3"/>
  <c r="AD91" i="14"/>
  <c r="AD92" i="14" s="1"/>
  <c r="Y92" i="14"/>
  <c r="K39" i="22"/>
  <c r="R11" i="22"/>
  <c r="R13" i="22" s="1"/>
  <c r="N10" i="9"/>
  <c r="CG10" i="9" s="1"/>
  <c r="I49" i="23"/>
  <c r="D97" i="14"/>
  <c r="I538" i="73" s="1"/>
  <c r="AO538" i="73" s="1"/>
  <c r="O13" i="27"/>
  <c r="P13" i="27" s="1"/>
  <c r="Q13" i="27" s="1"/>
  <c r="M14" i="27" s="1"/>
  <c r="AF12" i="56"/>
  <c r="K5" i="5"/>
  <c r="K47" i="22"/>
  <c r="K81" i="22"/>
  <c r="K55" i="22"/>
  <c r="C67" i="20"/>
  <c r="AJ67" i="20" s="1"/>
  <c r="D15" i="34"/>
  <c r="C49" i="20"/>
  <c r="AJ49" i="20" s="1"/>
  <c r="K62" i="22"/>
  <c r="C63" i="20"/>
  <c r="AJ63" i="20" s="1"/>
  <c r="K35" i="22"/>
  <c r="C75" i="20"/>
  <c r="AJ75" i="20" s="1"/>
  <c r="C91" i="20"/>
  <c r="AJ91" i="20" s="1"/>
  <c r="F88" i="22"/>
  <c r="D73" i="56" s="1"/>
  <c r="C57" i="20"/>
  <c r="AJ57" i="20" s="1"/>
  <c r="C108" i="20"/>
  <c r="AJ108" i="20" s="1"/>
  <c r="C69" i="20"/>
  <c r="AJ69" i="20" s="1"/>
  <c r="K49" i="22"/>
  <c r="C81" i="20"/>
  <c r="AJ81" i="20" s="1"/>
  <c r="F21" i="22"/>
  <c r="F22" i="22"/>
  <c r="H600" i="73" s="1"/>
  <c r="F20" i="22"/>
  <c r="H598" i="73" s="1"/>
  <c r="K41" i="22"/>
  <c r="C65" i="20"/>
  <c r="AJ65" i="20" s="1"/>
  <c r="F43" i="63"/>
  <c r="K53" i="22"/>
  <c r="K37" i="22"/>
  <c r="F74" i="22"/>
  <c r="K78" i="22"/>
  <c r="K64" i="22"/>
  <c r="C96" i="20"/>
  <c r="AJ96" i="20" s="1"/>
  <c r="K86" i="22"/>
  <c r="C107" i="20"/>
  <c r="AJ107" i="20" s="1"/>
  <c r="K27" i="22"/>
  <c r="K28" i="22" s="1"/>
  <c r="D82" i="20"/>
  <c r="D94" i="20"/>
  <c r="M89" i="22"/>
  <c r="M90" i="22" s="1"/>
  <c r="D99" i="20"/>
  <c r="D17" i="63"/>
  <c r="C100" i="20"/>
  <c r="I89" i="22"/>
  <c r="I90" i="22" s="1"/>
  <c r="J9" i="23"/>
  <c r="G69" i="56" s="1"/>
  <c r="C51" i="20"/>
  <c r="AJ51" i="20" s="1"/>
  <c r="N89" i="22"/>
  <c r="N90" i="22" s="1"/>
  <c r="F15" i="22"/>
  <c r="D70" i="56" s="1"/>
  <c r="AT13" i="27"/>
  <c r="L41" i="56"/>
  <c r="K66" i="22"/>
  <c r="C89" i="20"/>
  <c r="D89" i="20" s="1"/>
  <c r="D88" i="20"/>
  <c r="D78" i="20"/>
  <c r="AJ78" i="20"/>
  <c r="D104" i="20"/>
  <c r="AJ104" i="20"/>
  <c r="D60" i="20"/>
  <c r="D86" i="20"/>
  <c r="AJ86" i="20"/>
  <c r="D103" i="20"/>
  <c r="AJ103" i="20"/>
  <c r="D31" i="20"/>
  <c r="AJ31" i="20"/>
  <c r="D24" i="20"/>
  <c r="AJ24" i="20"/>
  <c r="BK13" i="27"/>
  <c r="D93" i="23"/>
  <c r="D94" i="23"/>
  <c r="D96" i="23"/>
  <c r="D27" i="20"/>
  <c r="AB13" i="9"/>
  <c r="BG13" i="9"/>
  <c r="BI13" i="9"/>
  <c r="S13" i="9"/>
  <c r="BJ13" i="9"/>
  <c r="BG15" i="9"/>
  <c r="Q15" i="9"/>
  <c r="N92" i="56" s="1"/>
  <c r="J127" i="56" s="1"/>
  <c r="BC38" i="9"/>
  <c r="BI15" i="9"/>
  <c r="BU38" i="9"/>
  <c r="CD38" i="9"/>
  <c r="CM38" i="9"/>
  <c r="BG14" i="9"/>
  <c r="Q14" i="9"/>
  <c r="N91" i="56" s="1"/>
  <c r="J126" i="56" s="1"/>
  <c r="BG11" i="9"/>
  <c r="S11" i="9"/>
  <c r="P10" i="9"/>
  <c r="CH10" i="9" s="1"/>
  <c r="S9" i="9"/>
  <c r="BG9" i="9"/>
  <c r="D110" i="9"/>
  <c r="AO427" i="73" s="1"/>
  <c r="BV38" i="9"/>
  <c r="BW38" i="9" s="1"/>
  <c r="CE38" i="9"/>
  <c r="CF38" i="9" s="1"/>
  <c r="CN38" i="9"/>
  <c r="Y38" i="9"/>
  <c r="F91" i="14"/>
  <c r="F92" i="14" s="1"/>
  <c r="C107" i="9"/>
  <c r="AN424" i="73" s="1"/>
  <c r="N9" i="9"/>
  <c r="CG9" i="9" s="1"/>
  <c r="D109" i="9"/>
  <c r="AO426" i="73" s="1"/>
  <c r="L48" i="56"/>
  <c r="AT38" i="9"/>
  <c r="BD38" i="9"/>
  <c r="BL38" i="9"/>
  <c r="L50" i="56"/>
  <c r="BM38" i="9"/>
  <c r="BN38" i="9" s="1"/>
  <c r="AU38" i="9"/>
  <c r="AV38" i="9" s="1"/>
  <c r="P21" i="9"/>
  <c r="V336" i="73" s="1"/>
  <c r="W38" i="9"/>
  <c r="AK38" i="9"/>
  <c r="L51" i="56"/>
  <c r="AL38" i="9"/>
  <c r="AM38" i="9" s="1"/>
  <c r="C18" i="22"/>
  <c r="G39" i="59"/>
  <c r="F59" i="22"/>
  <c r="C32" i="20"/>
  <c r="AJ32" i="20" s="1"/>
  <c r="C13" i="20"/>
  <c r="C14" i="27"/>
  <c r="AM13" i="27"/>
  <c r="D37" i="23"/>
  <c r="D22" i="23"/>
  <c r="G52" i="56" s="1"/>
  <c r="F11" i="56"/>
  <c r="D13" i="56"/>
  <c r="D23" i="56"/>
  <c r="C101" i="20"/>
  <c r="AJ101" i="20" s="1"/>
  <c r="AK116" i="20"/>
  <c r="F22" i="56"/>
  <c r="C92" i="20"/>
  <c r="AJ92" i="20" s="1"/>
  <c r="D14" i="63"/>
  <c r="D26" i="60"/>
  <c r="H80" i="26"/>
  <c r="H106" i="26" s="1"/>
  <c r="G106" i="26"/>
  <c r="C21" i="32"/>
  <c r="D26" i="32" s="1"/>
  <c r="D27" i="32" s="1"/>
  <c r="D17" i="32"/>
  <c r="C22" i="32"/>
  <c r="AE38" i="9"/>
  <c r="C109" i="9"/>
  <c r="AN426" i="73" s="1"/>
  <c r="C110" i="9"/>
  <c r="AN427" i="73" s="1"/>
  <c r="D106" i="9"/>
  <c r="AO423" i="73" s="1"/>
  <c r="AD38" i="9"/>
  <c r="C108" i="9"/>
  <c r="AN425" i="73" s="1"/>
  <c r="E26" i="22"/>
  <c r="E28" i="22" s="1"/>
  <c r="E89" i="22" s="1"/>
  <c r="E90" i="22" s="1"/>
  <c r="R25" i="20"/>
  <c r="R36" i="20" s="1"/>
  <c r="R38" i="20" s="1"/>
  <c r="AA25" i="20"/>
  <c r="AA36" i="20" s="1"/>
  <c r="AA38" i="20" s="1"/>
  <c r="S14" i="9"/>
  <c r="CR14" i="9" s="1"/>
  <c r="N14" i="9"/>
  <c r="CP14" i="9" s="1"/>
  <c r="AF38" i="9"/>
  <c r="G134" i="14"/>
  <c r="J2" i="26"/>
  <c r="F2" i="3"/>
  <c r="H9" i="73" s="1"/>
  <c r="L2" i="59"/>
  <c r="D2" i="17"/>
  <c r="J2" i="20"/>
  <c r="M2" i="27"/>
  <c r="AD25" i="20"/>
  <c r="AD36" i="20" s="1"/>
  <c r="AD38" i="20" s="1"/>
  <c r="AG25" i="20"/>
  <c r="AG36" i="20" s="1"/>
  <c r="AG38" i="20" s="1"/>
  <c r="G25" i="20"/>
  <c r="G36" i="20" s="1"/>
  <c r="G38" i="20" s="1"/>
  <c r="H25" i="20"/>
  <c r="H36" i="20" s="1"/>
  <c r="H38" i="20" s="1"/>
  <c r="M25" i="20"/>
  <c r="M36" i="20" s="1"/>
  <c r="M38" i="20" s="1"/>
  <c r="J25" i="20"/>
  <c r="J36" i="20" s="1"/>
  <c r="J38" i="20" s="1"/>
  <c r="O25" i="20"/>
  <c r="O36" i="20" s="1"/>
  <c r="O38" i="20" s="1"/>
  <c r="P25" i="20"/>
  <c r="P36" i="20" s="1"/>
  <c r="P38" i="20" s="1"/>
  <c r="U25" i="20"/>
  <c r="U36" i="20" s="1"/>
  <c r="U38" i="20" s="1"/>
  <c r="Z25" i="20"/>
  <c r="Z36" i="20" s="1"/>
  <c r="Z38" i="20" s="1"/>
  <c r="T25" i="20"/>
  <c r="T36" i="20" s="1"/>
  <c r="T38" i="20" s="1"/>
  <c r="K25" i="20"/>
  <c r="K36" i="20" s="1"/>
  <c r="K38" i="20" s="1"/>
  <c r="X25" i="20"/>
  <c r="X36" i="20" s="1"/>
  <c r="X38" i="20" s="1"/>
  <c r="W25" i="20"/>
  <c r="W36" i="20" s="1"/>
  <c r="W38" i="20" s="1"/>
  <c r="AF25" i="20"/>
  <c r="AF36" i="20" s="1"/>
  <c r="AF38" i="20" s="1"/>
  <c r="V25" i="20"/>
  <c r="V36" i="20" s="1"/>
  <c r="V38" i="20" s="1"/>
  <c r="Q25" i="20"/>
  <c r="Q36" i="20" s="1"/>
  <c r="Q38" i="20" s="1"/>
  <c r="S25" i="20"/>
  <c r="S36" i="20" s="1"/>
  <c r="S38" i="20" s="1"/>
  <c r="Y25" i="20"/>
  <c r="Y36" i="20" s="1"/>
  <c r="Y38" i="20" s="1"/>
  <c r="F25" i="20"/>
  <c r="L25" i="20"/>
  <c r="L36" i="20" s="1"/>
  <c r="L38" i="20" s="1"/>
  <c r="N25" i="20"/>
  <c r="N36" i="20" s="1"/>
  <c r="N38" i="20" s="1"/>
  <c r="AB25" i="20"/>
  <c r="AB36" i="20" s="1"/>
  <c r="AB38" i="20" s="1"/>
  <c r="I25" i="20"/>
  <c r="I36" i="20" s="1"/>
  <c r="I38" i="20" s="1"/>
  <c r="AC25" i="20"/>
  <c r="AC36" i="20" s="1"/>
  <c r="AC38" i="20" s="1"/>
  <c r="AI25" i="20"/>
  <c r="AI36" i="20" s="1"/>
  <c r="AI38" i="20" s="1"/>
  <c r="G47" i="59"/>
  <c r="D73" i="20"/>
  <c r="K2" i="71"/>
  <c r="G2" i="32"/>
  <c r="E23" i="34"/>
  <c r="I2" i="9"/>
  <c r="F2" i="63"/>
  <c r="F118" i="20"/>
  <c r="F119" i="20"/>
  <c r="Q48" i="59"/>
  <c r="Q50" i="59" s="1"/>
  <c r="Q55" i="59" s="1"/>
  <c r="D19" i="22"/>
  <c r="D26" i="22" s="1"/>
  <c r="D28" i="22" s="1"/>
  <c r="D89" i="22" s="1"/>
  <c r="D90" i="22" s="1"/>
  <c r="G132" i="56"/>
  <c r="AH25" i="20"/>
  <c r="AH36" i="20" s="1"/>
  <c r="AH38" i="20" s="1"/>
  <c r="W13" i="27"/>
  <c r="BC13" i="27"/>
  <c r="H58" i="66"/>
  <c r="H63" i="66" s="1"/>
  <c r="H13" i="63"/>
  <c r="D13" i="63"/>
  <c r="F13" i="63" s="1"/>
  <c r="B23" i="63"/>
  <c r="D15" i="63"/>
  <c r="F15" i="63" s="1"/>
  <c r="K24" i="22"/>
  <c r="H23" i="63"/>
  <c r="CH20" i="9" l="1"/>
  <c r="V335" i="73"/>
  <c r="CH18" i="9"/>
  <c r="V333" i="73"/>
  <c r="L39" i="56"/>
  <c r="F52" i="56"/>
  <c r="L52" i="56"/>
  <c r="F59" i="56"/>
  <c r="AX9" i="9"/>
  <c r="V324" i="73"/>
  <c r="N12" i="9"/>
  <c r="BX12" i="9" s="1"/>
  <c r="L40" i="56"/>
  <c r="D61" i="20"/>
  <c r="D79" i="20"/>
  <c r="AJ62" i="20"/>
  <c r="D76" i="20"/>
  <c r="AJ34" i="20"/>
  <c r="AJ70" i="20"/>
  <c r="D93" i="20"/>
  <c r="D64" i="20"/>
  <c r="L55" i="56"/>
  <c r="D12" i="20"/>
  <c r="D29" i="20"/>
  <c r="G77" i="56"/>
  <c r="P12" i="9"/>
  <c r="BY12" i="9" s="1"/>
  <c r="S12" i="9"/>
  <c r="BZ12" i="9" s="1"/>
  <c r="BP9" i="9"/>
  <c r="BB324" i="73"/>
  <c r="D95" i="20"/>
  <c r="D11" i="20"/>
  <c r="AJ35" i="20"/>
  <c r="D108" i="20"/>
  <c r="D50" i="20"/>
  <c r="D72" i="20"/>
  <c r="D56" i="20"/>
  <c r="AJ10" i="20"/>
  <c r="D41" i="63"/>
  <c r="F41" i="63" s="1"/>
  <c r="D16" i="20"/>
  <c r="D38" i="63"/>
  <c r="F38" i="63" s="1"/>
  <c r="L38" i="56"/>
  <c r="L44" i="56"/>
  <c r="F60" i="56"/>
  <c r="F61" i="56"/>
  <c r="L63" i="56"/>
  <c r="L42" i="56"/>
  <c r="D54" i="56"/>
  <c r="H562" i="73"/>
  <c r="M562" i="73" s="1"/>
  <c r="P562" i="73" s="1"/>
  <c r="E562" i="73"/>
  <c r="D33" i="20"/>
  <c r="D14" i="20"/>
  <c r="G68" i="22"/>
  <c r="D72" i="56"/>
  <c r="H638" i="73"/>
  <c r="D71" i="56"/>
  <c r="D52" i="20"/>
  <c r="F63" i="56"/>
  <c r="G56" i="56"/>
  <c r="F56" i="56" s="1"/>
  <c r="F62" i="56"/>
  <c r="AP9" i="9"/>
  <c r="CI9" i="9"/>
  <c r="BX9" i="9"/>
  <c r="AN9" i="9"/>
  <c r="AY9" i="9"/>
  <c r="BZ9" i="9"/>
  <c r="S8" i="9"/>
  <c r="AP8" i="9" s="1"/>
  <c r="AJ116" i="20"/>
  <c r="F58" i="56"/>
  <c r="L43" i="56"/>
  <c r="D15" i="20"/>
  <c r="C9" i="60"/>
  <c r="D9" i="60" s="1"/>
  <c r="E9" i="60" s="1"/>
  <c r="F9" i="60" s="1"/>
  <c r="G9" i="60" s="1"/>
  <c r="AO422" i="73"/>
  <c r="I422" i="73"/>
  <c r="H422" i="73"/>
  <c r="AN422" i="73"/>
  <c r="H421" i="73"/>
  <c r="AN421" i="73"/>
  <c r="AO421" i="73"/>
  <c r="I421" i="73"/>
  <c r="CQ13" i="9"/>
  <c r="CH13" i="9"/>
  <c r="CR13" i="9"/>
  <c r="CR38" i="9" s="1"/>
  <c r="J110" i="9" s="1"/>
  <c r="AU427" i="73" s="1"/>
  <c r="CI13" i="9"/>
  <c r="G10" i="56"/>
  <c r="D13" i="14"/>
  <c r="I450" i="73" s="1"/>
  <c r="AO450" i="73" s="1"/>
  <c r="H62" i="9"/>
  <c r="C7" i="60"/>
  <c r="C13" i="60" s="1"/>
  <c r="N8" i="9"/>
  <c r="AW8" i="9" s="1"/>
  <c r="Q549" i="73"/>
  <c r="AR549" i="73"/>
  <c r="AR550" i="73"/>
  <c r="Q550" i="73"/>
  <c r="BL13" i="27"/>
  <c r="BM13" i="27" s="1"/>
  <c r="BI14" i="27" s="1"/>
  <c r="BK14" i="27" s="1"/>
  <c r="I667" i="73"/>
  <c r="I632" i="73"/>
  <c r="I642" i="73"/>
  <c r="L49" i="56"/>
  <c r="X13" i="27"/>
  <c r="Y13" i="27" s="1"/>
  <c r="U14" i="27" s="1"/>
  <c r="V14" i="27" s="1"/>
  <c r="F49" i="56"/>
  <c r="AN13" i="27"/>
  <c r="AO13" i="27" s="1"/>
  <c r="AK14" i="27" s="1"/>
  <c r="AM14" i="27" s="1"/>
  <c r="L47" i="56"/>
  <c r="I649" i="73"/>
  <c r="I633" i="73"/>
  <c r="AJ87" i="20"/>
  <c r="C121" i="20"/>
  <c r="D81" i="20"/>
  <c r="I661" i="73"/>
  <c r="E104" i="3"/>
  <c r="BD13" i="27"/>
  <c r="BE13" i="27" s="1"/>
  <c r="BA14" i="27" s="1"/>
  <c r="BB14" i="27" s="1"/>
  <c r="C26" i="22"/>
  <c r="C28" i="22" s="1"/>
  <c r="J26" i="22"/>
  <c r="J28" i="22" s="1"/>
  <c r="J89" i="22" s="1"/>
  <c r="D8" i="17" s="1"/>
  <c r="P11" i="9"/>
  <c r="BY11" i="9" s="1"/>
  <c r="N13" i="9"/>
  <c r="CG13" i="9" s="1"/>
  <c r="BZ11" i="9"/>
  <c r="AY11" i="9"/>
  <c r="F69" i="56"/>
  <c r="F75" i="56"/>
  <c r="L74" i="56"/>
  <c r="F74" i="56"/>
  <c r="CO38" i="9"/>
  <c r="E110" i="9" s="1"/>
  <c r="BE38" i="9"/>
  <c r="E106" i="9" s="1"/>
  <c r="BF8" i="9"/>
  <c r="BQ12" i="9"/>
  <c r="CI12" i="9"/>
  <c r="BO12" i="9"/>
  <c r="CG12" i="9"/>
  <c r="BP12" i="9"/>
  <c r="CH12" i="9"/>
  <c r="BX10" i="9"/>
  <c r="BO10" i="9"/>
  <c r="BY10" i="9"/>
  <c r="BP10" i="9"/>
  <c r="L75" i="56"/>
  <c r="D80" i="20"/>
  <c r="AF13" i="27"/>
  <c r="AG13" i="27" s="1"/>
  <c r="AC14" i="27" s="1"/>
  <c r="AD14" i="27" s="1"/>
  <c r="E13" i="27"/>
  <c r="O91" i="14"/>
  <c r="O92" i="14" s="1"/>
  <c r="D25" i="23"/>
  <c r="D77" i="20"/>
  <c r="D74" i="20"/>
  <c r="G48" i="59"/>
  <c r="G50" i="59" s="1"/>
  <c r="H593" i="73"/>
  <c r="AV13" i="27"/>
  <c r="AW13" i="27" s="1"/>
  <c r="AS14" i="27" s="1"/>
  <c r="AT14" i="27" s="1"/>
  <c r="H97" i="56"/>
  <c r="CG20" i="9"/>
  <c r="H96" i="56"/>
  <c r="CG19" i="9"/>
  <c r="H95" i="56"/>
  <c r="CG18" i="9"/>
  <c r="CI16" i="9"/>
  <c r="BZ16" i="9"/>
  <c r="N16" i="9"/>
  <c r="BX16" i="9" s="1"/>
  <c r="P16" i="9"/>
  <c r="Q16" i="9" s="1"/>
  <c r="N93" i="56" s="1"/>
  <c r="J128" i="56" s="1"/>
  <c r="BX15" i="9"/>
  <c r="BO15" i="9"/>
  <c r="BX14" i="9"/>
  <c r="BO14" i="9"/>
  <c r="BZ14" i="9"/>
  <c r="BQ14" i="9"/>
  <c r="BF11" i="9"/>
  <c r="H316" i="73"/>
  <c r="H438" i="73"/>
  <c r="E4" i="60"/>
  <c r="F4" i="60" s="1"/>
  <c r="H6" i="20"/>
  <c r="AJ85" i="20"/>
  <c r="D71" i="20"/>
  <c r="D68" i="20"/>
  <c r="D75" i="20"/>
  <c r="AJ59" i="20"/>
  <c r="H91" i="14"/>
  <c r="K21" i="22"/>
  <c r="H599" i="73"/>
  <c r="AB16" i="9"/>
  <c r="H83" i="9"/>
  <c r="AA12" i="9"/>
  <c r="G12" i="56"/>
  <c r="F12" i="56" s="1"/>
  <c r="AA10" i="9"/>
  <c r="AA15" i="9"/>
  <c r="D16" i="14"/>
  <c r="AO453" i="73" s="1"/>
  <c r="D55" i="20"/>
  <c r="D20" i="60"/>
  <c r="E20" i="60" s="1"/>
  <c r="F20" i="60" s="1"/>
  <c r="G20" i="60" s="1"/>
  <c r="H20" i="60" s="1"/>
  <c r="I20" i="60" s="1"/>
  <c r="J20" i="60" s="1"/>
  <c r="K20" i="60" s="1"/>
  <c r="L20" i="60" s="1"/>
  <c r="M20" i="60" s="1"/>
  <c r="N20" i="60" s="1"/>
  <c r="O20" i="60" s="1"/>
  <c r="P20" i="60" s="1"/>
  <c r="Q20" i="60" s="1"/>
  <c r="R20" i="60" s="1"/>
  <c r="S20" i="60" s="1"/>
  <c r="T20" i="60" s="1"/>
  <c r="U20" i="60" s="1"/>
  <c r="V20" i="60" s="1"/>
  <c r="W20" i="60" s="1"/>
  <c r="X20" i="60" s="1"/>
  <c r="Y20" i="60" s="1"/>
  <c r="Z20" i="60" s="1"/>
  <c r="AA20" i="60" s="1"/>
  <c r="AB20" i="60" s="1"/>
  <c r="AC20" i="60" s="1"/>
  <c r="AD20" i="60" s="1"/>
  <c r="AE20" i="60" s="1"/>
  <c r="AF20" i="60" s="1"/>
  <c r="AG20" i="60" s="1"/>
  <c r="AH20" i="60" s="1"/>
  <c r="AI20" i="60" s="1"/>
  <c r="AJ20" i="60" s="1"/>
  <c r="AK20" i="60" s="1"/>
  <c r="AL20" i="60" s="1"/>
  <c r="AM20" i="60" s="1"/>
  <c r="AN20" i="60" s="1"/>
  <c r="AO20" i="60" s="1"/>
  <c r="AP20" i="60" s="1"/>
  <c r="CG16" i="9"/>
  <c r="CI15" i="9"/>
  <c r="BZ15" i="9"/>
  <c r="E109" i="9"/>
  <c r="AP426" i="73" s="1"/>
  <c r="H92" i="56"/>
  <c r="CG15" i="9"/>
  <c r="BZ13" i="9"/>
  <c r="BQ13" i="9"/>
  <c r="BY13" i="9"/>
  <c r="BP13" i="9"/>
  <c r="Q9" i="9"/>
  <c r="N86" i="56" s="1"/>
  <c r="J121" i="56" s="1"/>
  <c r="AW9" i="9"/>
  <c r="BH8" i="9"/>
  <c r="K88" i="22"/>
  <c r="AJ66" i="20"/>
  <c r="D67" i="20"/>
  <c r="P92" i="14"/>
  <c r="Q91" i="14"/>
  <c r="D11" i="63"/>
  <c r="H669" i="73"/>
  <c r="G71" i="22"/>
  <c r="H654" i="73"/>
  <c r="AJ58" i="20"/>
  <c r="D69" i="20"/>
  <c r="K15" i="22"/>
  <c r="D95" i="14"/>
  <c r="I536" i="73" s="1"/>
  <c r="AO536" i="73" s="1"/>
  <c r="BF15" i="9"/>
  <c r="AW15" i="9"/>
  <c r="BH15" i="9"/>
  <c r="AY15" i="9"/>
  <c r="BH14" i="9"/>
  <c r="AP14" i="9"/>
  <c r="E108" i="9"/>
  <c r="AP425" i="73" s="1"/>
  <c r="BF14" i="9"/>
  <c r="AN14" i="9"/>
  <c r="H117" i="73"/>
  <c r="AN117" i="73"/>
  <c r="H427" i="73"/>
  <c r="I423" i="73"/>
  <c r="E55" i="23"/>
  <c r="I426" i="73"/>
  <c r="F53" i="23"/>
  <c r="H424" i="73"/>
  <c r="H423" i="73"/>
  <c r="H426" i="73"/>
  <c r="H425" i="73"/>
  <c r="E56" i="23"/>
  <c r="I427" i="73"/>
  <c r="C8" i="17"/>
  <c r="BT582" i="73"/>
  <c r="Q21" i="9"/>
  <c r="N98" i="56" s="1"/>
  <c r="J133" i="56" s="1"/>
  <c r="BB336" i="73"/>
  <c r="Q18" i="9"/>
  <c r="N95" i="56" s="1"/>
  <c r="J130" i="56" s="1"/>
  <c r="BB333" i="73"/>
  <c r="Q20" i="9"/>
  <c r="N97" i="56" s="1"/>
  <c r="J132" i="56" s="1"/>
  <c r="BB335" i="73"/>
  <c r="Q17" i="9"/>
  <c r="N94" i="56" s="1"/>
  <c r="J129" i="56" s="1"/>
  <c r="BB332" i="73"/>
  <c r="BH13" i="9"/>
  <c r="AY13" i="9"/>
  <c r="E107" i="9"/>
  <c r="AP424" i="73" s="1"/>
  <c r="Q13" i="9"/>
  <c r="N90" i="56" s="1"/>
  <c r="J125" i="56" s="1"/>
  <c r="BB328" i="73"/>
  <c r="AX13" i="9"/>
  <c r="BH12" i="9"/>
  <c r="AP12" i="9"/>
  <c r="BF12" i="9"/>
  <c r="AN12" i="9"/>
  <c r="BB327" i="73"/>
  <c r="AO12" i="9"/>
  <c r="BH11" i="9"/>
  <c r="BQ11" i="9"/>
  <c r="BF10" i="9"/>
  <c r="CP10" i="9"/>
  <c r="BB325" i="73"/>
  <c r="CQ10" i="9"/>
  <c r="BF9" i="9"/>
  <c r="BO9" i="9"/>
  <c r="BH9" i="9"/>
  <c r="BQ9" i="9"/>
  <c r="H87" i="56"/>
  <c r="H7" i="20"/>
  <c r="F13" i="27"/>
  <c r="I13" i="27"/>
  <c r="D63" i="20"/>
  <c r="R12" i="22"/>
  <c r="D49" i="20"/>
  <c r="D50" i="57"/>
  <c r="D42" i="63"/>
  <c r="F42" i="63" s="1"/>
  <c r="K59" i="22"/>
  <c r="D91" i="20"/>
  <c r="F18" i="22"/>
  <c r="F19" i="22"/>
  <c r="H597" i="73" s="1"/>
  <c r="D57" i="20"/>
  <c r="L73" i="56"/>
  <c r="K20" i="22"/>
  <c r="C46" i="20"/>
  <c r="K74" i="22"/>
  <c r="K22" i="22"/>
  <c r="C48" i="20"/>
  <c r="C47" i="20"/>
  <c r="D65" i="20"/>
  <c r="F36" i="20"/>
  <c r="F38" i="20" s="1"/>
  <c r="AK25" i="20"/>
  <c r="G64" i="22"/>
  <c r="G66" i="22"/>
  <c r="G72" i="22"/>
  <c r="G63" i="22"/>
  <c r="G69" i="22"/>
  <c r="G73" i="22"/>
  <c r="J11" i="23"/>
  <c r="G62" i="22"/>
  <c r="G74" i="22"/>
  <c r="G67" i="22"/>
  <c r="G65" i="22"/>
  <c r="G70" i="22"/>
  <c r="D96" i="20"/>
  <c r="D107" i="20"/>
  <c r="AJ100" i="20"/>
  <c r="D100" i="20"/>
  <c r="D51" i="20"/>
  <c r="L69" i="56"/>
  <c r="G8" i="22"/>
  <c r="G11" i="22"/>
  <c r="G15" i="22"/>
  <c r="J7" i="23"/>
  <c r="D44" i="57"/>
  <c r="G12" i="22"/>
  <c r="G14" i="22"/>
  <c r="G13" i="22"/>
  <c r="G9" i="22"/>
  <c r="G10" i="22"/>
  <c r="C99" i="22"/>
  <c r="C41" i="20"/>
  <c r="N14" i="27"/>
  <c r="O14" i="27"/>
  <c r="AJ89" i="20"/>
  <c r="D13" i="20"/>
  <c r="AJ13" i="20"/>
  <c r="BJ15" i="9"/>
  <c r="Q12" i="9"/>
  <c r="N89" i="56" s="1"/>
  <c r="J124" i="56" s="1"/>
  <c r="BG12" i="9"/>
  <c r="AB12" i="9"/>
  <c r="Q10" i="9"/>
  <c r="N87" i="56" s="1"/>
  <c r="J122" i="56" s="1"/>
  <c r="AB10" i="9"/>
  <c r="BG10" i="9"/>
  <c r="H91" i="56"/>
  <c r="AA14" i="9"/>
  <c r="H86" i="56"/>
  <c r="AA9" i="9"/>
  <c r="AE42" i="9"/>
  <c r="J10" i="23"/>
  <c r="G71" i="56" s="1"/>
  <c r="D48" i="57"/>
  <c r="C15" i="27"/>
  <c r="A14" i="27"/>
  <c r="BJ14" i="27"/>
  <c r="D32" i="20"/>
  <c r="D15" i="56"/>
  <c r="D48" i="32"/>
  <c r="D52" i="32"/>
  <c r="G118" i="20"/>
  <c r="G119" i="20"/>
  <c r="C111" i="9"/>
  <c r="D101" i="20"/>
  <c r="E52" i="23"/>
  <c r="D92" i="20"/>
  <c r="F56" i="23"/>
  <c r="F54" i="23"/>
  <c r="H89" i="56"/>
  <c r="C7" i="61"/>
  <c r="E26" i="60"/>
  <c r="F52" i="23"/>
  <c r="F10" i="56"/>
  <c r="F55" i="23"/>
  <c r="BC14" i="27" l="1"/>
  <c r="I6" i="20"/>
  <c r="C14" i="60"/>
  <c r="C11" i="17"/>
  <c r="C13" i="17" s="1"/>
  <c r="F8" i="17"/>
  <c r="F11" i="17" s="1"/>
  <c r="D11" i="17"/>
  <c r="AA8" i="9"/>
  <c r="C26" i="20"/>
  <c r="AJ26" i="20" s="1"/>
  <c r="G54" i="56"/>
  <c r="D104" i="23"/>
  <c r="G72" i="56"/>
  <c r="F72" i="56" s="1"/>
  <c r="D7" i="60"/>
  <c r="H93" i="56"/>
  <c r="H85" i="56"/>
  <c r="BO8" i="9"/>
  <c r="AY8" i="9"/>
  <c r="AY38" i="9" s="1"/>
  <c r="BQ8" i="9"/>
  <c r="BQ38" i="9" s="1"/>
  <c r="J107" i="9" s="1"/>
  <c r="AU424" i="73" s="1"/>
  <c r="F14" i="60"/>
  <c r="D14" i="60"/>
  <c r="E14" i="60"/>
  <c r="D99" i="23"/>
  <c r="G70" i="56"/>
  <c r="F70" i="56" s="1"/>
  <c r="CQ38" i="9"/>
  <c r="Q11" i="9"/>
  <c r="N88" i="56" s="1"/>
  <c r="J123" i="56" s="1"/>
  <c r="BP11" i="9"/>
  <c r="AN8" i="9"/>
  <c r="AN38" i="9" s="1"/>
  <c r="BZ38" i="9"/>
  <c r="J108" i="9" s="1"/>
  <c r="AU425" i="73" s="1"/>
  <c r="AN428" i="73"/>
  <c r="BT632" i="73"/>
  <c r="BT650" i="73"/>
  <c r="BT649" i="73"/>
  <c r="AL14" i="27"/>
  <c r="AN14" i="27" s="1"/>
  <c r="AO14" i="27" s="1"/>
  <c r="AK15" i="27" s="1"/>
  <c r="AM15" i="27" s="1"/>
  <c r="W14" i="27"/>
  <c r="X14" i="27" s="1"/>
  <c r="Y14" i="27" s="1"/>
  <c r="U15" i="27" s="1"/>
  <c r="F47" i="56"/>
  <c r="AU14" i="27"/>
  <c r="AV14" i="27" s="1"/>
  <c r="AW14" i="27" s="1"/>
  <c r="AS15" i="27" s="1"/>
  <c r="AU15" i="27" s="1"/>
  <c r="F26" i="22"/>
  <c r="D4" i="61"/>
  <c r="BT661" i="73"/>
  <c r="J90" i="22"/>
  <c r="AE14" i="27"/>
  <c r="AF14" i="27" s="1"/>
  <c r="AG14" i="27" s="1"/>
  <c r="AC15" i="27" s="1"/>
  <c r="AD15" i="27" s="1"/>
  <c r="BF13" i="9"/>
  <c r="BF38" i="9" s="1"/>
  <c r="H106" i="9" s="1"/>
  <c r="AS423" i="73" s="1"/>
  <c r="H90" i="56"/>
  <c r="BO13" i="9"/>
  <c r="G88" i="56"/>
  <c r="G123" i="56" s="1"/>
  <c r="N11" i="9"/>
  <c r="BX11" i="9" s="1"/>
  <c r="BX38" i="9" s="1"/>
  <c r="H108" i="9" s="1"/>
  <c r="BB326" i="73"/>
  <c r="AB11" i="9"/>
  <c r="AX11" i="9"/>
  <c r="H49" i="59"/>
  <c r="F71" i="56"/>
  <c r="F73" i="56"/>
  <c r="BB331" i="73"/>
  <c r="CG38" i="9"/>
  <c r="AP423" i="73"/>
  <c r="J423" i="73"/>
  <c r="G106" i="9"/>
  <c r="AR423" i="73" s="1"/>
  <c r="F106" i="9"/>
  <c r="AQ423" i="73" s="1"/>
  <c r="AP427" i="73"/>
  <c r="J427" i="73"/>
  <c r="F110" i="9"/>
  <c r="AQ427" i="73" s="1"/>
  <c r="G110" i="9"/>
  <c r="AR427" i="73" s="1"/>
  <c r="AP38" i="9"/>
  <c r="BH38" i="9"/>
  <c r="J106" i="9" s="1"/>
  <c r="AU423" i="73" s="1"/>
  <c r="CI38" i="9"/>
  <c r="J109" i="9" s="1"/>
  <c r="CP38" i="9"/>
  <c r="H110" i="9" s="1"/>
  <c r="AS427" i="73" s="1"/>
  <c r="G13" i="27"/>
  <c r="H13" i="27" s="1"/>
  <c r="D14" i="27" s="1"/>
  <c r="I14" i="27" s="1"/>
  <c r="CH16" i="9"/>
  <c r="CH38" i="9" s="1"/>
  <c r="BY16" i="9"/>
  <c r="BY38" i="9" s="1"/>
  <c r="I7" i="20"/>
  <c r="J7" i="20" s="1"/>
  <c r="C44" i="20"/>
  <c r="AJ44" i="20" s="1"/>
  <c r="H596" i="73"/>
  <c r="J426" i="73"/>
  <c r="F109" i="9"/>
  <c r="AQ426" i="73" s="1"/>
  <c r="G109" i="9"/>
  <c r="AR426" i="73" s="1"/>
  <c r="J91" i="14"/>
  <c r="Q92" i="14"/>
  <c r="J92" i="14" s="1"/>
  <c r="P14" i="27"/>
  <c r="Q14" i="27" s="1"/>
  <c r="M15" i="27" s="1"/>
  <c r="O15" i="27" s="1"/>
  <c r="J425" i="73"/>
  <c r="F108" i="9"/>
  <c r="AQ425" i="73" s="1"/>
  <c r="J424" i="73"/>
  <c r="O427" i="73"/>
  <c r="H428" i="73"/>
  <c r="BE582" i="73"/>
  <c r="CA671" i="73"/>
  <c r="BV668" i="73"/>
  <c r="BV663" i="73"/>
  <c r="BU663" i="73"/>
  <c r="CC653" i="73"/>
  <c r="BZ630" i="73"/>
  <c r="BU624" i="73"/>
  <c r="BV670" i="73"/>
  <c r="BU670" i="73"/>
  <c r="BZ659" i="73"/>
  <c r="BU651" i="73"/>
  <c r="CC643" i="73"/>
  <c r="BZ621" i="73"/>
  <c r="CA668" i="73"/>
  <c r="CA658" i="73"/>
  <c r="BV650" i="73"/>
  <c r="CD642" i="73"/>
  <c r="BY634" i="73"/>
  <c r="BT627" i="73"/>
  <c r="CA620" i="73"/>
  <c r="BY663" i="73"/>
  <c r="BT654" i="73"/>
  <c r="CA646" i="73"/>
  <c r="BV638" i="73"/>
  <c r="CD630" i="73"/>
  <c r="BY624" i="73"/>
  <c r="BT618" i="73"/>
  <c r="BT668" i="73"/>
  <c r="BT647" i="73"/>
  <c r="BV631" i="73"/>
  <c r="BZ618" i="73"/>
  <c r="CC611" i="73"/>
  <c r="BZ588" i="73"/>
  <c r="CA622" i="73"/>
  <c r="BU635" i="73"/>
  <c r="BV613" i="73"/>
  <c r="CD604" i="73"/>
  <c r="BY598" i="73"/>
  <c r="BT590" i="73"/>
  <c r="BY657" i="73"/>
  <c r="BU638" i="73"/>
  <c r="CC614" i="73"/>
  <c r="CC586" i="73"/>
  <c r="CD653" i="73"/>
  <c r="BZ663" i="73"/>
  <c r="BU630" i="73"/>
  <c r="CD617" i="73"/>
  <c r="BV611" i="73"/>
  <c r="CD602" i="73"/>
  <c r="BY596" i="73"/>
  <c r="BT588" i="73"/>
  <c r="BU653" i="73"/>
  <c r="BY642" i="73"/>
  <c r="CC612" i="73"/>
  <c r="BV647" i="73"/>
  <c r="BV614" i="73"/>
  <c r="BY599" i="73"/>
  <c r="CA625" i="73"/>
  <c r="BY605" i="73"/>
  <c r="CA590" i="73"/>
  <c r="CD637" i="73"/>
  <c r="CC598" i="73"/>
  <c r="BV636" i="73"/>
  <c r="CA653" i="73"/>
  <c r="BZ600" i="73"/>
  <c r="CD670" i="73"/>
  <c r="BU669" i="73"/>
  <c r="BY667" i="73"/>
  <c r="BY662" i="73"/>
  <c r="BZ645" i="73"/>
  <c r="BU637" i="73"/>
  <c r="CC629" i="73"/>
  <c r="CD668" i="73"/>
  <c r="CC668" i="73"/>
  <c r="CC658" i="73"/>
  <c r="BZ634" i="73"/>
  <c r="BU627" i="73"/>
  <c r="CC620" i="73"/>
  <c r="BV667" i="73"/>
  <c r="CD657" i="73"/>
  <c r="BY648" i="73"/>
  <c r="BT642" i="73"/>
  <c r="CA633" i="73"/>
  <c r="BV626" i="73"/>
  <c r="CD619" i="73"/>
  <c r="CA662" i="73"/>
  <c r="BV653" i="73"/>
  <c r="CD645" i="73"/>
  <c r="BY637" i="73"/>
  <c r="BT630" i="73"/>
  <c r="CA623" i="73"/>
  <c r="BV617" i="73"/>
  <c r="BZ662" i="73"/>
  <c r="BY645" i="73"/>
  <c r="CA629" i="73"/>
  <c r="BY617" i="73"/>
  <c r="BZ602" i="73"/>
  <c r="BU596" i="73"/>
  <c r="CC587" i="73"/>
  <c r="BU618" i="73"/>
  <c r="BZ633" i="73"/>
  <c r="CC619" i="73"/>
  <c r="BY612" i="73"/>
  <c r="BT604" i="73"/>
  <c r="CA597" i="73"/>
  <c r="BV589" i="73"/>
  <c r="CC590" i="73"/>
  <c r="BT648" i="73"/>
  <c r="BZ636" i="73"/>
  <c r="CC622" i="73"/>
  <c r="BZ605" i="73"/>
  <c r="BU599" i="73"/>
  <c r="CA650" i="73"/>
  <c r="BY646" i="73"/>
  <c r="BU660" i="73"/>
  <c r="BZ628" i="73"/>
  <c r="CD616" i="73"/>
  <c r="BY610" i="73"/>
  <c r="BT602" i="73"/>
  <c r="CA593" i="73"/>
  <c r="BV587" i="73"/>
  <c r="BZ651" i="73"/>
  <c r="CC635" i="73"/>
  <c r="BU611" i="73"/>
  <c r="BY641" i="73"/>
  <c r="CA612" i="73"/>
  <c r="CD597" i="73"/>
  <c r="BZ596" i="73"/>
  <c r="CD621" i="73"/>
  <c r="CD603" i="73"/>
  <c r="BT589" i="73"/>
  <c r="CD628" i="73"/>
  <c r="BZ593" i="73"/>
  <c r="CC618" i="73"/>
  <c r="CA645" i="73"/>
  <c r="CC613" i="73"/>
  <c r="BT670" i="73"/>
  <c r="CD671" i="73"/>
  <c r="CC671" i="73"/>
  <c r="BZ660" i="73"/>
  <c r="BU652" i="73"/>
  <c r="CC644" i="73"/>
  <c r="BZ622" i="73"/>
  <c r="CC667" i="73"/>
  <c r="BZ648" i="73"/>
  <c r="BU642" i="73"/>
  <c r="CC633" i="73"/>
  <c r="BY664" i="73"/>
  <c r="BT657" i="73"/>
  <c r="CA647" i="73"/>
  <c r="BV641" i="73"/>
  <c r="CD631" i="73"/>
  <c r="BY625" i="73"/>
  <c r="BT619" i="73"/>
  <c r="CD660" i="73"/>
  <c r="BY652" i="73"/>
  <c r="BT645" i="73"/>
  <c r="CA636" i="73"/>
  <c r="BV629" i="73"/>
  <c r="CD622" i="73"/>
  <c r="BZ668" i="73"/>
  <c r="CA659" i="73"/>
  <c r="CD643" i="73"/>
  <c r="BT628" i="73"/>
  <c r="BZ616" i="73"/>
  <c r="BU610" i="73"/>
  <c r="CC601" i="73"/>
  <c r="BU667" i="73"/>
  <c r="CC646" i="73"/>
  <c r="BY618" i="73"/>
  <c r="CA611" i="73"/>
  <c r="BV603" i="73"/>
  <c r="CD596" i="73"/>
  <c r="BY588" i="73"/>
  <c r="BU589" i="73"/>
  <c r="CD644" i="73"/>
  <c r="CC650" i="73"/>
  <c r="BU621" i="73"/>
  <c r="BU613" i="73"/>
  <c r="CC604" i="73"/>
  <c r="BY636" i="73"/>
  <c r="BT638" i="73"/>
  <c r="BZ658" i="73"/>
  <c r="CC642" i="73"/>
  <c r="BT616" i="73"/>
  <c r="CA609" i="73"/>
  <c r="BV601" i="73"/>
  <c r="CD592" i="73"/>
  <c r="BY586" i="73"/>
  <c r="BY631" i="73"/>
  <c r="BZ609" i="73"/>
  <c r="CC592" i="73"/>
  <c r="CA635" i="73"/>
  <c r="BT611" i="73"/>
  <c r="BV596" i="73"/>
  <c r="BZ586" i="73"/>
  <c r="CC617" i="73"/>
  <c r="BV602" i="73"/>
  <c r="BY587" i="73"/>
  <c r="BT625" i="73"/>
  <c r="CD638" i="73"/>
  <c r="BU612" i="73"/>
  <c r="BZ603" i="73"/>
  <c r="BZ642" i="73"/>
  <c r="BV669" i="73"/>
  <c r="BY668" i="73"/>
  <c r="BY671" i="73"/>
  <c r="BZ650" i="73"/>
  <c r="BU643" i="73"/>
  <c r="CC634" i="73"/>
  <c r="CD663" i="73"/>
  <c r="CC663" i="73"/>
  <c r="BZ638" i="73"/>
  <c r="BU631" i="73"/>
  <c r="CC624" i="73"/>
  <c r="CD662" i="73"/>
  <c r="BY653" i="73"/>
  <c r="BT646" i="73"/>
  <c r="CA637" i="73"/>
  <c r="BV630" i="73"/>
  <c r="CD623" i="73"/>
  <c r="BZ669" i="73"/>
  <c r="BV659" i="73"/>
  <c r="CD650" i="73"/>
  <c r="BY643" i="73"/>
  <c r="BT635" i="73"/>
  <c r="CA627" i="73"/>
  <c r="BV621" i="73"/>
  <c r="CD659" i="73"/>
  <c r="BY654" i="73"/>
  <c r="CA638" i="73"/>
  <c r="CD624" i="73"/>
  <c r="BZ606" i="73"/>
  <c r="BU600" i="73"/>
  <c r="CC591" i="73"/>
  <c r="BV652" i="73"/>
  <c r="BZ643" i="73"/>
  <c r="CC627" i="73"/>
  <c r="BY616" i="73"/>
  <c r="BT610" i="73"/>
  <c r="CA601" i="73"/>
  <c r="BZ671" i="73"/>
  <c r="CD669" i="73"/>
  <c r="CD664" i="73"/>
  <c r="CC664" i="73"/>
  <c r="BZ641" i="73"/>
  <c r="BU633" i="73"/>
  <c r="CC625" i="73"/>
  <c r="BV662" i="73"/>
  <c r="BU662" i="73"/>
  <c r="CC652" i="73"/>
  <c r="BZ629" i="73"/>
  <c r="BU623" i="73"/>
  <c r="BU671" i="73"/>
  <c r="BV660" i="73"/>
  <c r="CD651" i="73"/>
  <c r="BY644" i="73"/>
  <c r="BT636" i="73"/>
  <c r="CA628" i="73"/>
  <c r="BV622" i="73"/>
  <c r="BT667" i="73"/>
  <c r="CA657" i="73"/>
  <c r="BV648" i="73"/>
  <c r="CD641" i="73"/>
  <c r="BY633" i="73"/>
  <c r="BT626" i="73"/>
  <c r="CA619" i="73"/>
  <c r="CA654" i="73"/>
  <c r="BV651" i="73"/>
  <c r="BY635" i="73"/>
  <c r="CA621" i="73"/>
  <c r="BZ598" i="73"/>
  <c r="BU590" i="73"/>
  <c r="BV633" i="73"/>
  <c r="BU654" i="73"/>
  <c r="BZ624" i="73"/>
  <c r="CD614" i="73"/>
  <c r="BY606" i="73"/>
  <c r="BT600" i="73"/>
  <c r="CA591" i="73"/>
  <c r="BZ597" i="73"/>
  <c r="CA660" i="73"/>
  <c r="BU659" i="73"/>
  <c r="BZ627" i="73"/>
  <c r="BZ601" i="73"/>
  <c r="BT617" i="73"/>
  <c r="BV616" i="73"/>
  <c r="BU650" i="73"/>
  <c r="BZ620" i="73"/>
  <c r="CD612" i="73"/>
  <c r="BY604" i="73"/>
  <c r="BT598" i="73"/>
  <c r="CA589" i="73"/>
  <c r="BY660" i="73"/>
  <c r="BU601" i="73"/>
  <c r="CA602" i="73"/>
  <c r="CD587" i="73"/>
  <c r="CD634" i="73"/>
  <c r="CA610" i="73"/>
  <c r="CD593" i="73"/>
  <c r="BT652" i="73"/>
  <c r="BU605" i="73"/>
  <c r="CA586" i="73"/>
  <c r="CD620" i="73"/>
  <c r="CC603" i="73"/>
  <c r="BU587" i="73"/>
  <c r="BT644" i="73"/>
  <c r="CC670" i="73"/>
  <c r="BT669" i="73"/>
  <c r="BT664" i="73"/>
  <c r="BZ654" i="73"/>
  <c r="BU647" i="73"/>
  <c r="CC638" i="73"/>
  <c r="BV671" i="73"/>
  <c r="BZ644" i="73"/>
  <c r="BU636" i="73"/>
  <c r="CC628" i="73"/>
  <c r="CC669" i="73"/>
  <c r="BY659" i="73"/>
  <c r="BT651" i="73"/>
  <c r="CA643" i="73"/>
  <c r="BV635" i="73"/>
  <c r="CD627" i="73"/>
  <c r="BY621" i="73"/>
  <c r="BV664" i="73"/>
  <c r="CD654" i="73"/>
  <c r="BY647" i="73"/>
  <c r="BT641" i="73"/>
  <c r="CA631" i="73"/>
  <c r="BV625" i="73"/>
  <c r="CD618" i="73"/>
  <c r="BT653" i="73"/>
  <c r="CA648" i="73"/>
  <c r="CD633" i="73"/>
  <c r="BT620" i="73"/>
  <c r="BZ612" i="73"/>
  <c r="BU604" i="73"/>
  <c r="CC597" i="73"/>
  <c r="BY627" i="73"/>
  <c r="BZ652" i="73"/>
  <c r="CC636" i="73"/>
  <c r="BT614" i="73"/>
  <c r="CA605" i="73"/>
  <c r="BV599" i="73"/>
  <c r="CD590" i="73"/>
  <c r="BT659" i="73"/>
  <c r="BZ657" i="73"/>
  <c r="CC641" i="73"/>
  <c r="BZ615" i="73"/>
  <c r="BU609" i="73"/>
  <c r="CC600" i="73"/>
  <c r="CA669" i="73"/>
  <c r="BZ647" i="73"/>
  <c r="CC631" i="73"/>
  <c r="BT612" i="73"/>
  <c r="CA603" i="73"/>
  <c r="BV597" i="73"/>
  <c r="CD588" i="73"/>
  <c r="CC654" i="73"/>
  <c r="CD647" i="73"/>
  <c r="BZ599" i="73"/>
  <c r="CD658" i="73"/>
  <c r="CD615" i="73"/>
  <c r="BT601" i="73"/>
  <c r="BV586" i="73"/>
  <c r="BT609" i="73"/>
  <c r="BV592" i="73"/>
  <c r="CA667" i="73"/>
  <c r="BU658" i="73"/>
  <c r="BZ626" i="73"/>
  <c r="BU668" i="73"/>
  <c r="CD652" i="73"/>
  <c r="CC657" i="73"/>
  <c r="BV604" i="73"/>
  <c r="CA588" i="73"/>
  <c r="BZ667" i="73"/>
  <c r="CC621" i="73"/>
  <c r="CC647" i="73"/>
  <c r="BU619" i="73"/>
  <c r="BY638" i="73"/>
  <c r="BT660" i="73"/>
  <c r="BY628" i="73"/>
  <c r="BV642" i="73"/>
  <c r="BU645" i="73"/>
  <c r="BY602" i="73"/>
  <c r="BZ587" i="73"/>
  <c r="BZ611" i="73"/>
  <c r="BT629" i="73"/>
  <c r="CC651" i="73"/>
  <c r="BY614" i="73"/>
  <c r="BT592" i="73"/>
  <c r="BU644" i="73"/>
  <c r="BZ589" i="73"/>
  <c r="CA592" i="73"/>
  <c r="BV612" i="73"/>
  <c r="CC609" i="73"/>
  <c r="BZ610" i="73"/>
  <c r="BV627" i="73"/>
  <c r="CC616" i="73"/>
  <c r="CD601" i="73"/>
  <c r="BT587" i="73"/>
  <c r="BV619" i="73"/>
  <c r="BT603" i="73"/>
  <c r="CA670" i="73"/>
  <c r="CC648" i="73"/>
  <c r="BU620" i="73"/>
  <c r="BU646" i="73"/>
  <c r="BZ617" i="73"/>
  <c r="CD636" i="73"/>
  <c r="BY658" i="73"/>
  <c r="CD626" i="73"/>
  <c r="BT637" i="73"/>
  <c r="CD600" i="73"/>
  <c r="CC610" i="73"/>
  <c r="BV624" i="73"/>
  <c r="BU641" i="73"/>
  <c r="CA613" i="73"/>
  <c r="BV591" i="73"/>
  <c r="CC626" i="73"/>
  <c r="BT591" i="73"/>
  <c r="CA600" i="73"/>
  <c r="BZ613" i="73"/>
  <c r="BZ604" i="73"/>
  <c r="CC606" i="73"/>
  <c r="BU616" i="73"/>
  <c r="BT615" i="73"/>
  <c r="BV600" i="73"/>
  <c r="BZ670" i="73"/>
  <c r="CA616" i="73"/>
  <c r="CD599" i="73"/>
  <c r="BU606" i="73"/>
  <c r="BV634" i="73"/>
  <c r="CC605" i="73"/>
  <c r="BZ591" i="73"/>
  <c r="BU591" i="73"/>
  <c r="BU615" i="73"/>
  <c r="CA604" i="73"/>
  <c r="BU664" i="73"/>
  <c r="BZ623" i="73"/>
  <c r="BY670" i="73"/>
  <c r="CA664" i="73"/>
  <c r="CA663" i="73"/>
  <c r="BT631" i="73"/>
  <c r="CA651" i="73"/>
  <c r="BT622" i="73"/>
  <c r="BY626" i="73"/>
  <c r="BZ592" i="73"/>
  <c r="BT596" i="73"/>
  <c r="BT671" i="73"/>
  <c r="CC630" i="73"/>
  <c r="BT621" i="73"/>
  <c r="BZ637" i="73"/>
  <c r="CD606" i="73"/>
  <c r="BY590" i="73"/>
  <c r="BY622" i="73"/>
  <c r="BY630" i="73"/>
  <c r="BY589" i="73"/>
  <c r="BT599" i="73"/>
  <c r="CC599" i="73"/>
  <c r="BY651" i="73"/>
  <c r="BY613" i="73"/>
  <c r="CA598" i="73"/>
  <c r="BY650" i="73"/>
  <c r="CA614" i="73"/>
  <c r="CA596" i="73"/>
  <c r="BZ664" i="73"/>
  <c r="CA624" i="73"/>
  <c r="CC662" i="73"/>
  <c r="BU586" i="73"/>
  <c r="BZ619" i="73"/>
  <c r="CD625" i="73"/>
  <c r="BV605" i="73"/>
  <c r="BV646" i="73"/>
  <c r="CC588" i="73"/>
  <c r="BU592" i="73"/>
  <c r="BT634" i="73"/>
  <c r="BY593" i="73"/>
  <c r="BY611" i="73"/>
  <c r="BT586" i="73"/>
  <c r="CD598" i="73"/>
  <c r="CA644" i="73"/>
  <c r="BY603" i="73"/>
  <c r="BT663" i="73"/>
  <c r="CC637" i="73"/>
  <c r="BT662" i="73"/>
  <c r="BY629" i="73"/>
  <c r="BY620" i="73"/>
  <c r="BV623" i="73"/>
  <c r="BU626" i="73"/>
  <c r="BV593" i="73"/>
  <c r="BV643" i="73"/>
  <c r="BU629" i="73"/>
  <c r="BU603" i="73"/>
  <c r="CA630" i="73"/>
  <c r="BT606" i="73"/>
  <c r="BY669" i="73"/>
  <c r="CA618" i="73"/>
  <c r="CA626" i="73"/>
  <c r="BV657" i="73"/>
  <c r="BY597" i="73"/>
  <c r="CC589" i="73"/>
  <c r="BU602" i="73"/>
  <c r="BU597" i="73"/>
  <c r="CD611" i="73"/>
  <c r="BT597" i="73"/>
  <c r="BT643" i="73"/>
  <c r="BT613" i="73"/>
  <c r="BT593" i="73"/>
  <c r="BU598" i="73"/>
  <c r="BZ635" i="73"/>
  <c r="BV654" i="73"/>
  <c r="BV644" i="73"/>
  <c r="CC615" i="73"/>
  <c r="BY592" i="73"/>
  <c r="CC593" i="73"/>
  <c r="CA634" i="73"/>
  <c r="BV610" i="73"/>
  <c r="BV637" i="73"/>
  <c r="BV588" i="73"/>
  <c r="BY623" i="73"/>
  <c r="BV645" i="73"/>
  <c r="BZ646" i="73"/>
  <c r="CC645" i="73"/>
  <c r="CA617" i="73"/>
  <c r="BV620" i="73"/>
  <c r="BZ614" i="73"/>
  <c r="CD667" i="73"/>
  <c r="CA652" i="73"/>
  <c r="BT623" i="73"/>
  <c r="CA642" i="73"/>
  <c r="BV658" i="73"/>
  <c r="BU614" i="73"/>
  <c r="CA641" i="73"/>
  <c r="CA615" i="73"/>
  <c r="CA587" i="73"/>
  <c r="CC660" i="73"/>
  <c r="BV618" i="73"/>
  <c r="CC596" i="73"/>
  <c r="BY619" i="73"/>
  <c r="CC623" i="73"/>
  <c r="BY600" i="73"/>
  <c r="BY609" i="73"/>
  <c r="BZ590" i="73"/>
  <c r="BY601" i="73"/>
  <c r="CD629" i="73"/>
  <c r="BV598" i="73"/>
  <c r="CA606" i="73"/>
  <c r="CD591" i="73"/>
  <c r="CD609" i="73"/>
  <c r="BZ631" i="73"/>
  <c r="BU588" i="73"/>
  <c r="CC659" i="73"/>
  <c r="BU628" i="73"/>
  <c r="BU657" i="73"/>
  <c r="BZ625" i="73"/>
  <c r="CD646" i="73"/>
  <c r="CD635" i="73"/>
  <c r="BT658" i="73"/>
  <c r="CD610" i="73"/>
  <c r="CD586" i="73"/>
  <c r="BU648" i="73"/>
  <c r="BU617" i="73"/>
  <c r="BU593" i="73"/>
  <c r="BU622" i="73"/>
  <c r="CA599" i="73"/>
  <c r="CC602" i="73"/>
  <c r="CD605" i="73"/>
  <c r="BY615" i="73"/>
  <c r="CD589" i="73"/>
  <c r="BU625" i="73"/>
  <c r="BU634" i="73"/>
  <c r="BY591" i="73"/>
  <c r="BT624" i="73"/>
  <c r="BT605" i="73"/>
  <c r="BV590" i="73"/>
  <c r="BV628" i="73"/>
  <c r="BV606" i="73"/>
  <c r="BZ653" i="73"/>
  <c r="BV609" i="73"/>
  <c r="BV615" i="73"/>
  <c r="CD613" i="73"/>
  <c r="CD648" i="73"/>
  <c r="F107" i="9"/>
  <c r="AQ424" i="73" s="1"/>
  <c r="E4" i="61"/>
  <c r="G4" i="60"/>
  <c r="R10" i="22"/>
  <c r="K18" i="22"/>
  <c r="R7" i="22"/>
  <c r="R8" i="22" s="1"/>
  <c r="K19" i="22"/>
  <c r="AJ46" i="20"/>
  <c r="D46" i="20"/>
  <c r="C45" i="20"/>
  <c r="AJ45" i="20" s="1"/>
  <c r="AJ47" i="20"/>
  <c r="D47" i="20"/>
  <c r="AJ48" i="20"/>
  <c r="D48" i="20"/>
  <c r="AK36" i="20"/>
  <c r="E41" i="20"/>
  <c r="AJ41" i="20" s="1"/>
  <c r="D25" i="56"/>
  <c r="D101" i="23"/>
  <c r="L71" i="56"/>
  <c r="BL14" i="27"/>
  <c r="BM14" i="27" s="1"/>
  <c r="BI15" i="27" s="1"/>
  <c r="A15" i="27"/>
  <c r="C16" i="27"/>
  <c r="BD14" i="27"/>
  <c r="BE14" i="27" s="1"/>
  <c r="BA15" i="27" s="1"/>
  <c r="BB15" i="27" s="1"/>
  <c r="H51" i="59"/>
  <c r="G55" i="59"/>
  <c r="H52" i="59"/>
  <c r="F28" i="22"/>
  <c r="F57" i="23"/>
  <c r="D7" i="61"/>
  <c r="F26" i="60"/>
  <c r="K150" i="3"/>
  <c r="H142" i="3"/>
  <c r="C150" i="3"/>
  <c r="O151" i="3" s="1"/>
  <c r="F142" i="3"/>
  <c r="M150" i="3"/>
  <c r="F26" i="63"/>
  <c r="G150" i="3"/>
  <c r="J142" i="3"/>
  <c r="F150" i="3"/>
  <c r="L158" i="3"/>
  <c r="M158" i="3"/>
  <c r="E142" i="3"/>
  <c r="G158" i="3"/>
  <c r="K158" i="3"/>
  <c r="C158" i="3"/>
  <c r="O159" i="3" s="1"/>
  <c r="H158" i="3"/>
  <c r="M142" i="3"/>
  <c r="E150" i="3"/>
  <c r="I142" i="3"/>
  <c r="F158" i="3"/>
  <c r="N142" i="3"/>
  <c r="J150" i="3"/>
  <c r="J158" i="3"/>
  <c r="G142" i="3"/>
  <c r="L142" i="3"/>
  <c r="D142" i="3"/>
  <c r="L150" i="3"/>
  <c r="D158" i="3"/>
  <c r="D150" i="3"/>
  <c r="H150" i="3"/>
  <c r="I150" i="3"/>
  <c r="N158" i="3"/>
  <c r="K142" i="3"/>
  <c r="C142" i="3"/>
  <c r="O143" i="3" s="1"/>
  <c r="E158" i="3"/>
  <c r="I158" i="3"/>
  <c r="N150" i="3"/>
  <c r="D27" i="57"/>
  <c r="H118" i="20"/>
  <c r="H119" i="20"/>
  <c r="H9" i="60"/>
  <c r="G14" i="60"/>
  <c r="D46" i="57"/>
  <c r="J6" i="20" l="1"/>
  <c r="L72" i="56"/>
  <c r="H604" i="73"/>
  <c r="D68" i="56"/>
  <c r="D26" i="20"/>
  <c r="L70" i="56"/>
  <c r="BO11" i="9"/>
  <c r="BO38" i="9" s="1"/>
  <c r="H107" i="9" s="1"/>
  <c r="AS424" i="73" s="1"/>
  <c r="AA11" i="9"/>
  <c r="AA38" i="9" s="1"/>
  <c r="D13" i="17"/>
  <c r="F13" i="17"/>
  <c r="F54" i="56"/>
  <c r="L54" i="56"/>
  <c r="E7" i="60"/>
  <c r="D13" i="60"/>
  <c r="J8" i="23"/>
  <c r="G68" i="56" s="1"/>
  <c r="R15" i="22"/>
  <c r="AO582" i="73"/>
  <c r="BE649" i="73"/>
  <c r="BE650" i="73"/>
  <c r="BE632" i="73"/>
  <c r="AE15" i="27"/>
  <c r="AF15" i="27" s="1"/>
  <c r="AG15" i="27" s="1"/>
  <c r="AC16" i="27" s="1"/>
  <c r="AE16" i="27" s="1"/>
  <c r="BE661" i="73"/>
  <c r="AW11" i="9"/>
  <c r="AW38" i="9" s="1"/>
  <c r="H88" i="56"/>
  <c r="N41" i="9" a="1"/>
  <c r="N41" i="9" s="1"/>
  <c r="I111" i="9" a="1"/>
  <c r="I111" i="9" s="1"/>
  <c r="H111" i="9" a="1"/>
  <c r="H111" i="9" s="1"/>
  <c r="C5" i="60" s="1"/>
  <c r="C11" i="60" s="1"/>
  <c r="F14" i="27"/>
  <c r="E14" i="27"/>
  <c r="L423" i="73"/>
  <c r="K427" i="73"/>
  <c r="K423" i="73"/>
  <c r="I108" i="9"/>
  <c r="AT425" i="73" s="1"/>
  <c r="AS425" i="73"/>
  <c r="M425" i="73"/>
  <c r="AU426" i="73"/>
  <c r="O426" i="73"/>
  <c r="I110" i="9"/>
  <c r="L427" i="73"/>
  <c r="H606" i="73"/>
  <c r="BD606" i="73" s="1"/>
  <c r="E108" i="22"/>
  <c r="F15" i="34" s="1"/>
  <c r="O425" i="73"/>
  <c r="D44" i="20"/>
  <c r="R9" i="22"/>
  <c r="I109" i="9"/>
  <c r="H109" i="9"/>
  <c r="AL15" i="27"/>
  <c r="AN15" i="27" s="1"/>
  <c r="AO15" i="27" s="1"/>
  <c r="AK16" i="27" s="1"/>
  <c r="AM16" i="27" s="1"/>
  <c r="K426" i="73"/>
  <c r="L426" i="73"/>
  <c r="I106" i="9"/>
  <c r="AT423" i="73" s="1"/>
  <c r="K425" i="73"/>
  <c r="N15" i="27"/>
  <c r="P15" i="27" s="1"/>
  <c r="Q15" i="27" s="1"/>
  <c r="M16" i="27" s="1"/>
  <c r="O16" i="27" s="1"/>
  <c r="M423" i="73"/>
  <c r="K424" i="73"/>
  <c r="M427" i="73"/>
  <c r="O424" i="73"/>
  <c r="O423" i="73"/>
  <c r="BE588" i="73"/>
  <c r="BN670" i="73"/>
  <c r="BH662" i="73"/>
  <c r="BD653" i="73"/>
  <c r="BK645" i="73"/>
  <c r="BF637" i="73"/>
  <c r="BN629" i="73"/>
  <c r="BH623" i="73"/>
  <c r="BD617" i="73"/>
  <c r="BK610" i="73"/>
  <c r="BF602" i="73"/>
  <c r="BN593" i="73"/>
  <c r="BE668" i="73"/>
  <c r="BL658" i="73"/>
  <c r="BG650" i="73"/>
  <c r="BO642" i="73"/>
  <c r="BJ634" i="73"/>
  <c r="BE627" i="73"/>
  <c r="BL620" i="73"/>
  <c r="BG614" i="73"/>
  <c r="BO605" i="73"/>
  <c r="BJ599" i="73"/>
  <c r="BE591" i="73"/>
  <c r="BK663" i="73"/>
  <c r="BF654" i="73"/>
  <c r="BN646" i="73"/>
  <c r="BH638" i="73"/>
  <c r="BD631" i="73"/>
  <c r="BK624" i="73"/>
  <c r="BF618" i="73"/>
  <c r="BN611" i="73"/>
  <c r="BH603" i="73"/>
  <c r="BG669" i="73"/>
  <c r="BD654" i="73"/>
  <c r="BL642" i="73"/>
  <c r="BK629" i="73"/>
  <c r="BG619" i="73"/>
  <c r="BE609" i="73"/>
  <c r="BG597" i="73"/>
  <c r="BN587" i="73"/>
  <c r="BG664" i="73"/>
  <c r="BF651" i="73"/>
  <c r="BO637" i="73"/>
  <c r="BL626" i="73"/>
  <c r="BH616" i="73"/>
  <c r="BE604" i="73"/>
  <c r="BO592" i="73"/>
  <c r="BE586" i="73"/>
  <c r="BE654" i="73"/>
  <c r="BH637" i="73"/>
  <c r="BL622" i="73"/>
  <c r="BF609" i="73"/>
  <c r="BJ592" i="73"/>
  <c r="BH667" i="73"/>
  <c r="BN647" i="73"/>
  <c r="BF631" i="73"/>
  <c r="BG617" i="73"/>
  <c r="BL601" i="73"/>
  <c r="BN588" i="73"/>
  <c r="BO652" i="73"/>
  <c r="BH630" i="73"/>
  <c r="BE612" i="73"/>
  <c r="BJ591" i="73"/>
  <c r="BD650" i="73"/>
  <c r="BK660" i="73"/>
  <c r="BF652" i="73"/>
  <c r="BN644" i="73"/>
  <c r="BH636" i="73"/>
  <c r="BD629" i="73"/>
  <c r="BK622" i="73"/>
  <c r="BF616" i="73"/>
  <c r="BN609" i="73"/>
  <c r="BH601" i="73"/>
  <c r="BD593" i="73"/>
  <c r="BG667" i="73"/>
  <c r="BO657" i="73"/>
  <c r="BJ648" i="73"/>
  <c r="BE642" i="73"/>
  <c r="BL633" i="73"/>
  <c r="BG626" i="73"/>
  <c r="BO619" i="73"/>
  <c r="BJ613" i="73"/>
  <c r="BE605" i="73"/>
  <c r="BL598" i="73"/>
  <c r="BF671" i="73"/>
  <c r="BN662" i="73"/>
  <c r="BH653" i="73"/>
  <c r="BD646" i="73"/>
  <c r="BK637" i="73"/>
  <c r="BF630" i="73"/>
  <c r="BN623" i="73"/>
  <c r="BH617" i="73"/>
  <c r="BD611" i="73"/>
  <c r="BK602" i="73"/>
  <c r="BO667" i="73"/>
  <c r="BN652" i="73"/>
  <c r="BJ641" i="73"/>
  <c r="BG628" i="73"/>
  <c r="BD618" i="73"/>
  <c r="BL605" i="73"/>
  <c r="BF596" i="73"/>
  <c r="BD587" i="73"/>
  <c r="BE663" i="73"/>
  <c r="BO648" i="73"/>
  <c r="BK636" i="73"/>
  <c r="BG625" i="73"/>
  <c r="BF615" i="73"/>
  <c r="BO602" i="73"/>
  <c r="BN591" i="73"/>
  <c r="BG652" i="73"/>
  <c r="BN635" i="73"/>
  <c r="BE621" i="73"/>
  <c r="BG605" i="73"/>
  <c r="BF591" i="73"/>
  <c r="BN663" i="73"/>
  <c r="BO645" i="73"/>
  <c r="BG629" i="73"/>
  <c r="BL615" i="73"/>
  <c r="BD600" i="73"/>
  <c r="BL587" i="73"/>
  <c r="BH650" i="73"/>
  <c r="BH628" i="73"/>
  <c r="BO609" i="73"/>
  <c r="BL589" i="73"/>
  <c r="BE671" i="73"/>
  <c r="BD647" i="73"/>
  <c r="BK625" i="73"/>
  <c r="BF669" i="73"/>
  <c r="BN659" i="73"/>
  <c r="BH651" i="73"/>
  <c r="BD644" i="73"/>
  <c r="BK635" i="73"/>
  <c r="BF628" i="73"/>
  <c r="BN621" i="73"/>
  <c r="BH615" i="73"/>
  <c r="BD609" i="73"/>
  <c r="BK600" i="73"/>
  <c r="BF592" i="73"/>
  <c r="BJ664" i="73"/>
  <c r="BE657" i="73"/>
  <c r="BL647" i="73"/>
  <c r="BG641" i="73"/>
  <c r="BO631" i="73"/>
  <c r="BJ625" i="73"/>
  <c r="BE619" i="73"/>
  <c r="BL612" i="73"/>
  <c r="BG604" i="73"/>
  <c r="BO597" i="73"/>
  <c r="BH670" i="73"/>
  <c r="BD662" i="73"/>
  <c r="BK652" i="73"/>
  <c r="BF645" i="73"/>
  <c r="BN636" i="73"/>
  <c r="BH629" i="73"/>
  <c r="BD623" i="73"/>
  <c r="BK616" i="73"/>
  <c r="BF610" i="73"/>
  <c r="BN601" i="73"/>
  <c r="BL664" i="73"/>
  <c r="BJ651" i="73"/>
  <c r="BF638" i="73"/>
  <c r="BO626" i="73"/>
  <c r="BN616" i="73"/>
  <c r="BJ604" i="73"/>
  <c r="BF593" i="73"/>
  <c r="BF586" i="73"/>
  <c r="BN660" i="73"/>
  <c r="BJ647" i="73"/>
  <c r="BH635" i="73"/>
  <c r="BE624" i="73"/>
  <c r="BO613" i="73"/>
  <c r="BK601" i="73"/>
  <c r="BN590" i="73"/>
  <c r="BH669" i="73"/>
  <c r="BL650" i="73"/>
  <c r="BO633" i="73"/>
  <c r="BJ619" i="73"/>
  <c r="BL603" i="73"/>
  <c r="BO589" i="73"/>
  <c r="BO660" i="73"/>
  <c r="BG644" i="73"/>
  <c r="BK627" i="73"/>
  <c r="BD614" i="73"/>
  <c r="BK598" i="73"/>
  <c r="BK586" i="73"/>
  <c r="BH671" i="73"/>
  <c r="BE647" i="73"/>
  <c r="BO625" i="73"/>
  <c r="BG588" i="73"/>
  <c r="BK668" i="73"/>
  <c r="BL644" i="73"/>
  <c r="BJ623" i="73"/>
  <c r="BH668" i="73"/>
  <c r="BD659" i="73"/>
  <c r="BK650" i="73"/>
  <c r="BF643" i="73"/>
  <c r="BN634" i="73"/>
  <c r="BH627" i="73"/>
  <c r="BD621" i="73"/>
  <c r="BK614" i="73"/>
  <c r="BF606" i="73"/>
  <c r="BN599" i="73"/>
  <c r="BH591" i="73"/>
  <c r="BL663" i="73"/>
  <c r="BG654" i="73"/>
  <c r="BO646" i="73"/>
  <c r="BJ638" i="73"/>
  <c r="BE631" i="73"/>
  <c r="BL624" i="73"/>
  <c r="BG618" i="73"/>
  <c r="BO611" i="73"/>
  <c r="BJ603" i="73"/>
  <c r="BE597" i="73"/>
  <c r="BK669" i="73"/>
  <c r="BF660" i="73"/>
  <c r="BN651" i="73"/>
  <c r="BH644" i="73"/>
  <c r="BD636" i="73"/>
  <c r="BC636" i="73" s="1"/>
  <c r="BK628" i="73"/>
  <c r="BF622" i="73"/>
  <c r="BN615" i="73"/>
  <c r="BH609" i="73"/>
  <c r="BD601" i="73"/>
  <c r="BH663" i="73"/>
  <c r="BD637" i="73"/>
  <c r="BL625" i="73"/>
  <c r="BJ615" i="73"/>
  <c r="BF603" i="73"/>
  <c r="BE592" i="73"/>
  <c r="BL671" i="73"/>
  <c r="BK659" i="73"/>
  <c r="BG646" i="73"/>
  <c r="BE634" i="73"/>
  <c r="BN622" i="73"/>
  <c r="BJ612" i="73"/>
  <c r="BH600" i="73"/>
  <c r="BD590" i="73"/>
  <c r="BC590" i="73" s="1"/>
  <c r="BJ667" i="73"/>
  <c r="BE648" i="73"/>
  <c r="BG631" i="73"/>
  <c r="BK617" i="73"/>
  <c r="BE602" i="73"/>
  <c r="BO588" i="73"/>
  <c r="BF659" i="73"/>
  <c r="BK642" i="73"/>
  <c r="BD626" i="73"/>
  <c r="BG612" i="73"/>
  <c r="BF597" i="73"/>
  <c r="BL668" i="73"/>
  <c r="BO644" i="73"/>
  <c r="BK623" i="73"/>
  <c r="BG603" i="73"/>
  <c r="BE587" i="73"/>
  <c r="BK664" i="73"/>
  <c r="BF642" i="73"/>
  <c r="BK667" i="73"/>
  <c r="BF658" i="73"/>
  <c r="BN648" i="73"/>
  <c r="BH642" i="73"/>
  <c r="BD634" i="73"/>
  <c r="BC634" i="73" s="1"/>
  <c r="BK626" i="73"/>
  <c r="BF620" i="73"/>
  <c r="BN613" i="73"/>
  <c r="BH605" i="73"/>
  <c r="BD599" i="73"/>
  <c r="BG671" i="73"/>
  <c r="BO662" i="73"/>
  <c r="BJ653" i="73"/>
  <c r="BE646" i="73"/>
  <c r="BL637" i="73"/>
  <c r="BG630" i="73"/>
  <c r="BO623" i="73"/>
  <c r="BJ617" i="73"/>
  <c r="BE611" i="73"/>
  <c r="BL602" i="73"/>
  <c r="BG596" i="73"/>
  <c r="BN668" i="73"/>
  <c r="BH659" i="73"/>
  <c r="BD651" i="73"/>
  <c r="BK643" i="73"/>
  <c r="BF635" i="73"/>
  <c r="BN627" i="73"/>
  <c r="BH621" i="73"/>
  <c r="BD615" i="73"/>
  <c r="BK606" i="73"/>
  <c r="BF600" i="73"/>
  <c r="BF662" i="73"/>
  <c r="BO647" i="73"/>
  <c r="BL635" i="73"/>
  <c r="BH624" i="73"/>
  <c r="BE614" i="73"/>
  <c r="BD602" i="73"/>
  <c r="BD591" i="73"/>
  <c r="BC591" i="73" s="1"/>
  <c r="BJ671" i="73"/>
  <c r="BG658" i="73"/>
  <c r="BD645" i="73"/>
  <c r="BL631" i="73"/>
  <c r="BK621" i="73"/>
  <c r="BG611" i="73"/>
  <c r="BF599" i="73"/>
  <c r="BF589" i="73"/>
  <c r="BO663" i="73"/>
  <c r="BF646" i="73"/>
  <c r="BL629" i="73"/>
  <c r="BD616" i="73"/>
  <c r="BE600" i="73"/>
  <c r="BO587" i="73"/>
  <c r="BK657" i="73"/>
  <c r="BO638" i="73"/>
  <c r="BG624" i="73"/>
  <c r="BL610" i="73"/>
  <c r="BL593" i="73"/>
  <c r="BO664" i="73"/>
  <c r="BG642" i="73"/>
  <c r="BG621" i="73"/>
  <c r="BF601" i="73"/>
  <c r="BJ662" i="73"/>
  <c r="BE638" i="73"/>
  <c r="BK654" i="73"/>
  <c r="BF647" i="73"/>
  <c r="BN638" i="73"/>
  <c r="BH631" i="73"/>
  <c r="BD625" i="73"/>
  <c r="BK618" i="73"/>
  <c r="BF612" i="73"/>
  <c r="BN603" i="73"/>
  <c r="BH597" i="73"/>
  <c r="BL669" i="73"/>
  <c r="BG660" i="73"/>
  <c r="BO651" i="73"/>
  <c r="BJ644" i="73"/>
  <c r="BE636" i="73"/>
  <c r="BL628" i="73"/>
  <c r="BG622" i="73"/>
  <c r="BO615" i="73"/>
  <c r="BJ609" i="73"/>
  <c r="BE601" i="73"/>
  <c r="BL592" i="73"/>
  <c r="BF667" i="73"/>
  <c r="BN657" i="73"/>
  <c r="BH648" i="73"/>
  <c r="BD642" i="73"/>
  <c r="BK633" i="73"/>
  <c r="BF626" i="73"/>
  <c r="BN619" i="73"/>
  <c r="BH613" i="73"/>
  <c r="BD605" i="73"/>
  <c r="BN671" i="73"/>
  <c r="BJ658" i="73"/>
  <c r="BH645" i="73"/>
  <c r="BO621" i="73"/>
  <c r="BK611" i="73"/>
  <c r="BH599" i="73"/>
  <c r="BH589" i="73"/>
  <c r="BD669" i="73"/>
  <c r="BL653" i="73"/>
  <c r="BJ642" i="73"/>
  <c r="BF629" i="73"/>
  <c r="BO618" i="73"/>
  <c r="BN606" i="73"/>
  <c r="BD597" i="73"/>
  <c r="BK587" i="73"/>
  <c r="BG659" i="73"/>
  <c r="BD643" i="73"/>
  <c r="BE626" i="73"/>
  <c r="BH612" i="73"/>
  <c r="BJ597" i="73"/>
  <c r="BO670" i="73"/>
  <c r="BE652" i="73"/>
  <c r="BJ635" i="73"/>
  <c r="BO620" i="73"/>
  <c r="BF605" i="73"/>
  <c r="BO590" i="73"/>
  <c r="BE659" i="73"/>
  <c r="BF636" i="73"/>
  <c r="BO616" i="73"/>
  <c r="BO596" i="73"/>
  <c r="BL654" i="73"/>
  <c r="BH633" i="73"/>
  <c r="BK641" i="73"/>
  <c r="BD613" i="73"/>
  <c r="BE662" i="73"/>
  <c r="BJ629" i="73"/>
  <c r="BO601" i="73"/>
  <c r="BF650" i="73"/>
  <c r="BK620" i="73"/>
  <c r="BO659" i="73"/>
  <c r="BO612" i="73"/>
  <c r="BN643" i="73"/>
  <c r="BE598" i="73"/>
  <c r="BH614" i="73"/>
  <c r="BO653" i="73"/>
  <c r="BH592" i="73"/>
  <c r="BE599" i="73"/>
  <c r="BO635" i="73"/>
  <c r="BL609" i="73"/>
  <c r="BK589" i="73"/>
  <c r="BJ668" i="73"/>
  <c r="BF644" i="73"/>
  <c r="BG623" i="73"/>
  <c r="BN602" i="73"/>
  <c r="BL651" i="73"/>
  <c r="BO629" i="73"/>
  <c r="BJ611" i="73"/>
  <c r="BK590" i="73"/>
  <c r="BE670" i="73"/>
  <c r="BN645" i="73"/>
  <c r="BO624" i="73"/>
  <c r="BL604" i="73"/>
  <c r="BJ587" i="73"/>
  <c r="BK638" i="73"/>
  <c r="BH587" i="73"/>
  <c r="BN669" i="73"/>
  <c r="BN612" i="73"/>
  <c r="BN614" i="73"/>
  <c r="BE645" i="73"/>
  <c r="BH590" i="73"/>
  <c r="BK671" i="73"/>
  <c r="BD638" i="73"/>
  <c r="BH611" i="73"/>
  <c r="BJ659" i="73"/>
  <c r="BO627" i="73"/>
  <c r="BG600" i="73"/>
  <c r="BK647" i="73"/>
  <c r="BD619" i="73"/>
  <c r="BG657" i="73"/>
  <c r="BH610" i="73"/>
  <c r="BE641" i="73"/>
  <c r="BD596" i="73"/>
  <c r="BN610" i="73"/>
  <c r="BJ650" i="73"/>
  <c r="BN589" i="73"/>
  <c r="BG593" i="73"/>
  <c r="BE630" i="73"/>
  <c r="BK605" i="73"/>
  <c r="BF588" i="73"/>
  <c r="BF664" i="73"/>
  <c r="BO641" i="73"/>
  <c r="BN620" i="73"/>
  <c r="BN600" i="73"/>
  <c r="BK648" i="73"/>
  <c r="BG627" i="73"/>
  <c r="BG609" i="73"/>
  <c r="BG589" i="73"/>
  <c r="BF668" i="73"/>
  <c r="BJ643" i="73"/>
  <c r="BH622" i="73"/>
  <c r="BH602" i="73"/>
  <c r="BG586" i="73"/>
  <c r="BO630" i="73"/>
  <c r="BE660" i="73"/>
  <c r="BD604" i="73"/>
  <c r="BJ636" i="73"/>
  <c r="BN664" i="73"/>
  <c r="BF633" i="73"/>
  <c r="BK604" i="73"/>
  <c r="BL652" i="73"/>
  <c r="BE623" i="73"/>
  <c r="BJ593" i="73"/>
  <c r="BN642" i="73"/>
  <c r="BF614" i="73"/>
  <c r="BK646" i="73"/>
  <c r="BL600" i="73"/>
  <c r="BJ630" i="73"/>
  <c r="BH588" i="73"/>
  <c r="BG662" i="73"/>
  <c r="BN598" i="73"/>
  <c r="BG637" i="73"/>
  <c r="BK662" i="73"/>
  <c r="BE628" i="73"/>
  <c r="BE603" i="73"/>
  <c r="BO586" i="73"/>
  <c r="BL660" i="73"/>
  <c r="BN637" i="73"/>
  <c r="BJ618" i="73"/>
  <c r="BJ598" i="73"/>
  <c r="BG670" i="73"/>
  <c r="BJ646" i="73"/>
  <c r="BE625" i="73"/>
  <c r="BN604" i="73"/>
  <c r="BD588" i="73"/>
  <c r="BJ663" i="73"/>
  <c r="BL641" i="73"/>
  <c r="BE620" i="73"/>
  <c r="BO599" i="73"/>
  <c r="BN624" i="73"/>
  <c r="BG653" i="73"/>
  <c r="BE653" i="73"/>
  <c r="BN597" i="73"/>
  <c r="BO628" i="73"/>
  <c r="BF663" i="73"/>
  <c r="BK630" i="73"/>
  <c r="BD603" i="73"/>
  <c r="BC603" i="73" s="1"/>
  <c r="BE651" i="73"/>
  <c r="BJ621" i="73"/>
  <c r="BO591" i="73"/>
  <c r="BF641" i="73"/>
  <c r="BK612" i="73"/>
  <c r="BE644" i="73"/>
  <c r="BH598" i="73"/>
  <c r="BD628" i="73"/>
  <c r="BN586" i="73"/>
  <c r="BL657" i="73"/>
  <c r="BO593" i="73"/>
  <c r="BN633" i="73"/>
  <c r="BN654" i="73"/>
  <c r="BF621" i="73"/>
  <c r="BO600" i="73"/>
  <c r="BN658" i="73"/>
  <c r="BE635" i="73"/>
  <c r="BG616" i="73"/>
  <c r="BL596" i="73"/>
  <c r="BG668" i="73"/>
  <c r="BO643" i="73"/>
  <c r="BO622" i="73"/>
  <c r="BJ602" i="73"/>
  <c r="BH586" i="73"/>
  <c r="BH660" i="73"/>
  <c r="BE637" i="73"/>
  <c r="BE618" i="73"/>
  <c r="BD598" i="73"/>
  <c r="BK619" i="73"/>
  <c r="BH647" i="73"/>
  <c r="BF613" i="73"/>
  <c r="BJ645" i="73"/>
  <c r="BK591" i="73"/>
  <c r="BL623" i="73"/>
  <c r="BH657" i="73"/>
  <c r="BN625" i="73"/>
  <c r="BF598" i="73"/>
  <c r="BG645" i="73"/>
  <c r="BL616" i="73"/>
  <c r="BD668" i="73"/>
  <c r="BH634" i="73"/>
  <c r="BN605" i="73"/>
  <c r="BG634" i="73"/>
  <c r="BF590" i="73"/>
  <c r="BF670" i="73"/>
  <c r="BG620" i="73"/>
  <c r="BK644" i="73"/>
  <c r="BL586" i="73"/>
  <c r="BJ622" i="73"/>
  <c r="BG638" i="73"/>
  <c r="BL618" i="73"/>
  <c r="BO598" i="73"/>
  <c r="BJ654" i="73"/>
  <c r="BG633" i="73"/>
  <c r="BL613" i="73"/>
  <c r="BN592" i="73"/>
  <c r="BN641" i="73"/>
  <c r="BH620" i="73"/>
  <c r="BJ600" i="73"/>
  <c r="BE658" i="73"/>
  <c r="BO634" i="73"/>
  <c r="BK615" i="73"/>
  <c r="BH596" i="73"/>
  <c r="BO669" i="73"/>
  <c r="BE613" i="73"/>
  <c r="BG606" i="73"/>
  <c r="BL636" i="73"/>
  <c r="BG587" i="73"/>
  <c r="BD648" i="73"/>
  <c r="BH619" i="73"/>
  <c r="BJ670" i="73"/>
  <c r="BO636" i="73"/>
  <c r="BG610" i="73"/>
  <c r="BK658" i="73"/>
  <c r="BD627" i="73"/>
  <c r="BO671" i="73"/>
  <c r="BF623" i="73"/>
  <c r="BO654" i="73"/>
  <c r="BD610" i="73"/>
  <c r="BL627" i="73"/>
  <c r="BO606" i="73"/>
  <c r="BN618" i="73"/>
  <c r="BO658" i="73"/>
  <c r="BJ614" i="73"/>
  <c r="BE593" i="73"/>
  <c r="BL648" i="73"/>
  <c r="BJ627" i="73"/>
  <c r="BK609" i="73"/>
  <c r="BJ589" i="73"/>
  <c r="BH658" i="73"/>
  <c r="BD635" i="73"/>
  <c r="BC635" i="73" s="1"/>
  <c r="BE616" i="73"/>
  <c r="BJ596" i="73"/>
  <c r="BN653" i="73"/>
  <c r="BE615" i="73"/>
  <c r="BN630" i="73"/>
  <c r="BF619" i="73"/>
  <c r="BL590" i="73"/>
  <c r="BJ637" i="73"/>
  <c r="BG648" i="73"/>
  <c r="BJ590" i="73"/>
  <c r="BL591" i="73"/>
  <c r="BL588" i="73"/>
  <c r="BH646" i="73"/>
  <c r="BL606" i="73"/>
  <c r="BJ620" i="73"/>
  <c r="BK603" i="73"/>
  <c r="BJ652" i="73"/>
  <c r="BL670" i="73"/>
  <c r="BJ586" i="73"/>
  <c r="BD633" i="73"/>
  <c r="BC633" i="73" s="1"/>
  <c r="BK631" i="73"/>
  <c r="BE589" i="73"/>
  <c r="BL597" i="73"/>
  <c r="BF648" i="73"/>
  <c r="BK599" i="73"/>
  <c r="BE617" i="73"/>
  <c r="BN650" i="73"/>
  <c r="BE590" i="73"/>
  <c r="BJ669" i="73"/>
  <c r="BG602" i="73"/>
  <c r="BG647" i="73"/>
  <c r="BF624" i="73"/>
  <c r="BH664" i="73"/>
  <c r="BK588" i="73"/>
  <c r="BD641" i="73"/>
  <c r="BJ616" i="73"/>
  <c r="BD652" i="73"/>
  <c r="BH618" i="73"/>
  <c r="BE629" i="73"/>
  <c r="BF587" i="73"/>
  <c r="BK634" i="73"/>
  <c r="BN667" i="73"/>
  <c r="BJ610" i="73"/>
  <c r="BG643" i="73"/>
  <c r="BN626" i="73"/>
  <c r="BL659" i="73"/>
  <c r="BL634" i="73"/>
  <c r="BN617" i="73"/>
  <c r="BD657" i="73"/>
  <c r="BJ624" i="73"/>
  <c r="BD612" i="73"/>
  <c r="BL646" i="73"/>
  <c r="BK613" i="73"/>
  <c r="BF627" i="73"/>
  <c r="BL662" i="73"/>
  <c r="BK596" i="73"/>
  <c r="BN631" i="73"/>
  <c r="BL667" i="73"/>
  <c r="BJ633" i="73"/>
  <c r="BN596" i="73"/>
  <c r="BD630" i="73"/>
  <c r="BG598" i="73"/>
  <c r="BG613" i="73"/>
  <c r="BF653" i="73"/>
  <c r="BL630" i="73"/>
  <c r="BL638" i="73"/>
  <c r="BD660" i="73"/>
  <c r="BO614" i="73"/>
  <c r="BO650" i="73"/>
  <c r="BK597" i="73"/>
  <c r="BJ628" i="73"/>
  <c r="BJ657" i="73"/>
  <c r="BJ631" i="73"/>
  <c r="BO668" i="73"/>
  <c r="BH625" i="73"/>
  <c r="BH652" i="73"/>
  <c r="BL614" i="73"/>
  <c r="BG591" i="73"/>
  <c r="BF625" i="73"/>
  <c r="BK592" i="73"/>
  <c r="BF611" i="73"/>
  <c r="BL645" i="73"/>
  <c r="BD624" i="73"/>
  <c r="BL619" i="73"/>
  <c r="BG651" i="73"/>
  <c r="BL643" i="73"/>
  <c r="BF604" i="73"/>
  <c r="BL617" i="73"/>
  <c r="BL611" i="73"/>
  <c r="BJ660" i="73"/>
  <c r="BK653" i="73"/>
  <c r="BJ606" i="73"/>
  <c r="BH604" i="73"/>
  <c r="BO617" i="73"/>
  <c r="BJ588" i="73"/>
  <c r="BF617" i="73"/>
  <c r="BE667" i="73"/>
  <c r="BD589" i="73"/>
  <c r="BJ626" i="73"/>
  <c r="BG636" i="73"/>
  <c r="BD586" i="73"/>
  <c r="BG615" i="73"/>
  <c r="BL621" i="73"/>
  <c r="BF634" i="73"/>
  <c r="BE606" i="73"/>
  <c r="BG635" i="73"/>
  <c r="BK670" i="73"/>
  <c r="BJ605" i="73"/>
  <c r="BE669" i="73"/>
  <c r="BO604" i="73"/>
  <c r="BH654" i="73"/>
  <c r="BK651" i="73"/>
  <c r="BG592" i="73"/>
  <c r="BG599" i="73"/>
  <c r="BO610" i="73"/>
  <c r="BG590" i="73"/>
  <c r="BH626" i="73"/>
  <c r="BF657" i="73"/>
  <c r="BD663" i="73"/>
  <c r="BD658" i="73"/>
  <c r="BE643" i="73"/>
  <c r="BD592" i="73"/>
  <c r="BC592" i="73" s="1"/>
  <c r="BD667" i="73"/>
  <c r="BD622" i="73"/>
  <c r="BH606" i="73"/>
  <c r="BH641" i="73"/>
  <c r="BO603" i="73"/>
  <c r="BG601" i="73"/>
  <c r="BE610" i="73"/>
  <c r="BK593" i="73"/>
  <c r="BD620" i="73"/>
  <c r="BL599" i="73"/>
  <c r="BG663" i="73"/>
  <c r="BE596" i="73"/>
  <c r="BH593" i="73"/>
  <c r="BH643" i="73"/>
  <c r="BJ601" i="73"/>
  <c r="BN628" i="73"/>
  <c r="BE622" i="73"/>
  <c r="AR464" i="73"/>
  <c r="AV470" i="73"/>
  <c r="AW454" i="73"/>
  <c r="AV454" i="73"/>
  <c r="AQ460" i="73"/>
  <c r="AU463" i="73"/>
  <c r="AQ482" i="73"/>
  <c r="AS520" i="73"/>
  <c r="AU514" i="73"/>
  <c r="AV476" i="73"/>
  <c r="AV486" i="73"/>
  <c r="AV465" i="73"/>
  <c r="AU453" i="73"/>
  <c r="AR469" i="73"/>
  <c r="AQ493" i="73"/>
  <c r="AT501" i="73"/>
  <c r="AV507" i="73"/>
  <c r="AQ505" i="73"/>
  <c r="AQ511" i="73"/>
  <c r="AS482" i="73"/>
  <c r="AW449" i="73"/>
  <c r="AS521" i="73"/>
  <c r="AU498" i="73"/>
  <c r="AW463" i="73"/>
  <c r="AW505" i="73"/>
  <c r="AT537" i="73"/>
  <c r="AT542" i="73"/>
  <c r="AW510" i="73"/>
  <c r="AR476" i="73"/>
  <c r="AV466" i="73"/>
  <c r="AQ526" i="73"/>
  <c r="AQ454" i="73"/>
  <c r="AT468" i="73"/>
  <c r="AT459" i="73"/>
  <c r="AW526" i="73"/>
  <c r="AU520" i="73"/>
  <c r="AV519" i="73"/>
  <c r="AS522" i="73"/>
  <c r="AW484" i="73"/>
  <c r="AS451" i="73"/>
  <c r="AR510" i="73"/>
  <c r="AS489" i="73"/>
  <c r="AS459" i="73"/>
  <c r="AV522" i="73"/>
  <c r="AR526" i="73"/>
  <c r="AV542" i="73"/>
  <c r="AT539" i="73"/>
  <c r="AT502" i="73"/>
  <c r="AQ514" i="73"/>
  <c r="AS452" i="73"/>
  <c r="AT523" i="73"/>
  <c r="AT540" i="73"/>
  <c r="AT533" i="73"/>
  <c r="AV512" i="73"/>
  <c r="AQ472" i="73"/>
  <c r="AU462" i="73"/>
  <c r="AQ474" i="73"/>
  <c r="AR451" i="73"/>
  <c r="AT526" i="73"/>
  <c r="AW498" i="73"/>
  <c r="AU496" i="73"/>
  <c r="AQ462" i="73"/>
  <c r="AS511" i="73"/>
  <c r="AU461" i="73"/>
  <c r="AS475" i="73"/>
  <c r="AW468" i="73"/>
  <c r="AQ471" i="73"/>
  <c r="AU474" i="73"/>
  <c r="AV452" i="73"/>
  <c r="AQ449" i="73"/>
  <c r="AU452" i="73"/>
  <c r="AR465" i="73"/>
  <c r="AV459" i="73"/>
  <c r="AV509" i="73"/>
  <c r="AP528" i="73"/>
  <c r="AS472" i="73"/>
  <c r="AW462" i="73"/>
  <c r="AW539" i="73"/>
  <c r="AS473" i="73"/>
  <c r="AU471" i="73"/>
  <c r="AV497" i="73"/>
  <c r="AS536" i="73"/>
  <c r="AU538" i="73"/>
  <c r="AT486" i="73"/>
  <c r="AU483" i="73"/>
  <c r="AU477" i="73"/>
  <c r="AT469" i="73"/>
  <c r="AT470" i="73"/>
  <c r="AQ491" i="73"/>
  <c r="AT520" i="73"/>
  <c r="AR525" i="73"/>
  <c r="AT472" i="73"/>
  <c r="AW537" i="73"/>
  <c r="AU521" i="73"/>
  <c r="AV521" i="73"/>
  <c r="AS462" i="73"/>
  <c r="AU492" i="73"/>
  <c r="AW476" i="73"/>
  <c r="AU495" i="73"/>
  <c r="AR473" i="73"/>
  <c r="AQ522" i="73"/>
  <c r="AV490" i="73"/>
  <c r="AV500" i="73"/>
  <c r="AU502" i="73"/>
  <c r="AW467" i="73"/>
  <c r="AR470" i="73"/>
  <c r="AQ536" i="73"/>
  <c r="AS528" i="73"/>
  <c r="AQ499" i="73"/>
  <c r="AV530" i="73"/>
  <c r="AW528" i="73"/>
  <c r="AS525" i="73"/>
  <c r="AR519" i="73"/>
  <c r="AR490" i="73"/>
  <c r="AR518" i="73"/>
  <c r="AR472" i="73"/>
  <c r="AR513" i="73"/>
  <c r="AQ470" i="73"/>
  <c r="AU524" i="73"/>
  <c r="AS542" i="73"/>
  <c r="AU532" i="73"/>
  <c r="AR458" i="73"/>
  <c r="AW495" i="73"/>
  <c r="AW473" i="73"/>
  <c r="AS450" i="73"/>
  <c r="AR461" i="73"/>
  <c r="AT528" i="73"/>
  <c r="AW480" i="73"/>
  <c r="AW483" i="73"/>
  <c r="AS504" i="73"/>
  <c r="AS486" i="73"/>
  <c r="AR536" i="73"/>
  <c r="AU510" i="73"/>
  <c r="AQ533" i="73"/>
  <c r="AR471" i="73"/>
  <c r="AS468" i="73"/>
  <c r="AV526" i="73"/>
  <c r="AR530" i="73"/>
  <c r="AS496" i="73"/>
  <c r="AR522" i="73"/>
  <c r="AV518" i="73"/>
  <c r="AU491" i="73"/>
  <c r="AW511" i="73"/>
  <c r="AV513" i="73"/>
  <c r="AU519" i="73"/>
  <c r="AQ520" i="73"/>
  <c r="AW477" i="73"/>
  <c r="AV472" i="73"/>
  <c r="AQ458" i="73"/>
  <c r="AU458" i="73"/>
  <c r="AU450" i="73"/>
  <c r="AQ525" i="73"/>
  <c r="AT530" i="73"/>
  <c r="AR454" i="73"/>
  <c r="AS471" i="73"/>
  <c r="AR533" i="73"/>
  <c r="AW492" i="73"/>
  <c r="AQ528" i="73"/>
  <c r="AT458" i="73"/>
  <c r="AT522" i="73"/>
  <c r="AV481" i="73"/>
  <c r="AV489" i="73"/>
  <c r="AQ532" i="73"/>
  <c r="AW533" i="73"/>
  <c r="AV525" i="73"/>
  <c r="AV468" i="73"/>
  <c r="AV474" i="73"/>
  <c r="AV528" i="73"/>
  <c r="AU490" i="73"/>
  <c r="AV467" i="73"/>
  <c r="AV494" i="73"/>
  <c r="AU507" i="73"/>
  <c r="AR538" i="73"/>
  <c r="AV450" i="73"/>
  <c r="AQ524" i="73"/>
  <c r="AV523" i="73"/>
  <c r="AV502" i="73"/>
  <c r="AT525" i="73"/>
  <c r="AW475" i="73"/>
  <c r="AW458" i="73"/>
  <c r="AT474" i="73"/>
  <c r="AT493" i="73"/>
  <c r="AV491" i="73"/>
  <c r="AS501" i="73"/>
  <c r="AS507" i="73"/>
  <c r="AS490" i="73"/>
  <c r="AT463" i="73"/>
  <c r="AR480" i="73"/>
  <c r="AT452" i="73"/>
  <c r="AW499" i="73"/>
  <c r="AT506" i="73"/>
  <c r="AW518" i="73"/>
  <c r="AT517" i="73"/>
  <c r="AU517" i="73"/>
  <c r="AU494" i="73"/>
  <c r="AV483" i="73"/>
  <c r="AQ485" i="73"/>
  <c r="AR483" i="73"/>
  <c r="AR539" i="73"/>
  <c r="AR492" i="73"/>
  <c r="AW507" i="73"/>
  <c r="AQ523" i="73"/>
  <c r="AR523" i="73"/>
  <c r="AS532" i="73"/>
  <c r="AT494" i="73"/>
  <c r="AR504" i="73"/>
  <c r="AR505" i="73"/>
  <c r="AR512" i="73"/>
  <c r="AS540" i="73"/>
  <c r="AR485" i="73"/>
  <c r="AW540" i="73"/>
  <c r="AU454" i="73"/>
  <c r="AU468" i="73"/>
  <c r="AT513" i="73"/>
  <c r="AR495" i="73"/>
  <c r="AW481" i="73"/>
  <c r="AT492" i="73"/>
  <c r="AU451" i="73"/>
  <c r="AR452" i="73"/>
  <c r="AT498" i="73"/>
  <c r="AV511" i="73"/>
  <c r="AQ464" i="73"/>
  <c r="AV505" i="73"/>
  <c r="AU500" i="73"/>
  <c r="AU482" i="73"/>
  <c r="AS498" i="73"/>
  <c r="AV533" i="73"/>
  <c r="AV532" i="73"/>
  <c r="AS499" i="73"/>
  <c r="AS505" i="73"/>
  <c r="AU476" i="73"/>
  <c r="AV453" i="73"/>
  <c r="AT462" i="73"/>
  <c r="AS454" i="73"/>
  <c r="AS508" i="73"/>
  <c r="AV506" i="73"/>
  <c r="AQ450" i="73"/>
  <c r="AQ473" i="73"/>
  <c r="AS526" i="73"/>
  <c r="AQ530" i="73"/>
  <c r="AW501" i="73"/>
  <c r="AW521" i="73"/>
  <c r="AU508" i="73"/>
  <c r="AT500" i="73"/>
  <c r="AV451" i="73"/>
  <c r="AQ521" i="73"/>
  <c r="AU539" i="73"/>
  <c r="AV524" i="73"/>
  <c r="AS464" i="73"/>
  <c r="AS470" i="73"/>
  <c r="AS519" i="73"/>
  <c r="AQ476" i="73"/>
  <c r="AQ504" i="73"/>
  <c r="AQ509" i="73"/>
  <c r="AU473" i="73"/>
  <c r="AR503" i="73"/>
  <c r="AS453" i="73"/>
  <c r="AV493" i="73"/>
  <c r="AV503" i="73"/>
  <c r="AW522" i="73"/>
  <c r="AU512" i="73"/>
  <c r="AT471" i="73"/>
  <c r="AQ466" i="73"/>
  <c r="AQ542" i="73"/>
  <c r="AV538" i="73"/>
  <c r="AS539" i="73"/>
  <c r="AQ489" i="73"/>
  <c r="AQ495" i="73"/>
  <c r="AQ480" i="73"/>
  <c r="AQ459" i="73"/>
  <c r="AS497" i="73"/>
  <c r="AV469" i="73"/>
  <c r="AW472" i="73"/>
  <c r="AS502" i="73"/>
  <c r="AU509" i="73"/>
  <c r="AU505" i="73"/>
  <c r="AU513" i="73"/>
  <c r="AR508" i="73"/>
  <c r="AW459" i="73"/>
  <c r="AU542" i="73"/>
  <c r="AS500" i="73"/>
  <c r="AS481" i="73"/>
  <c r="AS494" i="73"/>
  <c r="AU530" i="73"/>
  <c r="AU536" i="73"/>
  <c r="AV539" i="73"/>
  <c r="AQ517" i="73"/>
  <c r="AQ508" i="73"/>
  <c r="AW519" i="73"/>
  <c r="AT454" i="73"/>
  <c r="AQ540" i="73"/>
  <c r="AR521" i="73"/>
  <c r="AW485" i="73"/>
  <c r="AT460" i="73"/>
  <c r="AT496" i="73"/>
  <c r="AR501" i="73"/>
  <c r="AV495" i="73"/>
  <c r="AW514" i="73"/>
  <c r="AT466" i="73"/>
  <c r="AU460" i="73"/>
  <c r="AQ496" i="73"/>
  <c r="AW503" i="73"/>
  <c r="AT461" i="73"/>
  <c r="AW524" i="73"/>
  <c r="AW506" i="73"/>
  <c r="AR520" i="73"/>
  <c r="AQ467" i="73"/>
  <c r="AR484" i="73"/>
  <c r="AQ506" i="73"/>
  <c r="AR540" i="73"/>
  <c r="AW538" i="73"/>
  <c r="AS469" i="73"/>
  <c r="AR453" i="73"/>
  <c r="AR462" i="73"/>
  <c r="AS492" i="73"/>
  <c r="AW471" i="73"/>
  <c r="AS484" i="73"/>
  <c r="AT514" i="73"/>
  <c r="AV537" i="73"/>
  <c r="AW523" i="73"/>
  <c r="AQ513" i="73"/>
  <c r="AT505" i="73"/>
  <c r="AQ502" i="73"/>
  <c r="AU467" i="73"/>
  <c r="AQ501" i="73"/>
  <c r="AT508" i="73"/>
  <c r="AQ500" i="73"/>
  <c r="AQ537" i="73"/>
  <c r="AW490" i="73"/>
  <c r="AW500" i="73"/>
  <c r="AS506" i="73"/>
  <c r="AU459" i="73"/>
  <c r="AW460" i="73"/>
  <c r="AW453" i="73"/>
  <c r="AQ477" i="73"/>
  <c r="AR499" i="73"/>
  <c r="AS512" i="73"/>
  <c r="AW497" i="73"/>
  <c r="AT538" i="73"/>
  <c r="AS485" i="73"/>
  <c r="AQ503" i="73"/>
  <c r="AU469" i="73"/>
  <c r="AU506" i="73"/>
  <c r="AU526" i="73"/>
  <c r="AS449" i="73"/>
  <c r="AU511" i="73"/>
  <c r="AW532" i="73"/>
  <c r="AR468" i="73"/>
  <c r="AR474" i="73"/>
  <c r="AT510" i="73"/>
  <c r="AV510" i="73"/>
  <c r="AR450" i="73"/>
  <c r="AR497" i="73"/>
  <c r="AV485" i="73"/>
  <c r="AU540" i="73"/>
  <c r="AW494" i="73"/>
  <c r="AU464" i="73"/>
  <c r="AU470" i="73"/>
  <c r="AQ538" i="73"/>
  <c r="AQ461" i="73"/>
  <c r="AT482" i="73"/>
  <c r="AW465" i="73"/>
  <c r="AV504" i="73"/>
  <c r="AR537" i="73"/>
  <c r="AR528" i="73"/>
  <c r="AR511" i="73"/>
  <c r="AS491" i="73"/>
  <c r="AW486" i="73"/>
  <c r="AS467" i="73"/>
  <c r="AS476" i="73"/>
  <c r="AT490" i="73"/>
  <c r="AU485" i="73"/>
  <c r="AQ484" i="73"/>
  <c r="AW504" i="73"/>
  <c r="AW452" i="73"/>
  <c r="AS460" i="73"/>
  <c r="AQ492" i="73"/>
  <c r="AR532" i="73"/>
  <c r="AS480" i="73"/>
  <c r="AS517" i="73"/>
  <c r="AT503" i="73"/>
  <c r="AV473" i="73"/>
  <c r="AR517" i="73"/>
  <c r="AW489" i="73"/>
  <c r="AV492" i="73"/>
  <c r="AR494" i="73"/>
  <c r="AS483" i="73"/>
  <c r="AT511" i="73"/>
  <c r="AT453" i="73"/>
  <c r="AR524" i="73"/>
  <c r="AR477" i="73"/>
  <c r="AW466" i="73"/>
  <c r="AQ469" i="73"/>
  <c r="AS458" i="73"/>
  <c r="AT467" i="73"/>
  <c r="AV475" i="73"/>
  <c r="AR502" i="73"/>
  <c r="AQ539" i="73"/>
  <c r="AQ519" i="73"/>
  <c r="AV480" i="73"/>
  <c r="AR493" i="73"/>
  <c r="AT483" i="73"/>
  <c r="AR463" i="73"/>
  <c r="AW496" i="73"/>
  <c r="AU499" i="73"/>
  <c r="AR467" i="73"/>
  <c r="AS518" i="73"/>
  <c r="AT491" i="73"/>
  <c r="AT497" i="73"/>
  <c r="AQ494" i="73"/>
  <c r="AQ475" i="73"/>
  <c r="AR491" i="73"/>
  <c r="AT477" i="73"/>
  <c r="AR507" i="73"/>
  <c r="AT532" i="73"/>
  <c r="AV463" i="73"/>
  <c r="AW536" i="73"/>
  <c r="AV517" i="73"/>
  <c r="AV460" i="73"/>
  <c r="AT484" i="73"/>
  <c r="AT536" i="73"/>
  <c r="AS474" i="73"/>
  <c r="AU522" i="73"/>
  <c r="AQ453" i="73"/>
  <c r="AW530" i="73"/>
  <c r="AT519" i="73"/>
  <c r="AU518" i="73"/>
  <c r="AV536" i="73"/>
  <c r="AR498" i="73"/>
  <c r="AV462" i="73"/>
  <c r="AR459" i="73"/>
  <c r="AU523" i="73"/>
  <c r="AW517" i="73"/>
  <c r="AU533" i="73"/>
  <c r="AU537" i="73"/>
  <c r="AR460" i="73"/>
  <c r="AR466" i="73"/>
  <c r="AW508" i="73"/>
  <c r="AV477" i="73"/>
  <c r="AS513" i="73"/>
  <c r="AR496" i="73"/>
  <c r="AU489" i="73"/>
  <c r="AU528" i="73"/>
  <c r="AS523" i="73"/>
  <c r="AT476" i="73"/>
  <c r="AQ481" i="73"/>
  <c r="AW469" i="73"/>
  <c r="AQ452" i="73"/>
  <c r="AV484" i="73"/>
  <c r="AS461" i="73"/>
  <c r="AT495" i="73"/>
  <c r="AW451" i="73"/>
  <c r="AW464" i="73"/>
  <c r="AT509" i="73"/>
  <c r="AT475" i="73"/>
  <c r="AU449" i="73"/>
  <c r="AR489" i="73"/>
  <c r="AQ463" i="73"/>
  <c r="AU481" i="73"/>
  <c r="AT465" i="73"/>
  <c r="AW450" i="73"/>
  <c r="AU501" i="73"/>
  <c r="AS466" i="73"/>
  <c r="AT450" i="73"/>
  <c r="AR506" i="73"/>
  <c r="AS509" i="73"/>
  <c r="AW461" i="73"/>
  <c r="AV461" i="73"/>
  <c r="AS493" i="73"/>
  <c r="AU493" i="73"/>
  <c r="AT464" i="73"/>
  <c r="AV540" i="73"/>
  <c r="AV501" i="73"/>
  <c r="AQ507" i="73"/>
  <c r="AQ490" i="73"/>
  <c r="AT480" i="73"/>
  <c r="AR449" i="73"/>
  <c r="AS524" i="73"/>
  <c r="AS465" i="73"/>
  <c r="AS537" i="73"/>
  <c r="AW470" i="73"/>
  <c r="AQ512" i="73"/>
  <c r="AT481" i="73"/>
  <c r="AV449" i="73"/>
  <c r="AT449" i="73"/>
  <c r="AT499" i="73"/>
  <c r="AW525" i="73"/>
  <c r="AS477" i="73"/>
  <c r="AV508" i="73"/>
  <c r="AW509" i="73"/>
  <c r="AS463" i="73"/>
  <c r="AU503" i="73"/>
  <c r="AT485" i="73"/>
  <c r="AT451" i="73"/>
  <c r="AQ510" i="73"/>
  <c r="AQ465" i="73"/>
  <c r="AV471" i="73"/>
  <c r="AU465" i="73"/>
  <c r="AR475" i="73"/>
  <c r="AW512" i="73"/>
  <c r="AV514" i="73"/>
  <c r="AW491" i="73"/>
  <c r="AW520" i="73"/>
  <c r="AR509" i="73"/>
  <c r="AQ468" i="73"/>
  <c r="AT512" i="73"/>
  <c r="AR486" i="73"/>
  <c r="AQ518" i="73"/>
  <c r="AU480" i="73"/>
  <c r="AV464" i="73"/>
  <c r="AQ483" i="73"/>
  <c r="AU497" i="73"/>
  <c r="AS514" i="73"/>
  <c r="AV498" i="73"/>
  <c r="AV499" i="73"/>
  <c r="AW502" i="73"/>
  <c r="AS530" i="73"/>
  <c r="AS533" i="73"/>
  <c r="AR500" i="73"/>
  <c r="AS503" i="73"/>
  <c r="AU525" i="73"/>
  <c r="AU475" i="73"/>
  <c r="AT489" i="73"/>
  <c r="AV458" i="73"/>
  <c r="AT507" i="73"/>
  <c r="AW493" i="73"/>
  <c r="AV496" i="73"/>
  <c r="AU486" i="73"/>
  <c r="AQ486" i="73"/>
  <c r="AR514" i="73"/>
  <c r="AQ497" i="73"/>
  <c r="AU472" i="73"/>
  <c r="AT521" i="73"/>
  <c r="AU466" i="73"/>
  <c r="AU484" i="73"/>
  <c r="AT504" i="73"/>
  <c r="AS510" i="73"/>
  <c r="AV520" i="73"/>
  <c r="AQ498" i="73"/>
  <c r="AU504" i="73"/>
  <c r="AW482" i="73"/>
  <c r="AS495" i="73"/>
  <c r="AR481" i="73"/>
  <c r="AR542" i="73"/>
  <c r="AR482" i="73"/>
  <c r="AW513" i="73"/>
  <c r="AV482" i="73"/>
  <c r="AT518" i="73"/>
  <c r="AW474" i="73"/>
  <c r="AQ451" i="73"/>
  <c r="AS538" i="73"/>
  <c r="AT473" i="73"/>
  <c r="AT524" i="73"/>
  <c r="AP536" i="73"/>
  <c r="AP469" i="73"/>
  <c r="AP489" i="73"/>
  <c r="AP484" i="73"/>
  <c r="AP486" i="73"/>
  <c r="AP495" i="73"/>
  <c r="AP472" i="73"/>
  <c r="AP491" i="73"/>
  <c r="AP518" i="73"/>
  <c r="AP462" i="73"/>
  <c r="AP524" i="73"/>
  <c r="AP510" i="73"/>
  <c r="AP502" i="73"/>
  <c r="AP506" i="73"/>
  <c r="AP539" i="73"/>
  <c r="AP511" i="73"/>
  <c r="AP467" i="73"/>
  <c r="AP530" i="73"/>
  <c r="AP483" i="73"/>
  <c r="AP468" i="73"/>
  <c r="AP482" i="73"/>
  <c r="AP521" i="73"/>
  <c r="AP496" i="73"/>
  <c r="AP538" i="73"/>
  <c r="AP471" i="73"/>
  <c r="AP505" i="73"/>
  <c r="AP470" i="73"/>
  <c r="AP480" i="73"/>
  <c r="AP500" i="73"/>
  <c r="AP473" i="73"/>
  <c r="AP498" i="73"/>
  <c r="AP522" i="73"/>
  <c r="AP523" i="73"/>
  <c r="AP508" i="73"/>
  <c r="AP497" i="73"/>
  <c r="AP464" i="73"/>
  <c r="AP499" i="73"/>
  <c r="AP490" i="73"/>
  <c r="AR591" i="73"/>
  <c r="AX600" i="73"/>
  <c r="AP610" i="73"/>
  <c r="AP593" i="73"/>
  <c r="AU602" i="73"/>
  <c r="AQ589" i="73"/>
  <c r="AV600" i="73"/>
  <c r="AQ612" i="73"/>
  <c r="AV618" i="73"/>
  <c r="AO625" i="73"/>
  <c r="AU592" i="73"/>
  <c r="AO604" i="73"/>
  <c r="AX614" i="73"/>
  <c r="AP621" i="73"/>
  <c r="AY592" i="73"/>
  <c r="AT610" i="73"/>
  <c r="AQ619" i="73"/>
  <c r="AO627" i="73"/>
  <c r="AX634" i="73"/>
  <c r="AP644" i="73"/>
  <c r="AP592" i="73"/>
  <c r="AU601" i="73"/>
  <c r="AU587" i="73"/>
  <c r="AR603" i="73"/>
  <c r="AQ590" i="73"/>
  <c r="AY601" i="73"/>
  <c r="AT619" i="73"/>
  <c r="AY625" i="73"/>
  <c r="AU593" i="73"/>
  <c r="AP605" i="73"/>
  <c r="AU615" i="73"/>
  <c r="AQ597" i="73"/>
  <c r="AV611" i="73"/>
  <c r="AT620" i="73"/>
  <c r="AU635" i="73"/>
  <c r="AR602" i="73"/>
  <c r="AX611" i="73"/>
  <c r="AR588" i="73"/>
  <c r="AX597" i="73"/>
  <c r="AP604" i="73"/>
  <c r="AQ591" i="73"/>
  <c r="AY602" i="73"/>
  <c r="AY613" i="73"/>
  <c r="AQ620" i="73"/>
  <c r="AV626" i="73"/>
  <c r="AV597" i="73"/>
  <c r="AP606" i="73"/>
  <c r="AR616" i="73"/>
  <c r="AY598" i="73"/>
  <c r="AY612" i="73"/>
  <c r="AT621" i="73"/>
  <c r="AY628" i="73"/>
  <c r="AR636" i="73"/>
  <c r="AR587" i="73"/>
  <c r="AX593" i="73"/>
  <c r="AP603" i="73"/>
  <c r="AP589" i="73"/>
  <c r="AU598" i="73"/>
  <c r="AT592" i="73"/>
  <c r="AY603" i="73"/>
  <c r="AV614" i="73"/>
  <c r="AO621" i="73"/>
  <c r="AT627" i="73"/>
  <c r="AP587" i="73"/>
  <c r="AX598" i="73"/>
  <c r="AQ610" i="73"/>
  <c r="AP617" i="73"/>
  <c r="AQ600" i="73"/>
  <c r="AO614" i="73"/>
  <c r="AT622" i="73"/>
  <c r="AX629" i="73"/>
  <c r="AP637" i="73"/>
  <c r="AP588" i="73"/>
  <c r="AU597" i="73"/>
  <c r="AR599" i="73"/>
  <c r="AX605" i="73"/>
  <c r="AT593" i="73"/>
  <c r="AO605" i="73"/>
  <c r="AT615" i="73"/>
  <c r="AY621" i="73"/>
  <c r="AQ628" i="73"/>
  <c r="AQ588" i="73"/>
  <c r="AX599" i="73"/>
  <c r="AR611" i="73"/>
  <c r="AQ587" i="73"/>
  <c r="AT601" i="73"/>
  <c r="AO615" i="73"/>
  <c r="AR623" i="73"/>
  <c r="AU630" i="73"/>
  <c r="AX589" i="73"/>
  <c r="AP599" i="73"/>
  <c r="AU605" i="73"/>
  <c r="AU591" i="73"/>
  <c r="AR610" i="73"/>
  <c r="AO587" i="73"/>
  <c r="AV598" i="73"/>
  <c r="AO610" i="73"/>
  <c r="AO617" i="73"/>
  <c r="AT623" i="73"/>
  <c r="AR590" i="73"/>
  <c r="AP613" i="73"/>
  <c r="AU619" i="73"/>
  <c r="AO590" i="73"/>
  <c r="AT604" i="73"/>
  <c r="AQ617" i="73"/>
  <c r="AQ625" i="73"/>
  <c r="AP633" i="73"/>
  <c r="AU642" i="73"/>
  <c r="AR598" i="73"/>
  <c r="AU606" i="73"/>
  <c r="AO606" i="73"/>
  <c r="AX618" i="73"/>
  <c r="AR624" i="73"/>
  <c r="AR597" i="73"/>
  <c r="AY611" i="73"/>
  <c r="AU620" i="73"/>
  <c r="AO628" i="73"/>
  <c r="AV635" i="73"/>
  <c r="AV587" i="73"/>
  <c r="AO602" i="73"/>
  <c r="AQ615" i="73"/>
  <c r="AV623" i="73"/>
  <c r="AX630" i="73"/>
  <c r="AP638" i="73"/>
  <c r="AU647" i="73"/>
  <c r="AR668" i="73"/>
  <c r="AO641" i="73"/>
  <c r="AT628" i="73"/>
  <c r="AR593" i="73"/>
  <c r="AX610" i="73"/>
  <c r="AX619" i="73"/>
  <c r="AR627" i="73"/>
  <c r="AO635" i="73"/>
  <c r="AT644" i="73"/>
  <c r="AY651" i="73"/>
  <c r="AQ662" i="73"/>
  <c r="AV671" i="73"/>
  <c r="AT599" i="73"/>
  <c r="AT614" i="73"/>
  <c r="AY623" i="73"/>
  <c r="AO619" i="73"/>
  <c r="AY650" i="73"/>
  <c r="AT663" i="73"/>
  <c r="AX609" i="73"/>
  <c r="AO626" i="73"/>
  <c r="AP657" i="73"/>
  <c r="AQ635" i="73"/>
  <c r="AX603" i="73"/>
  <c r="AU629" i="73"/>
  <c r="AX645" i="73"/>
  <c r="AR658" i="73"/>
  <c r="AV651" i="73"/>
  <c r="AV602" i="73"/>
  <c r="AR662" i="73"/>
  <c r="AY616" i="73"/>
  <c r="AP611" i="73"/>
  <c r="AQ611" i="73"/>
  <c r="AR620" i="73"/>
  <c r="AP626" i="73"/>
  <c r="AU621" i="73"/>
  <c r="AT636" i="73"/>
  <c r="AY588" i="73"/>
  <c r="AT603" i="73"/>
  <c r="AT616" i="73"/>
  <c r="AU624" i="73"/>
  <c r="AU631" i="73"/>
  <c r="AR648" i="73"/>
  <c r="AX658" i="73"/>
  <c r="AP669" i="73"/>
  <c r="AQ609" i="73"/>
  <c r="AP630" i="73"/>
  <c r="AP612" i="73"/>
  <c r="AX620" i="73"/>
  <c r="AR628" i="73"/>
  <c r="AY635" i="73"/>
  <c r="AQ645" i="73"/>
  <c r="AV652" i="73"/>
  <c r="AO663" i="73"/>
  <c r="AR667" i="73"/>
  <c r="AO601" i="73"/>
  <c r="AV615" i="73"/>
  <c r="AV625" i="73"/>
  <c r="AU588" i="73"/>
  <c r="AP622" i="73"/>
  <c r="AU638" i="73"/>
  <c r="AO652" i="73"/>
  <c r="AT664" i="73"/>
  <c r="AX596" i="73"/>
  <c r="AU633" i="73"/>
  <c r="AU644" i="73"/>
  <c r="AQ631" i="73"/>
  <c r="AR659" i="73"/>
  <c r="AY667" i="73"/>
  <c r="AO659" i="73"/>
  <c r="AU669" i="73"/>
  <c r="AX604" i="73"/>
  <c r="AQ616" i="73"/>
  <c r="AR589" i="73"/>
  <c r="AV588" i="73"/>
  <c r="AR631" i="73"/>
  <c r="AR600" i="73"/>
  <c r="AP614" i="73"/>
  <c r="AU622" i="73"/>
  <c r="AY629" i="73"/>
  <c r="AQ637" i="73"/>
  <c r="AT590" i="73"/>
  <c r="AV604" i="73"/>
  <c r="AT617" i="73"/>
  <c r="AT625" i="73"/>
  <c r="AR633" i="73"/>
  <c r="AX642" i="73"/>
  <c r="AP650" i="73"/>
  <c r="AU659" i="73"/>
  <c r="AT596" i="73"/>
  <c r="AQ599" i="73"/>
  <c r="AR613" i="73"/>
  <c r="AX621" i="73"/>
  <c r="AQ629" i="73"/>
  <c r="AV636" i="73"/>
  <c r="AO646" i="73"/>
  <c r="AT653" i="73"/>
  <c r="AY663" i="73"/>
  <c r="AU657" i="73"/>
  <c r="AY587" i="73"/>
  <c r="AQ602" i="73"/>
  <c r="AV616" i="73"/>
  <c r="AU627" i="73"/>
  <c r="AV592" i="73"/>
  <c r="AP624" i="73"/>
  <c r="AP643" i="73"/>
  <c r="AO653" i="73"/>
  <c r="AV668" i="73"/>
  <c r="AX586" i="73"/>
  <c r="AX650" i="73"/>
  <c r="AV613" i="73"/>
  <c r="AY633" i="73"/>
  <c r="AU660" i="73"/>
  <c r="AY657" i="73"/>
  <c r="AV605" i="73"/>
  <c r="AQ664" i="73"/>
  <c r="AX628" i="73"/>
  <c r="AU670" i="73"/>
  <c r="AV589" i="73"/>
  <c r="AR606" i="73"/>
  <c r="AY617" i="73"/>
  <c r="AT591" i="73"/>
  <c r="AV591" i="73"/>
  <c r="AT587" i="73"/>
  <c r="AV601" i="73"/>
  <c r="AP615" i="73"/>
  <c r="AU623" i="73"/>
  <c r="AV630" i="73"/>
  <c r="AO638" i="73"/>
  <c r="AY591" i="73"/>
  <c r="AQ606" i="73"/>
  <c r="AT618" i="73"/>
  <c r="AR626" i="73"/>
  <c r="AP634" i="73"/>
  <c r="AU643" i="73"/>
  <c r="AR660" i="73"/>
  <c r="AX670" i="73"/>
  <c r="AV586" i="73"/>
  <c r="AU600" i="73"/>
  <c r="AR614" i="73"/>
  <c r="AY622" i="73"/>
  <c r="AO630" i="73"/>
  <c r="AT637" i="73"/>
  <c r="AY646" i="73"/>
  <c r="AQ654" i="73"/>
  <c r="AV664" i="73"/>
  <c r="AX641" i="73"/>
  <c r="AT589" i="73"/>
  <c r="AV603" i="73"/>
  <c r="AV617" i="73"/>
  <c r="AR629" i="73"/>
  <c r="AU599" i="73"/>
  <c r="AY626" i="73"/>
  <c r="AV644" i="73"/>
  <c r="AO654" i="73"/>
  <c r="AV669" i="73"/>
  <c r="AT647" i="73"/>
  <c r="AP658" i="73"/>
  <c r="AX616" i="73"/>
  <c r="AT635" i="73"/>
  <c r="AU662" i="73"/>
  <c r="AV641" i="73"/>
  <c r="AQ621" i="73"/>
  <c r="AT671" i="73"/>
  <c r="AT638" i="73"/>
  <c r="AY609" i="73"/>
  <c r="AY593" i="73"/>
  <c r="AX643" i="73"/>
  <c r="AQ653" i="73"/>
  <c r="AX590" i="73"/>
  <c r="AV622" i="73"/>
  <c r="AY600" i="73"/>
  <c r="AO603" i="73"/>
  <c r="AX638" i="73"/>
  <c r="AX588" i="73"/>
  <c r="AQ603" i="73"/>
  <c r="AP616" i="73"/>
  <c r="AT624" i="73"/>
  <c r="AT631" i="73"/>
  <c r="AY638" i="73"/>
  <c r="AQ593" i="73"/>
  <c r="AV610" i="73"/>
  <c r="AV619" i="73"/>
  <c r="AQ627" i="73"/>
  <c r="AR644" i="73"/>
  <c r="AX651" i="73"/>
  <c r="AP662" i="73"/>
  <c r="AU671" i="73"/>
  <c r="AY610" i="73"/>
  <c r="AX587" i="73"/>
  <c r="AP602" i="73"/>
  <c r="AR615" i="73"/>
  <c r="AX623" i="73"/>
  <c r="AY630" i="73"/>
  <c r="AQ638" i="73"/>
  <c r="AV647" i="73"/>
  <c r="AO658" i="73"/>
  <c r="AT668" i="73"/>
  <c r="AY590" i="73"/>
  <c r="AQ605" i="73"/>
  <c r="AY618" i="73"/>
  <c r="AX602" i="73"/>
  <c r="AT629" i="73"/>
  <c r="AV645" i="73"/>
  <c r="AQ658" i="73"/>
  <c r="AV670" i="73"/>
  <c r="AY652" i="73"/>
  <c r="AT588" i="73"/>
  <c r="AP660" i="73"/>
  <c r="AP619" i="73"/>
  <c r="AO637" i="73"/>
  <c r="AP651" i="73"/>
  <c r="AU663" i="73"/>
  <c r="AV609" i="73"/>
  <c r="AV628" i="73"/>
  <c r="AP641" i="73"/>
  <c r="AU646" i="73"/>
  <c r="AP600" i="73"/>
  <c r="AT597" i="73"/>
  <c r="AO629" i="73"/>
  <c r="AR612" i="73"/>
  <c r="AO616" i="73"/>
  <c r="AX591" i="73"/>
  <c r="AR618" i="73"/>
  <c r="AQ626" i="73"/>
  <c r="AO634" i="73"/>
  <c r="AT643" i="73"/>
  <c r="AO599" i="73"/>
  <c r="AQ613" i="73"/>
  <c r="AV621" i="73"/>
  <c r="AP629" i="73"/>
  <c r="AU636" i="73"/>
  <c r="AR653" i="73"/>
  <c r="AX663" i="73"/>
  <c r="AV657" i="73"/>
  <c r="AX624" i="73"/>
  <c r="AV590" i="73"/>
  <c r="AY604" i="73"/>
  <c r="AU617" i="73"/>
  <c r="AU625" i="73"/>
  <c r="AT633" i="73"/>
  <c r="AY642" i="73"/>
  <c r="AR592" i="73"/>
  <c r="AR643" i="73"/>
  <c r="AU604" i="73"/>
  <c r="AV642" i="73"/>
  <c r="AP628" i="73"/>
  <c r="AU603" i="73"/>
  <c r="AO642" i="73"/>
  <c r="AQ669" i="73"/>
  <c r="AY619" i="73"/>
  <c r="AY647" i="73"/>
  <c r="AO631" i="73"/>
  <c r="AX592" i="73"/>
  <c r="AX601" i="73"/>
  <c r="AU610" i="73"/>
  <c r="AU664" i="73"/>
  <c r="AT606" i="73"/>
  <c r="AV643" i="73"/>
  <c r="AO670" i="73"/>
  <c r="AY620" i="73"/>
  <c r="AY606" i="73"/>
  <c r="AY648" i="73"/>
  <c r="AT602" i="73"/>
  <c r="AU668" i="73"/>
  <c r="AY599" i="73"/>
  <c r="AP653" i="73"/>
  <c r="AP635" i="73"/>
  <c r="AP659" i="73"/>
  <c r="AV627" i="73"/>
  <c r="AO647" i="73"/>
  <c r="AV662" i="73"/>
  <c r="AU641" i="73"/>
  <c r="AV654" i="73"/>
  <c r="AT605" i="73"/>
  <c r="AO644" i="73"/>
  <c r="AR670" i="73"/>
  <c r="AV612" i="73"/>
  <c r="AO657" i="73"/>
  <c r="AP601" i="73"/>
  <c r="AX627" i="73"/>
  <c r="AU654" i="73"/>
  <c r="AP670" i="73"/>
  <c r="AP620" i="73"/>
  <c r="AX637" i="73"/>
  <c r="AT652" i="73"/>
  <c r="AR657" i="73"/>
  <c r="AR647" i="73"/>
  <c r="AR671" i="73"/>
  <c r="AQ598" i="73"/>
  <c r="AT669" i="73"/>
  <c r="AX612" i="73"/>
  <c r="AY624" i="73"/>
  <c r="AX631" i="73"/>
  <c r="AY664" i="73"/>
  <c r="AQ641" i="73"/>
  <c r="AY615" i="73"/>
  <c r="AY631" i="73"/>
  <c r="AP647" i="73"/>
  <c r="AV667" i="73"/>
  <c r="AP597" i="73"/>
  <c r="AP586" i="73"/>
  <c r="AU651" i="73"/>
  <c r="AR617" i="73"/>
  <c r="AY597" i="73"/>
  <c r="AX635" i="73"/>
  <c r="AT667" i="73"/>
  <c r="AU616" i="73"/>
  <c r="AT648" i="73"/>
  <c r="AY670" i="73"/>
  <c r="AO592" i="73"/>
  <c r="AO622" i="73"/>
  <c r="AU613" i="73"/>
  <c r="AQ659" i="73"/>
  <c r="AP618" i="73"/>
  <c r="AX671" i="73"/>
  <c r="AQ622" i="73"/>
  <c r="AR654" i="73"/>
  <c r="AR638" i="73"/>
  <c r="AY586" i="73"/>
  <c r="AV629" i="73"/>
  <c r="AO648" i="73"/>
  <c r="AV663" i="73"/>
  <c r="AU609" i="73"/>
  <c r="AY662" i="73"/>
  <c r="AR646" i="73"/>
  <c r="AQ667" i="73"/>
  <c r="AT598" i="73"/>
  <c r="AR604" i="73"/>
  <c r="AQ630" i="73"/>
  <c r="AP646" i="73"/>
  <c r="AU658" i="73"/>
  <c r="AP671" i="73"/>
  <c r="AP623" i="73"/>
  <c r="AR642" i="73"/>
  <c r="AV653" i="73"/>
  <c r="AR609" i="73"/>
  <c r="AP598" i="73"/>
  <c r="AU650" i="73"/>
  <c r="AQ657" i="73"/>
  <c r="AX615" i="73"/>
  <c r="AO624" i="73"/>
  <c r="AY596" i="73"/>
  <c r="AX664" i="73"/>
  <c r="AT646" i="73"/>
  <c r="AO600" i="73"/>
  <c r="AQ651" i="73"/>
  <c r="AU596" i="73"/>
  <c r="AU648" i="73"/>
  <c r="AQ644" i="73"/>
  <c r="AT611" i="73"/>
  <c r="AX659" i="73"/>
  <c r="AX625" i="73"/>
  <c r="AV658" i="73"/>
  <c r="AU612" i="73"/>
  <c r="AO609" i="73"/>
  <c r="AV633" i="73"/>
  <c r="AU590" i="73"/>
  <c r="AR619" i="73"/>
  <c r="AT600" i="73"/>
  <c r="AR637" i="73"/>
  <c r="AY641" i="73"/>
  <c r="AU618" i="73"/>
  <c r="AQ650" i="73"/>
  <c r="AP609" i="73"/>
  <c r="AV593" i="73"/>
  <c r="AQ660" i="73"/>
  <c r="AO660" i="73"/>
  <c r="AO588" i="73"/>
  <c r="AR625" i="73"/>
  <c r="AO612" i="73"/>
  <c r="AP645" i="73"/>
  <c r="AV624" i="73"/>
  <c r="AO651" i="73"/>
  <c r="AR596" i="73"/>
  <c r="AO598" i="73"/>
  <c r="AP631" i="73"/>
  <c r="AT662" i="73"/>
  <c r="AQ663" i="73"/>
  <c r="AX668" i="73"/>
  <c r="AQ604" i="73"/>
  <c r="AR634" i="73"/>
  <c r="AQ652" i="73"/>
  <c r="AY668" i="73"/>
  <c r="AR586" i="73"/>
  <c r="AQ670" i="73"/>
  <c r="AQ623" i="73"/>
  <c r="AX652" i="73"/>
  <c r="AO596" i="73"/>
  <c r="AV648" i="73"/>
  <c r="AX626" i="73"/>
  <c r="AU614" i="73"/>
  <c r="AT634" i="73"/>
  <c r="AP648" i="73"/>
  <c r="AX660" i="73"/>
  <c r="AT657" i="73"/>
  <c r="AQ601" i="73"/>
  <c r="AY627" i="73"/>
  <c r="AO645" i="73"/>
  <c r="AY659" i="73"/>
  <c r="AX653" i="73"/>
  <c r="AO586" i="73"/>
  <c r="AX636" i="73"/>
  <c r="AO643" i="73"/>
  <c r="AV599" i="73"/>
  <c r="AP627" i="73"/>
  <c r="AQ614" i="73"/>
  <c r="AX646" i="73"/>
  <c r="AU626" i="73"/>
  <c r="AT626" i="73"/>
  <c r="AY658" i="73"/>
  <c r="AU586" i="73"/>
  <c r="AV606" i="73"/>
  <c r="AX633" i="73"/>
  <c r="AY671" i="73"/>
  <c r="AT670" i="73"/>
  <c r="AV638" i="73"/>
  <c r="AX669" i="73"/>
  <c r="AU637" i="73"/>
  <c r="AQ624" i="73"/>
  <c r="AY605" i="73"/>
  <c r="AP590" i="73"/>
  <c r="AQ633" i="73"/>
  <c r="AV620" i="73"/>
  <c r="AU652" i="73"/>
  <c r="AO589" i="73"/>
  <c r="AV631" i="73"/>
  <c r="AV659" i="73"/>
  <c r="AT612" i="73"/>
  <c r="AR635" i="73"/>
  <c r="AX606" i="73"/>
  <c r="AQ643" i="73"/>
  <c r="AV596" i="73"/>
  <c r="AX613" i="73"/>
  <c r="AP642" i="73"/>
  <c r="AT658" i="73"/>
  <c r="AO671" i="73"/>
  <c r="AR641" i="73"/>
  <c r="AQ668" i="73"/>
  <c r="AU645" i="73"/>
  <c r="AO620" i="73"/>
  <c r="AV637" i="73"/>
  <c r="AR651" i="73"/>
  <c r="AT609" i="73"/>
  <c r="AU611" i="73"/>
  <c r="AQ648" i="73"/>
  <c r="AO664" i="73"/>
  <c r="AQ636" i="73"/>
  <c r="AV650" i="73"/>
  <c r="AQ618" i="73"/>
  <c r="AO593" i="73"/>
  <c r="AY634" i="73"/>
  <c r="AX622" i="73"/>
  <c r="AP654" i="73"/>
  <c r="AQ634" i="73"/>
  <c r="AT660" i="73"/>
  <c r="AT613" i="73"/>
  <c r="AV646" i="73"/>
  <c r="AR621" i="73"/>
  <c r="AU589" i="73"/>
  <c r="AX644" i="73"/>
  <c r="AT586" i="73"/>
  <c r="AX648" i="73"/>
  <c r="AY644" i="73"/>
  <c r="AP652" i="73"/>
  <c r="AT659" i="73"/>
  <c r="AU667" i="73"/>
  <c r="AY637" i="73"/>
  <c r="AP667" i="73"/>
  <c r="AY643" i="73"/>
  <c r="AQ586" i="73"/>
  <c r="AR630" i="73"/>
  <c r="AQ671" i="73"/>
  <c r="AP664" i="73"/>
  <c r="AQ596" i="73"/>
  <c r="AV660" i="73"/>
  <c r="AP596" i="73"/>
  <c r="AX654" i="73"/>
  <c r="AY589" i="73"/>
  <c r="AR650" i="73"/>
  <c r="AU634" i="73"/>
  <c r="AR669" i="73"/>
  <c r="AR622" i="73"/>
  <c r="AT645" i="73"/>
  <c r="AY669" i="73"/>
  <c r="AP663" i="73"/>
  <c r="AY636" i="73"/>
  <c r="AO597" i="73"/>
  <c r="AR652" i="73"/>
  <c r="AP636" i="73"/>
  <c r="AQ592" i="73"/>
  <c r="AR601" i="73"/>
  <c r="AP625" i="73"/>
  <c r="AT651" i="73"/>
  <c r="AX667" i="73"/>
  <c r="AP668" i="73"/>
  <c r="AU653" i="73"/>
  <c r="AQ647" i="73"/>
  <c r="AX647" i="73"/>
  <c r="AR605" i="73"/>
  <c r="AT642" i="73"/>
  <c r="AO611" i="73"/>
  <c r="AX657" i="73"/>
  <c r="AO591" i="73"/>
  <c r="AR664" i="73"/>
  <c r="AO623" i="73"/>
  <c r="AX662" i="73"/>
  <c r="AT650" i="73"/>
  <c r="AT630" i="73"/>
  <c r="AR663" i="73"/>
  <c r="AY645" i="73"/>
  <c r="AU628" i="73"/>
  <c r="AP591" i="73"/>
  <c r="AO636" i="73"/>
  <c r="AY614" i="73"/>
  <c r="AY660" i="73"/>
  <c r="AR645" i="73"/>
  <c r="AY653" i="73"/>
  <c r="AT654" i="73"/>
  <c r="AQ646" i="73"/>
  <c r="AV634" i="73"/>
  <c r="AY654" i="73"/>
  <c r="AQ642" i="73"/>
  <c r="AT641" i="73"/>
  <c r="AX617" i="73"/>
  <c r="AO669" i="73"/>
  <c r="F4" i="61"/>
  <c r="H4" i="60"/>
  <c r="AT15" i="27"/>
  <c r="AV15" i="27" s="1"/>
  <c r="AW15" i="27" s="1"/>
  <c r="AS16" i="27" s="1"/>
  <c r="AT16" i="27" s="1"/>
  <c r="D45" i="20"/>
  <c r="F95" i="22"/>
  <c r="F96" i="22"/>
  <c r="L68" i="56"/>
  <c r="E109" i="20"/>
  <c r="AK41" i="20"/>
  <c r="BC15" i="27"/>
  <c r="BD15" i="27" s="1"/>
  <c r="BE15" i="27" s="1"/>
  <c r="BA16" i="27" s="1"/>
  <c r="D27" i="56"/>
  <c r="C17" i="27"/>
  <c r="A16" i="27"/>
  <c r="BK15" i="27"/>
  <c r="BJ15" i="27"/>
  <c r="O142" i="3"/>
  <c r="O150" i="3"/>
  <c r="D100" i="23"/>
  <c r="J12" i="23"/>
  <c r="H14" i="60"/>
  <c r="I9" i="60"/>
  <c r="G41" i="22"/>
  <c r="G40" i="22"/>
  <c r="G42" i="22"/>
  <c r="G18" i="22"/>
  <c r="G24" i="22"/>
  <c r="G36" i="22"/>
  <c r="G35" i="22"/>
  <c r="G48" i="22"/>
  <c r="G38" i="22"/>
  <c r="B10" i="63"/>
  <c r="F10" i="63" s="1"/>
  <c r="G54" i="22"/>
  <c r="G53" i="22"/>
  <c r="G46" i="22"/>
  <c r="G47" i="22"/>
  <c r="G31" i="22"/>
  <c r="G37" i="22"/>
  <c r="G52" i="22"/>
  <c r="G44" i="22"/>
  <c r="G39" i="22"/>
  <c r="G56" i="22"/>
  <c r="G33" i="22"/>
  <c r="G88" i="22"/>
  <c r="G49" i="22"/>
  <c r="B22" i="22"/>
  <c r="B48" i="20" s="1"/>
  <c r="G45" i="22"/>
  <c r="G50" i="22"/>
  <c r="G87" i="22"/>
  <c r="J34" i="23"/>
  <c r="G57" i="22"/>
  <c r="G55" i="22"/>
  <c r="G86" i="22"/>
  <c r="G51" i="22"/>
  <c r="G25" i="22"/>
  <c r="G27" i="22"/>
  <c r="G32" i="22"/>
  <c r="G26" i="22"/>
  <c r="G59" i="22"/>
  <c r="G20" i="22"/>
  <c r="G43" i="22"/>
  <c r="D9" i="63"/>
  <c r="F9" i="63" s="1"/>
  <c r="G34" i="22"/>
  <c r="G23" i="22"/>
  <c r="G19" i="22"/>
  <c r="D47" i="57"/>
  <c r="B29" i="22"/>
  <c r="B53" i="20" s="1"/>
  <c r="G21" i="22"/>
  <c r="G58" i="22"/>
  <c r="G22" i="22"/>
  <c r="G28" i="22"/>
  <c r="B20" i="22"/>
  <c r="B46" i="20" s="1"/>
  <c r="G26" i="60"/>
  <c r="E7" i="61"/>
  <c r="K7" i="20"/>
  <c r="K6" i="20"/>
  <c r="O158" i="3"/>
  <c r="V15" i="27"/>
  <c r="W15" i="27"/>
  <c r="I118" i="20"/>
  <c r="I119" i="20"/>
  <c r="AM591" i="73" l="1"/>
  <c r="BW591" i="73"/>
  <c r="BW603" i="73"/>
  <c r="BW592" i="73"/>
  <c r="BW590" i="73"/>
  <c r="F68" i="56"/>
  <c r="AN440" i="73"/>
  <c r="I107" i="9"/>
  <c r="AT424" i="73" s="1"/>
  <c r="E13" i="60"/>
  <c r="F7" i="60"/>
  <c r="AN603" i="73"/>
  <c r="AN650" i="73"/>
  <c r="AN629" i="73"/>
  <c r="AN619" i="73"/>
  <c r="M424" i="73"/>
  <c r="AN636" i="73"/>
  <c r="AM636" i="73" s="1"/>
  <c r="AN593" i="73"/>
  <c r="AN600" i="73"/>
  <c r="AN663" i="73"/>
  <c r="AN588" i="73"/>
  <c r="AN642" i="73"/>
  <c r="AN587" i="73"/>
  <c r="AN652" i="73"/>
  <c r="AN637" i="73"/>
  <c r="AN662" i="73"/>
  <c r="AN631" i="73"/>
  <c r="AN620" i="73"/>
  <c r="AN626" i="73"/>
  <c r="AN592" i="73"/>
  <c r="AN601" i="73"/>
  <c r="AN616" i="73"/>
  <c r="AD16" i="27"/>
  <c r="AF16" i="27" s="1"/>
  <c r="AG16" i="27" s="1"/>
  <c r="AC17" i="27" s="1"/>
  <c r="AE17" i="27" s="1"/>
  <c r="AN586" i="73"/>
  <c r="AN635" i="73"/>
  <c r="AM635" i="73" s="1"/>
  <c r="AN634" i="73"/>
  <c r="AM634" i="73" s="1"/>
  <c r="AN617" i="73"/>
  <c r="AN643" i="73"/>
  <c r="AN651" i="73"/>
  <c r="AN638" i="73"/>
  <c r="AN612" i="73"/>
  <c r="AN611" i="73"/>
  <c r="AN599" i="73"/>
  <c r="AN598" i="73"/>
  <c r="AN633" i="73"/>
  <c r="AM633" i="73" s="1"/>
  <c r="AN623" i="73"/>
  <c r="AN630" i="73"/>
  <c r="AN621" i="73"/>
  <c r="AN589" i="73"/>
  <c r="AN618" i="73"/>
  <c r="AN669" i="73"/>
  <c r="AN613" i="73"/>
  <c r="AN605" i="73"/>
  <c r="AN615" i="73"/>
  <c r="AN622" i="73"/>
  <c r="AN590" i="73"/>
  <c r="AN659" i="73"/>
  <c r="AN657" i="73"/>
  <c r="AN654" i="73"/>
  <c r="AN667" i="73"/>
  <c r="AN604" i="73"/>
  <c r="AN614" i="73"/>
  <c r="AN648" i="73"/>
  <c r="AN647" i="73"/>
  <c r="AN602" i="73"/>
  <c r="AN645" i="73"/>
  <c r="AN646" i="73"/>
  <c r="AN609" i="73"/>
  <c r="AN641" i="73"/>
  <c r="AN591" i="73"/>
  <c r="AN628" i="73"/>
  <c r="AN627" i="73"/>
  <c r="AN658" i="73"/>
  <c r="AN625" i="73"/>
  <c r="AN610" i="73"/>
  <c r="AO650" i="73"/>
  <c r="AN596" i="73"/>
  <c r="AN644" i="73"/>
  <c r="AN624" i="73"/>
  <c r="AM590" i="73"/>
  <c r="AO649" i="73"/>
  <c r="AN597" i="73"/>
  <c r="AO618" i="73"/>
  <c r="AO668" i="73"/>
  <c r="AN668" i="73"/>
  <c r="AO613" i="73"/>
  <c r="AN653" i="73"/>
  <c r="AO661" i="73"/>
  <c r="AO667" i="73"/>
  <c r="AO632" i="73"/>
  <c r="AM592" i="73"/>
  <c r="AM603" i="73"/>
  <c r="G14" i="27"/>
  <c r="H14" i="27" s="1"/>
  <c r="D15" i="27" s="1"/>
  <c r="I15" i="27" s="1"/>
  <c r="AN606" i="73"/>
  <c r="AS428" i="73"/>
  <c r="M428" i="73"/>
  <c r="AT428" i="73"/>
  <c r="N428" i="73"/>
  <c r="N425" i="73"/>
  <c r="AT427" i="73"/>
  <c r="N427" i="73"/>
  <c r="AS426" i="73"/>
  <c r="M426" i="73"/>
  <c r="AT426" i="73"/>
  <c r="N426" i="73"/>
  <c r="N16" i="27"/>
  <c r="P16" i="27" s="1"/>
  <c r="Q16" i="27" s="1"/>
  <c r="M17" i="27" s="1"/>
  <c r="N17" i="27" s="1"/>
  <c r="N423" i="73"/>
  <c r="D5" i="60"/>
  <c r="E5" i="60" s="1"/>
  <c r="F5" i="60" s="1"/>
  <c r="AP494" i="73"/>
  <c r="AP481" i="73"/>
  <c r="AP458" i="73"/>
  <c r="AP492" i="73"/>
  <c r="AP463" i="73"/>
  <c r="AP519" i="73"/>
  <c r="AP461" i="73"/>
  <c r="G4" i="61"/>
  <c r="I4" i="60"/>
  <c r="AU16" i="27"/>
  <c r="AV16" i="27" s="1"/>
  <c r="AW16" i="27" s="1"/>
  <c r="AS17" i="27" s="1"/>
  <c r="AU17" i="27" s="1"/>
  <c r="AL16" i="27"/>
  <c r="AN16" i="27" s="1"/>
  <c r="AO16" i="27" s="1"/>
  <c r="AK17" i="27" s="1"/>
  <c r="AK109" i="20"/>
  <c r="E111" i="20"/>
  <c r="E38" i="20"/>
  <c r="E113" i="20"/>
  <c r="BC16" i="27"/>
  <c r="BB16" i="27"/>
  <c r="BL15" i="27"/>
  <c r="BM15" i="27" s="1"/>
  <c r="BI16" i="27" s="1"/>
  <c r="BK16" i="27" s="1"/>
  <c r="C6" i="60"/>
  <c r="D6" i="60" s="1"/>
  <c r="E6" i="60" s="1"/>
  <c r="D29" i="56"/>
  <c r="C18" i="27"/>
  <c r="A17" i="27"/>
  <c r="H26" i="60"/>
  <c r="F7" i="61"/>
  <c r="L7" i="20"/>
  <c r="L6" i="20"/>
  <c r="J14" i="23"/>
  <c r="J16" i="23" s="1"/>
  <c r="X15" i="27"/>
  <c r="Y15" i="27" s="1"/>
  <c r="U16" i="27" s="1"/>
  <c r="J119" i="20"/>
  <c r="J118" i="20"/>
  <c r="I14" i="60"/>
  <c r="J9" i="60"/>
  <c r="N424" i="73" l="1"/>
  <c r="G7" i="60"/>
  <c r="F13" i="60"/>
  <c r="BD16" i="27"/>
  <c r="BE16" i="27" s="1"/>
  <c r="BA17" i="27" s="1"/>
  <c r="BB17" i="27" s="1"/>
  <c r="E15" i="27"/>
  <c r="F15" i="27"/>
  <c r="D11" i="60"/>
  <c r="O17" i="27"/>
  <c r="P17" i="27" s="1"/>
  <c r="Q17" i="27" s="1"/>
  <c r="M18" i="27" s="1"/>
  <c r="O18" i="27" s="1"/>
  <c r="E11" i="60"/>
  <c r="AD17" i="27"/>
  <c r="AF17" i="27" s="1"/>
  <c r="AG17" i="27" s="1"/>
  <c r="AC18" i="27" s="1"/>
  <c r="H4" i="61"/>
  <c r="J4" i="60"/>
  <c r="AL17" i="27"/>
  <c r="AM17" i="27"/>
  <c r="AT17" i="27"/>
  <c r="AV17" i="27" s="1"/>
  <c r="AW17" i="27" s="1"/>
  <c r="AS18" i="27" s="1"/>
  <c r="BJ16" i="27"/>
  <c r="BL16" i="27" s="1"/>
  <c r="BM16" i="27" s="1"/>
  <c r="BI17" i="27" s="1"/>
  <c r="E114" i="20"/>
  <c r="F113" i="20"/>
  <c r="G113" i="20" s="1"/>
  <c r="H113" i="20" s="1"/>
  <c r="I113" i="20" s="1"/>
  <c r="J113" i="20" s="1"/>
  <c r="K113" i="20" s="1"/>
  <c r="L113" i="20" s="1"/>
  <c r="M113" i="20" s="1"/>
  <c r="N113" i="20" s="1"/>
  <c r="O113" i="20" s="1"/>
  <c r="P113" i="20" s="1"/>
  <c r="Q113" i="20" s="1"/>
  <c r="R113" i="20" s="1"/>
  <c r="S113" i="20" s="1"/>
  <c r="T113" i="20" s="1"/>
  <c r="U113" i="20" s="1"/>
  <c r="V113" i="20" s="1"/>
  <c r="W113" i="20" s="1"/>
  <c r="X113" i="20" s="1"/>
  <c r="Y113" i="20" s="1"/>
  <c r="Z113" i="20" s="1"/>
  <c r="AA113" i="20" s="1"/>
  <c r="AB113" i="20" s="1"/>
  <c r="AC113" i="20" s="1"/>
  <c r="AD113" i="20" s="1"/>
  <c r="AE113" i="20" s="1"/>
  <c r="AF113" i="20" s="1"/>
  <c r="AG113" i="20" s="1"/>
  <c r="AH113" i="20" s="1"/>
  <c r="AI113" i="20" s="1"/>
  <c r="F111" i="20"/>
  <c r="G111" i="20" s="1"/>
  <c r="H111" i="20" s="1"/>
  <c r="I111" i="20" s="1"/>
  <c r="J111" i="20" s="1"/>
  <c r="K111" i="20" s="1"/>
  <c r="L111" i="20" s="1"/>
  <c r="M111" i="20" s="1"/>
  <c r="N111" i="20" s="1"/>
  <c r="O111" i="20" s="1"/>
  <c r="P111" i="20" s="1"/>
  <c r="Q111" i="20" s="1"/>
  <c r="R111" i="20" s="1"/>
  <c r="S111" i="20" s="1"/>
  <c r="T111" i="20" s="1"/>
  <c r="U111" i="20" s="1"/>
  <c r="V111" i="20" s="1"/>
  <c r="W111" i="20" s="1"/>
  <c r="X111" i="20" s="1"/>
  <c r="Y111" i="20" s="1"/>
  <c r="Z111" i="20" s="1"/>
  <c r="AA111" i="20" s="1"/>
  <c r="AB111" i="20" s="1"/>
  <c r="AC111" i="20" s="1"/>
  <c r="AD111" i="20" s="1"/>
  <c r="AE111" i="20" s="1"/>
  <c r="AF111" i="20" s="1"/>
  <c r="AG111" i="20" s="1"/>
  <c r="AH111" i="20" s="1"/>
  <c r="AI111" i="20" s="1"/>
  <c r="C12" i="60"/>
  <c r="G14" i="56" s="1"/>
  <c r="F14" i="56" s="1"/>
  <c r="D12" i="60"/>
  <c r="D10" i="60"/>
  <c r="C10" i="60"/>
  <c r="T18" i="56"/>
  <c r="L51" i="23"/>
  <c r="D34" i="63"/>
  <c r="F34" i="63" s="1"/>
  <c r="C19" i="27"/>
  <c r="A18" i="27"/>
  <c r="E12" i="60"/>
  <c r="F6" i="60"/>
  <c r="F10" i="60" s="1"/>
  <c r="G7" i="61"/>
  <c r="I26" i="60"/>
  <c r="E10" i="60"/>
  <c r="F11" i="60"/>
  <c r="G5" i="60"/>
  <c r="K118" i="20"/>
  <c r="K119" i="20"/>
  <c r="M6" i="20"/>
  <c r="M7" i="20"/>
  <c r="J14" i="60"/>
  <c r="K9" i="60"/>
  <c r="V16" i="27"/>
  <c r="W16" i="27"/>
  <c r="H7" i="60" l="1"/>
  <c r="G13" i="60"/>
  <c r="BC17" i="27"/>
  <c r="BD17" i="27" s="1"/>
  <c r="BE17" i="27" s="1"/>
  <c r="BA18" i="27" s="1"/>
  <c r="BC18" i="27" s="1"/>
  <c r="G15" i="27"/>
  <c r="H15" i="27" s="1"/>
  <c r="D16" i="27" s="1"/>
  <c r="E16" i="27" s="1"/>
  <c r="N18" i="27"/>
  <c r="P18" i="27" s="1"/>
  <c r="Q18" i="27" s="1"/>
  <c r="M19" i="27" s="1"/>
  <c r="O19" i="27" s="1"/>
  <c r="AN17" i="27"/>
  <c r="AO17" i="27" s="1"/>
  <c r="AK18" i="27" s="1"/>
  <c r="AM18" i="27" s="1"/>
  <c r="AD18" i="27"/>
  <c r="AE18" i="27"/>
  <c r="K4" i="60"/>
  <c r="I4" i="61"/>
  <c r="AT18" i="27"/>
  <c r="AU18" i="27"/>
  <c r="AK113" i="20"/>
  <c r="AJ111" i="20"/>
  <c r="F114" i="20"/>
  <c r="G114" i="20" s="1"/>
  <c r="H114" i="20" s="1"/>
  <c r="I114" i="20" s="1"/>
  <c r="J114" i="20" s="1"/>
  <c r="K114" i="20" s="1"/>
  <c r="L114" i="20" s="1"/>
  <c r="M114" i="20" s="1"/>
  <c r="N114" i="20" s="1"/>
  <c r="O114" i="20" s="1"/>
  <c r="P114" i="20" s="1"/>
  <c r="Q114" i="20" s="1"/>
  <c r="R114" i="20" s="1"/>
  <c r="S114" i="20" s="1"/>
  <c r="T114" i="20" s="1"/>
  <c r="U114" i="20" s="1"/>
  <c r="V114" i="20" s="1"/>
  <c r="W114" i="20" s="1"/>
  <c r="X114" i="20" s="1"/>
  <c r="Y114" i="20" s="1"/>
  <c r="Z114" i="20" s="1"/>
  <c r="AA114" i="20" s="1"/>
  <c r="AB114" i="20" s="1"/>
  <c r="AC114" i="20" s="1"/>
  <c r="AD114" i="20" s="1"/>
  <c r="AE114" i="20" s="1"/>
  <c r="AF114" i="20" s="1"/>
  <c r="AG114" i="20" s="1"/>
  <c r="AH114" i="20" s="1"/>
  <c r="AI114" i="20" s="1"/>
  <c r="AK111" i="20"/>
  <c r="AJ113" i="20"/>
  <c r="X16" i="27"/>
  <c r="Y16" i="27" s="1"/>
  <c r="U17" i="27" s="1"/>
  <c r="V17" i="27" s="1"/>
  <c r="C15" i="60"/>
  <c r="C19" i="60" s="1"/>
  <c r="D15" i="60"/>
  <c r="D19" i="60" s="1"/>
  <c r="E15" i="60"/>
  <c r="E19" i="60" s="1"/>
  <c r="BK17" i="27"/>
  <c r="BJ17" i="27"/>
  <c r="C20" i="27"/>
  <c r="A19" i="27"/>
  <c r="F12" i="60"/>
  <c r="F15" i="60" s="1"/>
  <c r="G6" i="60"/>
  <c r="H7" i="61"/>
  <c r="J26" i="60"/>
  <c r="L9" i="60"/>
  <c r="K14" i="60"/>
  <c r="N6" i="20"/>
  <c r="N7" i="20"/>
  <c r="L119" i="20"/>
  <c r="L118" i="20"/>
  <c r="H5" i="60"/>
  <c r="G11" i="60"/>
  <c r="H13" i="60" l="1"/>
  <c r="I7" i="60"/>
  <c r="I16" i="27"/>
  <c r="F16" i="27"/>
  <c r="G16" i="27" s="1"/>
  <c r="H16" i="27" s="1"/>
  <c r="D17" i="27" s="1"/>
  <c r="I17" i="27" s="1"/>
  <c r="BB18" i="27"/>
  <c r="BD18" i="27" s="1"/>
  <c r="BE18" i="27" s="1"/>
  <c r="BA19" i="27" s="1"/>
  <c r="BC19" i="27" s="1"/>
  <c r="AV18" i="27"/>
  <c r="AW18" i="27" s="1"/>
  <c r="AS19" i="27" s="1"/>
  <c r="AU19" i="27" s="1"/>
  <c r="N19" i="27"/>
  <c r="P19" i="27" s="1"/>
  <c r="Q19" i="27" s="1"/>
  <c r="M20" i="27" s="1"/>
  <c r="O20" i="27" s="1"/>
  <c r="AF18" i="27"/>
  <c r="AG18" i="27" s="1"/>
  <c r="AC19" i="27" s="1"/>
  <c r="AD19" i="27" s="1"/>
  <c r="AL18" i="27"/>
  <c r="AN18" i="27" s="1"/>
  <c r="AO18" i="27" s="1"/>
  <c r="AK19" i="27" s="1"/>
  <c r="AM19" i="27" s="1"/>
  <c r="J4" i="61"/>
  <c r="L4" i="60"/>
  <c r="W17" i="27"/>
  <c r="X17" i="27" s="1"/>
  <c r="Y17" i="27" s="1"/>
  <c r="U18" i="27" s="1"/>
  <c r="W18" i="27" s="1"/>
  <c r="BL17" i="27"/>
  <c r="BM17" i="27" s="1"/>
  <c r="BI18" i="27" s="1"/>
  <c r="BJ18" i="27" s="1"/>
  <c r="AK114" i="20"/>
  <c r="AJ114" i="20"/>
  <c r="A20" i="27"/>
  <c r="C21" i="27"/>
  <c r="I5" i="60"/>
  <c r="H11" i="60"/>
  <c r="K26" i="60"/>
  <c r="I7" i="61"/>
  <c r="H6" i="60"/>
  <c r="H10" i="60" s="1"/>
  <c r="G12" i="60"/>
  <c r="M9" i="60"/>
  <c r="L14" i="60"/>
  <c r="O6" i="20"/>
  <c r="O7" i="20"/>
  <c r="F19" i="60"/>
  <c r="G10" i="60"/>
  <c r="M119" i="20"/>
  <c r="M118" i="20"/>
  <c r="I13" i="60" l="1"/>
  <c r="J7" i="60"/>
  <c r="E17" i="27"/>
  <c r="F17" i="27"/>
  <c r="BK18" i="27"/>
  <c r="BL18" i="27" s="1"/>
  <c r="BM18" i="27" s="1"/>
  <c r="BI19" i="27" s="1"/>
  <c r="AT19" i="27"/>
  <c r="AV19" i="27" s="1"/>
  <c r="AW19" i="27" s="1"/>
  <c r="AS20" i="27" s="1"/>
  <c r="AU20" i="27" s="1"/>
  <c r="AE19" i="27"/>
  <c r="AF19" i="27" s="1"/>
  <c r="AG19" i="27" s="1"/>
  <c r="AC20" i="27" s="1"/>
  <c r="AE20" i="27" s="1"/>
  <c r="N20" i="27"/>
  <c r="P20" i="27" s="1"/>
  <c r="Q20" i="27" s="1"/>
  <c r="M21" i="27" s="1"/>
  <c r="N21" i="27" s="1"/>
  <c r="K4" i="61"/>
  <c r="M4" i="60"/>
  <c r="AL19" i="27"/>
  <c r="AN19" i="27" s="1"/>
  <c r="AO19" i="27" s="1"/>
  <c r="AK20" i="27" s="1"/>
  <c r="AL20" i="27" s="1"/>
  <c r="BB19" i="27"/>
  <c r="BD19" i="27" s="1"/>
  <c r="BE19" i="27" s="1"/>
  <c r="BA20" i="27" s="1"/>
  <c r="BC20" i="27" s="1"/>
  <c r="G15" i="60"/>
  <c r="G19" i="60" s="1"/>
  <c r="A21" i="27"/>
  <c r="C22" i="27"/>
  <c r="V18" i="27"/>
  <c r="X18" i="27" s="1"/>
  <c r="Y18" i="27" s="1"/>
  <c r="U19" i="27" s="1"/>
  <c r="J5" i="60"/>
  <c r="I11" i="60"/>
  <c r="I6" i="60"/>
  <c r="H12" i="60"/>
  <c r="H15" i="60" s="1"/>
  <c r="P6" i="20"/>
  <c r="P7" i="20"/>
  <c r="N119" i="20"/>
  <c r="N118" i="20"/>
  <c r="N9" i="60"/>
  <c r="M14" i="60"/>
  <c r="J7" i="61"/>
  <c r="L26" i="60"/>
  <c r="J13" i="60" l="1"/>
  <c r="K7" i="60"/>
  <c r="G17" i="27"/>
  <c r="H17" i="27" s="1"/>
  <c r="D18" i="27" s="1"/>
  <c r="I18" i="27" s="1"/>
  <c r="BJ19" i="27"/>
  <c r="BK19" i="27"/>
  <c r="O21" i="27"/>
  <c r="P21" i="27" s="1"/>
  <c r="Q21" i="27" s="1"/>
  <c r="M22" i="27" s="1"/>
  <c r="O22" i="27" s="1"/>
  <c r="AT20" i="27"/>
  <c r="AV20" i="27" s="1"/>
  <c r="AW20" i="27" s="1"/>
  <c r="AS21" i="27" s="1"/>
  <c r="AU21" i="27" s="1"/>
  <c r="AD20" i="27"/>
  <c r="AF20" i="27" s="1"/>
  <c r="AG20" i="27" s="1"/>
  <c r="AC21" i="27" s="1"/>
  <c r="AM20" i="27"/>
  <c r="AN20" i="27" s="1"/>
  <c r="AO20" i="27" s="1"/>
  <c r="AK21" i="27" s="1"/>
  <c r="N4" i="60"/>
  <c r="B16" i="61"/>
  <c r="BB20" i="27"/>
  <c r="BD20" i="27" s="1"/>
  <c r="BE20" i="27" s="1"/>
  <c r="BA21" i="27" s="1"/>
  <c r="C23" i="27"/>
  <c r="A22" i="27"/>
  <c r="H19" i="60"/>
  <c r="AK38" i="20"/>
  <c r="N14" i="60"/>
  <c r="O9" i="60"/>
  <c r="J6" i="60"/>
  <c r="J10" i="60" s="1"/>
  <c r="I12" i="60"/>
  <c r="W19" i="27"/>
  <c r="V19" i="27"/>
  <c r="K5" i="60"/>
  <c r="J11" i="60"/>
  <c r="K7" i="61"/>
  <c r="M26" i="60"/>
  <c r="I10" i="60"/>
  <c r="Q7" i="20"/>
  <c r="Q6" i="20"/>
  <c r="O118" i="20"/>
  <c r="O119" i="20"/>
  <c r="L7" i="60" l="1"/>
  <c r="K13" i="60"/>
  <c r="F18" i="27"/>
  <c r="E18" i="27"/>
  <c r="BL19" i="27"/>
  <c r="BM19" i="27" s="1"/>
  <c r="BI20" i="27" s="1"/>
  <c r="BJ20" i="27" s="1"/>
  <c r="N22" i="27"/>
  <c r="P22" i="27" s="1"/>
  <c r="Q22" i="27" s="1"/>
  <c r="M23" i="27" s="1"/>
  <c r="O23" i="27" s="1"/>
  <c r="AT21" i="27"/>
  <c r="AV21" i="27" s="1"/>
  <c r="AW21" i="27" s="1"/>
  <c r="AS22" i="27" s="1"/>
  <c r="AU22" i="27" s="1"/>
  <c r="C16" i="61"/>
  <c r="O4" i="60"/>
  <c r="BB21" i="27"/>
  <c r="BC21" i="27"/>
  <c r="AL21" i="27"/>
  <c r="AM21" i="27"/>
  <c r="A23" i="27"/>
  <c r="C24" i="27"/>
  <c r="X19" i="27"/>
  <c r="Y19" i="27" s="1"/>
  <c r="U20" i="27" s="1"/>
  <c r="K6" i="60"/>
  <c r="K10" i="60" s="1"/>
  <c r="J12" i="60"/>
  <c r="J15" i="60" s="1"/>
  <c r="R7" i="20"/>
  <c r="R6" i="20"/>
  <c r="P9" i="60"/>
  <c r="O14" i="60"/>
  <c r="N26" i="60"/>
  <c r="B19" i="61"/>
  <c r="AE21" i="27"/>
  <c r="AD21" i="27"/>
  <c r="P119" i="20"/>
  <c r="P118" i="20"/>
  <c r="L5" i="60"/>
  <c r="K11" i="60"/>
  <c r="I15" i="60"/>
  <c r="L13" i="60" l="1"/>
  <c r="M7" i="60"/>
  <c r="G18" i="27"/>
  <c r="H18" i="27" s="1"/>
  <c r="D19" i="27" s="1"/>
  <c r="E19" i="27" s="1"/>
  <c r="BK20" i="27"/>
  <c r="BL20" i="27" s="1"/>
  <c r="BM20" i="27" s="1"/>
  <c r="BI21" i="27" s="1"/>
  <c r="BK21" i="27" s="1"/>
  <c r="N23" i="27"/>
  <c r="P23" i="27" s="1"/>
  <c r="Q23" i="27" s="1"/>
  <c r="M24" i="27" s="1"/>
  <c r="N24" i="27" s="1"/>
  <c r="BD21" i="27"/>
  <c r="BE21" i="27" s="1"/>
  <c r="BA22" i="27" s="1"/>
  <c r="BC22" i="27" s="1"/>
  <c r="AT22" i="27"/>
  <c r="AV22" i="27" s="1"/>
  <c r="AW22" i="27" s="1"/>
  <c r="AS23" i="27" s="1"/>
  <c r="AT23" i="27" s="1"/>
  <c r="P4" i="60"/>
  <c r="D16" i="61"/>
  <c r="AN21" i="27"/>
  <c r="AO21" i="27" s="1"/>
  <c r="AK22" i="27" s="1"/>
  <c r="A24" i="27"/>
  <c r="C25" i="27"/>
  <c r="S7" i="20"/>
  <c r="S6" i="20"/>
  <c r="M5" i="60"/>
  <c r="L11" i="60"/>
  <c r="L6" i="60"/>
  <c r="L10" i="60" s="1"/>
  <c r="K12" i="60"/>
  <c r="K15" i="60" s="1"/>
  <c r="W20" i="27"/>
  <c r="V20" i="27"/>
  <c r="AF21" i="27"/>
  <c r="AG21" i="27" s="1"/>
  <c r="AC22" i="27" s="1"/>
  <c r="O26" i="60"/>
  <c r="C19" i="61"/>
  <c r="P14" i="60"/>
  <c r="Q9" i="60"/>
  <c r="Q118" i="20"/>
  <c r="Q119" i="20"/>
  <c r="J19" i="60"/>
  <c r="I19" i="60"/>
  <c r="I19" i="27" l="1"/>
  <c r="F19" i="27"/>
  <c r="G19" i="27" s="1"/>
  <c r="H19" i="27" s="1"/>
  <c r="D20" i="27" s="1"/>
  <c r="N7" i="60"/>
  <c r="M13" i="60"/>
  <c r="BJ21" i="27"/>
  <c r="BL21" i="27" s="1"/>
  <c r="BM21" i="27" s="1"/>
  <c r="BI22" i="27" s="1"/>
  <c r="BK22" i="27" s="1"/>
  <c r="O24" i="27"/>
  <c r="P24" i="27" s="1"/>
  <c r="Q24" i="27" s="1"/>
  <c r="M25" i="27" s="1"/>
  <c r="N25" i="27" s="1"/>
  <c r="BB22" i="27"/>
  <c r="BD22" i="27" s="1"/>
  <c r="BE22" i="27" s="1"/>
  <c r="BA23" i="27" s="1"/>
  <c r="E16" i="61"/>
  <c r="Q4" i="60"/>
  <c r="AU23" i="27"/>
  <c r="AV23" i="27" s="1"/>
  <c r="AW23" i="27" s="1"/>
  <c r="AS24" i="27" s="1"/>
  <c r="AU24" i="27" s="1"/>
  <c r="AL22" i="27"/>
  <c r="AM22" i="27"/>
  <c r="C26" i="27"/>
  <c r="A25" i="27"/>
  <c r="X20" i="27"/>
  <c r="Y20" i="27" s="1"/>
  <c r="U21" i="27" s="1"/>
  <c r="W21" i="27" s="1"/>
  <c r="R118" i="20"/>
  <c r="R119" i="20"/>
  <c r="N5" i="60"/>
  <c r="M11" i="60"/>
  <c r="AE22" i="27"/>
  <c r="AD22" i="27"/>
  <c r="D19" i="61"/>
  <c r="P26" i="60"/>
  <c r="Q14" i="60"/>
  <c r="R9" i="60"/>
  <c r="M6" i="60"/>
  <c r="L12" i="60"/>
  <c r="L15" i="60" s="1"/>
  <c r="K19" i="60"/>
  <c r="T7" i="20"/>
  <c r="T6" i="20"/>
  <c r="F20" i="27" l="1"/>
  <c r="I20" i="27"/>
  <c r="O7" i="60"/>
  <c r="N13" i="60"/>
  <c r="E20" i="27"/>
  <c r="BJ22" i="27"/>
  <c r="BL22" i="27" s="1"/>
  <c r="BM22" i="27" s="1"/>
  <c r="BI23" i="27" s="1"/>
  <c r="BK23" i="27" s="1"/>
  <c r="O25" i="27"/>
  <c r="P25" i="27" s="1"/>
  <c r="Q25" i="27" s="1"/>
  <c r="M26" i="27" s="1"/>
  <c r="O26" i="27" s="1"/>
  <c r="AT24" i="27"/>
  <c r="AV24" i="27" s="1"/>
  <c r="AW24" i="27" s="1"/>
  <c r="AS25" i="27" s="1"/>
  <c r="BB23" i="27"/>
  <c r="BC23" i="27"/>
  <c r="V21" i="27"/>
  <c r="X21" i="27" s="1"/>
  <c r="Y21" i="27" s="1"/>
  <c r="U22" i="27" s="1"/>
  <c r="R4" i="60"/>
  <c r="F16" i="61"/>
  <c r="AN22" i="27"/>
  <c r="AO22" i="27" s="1"/>
  <c r="AK23" i="27" s="1"/>
  <c r="C27" i="27"/>
  <c r="A26" i="27"/>
  <c r="L19" i="60"/>
  <c r="R14" i="60"/>
  <c r="S9" i="60"/>
  <c r="S118" i="20"/>
  <c r="S119" i="20"/>
  <c r="N6" i="60"/>
  <c r="N10" i="60" s="1"/>
  <c r="M12" i="60"/>
  <c r="M10" i="60"/>
  <c r="U6" i="20"/>
  <c r="U7" i="20"/>
  <c r="E19" i="61"/>
  <c r="Q26" i="60"/>
  <c r="O5" i="60"/>
  <c r="N11" i="60"/>
  <c r="AF22" i="27"/>
  <c r="AG22" i="27" s="1"/>
  <c r="AC23" i="27" s="1"/>
  <c r="G20" i="27" l="1"/>
  <c r="H20" i="27" s="1"/>
  <c r="D21" i="27" s="1"/>
  <c r="E21" i="27" s="1"/>
  <c r="P7" i="60"/>
  <c r="O13" i="60"/>
  <c r="BJ23" i="27"/>
  <c r="BL23" i="27" s="1"/>
  <c r="BM23" i="27" s="1"/>
  <c r="BI24" i="27" s="1"/>
  <c r="BK24" i="27" s="1"/>
  <c r="BD23" i="27"/>
  <c r="BE23" i="27" s="1"/>
  <c r="BA24" i="27" s="1"/>
  <c r="G16" i="61"/>
  <c r="S4" i="60"/>
  <c r="N26" i="27"/>
  <c r="P26" i="27" s="1"/>
  <c r="Q26" i="27" s="1"/>
  <c r="M27" i="27" s="1"/>
  <c r="AL23" i="27"/>
  <c r="AM23" i="27"/>
  <c r="M15" i="60"/>
  <c r="M19" i="60" s="1"/>
  <c r="C28" i="27"/>
  <c r="A27" i="27"/>
  <c r="P5" i="60"/>
  <c r="O11" i="60"/>
  <c r="AU25" i="27"/>
  <c r="AT25" i="27"/>
  <c r="V6" i="20"/>
  <c r="V7" i="20"/>
  <c r="AE23" i="27"/>
  <c r="AD23" i="27"/>
  <c r="T118" i="20"/>
  <c r="T119" i="20"/>
  <c r="F19" i="61"/>
  <c r="R26" i="60"/>
  <c r="O6" i="60"/>
  <c r="O10" i="60" s="1"/>
  <c r="N12" i="60"/>
  <c r="N15" i="60" s="1"/>
  <c r="S14" i="60"/>
  <c r="T9" i="60"/>
  <c r="V22" i="27"/>
  <c r="W22" i="27"/>
  <c r="I21" i="27" l="1"/>
  <c r="F21" i="27"/>
  <c r="G21" i="27" s="1"/>
  <c r="H21" i="27" s="1"/>
  <c r="D22" i="27" s="1"/>
  <c r="F22" i="27" s="1"/>
  <c r="Q7" i="60"/>
  <c r="P13" i="60"/>
  <c r="BJ24" i="27"/>
  <c r="BL24" i="27" s="1"/>
  <c r="BM24" i="27" s="1"/>
  <c r="BI25" i="27" s="1"/>
  <c r="BJ25" i="27" s="1"/>
  <c r="BC24" i="27"/>
  <c r="BB24" i="27"/>
  <c r="AN23" i="27"/>
  <c r="AO23" i="27" s="1"/>
  <c r="AK24" i="27" s="1"/>
  <c r="AL24" i="27" s="1"/>
  <c r="AV25" i="27"/>
  <c r="AW25" i="27" s="1"/>
  <c r="AS26" i="27" s="1"/>
  <c r="AU26" i="27" s="1"/>
  <c r="H16" i="61"/>
  <c r="T4" i="60"/>
  <c r="A28" i="27"/>
  <c r="C29" i="27"/>
  <c r="N19" i="60"/>
  <c r="U118" i="20"/>
  <c r="U119" i="20"/>
  <c r="AF23" i="27"/>
  <c r="AG23" i="27" s="1"/>
  <c r="AC24" i="27" s="1"/>
  <c r="X22" i="27"/>
  <c r="Y22" i="27" s="1"/>
  <c r="U23" i="27" s="1"/>
  <c r="P6" i="60"/>
  <c r="P10" i="60" s="1"/>
  <c r="O12" i="60"/>
  <c r="O15" i="60" s="1"/>
  <c r="G19" i="61"/>
  <c r="S26" i="60"/>
  <c r="U9" i="60"/>
  <c r="T14" i="60"/>
  <c r="O27" i="27"/>
  <c r="N27" i="27"/>
  <c r="W6" i="20"/>
  <c r="W7" i="20"/>
  <c r="Q5" i="60"/>
  <c r="P11" i="60"/>
  <c r="E22" i="27" l="1"/>
  <c r="G22" i="27" s="1"/>
  <c r="H22" i="27" s="1"/>
  <c r="D23" i="27" s="1"/>
  <c r="I23" i="27" s="1"/>
  <c r="I22" i="27"/>
  <c r="R7" i="60"/>
  <c r="Q13" i="60"/>
  <c r="BK25" i="27"/>
  <c r="BL25" i="27" s="1"/>
  <c r="BM25" i="27" s="1"/>
  <c r="BI26" i="27" s="1"/>
  <c r="AT26" i="27"/>
  <c r="AV26" i="27" s="1"/>
  <c r="AW26" i="27" s="1"/>
  <c r="AS27" i="27" s="1"/>
  <c r="AU27" i="27" s="1"/>
  <c r="BD24" i="27"/>
  <c r="BE24" i="27" s="1"/>
  <c r="BA25" i="27" s="1"/>
  <c r="BB25" i="27" s="1"/>
  <c r="AM24" i="27"/>
  <c r="AN24" i="27" s="1"/>
  <c r="AO24" i="27" s="1"/>
  <c r="AK25" i="27" s="1"/>
  <c r="P27" i="27"/>
  <c r="Q27" i="27" s="1"/>
  <c r="M28" i="27" s="1"/>
  <c r="N28" i="27" s="1"/>
  <c r="I16" i="61"/>
  <c r="U4" i="60"/>
  <c r="C30" i="27"/>
  <c r="A29" i="27"/>
  <c r="O19" i="60"/>
  <c r="T26" i="60"/>
  <c r="H19" i="61"/>
  <c r="V23" i="27"/>
  <c r="W23" i="27"/>
  <c r="V119" i="20"/>
  <c r="V118" i="20"/>
  <c r="R5" i="60"/>
  <c r="Q11" i="60"/>
  <c r="X6" i="20"/>
  <c r="X7" i="20"/>
  <c r="Q6" i="60"/>
  <c r="Q10" i="60" s="1"/>
  <c r="P12" i="60"/>
  <c r="P15" i="60" s="1"/>
  <c r="AE24" i="27"/>
  <c r="AD24" i="27"/>
  <c r="V9" i="60"/>
  <c r="U14" i="60"/>
  <c r="E23" i="27" l="1"/>
  <c r="F23" i="27"/>
  <c r="BC25" i="27"/>
  <c r="R13" i="60"/>
  <c r="S7" i="60"/>
  <c r="BD25" i="27"/>
  <c r="BE25" i="27" s="1"/>
  <c r="BA26" i="27" s="1"/>
  <c r="BC26" i="27" s="1"/>
  <c r="BK26" i="27"/>
  <c r="BJ26" i="27"/>
  <c r="O28" i="27"/>
  <c r="P28" i="27" s="1"/>
  <c r="Q28" i="27" s="1"/>
  <c r="M29" i="27" s="1"/>
  <c r="N29" i="27" s="1"/>
  <c r="V4" i="60"/>
  <c r="J16" i="61"/>
  <c r="AT27" i="27"/>
  <c r="AV27" i="27" s="1"/>
  <c r="AW27" i="27" s="1"/>
  <c r="AS28" i="27" s="1"/>
  <c r="AL25" i="27"/>
  <c r="AM25" i="27"/>
  <c r="A30" i="27"/>
  <c r="C31" i="27"/>
  <c r="P19" i="60"/>
  <c r="W118" i="20"/>
  <c r="W119" i="20"/>
  <c r="V14" i="60"/>
  <c r="W9" i="60"/>
  <c r="AF24" i="27"/>
  <c r="AG24" i="27" s="1"/>
  <c r="AC25" i="27" s="1"/>
  <c r="R6" i="60"/>
  <c r="R10" i="60" s="1"/>
  <c r="Q12" i="60"/>
  <c r="Q15" i="60" s="1"/>
  <c r="U26" i="60"/>
  <c r="I19" i="61"/>
  <c r="S5" i="60"/>
  <c r="R11" i="60"/>
  <c r="X23" i="27"/>
  <c r="Y23" i="27" s="1"/>
  <c r="U24" i="27" s="1"/>
  <c r="Y7" i="20"/>
  <c r="Y6" i="20"/>
  <c r="G23" i="27" l="1"/>
  <c r="H23" i="27" s="1"/>
  <c r="D24" i="27" s="1"/>
  <c r="S13" i="60"/>
  <c r="T7" i="60"/>
  <c r="BB26" i="27"/>
  <c r="BD26" i="27" s="1"/>
  <c r="BE26" i="27" s="1"/>
  <c r="BA27" i="27" s="1"/>
  <c r="BB27" i="27" s="1"/>
  <c r="BL26" i="27"/>
  <c r="BM26" i="27" s="1"/>
  <c r="BI27" i="27" s="1"/>
  <c r="AU28" i="27"/>
  <c r="AT28" i="27"/>
  <c r="O29" i="27"/>
  <c r="P29" i="27" s="1"/>
  <c r="Q29" i="27" s="1"/>
  <c r="M30" i="27" s="1"/>
  <c r="N30" i="27" s="1"/>
  <c r="K16" i="61"/>
  <c r="W4" i="60"/>
  <c r="AN25" i="27"/>
  <c r="AO25" i="27" s="1"/>
  <c r="AK26" i="27" s="1"/>
  <c r="A31" i="27"/>
  <c r="C32" i="27"/>
  <c r="S6" i="60"/>
  <c r="S10" i="60" s="1"/>
  <c r="R12" i="60"/>
  <c r="R15" i="60" s="1"/>
  <c r="X118" i="20"/>
  <c r="X119" i="20"/>
  <c r="V24" i="27"/>
  <c r="W24" i="27"/>
  <c r="T5" i="60"/>
  <c r="S11" i="60"/>
  <c r="Q19" i="60"/>
  <c r="J19" i="61"/>
  <c r="V26" i="60"/>
  <c r="AD25" i="27"/>
  <c r="AE25" i="27"/>
  <c r="X9" i="60"/>
  <c r="W14" i="60"/>
  <c r="Z7" i="20"/>
  <c r="Z6" i="20"/>
  <c r="E24" i="27" l="1"/>
  <c r="I24" i="27"/>
  <c r="F24" i="27"/>
  <c r="T13" i="60"/>
  <c r="U7" i="60"/>
  <c r="BC27" i="27"/>
  <c r="BD27" i="27" s="1"/>
  <c r="BE27" i="27" s="1"/>
  <c r="BA28" i="27" s="1"/>
  <c r="BB28" i="27" s="1"/>
  <c r="BK27" i="27"/>
  <c r="BJ27" i="27"/>
  <c r="BL27" i="27" s="1"/>
  <c r="BM27" i="27" s="1"/>
  <c r="BI28" i="27" s="1"/>
  <c r="BK28" i="27" s="1"/>
  <c r="AV28" i="27"/>
  <c r="AW28" i="27" s="1"/>
  <c r="AS29" i="27" s="1"/>
  <c r="AU29" i="27" s="1"/>
  <c r="O30" i="27"/>
  <c r="P30" i="27" s="1"/>
  <c r="Q30" i="27" s="1"/>
  <c r="M31" i="27" s="1"/>
  <c r="N31" i="27" s="1"/>
  <c r="B28" i="61"/>
  <c r="X4" i="60"/>
  <c r="AL26" i="27"/>
  <c r="AM26" i="27"/>
  <c r="X24" i="27"/>
  <c r="Y24" i="27" s="1"/>
  <c r="U25" i="27" s="1"/>
  <c r="V25" i="27" s="1"/>
  <c r="A32" i="27"/>
  <c r="C33" i="27"/>
  <c r="R19" i="60"/>
  <c r="Y119" i="20"/>
  <c r="Y118" i="20"/>
  <c r="AF25" i="27"/>
  <c r="AG25" i="27" s="1"/>
  <c r="AC26" i="27" s="1"/>
  <c r="T6" i="60"/>
  <c r="T10" i="60" s="1"/>
  <c r="S12" i="60"/>
  <c r="S15" i="60" s="1"/>
  <c r="AA7" i="20"/>
  <c r="AA6" i="20"/>
  <c r="W26" i="60"/>
  <c r="K19" i="61"/>
  <c r="Y9" i="60"/>
  <c r="X14" i="60"/>
  <c r="U5" i="60"/>
  <c r="T11" i="60"/>
  <c r="G24" i="27" l="1"/>
  <c r="H24" i="27" s="1"/>
  <c r="D25" i="27" s="1"/>
  <c r="E25" i="27" s="1"/>
  <c r="U13" i="60"/>
  <c r="V7" i="60"/>
  <c r="BJ28" i="27"/>
  <c r="BL28" i="27" s="1"/>
  <c r="BM28" i="27" s="1"/>
  <c r="BI29" i="27" s="1"/>
  <c r="BK29" i="27" s="1"/>
  <c r="BC28" i="27"/>
  <c r="BD28" i="27" s="1"/>
  <c r="BE28" i="27" s="1"/>
  <c r="BA29" i="27" s="1"/>
  <c r="BC29" i="27" s="1"/>
  <c r="AT29" i="27"/>
  <c r="AV29" i="27" s="1"/>
  <c r="AW29" i="27" s="1"/>
  <c r="AS30" i="27" s="1"/>
  <c r="AT30" i="27" s="1"/>
  <c r="O31" i="27"/>
  <c r="P31" i="27" s="1"/>
  <c r="Q31" i="27" s="1"/>
  <c r="M32" i="27" s="1"/>
  <c r="O32" i="27" s="1"/>
  <c r="C28" i="61"/>
  <c r="Y4" i="60"/>
  <c r="W25" i="27"/>
  <c r="X25" i="27" s="1"/>
  <c r="Y25" i="27" s="1"/>
  <c r="U26" i="27" s="1"/>
  <c r="V26" i="27" s="1"/>
  <c r="AN26" i="27"/>
  <c r="AO26" i="27" s="1"/>
  <c r="AK27" i="27" s="1"/>
  <c r="C34" i="27"/>
  <c r="A33" i="27"/>
  <c r="V5" i="60"/>
  <c r="U11" i="60"/>
  <c r="X26" i="60"/>
  <c r="B31" i="61"/>
  <c r="T12" i="60"/>
  <c r="T15" i="60" s="1"/>
  <c r="U6" i="60"/>
  <c r="AD26" i="27"/>
  <c r="AE26" i="27"/>
  <c r="AB7" i="20"/>
  <c r="AB6" i="20"/>
  <c r="Z118" i="20"/>
  <c r="Z119" i="20"/>
  <c r="Z9" i="60"/>
  <c r="Y14" i="60"/>
  <c r="S19" i="60"/>
  <c r="F25" i="27" l="1"/>
  <c r="I25" i="27"/>
  <c r="G25" i="27"/>
  <c r="H25" i="27" s="1"/>
  <c r="D26" i="27" s="1"/>
  <c r="V13" i="60"/>
  <c r="W7" i="60"/>
  <c r="BB29" i="27"/>
  <c r="BD29" i="27" s="1"/>
  <c r="BE29" i="27" s="1"/>
  <c r="BA30" i="27" s="1"/>
  <c r="BC30" i="27" s="1"/>
  <c r="BJ29" i="27"/>
  <c r="BL29" i="27" s="1"/>
  <c r="BM29" i="27" s="1"/>
  <c r="BI30" i="27" s="1"/>
  <c r="BK30" i="27" s="1"/>
  <c r="AU30" i="27"/>
  <c r="AV30" i="27" s="1"/>
  <c r="AW30" i="27" s="1"/>
  <c r="AS31" i="27" s="1"/>
  <c r="AU31" i="27" s="1"/>
  <c r="Z4" i="60"/>
  <c r="D28" i="61"/>
  <c r="W26" i="27"/>
  <c r="X26" i="27" s="1"/>
  <c r="Y26" i="27" s="1"/>
  <c r="U27" i="27" s="1"/>
  <c r="AL27" i="27"/>
  <c r="AM27" i="27"/>
  <c r="C35" i="27"/>
  <c r="A34" i="27"/>
  <c r="N32" i="27"/>
  <c r="P32" i="27" s="1"/>
  <c r="Q32" i="27" s="1"/>
  <c r="M33" i="27" s="1"/>
  <c r="N33" i="27" s="1"/>
  <c r="T19" i="60"/>
  <c r="AC6" i="20"/>
  <c r="AC7" i="20"/>
  <c r="BB30" i="27"/>
  <c r="V6" i="60"/>
  <c r="V10" i="60" s="1"/>
  <c r="U12" i="60"/>
  <c r="Z14" i="60"/>
  <c r="AA9" i="60"/>
  <c r="AA118" i="20"/>
  <c r="AA119" i="20"/>
  <c r="AF26" i="27"/>
  <c r="AG26" i="27" s="1"/>
  <c r="AC27" i="27" s="1"/>
  <c r="W5" i="60"/>
  <c r="V11" i="60"/>
  <c r="Y26" i="60"/>
  <c r="C31" i="61"/>
  <c r="U10" i="60"/>
  <c r="E26" i="27" l="1"/>
  <c r="I26" i="27"/>
  <c r="F26" i="27"/>
  <c r="X7" i="60"/>
  <c r="W13" i="60"/>
  <c r="BJ30" i="27"/>
  <c r="BL30" i="27" s="1"/>
  <c r="BM30" i="27" s="1"/>
  <c r="BI31" i="27" s="1"/>
  <c r="BJ31" i="27" s="1"/>
  <c r="AT31" i="27"/>
  <c r="AV31" i="27" s="1"/>
  <c r="AW31" i="27" s="1"/>
  <c r="AS32" i="27" s="1"/>
  <c r="AU32" i="27" s="1"/>
  <c r="E28" i="61"/>
  <c r="AA4" i="60"/>
  <c r="AN27" i="27"/>
  <c r="AO27" i="27" s="1"/>
  <c r="AK28" i="27" s="1"/>
  <c r="AL28" i="27" s="1"/>
  <c r="W27" i="27"/>
  <c r="V27" i="27"/>
  <c r="O33" i="27"/>
  <c r="P33" i="27" s="1"/>
  <c r="Q33" i="27" s="1"/>
  <c r="M34" i="27" s="1"/>
  <c r="C36" i="27"/>
  <c r="A35" i="27"/>
  <c r="X5" i="60"/>
  <c r="W11" i="60"/>
  <c r="D31" i="61"/>
  <c r="Z26" i="60"/>
  <c r="AE27" i="27"/>
  <c r="AD27" i="27"/>
  <c r="W6" i="60"/>
  <c r="W10" i="60" s="1"/>
  <c r="V12" i="60"/>
  <c r="V15" i="60" s="1"/>
  <c r="BD30" i="27"/>
  <c r="BE30" i="27" s="1"/>
  <c r="BA31" i="27" s="1"/>
  <c r="U15" i="60"/>
  <c r="AB119" i="20"/>
  <c r="AB118" i="20"/>
  <c r="AB9" i="60"/>
  <c r="AA14" i="60"/>
  <c r="AD6" i="20"/>
  <c r="AD7" i="20"/>
  <c r="G26" i="27" l="1"/>
  <c r="H26" i="27" s="1"/>
  <c r="D27" i="27" s="1"/>
  <c r="F27" i="27" s="1"/>
  <c r="Y7" i="60"/>
  <c r="X13" i="60"/>
  <c r="AF27" i="27"/>
  <c r="AG27" i="27" s="1"/>
  <c r="AC28" i="27" s="1"/>
  <c r="AE28" i="27" s="1"/>
  <c r="BK31" i="27"/>
  <c r="BL31" i="27" s="1"/>
  <c r="BM31" i="27" s="1"/>
  <c r="BI32" i="27" s="1"/>
  <c r="X27" i="27"/>
  <c r="Y27" i="27" s="1"/>
  <c r="U28" i="27" s="1"/>
  <c r="W28" i="27" s="1"/>
  <c r="AM28" i="27"/>
  <c r="AN28" i="27" s="1"/>
  <c r="AO28" i="27" s="1"/>
  <c r="AK29" i="27" s="1"/>
  <c r="AL29" i="27" s="1"/>
  <c r="F28" i="61"/>
  <c r="AB4" i="60"/>
  <c r="AT32" i="27"/>
  <c r="AV32" i="27" s="1"/>
  <c r="AW32" i="27" s="1"/>
  <c r="AS33" i="27" s="1"/>
  <c r="C37" i="27"/>
  <c r="A36" i="27"/>
  <c r="V19" i="60"/>
  <c r="Y5" i="60"/>
  <c r="X11" i="60"/>
  <c r="AC118" i="20"/>
  <c r="AC119" i="20"/>
  <c r="X6" i="60"/>
  <c r="X10" i="60" s="1"/>
  <c r="W12" i="60"/>
  <c r="W15" i="60" s="1"/>
  <c r="BB31" i="27"/>
  <c r="BC31" i="27"/>
  <c r="E31" i="61"/>
  <c r="AA26" i="60"/>
  <c r="U19" i="60"/>
  <c r="N34" i="27"/>
  <c r="O34" i="27"/>
  <c r="AE6" i="20"/>
  <c r="AE7" i="20"/>
  <c r="AB14" i="60"/>
  <c r="AC9" i="60"/>
  <c r="E27" i="27" l="1"/>
  <c r="G27" i="27" s="1"/>
  <c r="H27" i="27" s="1"/>
  <c r="D28" i="27" s="1"/>
  <c r="I28" i="27" s="1"/>
  <c r="I27" i="27"/>
  <c r="Y13" i="60"/>
  <c r="Z7" i="60"/>
  <c r="AD28" i="27"/>
  <c r="AF28" i="27" s="1"/>
  <c r="AG28" i="27" s="1"/>
  <c r="AC29" i="27" s="1"/>
  <c r="AE29" i="27" s="1"/>
  <c r="BJ32" i="27"/>
  <c r="BK32" i="27"/>
  <c r="V28" i="27"/>
  <c r="X28" i="27" s="1"/>
  <c r="Y28" i="27" s="1"/>
  <c r="U29" i="27" s="1"/>
  <c r="W29" i="27" s="1"/>
  <c r="AM29" i="27"/>
  <c r="AN29" i="27" s="1"/>
  <c r="AO29" i="27" s="1"/>
  <c r="AK30" i="27" s="1"/>
  <c r="AM30" i="27" s="1"/>
  <c r="AC4" i="60"/>
  <c r="G28" i="61"/>
  <c r="BD31" i="27"/>
  <c r="BE31" i="27" s="1"/>
  <c r="BA32" i="27" s="1"/>
  <c r="BB32" i="27" s="1"/>
  <c r="P34" i="27"/>
  <c r="Q34" i="27" s="1"/>
  <c r="M35" i="27" s="1"/>
  <c r="N35" i="27" s="1"/>
  <c r="A37" i="27"/>
  <c r="C38" i="27"/>
  <c r="W19" i="60"/>
  <c r="AU33" i="27"/>
  <c r="AT33" i="27"/>
  <c r="Z5" i="60"/>
  <c r="Y11" i="60"/>
  <c r="AB26" i="60"/>
  <c r="F31" i="61"/>
  <c r="AD119" i="20"/>
  <c r="AD118" i="20"/>
  <c r="Y6" i="60"/>
  <c r="X12" i="60"/>
  <c r="X15" i="60" s="1"/>
  <c r="AC14" i="60"/>
  <c r="AD9" i="60"/>
  <c r="AF6" i="20"/>
  <c r="AF7" i="20"/>
  <c r="E28" i="27" l="1"/>
  <c r="F28" i="27"/>
  <c r="Z13" i="60"/>
  <c r="AA7" i="60"/>
  <c r="V29" i="27"/>
  <c r="X29" i="27" s="1"/>
  <c r="Y29" i="27" s="1"/>
  <c r="U30" i="27" s="1"/>
  <c r="W30" i="27" s="1"/>
  <c r="BL32" i="27"/>
  <c r="BM32" i="27" s="1"/>
  <c r="BI33" i="27" s="1"/>
  <c r="BJ33" i="27" s="1"/>
  <c r="AL30" i="27"/>
  <c r="AN30" i="27" s="1"/>
  <c r="AO30" i="27" s="1"/>
  <c r="AK31" i="27" s="1"/>
  <c r="AL31" i="27" s="1"/>
  <c r="AD4" i="60"/>
  <c r="H28" i="61"/>
  <c r="BC32" i="27"/>
  <c r="BD32" i="27" s="1"/>
  <c r="BE32" i="27" s="1"/>
  <c r="BA33" i="27" s="1"/>
  <c r="BC33" i="27" s="1"/>
  <c r="O35" i="27"/>
  <c r="P35" i="27" s="1"/>
  <c r="Q35" i="27" s="1"/>
  <c r="M36" i="27" s="1"/>
  <c r="O36" i="27" s="1"/>
  <c r="AD29" i="27"/>
  <c r="AF29" i="27" s="1"/>
  <c r="AG29" i="27" s="1"/>
  <c r="AC30" i="27" s="1"/>
  <c r="C39" i="27"/>
  <c r="A38" i="27"/>
  <c r="X19" i="60"/>
  <c r="AG7" i="20"/>
  <c r="AG6" i="20"/>
  <c r="Z6" i="60"/>
  <c r="Y12" i="60"/>
  <c r="Z11" i="60"/>
  <c r="AA5" i="60"/>
  <c r="AV33" i="27"/>
  <c r="AW33" i="27" s="1"/>
  <c r="AS34" i="27" s="1"/>
  <c r="AE118" i="20"/>
  <c r="AE119" i="20"/>
  <c r="Y10" i="60"/>
  <c r="AE9" i="60"/>
  <c r="AD14" i="60"/>
  <c r="G31" i="61"/>
  <c r="AC26" i="60"/>
  <c r="G28" i="27" l="1"/>
  <c r="H28" i="27" s="1"/>
  <c r="D29" i="27" s="1"/>
  <c r="AA13" i="60"/>
  <c r="AB7" i="60"/>
  <c r="V30" i="27"/>
  <c r="X30" i="27" s="1"/>
  <c r="Y30" i="27" s="1"/>
  <c r="U31" i="27" s="1"/>
  <c r="V31" i="27" s="1"/>
  <c r="BK33" i="27"/>
  <c r="BL33" i="27" s="1"/>
  <c r="BM33" i="27" s="1"/>
  <c r="BI34" i="27" s="1"/>
  <c r="AM31" i="27"/>
  <c r="AN31" i="27" s="1"/>
  <c r="AO31" i="27" s="1"/>
  <c r="AK32" i="27" s="1"/>
  <c r="I28" i="61"/>
  <c r="AE4" i="60"/>
  <c r="N36" i="27"/>
  <c r="P36" i="27" s="1"/>
  <c r="Q36" i="27" s="1"/>
  <c r="M37" i="27" s="1"/>
  <c r="BB33" i="27"/>
  <c r="BD33" i="27" s="1"/>
  <c r="BE33" i="27" s="1"/>
  <c r="BA34" i="27" s="1"/>
  <c r="C40" i="27"/>
  <c r="A39" i="27"/>
  <c r="AF118" i="20"/>
  <c r="AF119" i="20"/>
  <c r="Y15" i="60"/>
  <c r="H31" i="61"/>
  <c r="AD26" i="60"/>
  <c r="AE30" i="27"/>
  <c r="AD30" i="27"/>
  <c r="AA6" i="60"/>
  <c r="AA10" i="60" s="1"/>
  <c r="Z12" i="60"/>
  <c r="AT34" i="27"/>
  <c r="AU34" i="27"/>
  <c r="AB5" i="60"/>
  <c r="AA11" i="60"/>
  <c r="AH7" i="20"/>
  <c r="AH6" i="20"/>
  <c r="AF9" i="60"/>
  <c r="AE14" i="60"/>
  <c r="Z10" i="60"/>
  <c r="F29" i="27" l="1"/>
  <c r="E29" i="27"/>
  <c r="I29" i="27"/>
  <c r="AB13" i="60"/>
  <c r="AC7" i="60"/>
  <c r="W31" i="27"/>
  <c r="X31" i="27" s="1"/>
  <c r="Y31" i="27" s="1"/>
  <c r="U32" i="27" s="1"/>
  <c r="W32" i="27" s="1"/>
  <c r="BJ34" i="27"/>
  <c r="BK34" i="27"/>
  <c r="AF30" i="27"/>
  <c r="AG30" i="27" s="1"/>
  <c r="AC31" i="27" s="1"/>
  <c r="AE31" i="27" s="1"/>
  <c r="AF4" i="60"/>
  <c r="J28" i="61"/>
  <c r="Z15" i="60"/>
  <c r="Z19" i="60" s="1"/>
  <c r="C41" i="27"/>
  <c r="A40" i="27"/>
  <c r="BC34" i="27"/>
  <c r="BB34" i="27"/>
  <c r="AI7" i="20"/>
  <c r="AI6" i="20"/>
  <c r="AV34" i="27"/>
  <c r="AW34" i="27" s="1"/>
  <c r="AS35" i="27" s="1"/>
  <c r="N37" i="27"/>
  <c r="O37" i="27"/>
  <c r="AG9" i="60"/>
  <c r="AF14" i="60"/>
  <c r="AC5" i="60"/>
  <c r="AB11" i="60"/>
  <c r="I31" i="61"/>
  <c r="AE26" i="60"/>
  <c r="AL32" i="27"/>
  <c r="AM32" i="27"/>
  <c r="AB6" i="60"/>
  <c r="AB10" i="60" s="1"/>
  <c r="AA12" i="60"/>
  <c r="AA15" i="60" s="1"/>
  <c r="Y19" i="60"/>
  <c r="AG119" i="20"/>
  <c r="AG118" i="20"/>
  <c r="G29" i="27" l="1"/>
  <c r="H29" i="27" s="1"/>
  <c r="D30" i="27" s="1"/>
  <c r="F30" i="27" s="1"/>
  <c r="AD7" i="60"/>
  <c r="AC13" i="60"/>
  <c r="V32" i="27"/>
  <c r="X32" i="27" s="1"/>
  <c r="Y32" i="27" s="1"/>
  <c r="U33" i="27" s="1"/>
  <c r="BL34" i="27"/>
  <c r="BM34" i="27" s="1"/>
  <c r="BI35" i="27" s="1"/>
  <c r="BJ35" i="27" s="1"/>
  <c r="AD31" i="27"/>
  <c r="AF31" i="27" s="1"/>
  <c r="AG31" i="27" s="1"/>
  <c r="AC32" i="27" s="1"/>
  <c r="AE32" i="27" s="1"/>
  <c r="K28" i="61"/>
  <c r="AG4" i="60"/>
  <c r="AN32" i="27"/>
  <c r="AO32" i="27" s="1"/>
  <c r="AK33" i="27" s="1"/>
  <c r="AL33" i="27" s="1"/>
  <c r="C42" i="27"/>
  <c r="A41" i="27"/>
  <c r="AA19" i="60"/>
  <c r="AH118" i="20"/>
  <c r="AH119" i="20"/>
  <c r="AD5" i="60"/>
  <c r="AC11" i="60"/>
  <c r="AH9" i="60"/>
  <c r="AG14" i="60"/>
  <c r="J31" i="61"/>
  <c r="AF26" i="60"/>
  <c r="P37" i="27"/>
  <c r="Q37" i="27" s="1"/>
  <c r="M38" i="27" s="1"/>
  <c r="AB12" i="60"/>
  <c r="AB15" i="60" s="1"/>
  <c r="AC6" i="60"/>
  <c r="BD34" i="27"/>
  <c r="BE34" i="27" s="1"/>
  <c r="BA35" i="27" s="1"/>
  <c r="AU35" i="27"/>
  <c r="AT35" i="27"/>
  <c r="E30" i="27" l="1"/>
  <c r="G30" i="27" s="1"/>
  <c r="H30" i="27" s="1"/>
  <c r="D31" i="27" s="1"/>
  <c r="I31" i="27" s="1"/>
  <c r="I30" i="27"/>
  <c r="AE7" i="60"/>
  <c r="AD13" i="60"/>
  <c r="BK35" i="27"/>
  <c r="BL35" i="27" s="1"/>
  <c r="BM35" i="27" s="1"/>
  <c r="BI36" i="27" s="1"/>
  <c r="AV35" i="27"/>
  <c r="AW35" i="27" s="1"/>
  <c r="AS36" i="27" s="1"/>
  <c r="AT36" i="27" s="1"/>
  <c r="AD32" i="27"/>
  <c r="AF32" i="27" s="1"/>
  <c r="AG32" i="27" s="1"/>
  <c r="AC33" i="27" s="1"/>
  <c r="AH4" i="60"/>
  <c r="B40" i="61"/>
  <c r="AM33" i="27"/>
  <c r="AN33" i="27" s="1"/>
  <c r="AO33" i="27" s="1"/>
  <c r="AK34" i="27" s="1"/>
  <c r="C43" i="27"/>
  <c r="A42" i="27"/>
  <c r="AB19" i="60"/>
  <c r="O38" i="27"/>
  <c r="N38" i="27"/>
  <c r="AD6" i="60"/>
  <c r="AC12" i="60"/>
  <c r="V33" i="27"/>
  <c r="W33" i="27"/>
  <c r="AD11" i="60"/>
  <c r="AE5" i="60"/>
  <c r="AH14" i="60"/>
  <c r="AI9" i="60"/>
  <c r="AG26" i="60"/>
  <c r="K31" i="61"/>
  <c r="AC10" i="60"/>
  <c r="BC35" i="27"/>
  <c r="BB35" i="27"/>
  <c r="AI118" i="20"/>
  <c r="AJ118" i="20" s="1"/>
  <c r="AI119" i="20"/>
  <c r="F31" i="27" l="1"/>
  <c r="E31" i="27"/>
  <c r="G31" i="27" s="1"/>
  <c r="H31" i="27" s="1"/>
  <c r="D32" i="27" s="1"/>
  <c r="E32" i="27" s="1"/>
  <c r="AF7" i="60"/>
  <c r="AE13" i="60"/>
  <c r="AU36" i="27"/>
  <c r="AV36" i="27" s="1"/>
  <c r="AW36" i="27" s="1"/>
  <c r="AS37" i="27" s="1"/>
  <c r="AT37" i="27" s="1"/>
  <c r="C40" i="61"/>
  <c r="AI4" i="60"/>
  <c r="AJ119" i="20"/>
  <c r="C122" i="20"/>
  <c r="P38" i="27"/>
  <c r="Q38" i="27" s="1"/>
  <c r="M39" i="27" s="1"/>
  <c r="O39" i="27" s="1"/>
  <c r="AC15" i="60"/>
  <c r="AC19" i="60" s="1"/>
  <c r="X33" i="27"/>
  <c r="Y33" i="27" s="1"/>
  <c r="U34" i="27" s="1"/>
  <c r="V34" i="27" s="1"/>
  <c r="A43" i="27"/>
  <c r="C44" i="27"/>
  <c r="BK36" i="27"/>
  <c r="BJ36" i="27"/>
  <c r="AF5" i="60"/>
  <c r="AE11" i="60"/>
  <c r="AH26" i="60"/>
  <c r="B43" i="61"/>
  <c r="AL34" i="27"/>
  <c r="AM34" i="27"/>
  <c r="AE6" i="60"/>
  <c r="AD12" i="60"/>
  <c r="AD33" i="27"/>
  <c r="AE33" i="27"/>
  <c r="AI14" i="60"/>
  <c r="AJ9" i="60"/>
  <c r="AD10" i="60"/>
  <c r="AK118" i="20"/>
  <c r="AK119" i="20"/>
  <c r="BD35" i="27"/>
  <c r="BE35" i="27" s="1"/>
  <c r="BA36" i="27" s="1"/>
  <c r="I32" i="27" l="1"/>
  <c r="F32" i="27"/>
  <c r="G32" i="27" s="1"/>
  <c r="H32" i="27" s="1"/>
  <c r="D33" i="27" s="1"/>
  <c r="AF13" i="60"/>
  <c r="AG7" i="60"/>
  <c r="AU37" i="27"/>
  <c r="BL36" i="27"/>
  <c r="BM36" i="27" s="1"/>
  <c r="BI37" i="27" s="1"/>
  <c r="BK37" i="27" s="1"/>
  <c r="N39" i="27"/>
  <c r="P39" i="27" s="1"/>
  <c r="Q39" i="27" s="1"/>
  <c r="M40" i="27" s="1"/>
  <c r="AJ4" i="60"/>
  <c r="D40" i="61"/>
  <c r="W34" i="27"/>
  <c r="X34" i="27" s="1"/>
  <c r="Y34" i="27" s="1"/>
  <c r="U35" i="27" s="1"/>
  <c r="C45" i="27"/>
  <c r="A44" i="27"/>
  <c r="AI26" i="60"/>
  <c r="C43" i="61"/>
  <c r="AG5" i="60"/>
  <c r="AF11" i="60"/>
  <c r="AF33" i="27"/>
  <c r="AG33" i="27" s="1"/>
  <c r="AC34" i="27" s="1"/>
  <c r="AJ14" i="60"/>
  <c r="AK9" i="60"/>
  <c r="AV37" i="27"/>
  <c r="AW37" i="27" s="1"/>
  <c r="AS38" i="27" s="1"/>
  <c r="AD15" i="60"/>
  <c r="AF6" i="60"/>
  <c r="AE12" i="60"/>
  <c r="BC36" i="27"/>
  <c r="BB36" i="27"/>
  <c r="AN34" i="27"/>
  <c r="AO34" i="27" s="1"/>
  <c r="AK35" i="27" s="1"/>
  <c r="AE10" i="60"/>
  <c r="E33" i="27" l="1"/>
  <c r="F33" i="27"/>
  <c r="I33" i="27"/>
  <c r="AG13" i="60"/>
  <c r="AH7" i="60"/>
  <c r="BJ37" i="27"/>
  <c r="BD36" i="27"/>
  <c r="BE36" i="27" s="1"/>
  <c r="BA37" i="27" s="1"/>
  <c r="BB37" i="27" s="1"/>
  <c r="AK4" i="60"/>
  <c r="E40" i="61"/>
  <c r="C46" i="27"/>
  <c r="A45" i="27"/>
  <c r="BL37" i="27"/>
  <c r="BM37" i="27" s="1"/>
  <c r="BI38" i="27" s="1"/>
  <c r="BJ38" i="27" s="1"/>
  <c r="V35" i="27"/>
  <c r="W35" i="27"/>
  <c r="AH5" i="60"/>
  <c r="AG11" i="60"/>
  <c r="AG6" i="60"/>
  <c r="AG10" i="60" s="1"/>
  <c r="AF12" i="60"/>
  <c r="N40" i="27"/>
  <c r="O40" i="27"/>
  <c r="AJ26" i="60"/>
  <c r="D43" i="61"/>
  <c r="AD19" i="60"/>
  <c r="AE15" i="60"/>
  <c r="AL9" i="60"/>
  <c r="AK14" i="60"/>
  <c r="AT38" i="27"/>
  <c r="AU38" i="27"/>
  <c r="AM35" i="27"/>
  <c r="AL35" i="27"/>
  <c r="AD34" i="27"/>
  <c r="AE34" i="27"/>
  <c r="AF10" i="60"/>
  <c r="G33" i="27" l="1"/>
  <c r="H33" i="27" s="1"/>
  <c r="D34" i="27" s="1"/>
  <c r="AH13" i="60"/>
  <c r="AI7" i="60"/>
  <c r="BC37" i="27"/>
  <c r="BD37" i="27" s="1"/>
  <c r="BE37" i="27" s="1"/>
  <c r="BA38" i="27" s="1"/>
  <c r="BB38" i="27" s="1"/>
  <c r="AL4" i="60"/>
  <c r="F40" i="61"/>
  <c r="BK38" i="27"/>
  <c r="BL38" i="27" s="1"/>
  <c r="BM38" i="27" s="1"/>
  <c r="BI39" i="27" s="1"/>
  <c r="AF15" i="60"/>
  <c r="AF19" i="60" s="1"/>
  <c r="X35" i="27"/>
  <c r="Y35" i="27" s="1"/>
  <c r="U36" i="27" s="1"/>
  <c r="W36" i="27" s="1"/>
  <c r="C47" i="27"/>
  <c r="A46" i="27"/>
  <c r="AH6" i="60"/>
  <c r="AH10" i="60" s="1"/>
  <c r="AG12" i="60"/>
  <c r="AG15" i="60" s="1"/>
  <c r="AL14" i="60"/>
  <c r="AM9" i="60"/>
  <c r="P40" i="27"/>
  <c r="Q40" i="27" s="1"/>
  <c r="M41" i="27" s="1"/>
  <c r="AF34" i="27"/>
  <c r="AG34" i="27" s="1"/>
  <c r="AC35" i="27" s="1"/>
  <c r="AV38" i="27"/>
  <c r="AW38" i="27" s="1"/>
  <c r="AS39" i="27" s="1"/>
  <c r="AE19" i="60"/>
  <c r="AN35" i="27"/>
  <c r="AO35" i="27" s="1"/>
  <c r="AK36" i="27" s="1"/>
  <c r="AK26" i="60"/>
  <c r="E43" i="61"/>
  <c r="AI5" i="60"/>
  <c r="AH11" i="60"/>
  <c r="E34" i="27" l="1"/>
  <c r="F34" i="27"/>
  <c r="I34" i="27"/>
  <c r="AJ7" i="60"/>
  <c r="AI13" i="60"/>
  <c r="AM4" i="60"/>
  <c r="G40" i="61"/>
  <c r="V36" i="27"/>
  <c r="X36" i="27" s="1"/>
  <c r="Y36" i="27" s="1"/>
  <c r="U37" i="27" s="1"/>
  <c r="V37" i="27" s="1"/>
  <c r="BC38" i="27"/>
  <c r="BD38" i="27" s="1"/>
  <c r="BE38" i="27" s="1"/>
  <c r="BA39" i="27" s="1"/>
  <c r="C48" i="27"/>
  <c r="A47" i="27"/>
  <c r="AL26" i="60"/>
  <c r="F43" i="61"/>
  <c r="O41" i="27"/>
  <c r="N41" i="27"/>
  <c r="AI6" i="60"/>
  <c r="AI10" i="60" s="1"/>
  <c r="AH12" i="60"/>
  <c r="AH15" i="60" s="1"/>
  <c r="AM36" i="27"/>
  <c r="AL36" i="27"/>
  <c r="AN9" i="60"/>
  <c r="AM14" i="60"/>
  <c r="BJ39" i="27"/>
  <c r="BK39" i="27"/>
  <c r="AG19" i="60"/>
  <c r="AJ5" i="60"/>
  <c r="AI11" i="60"/>
  <c r="AU39" i="27"/>
  <c r="AT39" i="27"/>
  <c r="AD35" i="27"/>
  <c r="AE35" i="27"/>
  <c r="G34" i="27" l="1"/>
  <c r="H34" i="27" s="1"/>
  <c r="D35" i="27" s="1"/>
  <c r="AK7" i="60"/>
  <c r="AJ13" i="60"/>
  <c r="AN4" i="60"/>
  <c r="H40" i="61"/>
  <c r="W37" i="27"/>
  <c r="X37" i="27" s="1"/>
  <c r="Y37" i="27" s="1"/>
  <c r="U38" i="27" s="1"/>
  <c r="AN36" i="27"/>
  <c r="AO36" i="27" s="1"/>
  <c r="AK37" i="27" s="1"/>
  <c r="AM37" i="27" s="1"/>
  <c r="AV39" i="27"/>
  <c r="AW39" i="27" s="1"/>
  <c r="AS40" i="27" s="1"/>
  <c r="AT40" i="27" s="1"/>
  <c r="P41" i="27"/>
  <c r="Q41" i="27" s="1"/>
  <c r="M42" i="27" s="1"/>
  <c r="O42" i="27" s="1"/>
  <c r="C49" i="27"/>
  <c r="A48" i="27"/>
  <c r="G43" i="61"/>
  <c r="AM26" i="60"/>
  <c r="AI12" i="60"/>
  <c r="AI15" i="60" s="1"/>
  <c r="AJ6" i="60"/>
  <c r="AJ10" i="60" s="1"/>
  <c r="BC39" i="27"/>
  <c r="BB39" i="27"/>
  <c r="AF35" i="27"/>
  <c r="AG35" i="27" s="1"/>
  <c r="AC36" i="27" s="1"/>
  <c r="BL39" i="27"/>
  <c r="BM39" i="27" s="1"/>
  <c r="BI40" i="27" s="1"/>
  <c r="AH19" i="60"/>
  <c r="AO9" i="60"/>
  <c r="AN14" i="60"/>
  <c r="AK5" i="60"/>
  <c r="AJ11" i="60"/>
  <c r="I35" i="27" l="1"/>
  <c r="E35" i="27"/>
  <c r="F35" i="27"/>
  <c r="AL7" i="60"/>
  <c r="AK13" i="60"/>
  <c r="AL37" i="27"/>
  <c r="AN37" i="27" s="1"/>
  <c r="AO37" i="27" s="1"/>
  <c r="AK38" i="27" s="1"/>
  <c r="AM38" i="27" s="1"/>
  <c r="AO4" i="60"/>
  <c r="I40" i="61"/>
  <c r="W38" i="27"/>
  <c r="V38" i="27"/>
  <c r="AU40" i="27"/>
  <c r="AV40" i="27" s="1"/>
  <c r="AW40" i="27" s="1"/>
  <c r="AS41" i="27" s="1"/>
  <c r="N42" i="27"/>
  <c r="P42" i="27" s="1"/>
  <c r="Q42" i="27" s="1"/>
  <c r="M43" i="27" s="1"/>
  <c r="C50" i="27"/>
  <c r="A49" i="27"/>
  <c r="AE36" i="27"/>
  <c r="AD36" i="27"/>
  <c r="AP9" i="60"/>
  <c r="AP14" i="60" s="1"/>
  <c r="AO14" i="60"/>
  <c r="AN26" i="60"/>
  <c r="H43" i="61"/>
  <c r="AK6" i="60"/>
  <c r="AK10" i="60" s="1"/>
  <c r="AJ12" i="60"/>
  <c r="AJ15" i="60" s="1"/>
  <c r="AI19" i="60"/>
  <c r="BD39" i="27"/>
  <c r="BE39" i="27" s="1"/>
  <c r="BA40" i="27" s="1"/>
  <c r="AL5" i="60"/>
  <c r="AK11" i="60"/>
  <c r="BJ40" i="27"/>
  <c r="BK40" i="27"/>
  <c r="G35" i="27" l="1"/>
  <c r="H35" i="27" s="1"/>
  <c r="D36" i="27" s="1"/>
  <c r="AM7" i="60"/>
  <c r="AL13" i="60"/>
  <c r="X38" i="27"/>
  <c r="Y38" i="27" s="1"/>
  <c r="U39" i="27" s="1"/>
  <c r="W39" i="27" s="1"/>
  <c r="J40" i="61"/>
  <c r="AP4" i="60"/>
  <c r="K40" i="61" s="1"/>
  <c r="AL38" i="27"/>
  <c r="AN38" i="27" s="1"/>
  <c r="AO38" i="27" s="1"/>
  <c r="AK39" i="27" s="1"/>
  <c r="AL39" i="27" s="1"/>
  <c r="C51" i="27"/>
  <c r="A50" i="27"/>
  <c r="BC40" i="27"/>
  <c r="BB40" i="27"/>
  <c r="N43" i="27"/>
  <c r="O43" i="27"/>
  <c r="I43" i="61"/>
  <c r="AO26" i="60"/>
  <c r="AJ19" i="60"/>
  <c r="AM5" i="60"/>
  <c r="AL11" i="60"/>
  <c r="AU41" i="27"/>
  <c r="AT41" i="27"/>
  <c r="AL6" i="60"/>
  <c r="AL10" i="60" s="1"/>
  <c r="AK12" i="60"/>
  <c r="AK15" i="60" s="1"/>
  <c r="BL40" i="27"/>
  <c r="BM40" i="27" s="1"/>
  <c r="BI41" i="27" s="1"/>
  <c r="AF36" i="27"/>
  <c r="AG36" i="27" s="1"/>
  <c r="AC37" i="27" s="1"/>
  <c r="E36" i="27" l="1"/>
  <c r="F36" i="27"/>
  <c r="I36" i="27"/>
  <c r="AN7" i="60"/>
  <c r="AM13" i="60"/>
  <c r="V39" i="27"/>
  <c r="X39" i="27" s="1"/>
  <c r="Y39" i="27" s="1"/>
  <c r="U40" i="27" s="1"/>
  <c r="V40" i="27" s="1"/>
  <c r="AV41" i="27"/>
  <c r="AW41" i="27" s="1"/>
  <c r="AS42" i="27" s="1"/>
  <c r="AU42" i="27" s="1"/>
  <c r="AM39" i="27"/>
  <c r="AN39" i="27" s="1"/>
  <c r="AO39" i="27" s="1"/>
  <c r="AK40" i="27" s="1"/>
  <c r="P43" i="27"/>
  <c r="Q43" i="27" s="1"/>
  <c r="M44" i="27" s="1"/>
  <c r="O44" i="27" s="1"/>
  <c r="C52" i="27"/>
  <c r="A51" i="27"/>
  <c r="AK19" i="60"/>
  <c r="AM6" i="60"/>
  <c r="AM10" i="60" s="1"/>
  <c r="AL12" i="60"/>
  <c r="AL15" i="60" s="1"/>
  <c r="BD40" i="27"/>
  <c r="BE40" i="27" s="1"/>
  <c r="BA41" i="27" s="1"/>
  <c r="BK41" i="27"/>
  <c r="BJ41" i="27"/>
  <c r="AP26" i="60"/>
  <c r="K43" i="61" s="1"/>
  <c r="J43" i="61"/>
  <c r="AN5" i="60"/>
  <c r="AM11" i="60"/>
  <c r="AD37" i="27"/>
  <c r="AE37" i="27"/>
  <c r="G36" i="27" l="1"/>
  <c r="H36" i="27" s="1"/>
  <c r="D37" i="27" s="1"/>
  <c r="F37" i="27" s="1"/>
  <c r="AO7" i="60"/>
  <c r="AN13" i="60"/>
  <c r="W40" i="27"/>
  <c r="X40" i="27" s="1"/>
  <c r="Y40" i="27" s="1"/>
  <c r="U41" i="27" s="1"/>
  <c r="AT42" i="27"/>
  <c r="AV42" i="27" s="1"/>
  <c r="AW42" i="27" s="1"/>
  <c r="AS43" i="27" s="1"/>
  <c r="AT43" i="27" s="1"/>
  <c r="N44" i="27"/>
  <c r="P44" i="27" s="1"/>
  <c r="Q44" i="27" s="1"/>
  <c r="M45" i="27" s="1"/>
  <c r="AF37" i="27"/>
  <c r="AG37" i="27" s="1"/>
  <c r="AC38" i="27" s="1"/>
  <c r="AE38" i="27" s="1"/>
  <c r="C53" i="27"/>
  <c r="A52" i="27"/>
  <c r="AO5" i="60"/>
  <c r="AN11" i="60"/>
  <c r="AL19" i="60"/>
  <c r="BC41" i="27"/>
  <c r="BB41" i="27"/>
  <c r="BL41" i="27"/>
  <c r="BM41" i="27" s="1"/>
  <c r="BI42" i="27" s="1"/>
  <c r="AN6" i="60"/>
  <c r="AN10" i="60" s="1"/>
  <c r="AM12" i="60"/>
  <c r="AM15" i="60" s="1"/>
  <c r="AM40" i="27"/>
  <c r="AL40" i="27"/>
  <c r="I37" i="27" l="1"/>
  <c r="E37" i="27"/>
  <c r="G37" i="27" s="1"/>
  <c r="H37" i="27" s="1"/>
  <c r="D38" i="27" s="1"/>
  <c r="E38" i="27" s="1"/>
  <c r="AO13" i="60"/>
  <c r="AP7" i="60"/>
  <c r="AP13" i="60" s="1"/>
  <c r="AD38" i="27"/>
  <c r="AF38" i="27" s="1"/>
  <c r="AG38" i="27" s="1"/>
  <c r="AC39" i="27" s="1"/>
  <c r="AD39" i="27" s="1"/>
  <c r="AU43" i="27"/>
  <c r="AV43" i="27" s="1"/>
  <c r="AW43" i="27" s="1"/>
  <c r="AS44" i="27" s="1"/>
  <c r="AU44" i="27" s="1"/>
  <c r="AN40" i="27"/>
  <c r="AO40" i="27" s="1"/>
  <c r="AK41" i="27" s="1"/>
  <c r="AL41" i="27" s="1"/>
  <c r="A53" i="27"/>
  <c r="C54" i="27"/>
  <c r="BD41" i="27"/>
  <c r="BE41" i="27" s="1"/>
  <c r="BA42" i="27" s="1"/>
  <c r="BC42" i="27" s="1"/>
  <c r="AM19" i="60"/>
  <c r="BK42" i="27"/>
  <c r="BJ42" i="27"/>
  <c r="N45" i="27"/>
  <c r="O45" i="27"/>
  <c r="AO6" i="60"/>
  <c r="AO10" i="60" s="1"/>
  <c r="AN12" i="60"/>
  <c r="AN15" i="60" s="1"/>
  <c r="V41" i="27"/>
  <c r="W41" i="27"/>
  <c r="AP5" i="60"/>
  <c r="AO11" i="60"/>
  <c r="I38" i="27" l="1"/>
  <c r="F38" i="27"/>
  <c r="G38" i="27" s="1"/>
  <c r="H38" i="27" s="1"/>
  <c r="D39" i="27" s="1"/>
  <c r="BL42" i="27"/>
  <c r="BM42" i="27" s="1"/>
  <c r="BI43" i="27" s="1"/>
  <c r="BJ43" i="27" s="1"/>
  <c r="AM41" i="27"/>
  <c r="AN41" i="27" s="1"/>
  <c r="AO41" i="27" s="1"/>
  <c r="AK42" i="27" s="1"/>
  <c r="AL42" i="27" s="1"/>
  <c r="AE39" i="27"/>
  <c r="AF39" i="27" s="1"/>
  <c r="AG39" i="27" s="1"/>
  <c r="AC40" i="27" s="1"/>
  <c r="AE40" i="27" s="1"/>
  <c r="AT44" i="27"/>
  <c r="AV44" i="27" s="1"/>
  <c r="AW44" i="27" s="1"/>
  <c r="AS45" i="27" s="1"/>
  <c r="AU45" i="27" s="1"/>
  <c r="A54" i="27"/>
  <c r="C55" i="27"/>
  <c r="BB42" i="27"/>
  <c r="BD42" i="27" s="1"/>
  <c r="BE42" i="27" s="1"/>
  <c r="BA43" i="27" s="1"/>
  <c r="AN19" i="60"/>
  <c r="X41" i="27"/>
  <c r="Y41" i="27" s="1"/>
  <c r="U42" i="27" s="1"/>
  <c r="P45" i="27"/>
  <c r="Q45" i="27" s="1"/>
  <c r="M46" i="27" s="1"/>
  <c r="AP11" i="60"/>
  <c r="AP6" i="60"/>
  <c r="AP12" i="60" s="1"/>
  <c r="AO12" i="60"/>
  <c r="AO15" i="60" s="1"/>
  <c r="I39" i="27" l="1"/>
  <c r="E39" i="27"/>
  <c r="F39" i="27"/>
  <c r="BK43" i="27"/>
  <c r="BL43" i="27" s="1"/>
  <c r="BM43" i="27" s="1"/>
  <c r="BI44" i="27" s="1"/>
  <c r="BJ44" i="27" s="1"/>
  <c r="AD40" i="27"/>
  <c r="AF40" i="27" s="1"/>
  <c r="AG40" i="27" s="1"/>
  <c r="AC41" i="27" s="1"/>
  <c r="AE41" i="27" s="1"/>
  <c r="AM42" i="27"/>
  <c r="AN42" i="27" s="1"/>
  <c r="AO42" i="27" s="1"/>
  <c r="AK43" i="27" s="1"/>
  <c r="AT45" i="27"/>
  <c r="AV45" i="27" s="1"/>
  <c r="AW45" i="27" s="1"/>
  <c r="AS46" i="27" s="1"/>
  <c r="AT46" i="27" s="1"/>
  <c r="C56" i="27"/>
  <c r="A55" i="27"/>
  <c r="AO19" i="60"/>
  <c r="V42" i="27"/>
  <c r="W42" i="27"/>
  <c r="AP10" i="60"/>
  <c r="AP15" i="60" s="1"/>
  <c r="BC43" i="27"/>
  <c r="BB43" i="27"/>
  <c r="O46" i="27"/>
  <c r="N46" i="27"/>
  <c r="G39" i="27" l="1"/>
  <c r="H39" i="27" s="1"/>
  <c r="D40" i="27" s="1"/>
  <c r="BD43" i="27"/>
  <c r="BE43" i="27" s="1"/>
  <c r="BA44" i="27" s="1"/>
  <c r="BB44" i="27" s="1"/>
  <c r="AL43" i="27"/>
  <c r="AM43" i="27"/>
  <c r="AU46" i="27"/>
  <c r="AV46" i="27" s="1"/>
  <c r="AW46" i="27" s="1"/>
  <c r="AS47" i="27" s="1"/>
  <c r="BK44" i="27"/>
  <c r="BL44" i="27" s="1"/>
  <c r="BM44" i="27" s="1"/>
  <c r="BI45" i="27" s="1"/>
  <c r="X42" i="27"/>
  <c r="Y42" i="27" s="1"/>
  <c r="U43" i="27" s="1"/>
  <c r="V43" i="27" s="1"/>
  <c r="AD41" i="27"/>
  <c r="AF41" i="27" s="1"/>
  <c r="AG41" i="27" s="1"/>
  <c r="AC42" i="27" s="1"/>
  <c r="AE42" i="27" s="1"/>
  <c r="A56" i="27"/>
  <c r="C57" i="27"/>
  <c r="AP19" i="60"/>
  <c r="P46" i="27"/>
  <c r="Q46" i="27" s="1"/>
  <c r="M47" i="27" s="1"/>
  <c r="F40" i="27" l="1"/>
  <c r="E40" i="27"/>
  <c r="G40" i="27" s="1"/>
  <c r="H40" i="27" s="1"/>
  <c r="D41" i="27" s="1"/>
  <c r="I40" i="27"/>
  <c r="BC44" i="27"/>
  <c r="BD44" i="27" s="1"/>
  <c r="BE44" i="27" s="1"/>
  <c r="BA45" i="27" s="1"/>
  <c r="AN43" i="27"/>
  <c r="AO43" i="27" s="1"/>
  <c r="AK44" i="27" s="1"/>
  <c r="AM44" i="27" s="1"/>
  <c r="W43" i="27"/>
  <c r="X43" i="27" s="1"/>
  <c r="Y43" i="27" s="1"/>
  <c r="U44" i="27" s="1"/>
  <c r="W44" i="27" s="1"/>
  <c r="AD42" i="27"/>
  <c r="AF42" i="27" s="1"/>
  <c r="AG42" i="27" s="1"/>
  <c r="AC43" i="27" s="1"/>
  <c r="AD43" i="27" s="1"/>
  <c r="A57" i="27"/>
  <c r="C58" i="27"/>
  <c r="AT47" i="27"/>
  <c r="AU47" i="27"/>
  <c r="BK45" i="27"/>
  <c r="BJ45" i="27"/>
  <c r="O47" i="27"/>
  <c r="N47" i="27"/>
  <c r="I41" i="27" l="1"/>
  <c r="F41" i="27"/>
  <c r="E41" i="27"/>
  <c r="BL45" i="27"/>
  <c r="BM45" i="27" s="1"/>
  <c r="BI46" i="27" s="1"/>
  <c r="BK46" i="27" s="1"/>
  <c r="AL44" i="27"/>
  <c r="AN44" i="27" s="1"/>
  <c r="AO44" i="27" s="1"/>
  <c r="AK45" i="27" s="1"/>
  <c r="P47" i="27"/>
  <c r="Q47" i="27" s="1"/>
  <c r="M48" i="27" s="1"/>
  <c r="N48" i="27" s="1"/>
  <c r="V44" i="27"/>
  <c r="X44" i="27" s="1"/>
  <c r="Y44" i="27" s="1"/>
  <c r="U45" i="27" s="1"/>
  <c r="V45" i="27" s="1"/>
  <c r="AE43" i="27"/>
  <c r="AF43" i="27" s="1"/>
  <c r="AG43" i="27" s="1"/>
  <c r="AC44" i="27" s="1"/>
  <c r="C59" i="27"/>
  <c r="A58" i="27"/>
  <c r="AV47" i="27"/>
  <c r="AW47" i="27" s="1"/>
  <c r="AS48" i="27" s="1"/>
  <c r="AT48" i="27" s="1"/>
  <c r="BB45" i="27"/>
  <c r="BC45" i="27"/>
  <c r="G41" i="27" l="1"/>
  <c r="H41" i="27" s="1"/>
  <c r="D42" i="27" s="1"/>
  <c r="E42" i="27" s="1"/>
  <c r="BJ46" i="27"/>
  <c r="BL46" i="27" s="1"/>
  <c r="BM46" i="27" s="1"/>
  <c r="BI47" i="27" s="1"/>
  <c r="BK47" i="27" s="1"/>
  <c r="O48" i="27"/>
  <c r="P48" i="27" s="1"/>
  <c r="Q48" i="27" s="1"/>
  <c r="M49" i="27" s="1"/>
  <c r="O49" i="27" s="1"/>
  <c r="W45" i="27"/>
  <c r="X45" i="27" s="1"/>
  <c r="Y45" i="27" s="1"/>
  <c r="U46" i="27" s="1"/>
  <c r="W46" i="27" s="1"/>
  <c r="AD44" i="27"/>
  <c r="AE44" i="27"/>
  <c r="AU48" i="27"/>
  <c r="AV48" i="27" s="1"/>
  <c r="AW48" i="27" s="1"/>
  <c r="AS49" i="27" s="1"/>
  <c r="A59" i="27"/>
  <c r="C60" i="27"/>
  <c r="AM45" i="27"/>
  <c r="AL45" i="27"/>
  <c r="BD45" i="27"/>
  <c r="BE45" i="27" s="1"/>
  <c r="BA46" i="27" s="1"/>
  <c r="I42" i="27" l="1"/>
  <c r="F42" i="27"/>
  <c r="G42" i="27" s="1"/>
  <c r="H42" i="27" s="1"/>
  <c r="D43" i="27" s="1"/>
  <c r="F43" i="27" s="1"/>
  <c r="AF44" i="27"/>
  <c r="AG44" i="27" s="1"/>
  <c r="AC45" i="27" s="1"/>
  <c r="AD45" i="27" s="1"/>
  <c r="AU49" i="27"/>
  <c r="AT49" i="27"/>
  <c r="N49" i="27"/>
  <c r="P49" i="27" s="1"/>
  <c r="Q49" i="27" s="1"/>
  <c r="M50" i="27" s="1"/>
  <c r="N50" i="27" s="1"/>
  <c r="V46" i="27"/>
  <c r="X46" i="27" s="1"/>
  <c r="Y46" i="27" s="1"/>
  <c r="U47" i="27" s="1"/>
  <c r="BJ47" i="27"/>
  <c r="BL47" i="27" s="1"/>
  <c r="BM47" i="27" s="1"/>
  <c r="BI48" i="27" s="1"/>
  <c r="BK48" i="27" s="1"/>
  <c r="C61" i="27"/>
  <c r="A60" i="27"/>
  <c r="BC46" i="27"/>
  <c r="BB46" i="27"/>
  <c r="AN45" i="27"/>
  <c r="AO45" i="27" s="1"/>
  <c r="AK46" i="27" s="1"/>
  <c r="I43" i="27" l="1"/>
  <c r="E43" i="27"/>
  <c r="G43" i="27" s="1"/>
  <c r="H43" i="27" s="1"/>
  <c r="D44" i="27" s="1"/>
  <c r="F44" i="27" s="1"/>
  <c r="AV49" i="27"/>
  <c r="AW49" i="27" s="1"/>
  <c r="AS50" i="27" s="1"/>
  <c r="AU50" i="27" s="1"/>
  <c r="AE45" i="27"/>
  <c r="AF45" i="27" s="1"/>
  <c r="AG45" i="27" s="1"/>
  <c r="AC46" i="27" s="1"/>
  <c r="AD46" i="27" s="1"/>
  <c r="O50" i="27"/>
  <c r="P50" i="27" s="1"/>
  <c r="Q50" i="27" s="1"/>
  <c r="M51" i="27" s="1"/>
  <c r="O51" i="27" s="1"/>
  <c r="BD46" i="27"/>
  <c r="BE46" i="27" s="1"/>
  <c r="BA47" i="27" s="1"/>
  <c r="BC47" i="27" s="1"/>
  <c r="V47" i="27"/>
  <c r="W47" i="27"/>
  <c r="BJ48" i="27"/>
  <c r="BL48" i="27" s="1"/>
  <c r="BM48" i="27" s="1"/>
  <c r="BI49" i="27" s="1"/>
  <c r="AT50" i="27"/>
  <c r="AV50" i="27" s="1"/>
  <c r="AW50" i="27" s="1"/>
  <c r="AS51" i="27" s="1"/>
  <c r="C62" i="27"/>
  <c r="A61" i="27"/>
  <c r="AM46" i="27"/>
  <c r="AL46" i="27"/>
  <c r="I44" i="27" l="1"/>
  <c r="E44" i="27"/>
  <c r="G44" i="27" s="1"/>
  <c r="H44" i="27" s="1"/>
  <c r="D45" i="27" s="1"/>
  <c r="BB47" i="27"/>
  <c r="AE46" i="27"/>
  <c r="AF46" i="27" s="1"/>
  <c r="AG46" i="27" s="1"/>
  <c r="AC47" i="27" s="1"/>
  <c r="AD47" i="27" s="1"/>
  <c r="X47" i="27"/>
  <c r="Y47" i="27" s="1"/>
  <c r="U48" i="27" s="1"/>
  <c r="W48" i="27" s="1"/>
  <c r="N51" i="27"/>
  <c r="P51" i="27" s="1"/>
  <c r="Q51" i="27" s="1"/>
  <c r="M52" i="27" s="1"/>
  <c r="A62" i="27"/>
  <c r="C63" i="27"/>
  <c r="BD47" i="27"/>
  <c r="BE47" i="27" s="1"/>
  <c r="BA48" i="27" s="1"/>
  <c r="AT51" i="27"/>
  <c r="AU51" i="27"/>
  <c r="BK49" i="27"/>
  <c r="BJ49" i="27"/>
  <c r="AN46" i="27"/>
  <c r="AO46" i="27" s="1"/>
  <c r="AK47" i="27" s="1"/>
  <c r="F45" i="27" l="1"/>
  <c r="E45" i="27"/>
  <c r="G45" i="27" s="1"/>
  <c r="H45" i="27" s="1"/>
  <c r="D46" i="27" s="1"/>
  <c r="I45" i="27"/>
  <c r="V48" i="27"/>
  <c r="X48" i="27" s="1"/>
  <c r="Y48" i="27" s="1"/>
  <c r="U49" i="27" s="1"/>
  <c r="N52" i="27"/>
  <c r="O52" i="27"/>
  <c r="AE47" i="27"/>
  <c r="AF47" i="27" s="1"/>
  <c r="AG47" i="27" s="1"/>
  <c r="AC48" i="27" s="1"/>
  <c r="AE48" i="27" s="1"/>
  <c r="BL49" i="27"/>
  <c r="BM49" i="27" s="1"/>
  <c r="BI50" i="27" s="1"/>
  <c r="BK50" i="27" s="1"/>
  <c r="A63" i="27"/>
  <c r="C64" i="27"/>
  <c r="AV51" i="27"/>
  <c r="AW51" i="27" s="1"/>
  <c r="AS52" i="27" s="1"/>
  <c r="AM47" i="27"/>
  <c r="AL47" i="27"/>
  <c r="BB48" i="27"/>
  <c r="BC48" i="27"/>
  <c r="I46" i="27" l="1"/>
  <c r="E46" i="27"/>
  <c r="F46" i="27"/>
  <c r="AN47" i="27"/>
  <c r="AO47" i="27" s="1"/>
  <c r="AK48" i="27" s="1"/>
  <c r="AM48" i="27" s="1"/>
  <c r="BJ50" i="27"/>
  <c r="BL50" i="27" s="1"/>
  <c r="BM50" i="27" s="1"/>
  <c r="BI51" i="27" s="1"/>
  <c r="BJ51" i="27" s="1"/>
  <c r="P52" i="27"/>
  <c r="Q52" i="27" s="1"/>
  <c r="M53" i="27" s="1"/>
  <c r="O53" i="27" s="1"/>
  <c r="AD48" i="27"/>
  <c r="AF48" i="27" s="1"/>
  <c r="AG48" i="27" s="1"/>
  <c r="AC49" i="27" s="1"/>
  <c r="AE49" i="27" s="1"/>
  <c r="A64" i="27"/>
  <c r="C65" i="27"/>
  <c r="BD48" i="27"/>
  <c r="BE48" i="27" s="1"/>
  <c r="BA49" i="27" s="1"/>
  <c r="BB49" i="27" s="1"/>
  <c r="W49" i="27"/>
  <c r="V49" i="27"/>
  <c r="AU52" i="27"/>
  <c r="AT52" i="27"/>
  <c r="G46" i="27" l="1"/>
  <c r="H46" i="27" s="1"/>
  <c r="D47" i="27" s="1"/>
  <c r="I47" i="27"/>
  <c r="E47" i="27"/>
  <c r="F47" i="27"/>
  <c r="AL48" i="27"/>
  <c r="AN48" i="27" s="1"/>
  <c r="AO48" i="27" s="1"/>
  <c r="AK49" i="27" s="1"/>
  <c r="AL49" i="27" s="1"/>
  <c r="N53" i="27"/>
  <c r="P53" i="27" s="1"/>
  <c r="Q53" i="27" s="1"/>
  <c r="M54" i="27" s="1"/>
  <c r="BK51" i="27"/>
  <c r="BL51" i="27" s="1"/>
  <c r="BM51" i="27" s="1"/>
  <c r="BI52" i="27" s="1"/>
  <c r="AV52" i="27"/>
  <c r="AW52" i="27" s="1"/>
  <c r="AS53" i="27" s="1"/>
  <c r="AU53" i="27" s="1"/>
  <c r="AD49" i="27"/>
  <c r="AF49" i="27" s="1"/>
  <c r="AG49" i="27" s="1"/>
  <c r="AC50" i="27" s="1"/>
  <c r="AE50" i="27" s="1"/>
  <c r="BC49" i="27"/>
  <c r="BD49" i="27" s="1"/>
  <c r="BE49" i="27" s="1"/>
  <c r="BA50" i="27" s="1"/>
  <c r="C66" i="27"/>
  <c r="A65" i="27"/>
  <c r="X49" i="27"/>
  <c r="Y49" i="27" s="1"/>
  <c r="U50" i="27" s="1"/>
  <c r="G47" i="27" l="1"/>
  <c r="H47" i="27" s="1"/>
  <c r="D48" i="27" s="1"/>
  <c r="AT53" i="27"/>
  <c r="AV53" i="27" s="1"/>
  <c r="AW53" i="27" s="1"/>
  <c r="AS54" i="27" s="1"/>
  <c r="AT54" i="27" s="1"/>
  <c r="N54" i="27"/>
  <c r="O54" i="27"/>
  <c r="AD50" i="27"/>
  <c r="AF50" i="27" s="1"/>
  <c r="AG50" i="27" s="1"/>
  <c r="AC51" i="27" s="1"/>
  <c r="AE51" i="27" s="1"/>
  <c r="AM49" i="27"/>
  <c r="AN49" i="27" s="1"/>
  <c r="AO49" i="27" s="1"/>
  <c r="AK50" i="27" s="1"/>
  <c r="BB50" i="27"/>
  <c r="BC50" i="27"/>
  <c r="C67" i="27"/>
  <c r="A66" i="27"/>
  <c r="BK52" i="27"/>
  <c r="BJ52" i="27"/>
  <c r="V50" i="27"/>
  <c r="W50" i="27"/>
  <c r="E48" i="27" l="1"/>
  <c r="F48" i="27"/>
  <c r="I48" i="27"/>
  <c r="P54" i="27"/>
  <c r="Q54" i="27" s="1"/>
  <c r="M55" i="27" s="1"/>
  <c r="O55" i="27" s="1"/>
  <c r="BL52" i="27"/>
  <c r="BM52" i="27" s="1"/>
  <c r="BI53" i="27" s="1"/>
  <c r="BJ53" i="27" s="1"/>
  <c r="BD50" i="27"/>
  <c r="BE50" i="27" s="1"/>
  <c r="BA51" i="27" s="1"/>
  <c r="BC51" i="27" s="1"/>
  <c r="AD51" i="27"/>
  <c r="AF51" i="27" s="1"/>
  <c r="AG51" i="27" s="1"/>
  <c r="AC52" i="27" s="1"/>
  <c r="AD52" i="27" s="1"/>
  <c r="AU54" i="27"/>
  <c r="AV54" i="27" s="1"/>
  <c r="AW54" i="27" s="1"/>
  <c r="AS55" i="27" s="1"/>
  <c r="N55" i="27"/>
  <c r="P55" i="27" s="1"/>
  <c r="Q55" i="27" s="1"/>
  <c r="M56" i="27" s="1"/>
  <c r="O56" i="27" s="1"/>
  <c r="A67" i="27"/>
  <c r="C68" i="27"/>
  <c r="BK53" i="27"/>
  <c r="X50" i="27"/>
  <c r="Y50" i="27" s="1"/>
  <c r="U51" i="27" s="1"/>
  <c r="AM50" i="27"/>
  <c r="AL50" i="27"/>
  <c r="G48" i="27" l="1"/>
  <c r="H48" i="27" s="1"/>
  <c r="D49" i="27" s="1"/>
  <c r="BB51" i="27"/>
  <c r="BD51" i="27" s="1"/>
  <c r="BE51" i="27" s="1"/>
  <c r="BA52" i="27" s="1"/>
  <c r="BB52" i="27" s="1"/>
  <c r="AT55" i="27"/>
  <c r="AU55" i="27"/>
  <c r="N56" i="27"/>
  <c r="P56" i="27" s="1"/>
  <c r="Q56" i="27" s="1"/>
  <c r="M57" i="27" s="1"/>
  <c r="N57" i="27" s="1"/>
  <c r="AE52" i="27"/>
  <c r="AF52" i="27" s="1"/>
  <c r="AG52" i="27" s="1"/>
  <c r="AC53" i="27" s="1"/>
  <c r="A68" i="27"/>
  <c r="C69" i="27"/>
  <c r="W51" i="27"/>
  <c r="V51" i="27"/>
  <c r="AN50" i="27"/>
  <c r="AO50" i="27" s="1"/>
  <c r="AK51" i="27" s="1"/>
  <c r="BL53" i="27"/>
  <c r="BM53" i="27" s="1"/>
  <c r="BI54" i="27" s="1"/>
  <c r="E49" i="27" l="1"/>
  <c r="I49" i="27"/>
  <c r="F49" i="27"/>
  <c r="X51" i="27"/>
  <c r="Y51" i="27" s="1"/>
  <c r="U52" i="27" s="1"/>
  <c r="W52" i="27" s="1"/>
  <c r="BC52" i="27"/>
  <c r="BD52" i="27" s="1"/>
  <c r="BE52" i="27" s="1"/>
  <c r="BA53" i="27" s="1"/>
  <c r="BB53" i="27" s="1"/>
  <c r="AV55" i="27"/>
  <c r="AW55" i="27" s="1"/>
  <c r="AS56" i="27" s="1"/>
  <c r="AU56" i="27" s="1"/>
  <c r="O57" i="27"/>
  <c r="P57" i="27" s="1"/>
  <c r="Q57" i="27" s="1"/>
  <c r="M58" i="27" s="1"/>
  <c r="A69" i="27"/>
  <c r="C70" i="27"/>
  <c r="BK54" i="27"/>
  <c r="BJ54" i="27"/>
  <c r="AL51" i="27"/>
  <c r="AM51" i="27"/>
  <c r="AD53" i="27"/>
  <c r="AE53" i="27"/>
  <c r="G49" i="27" l="1"/>
  <c r="H49" i="27" s="1"/>
  <c r="D50" i="27" s="1"/>
  <c r="I50" i="27" s="1"/>
  <c r="V52" i="27"/>
  <c r="X52" i="27" s="1"/>
  <c r="Y52" i="27" s="1"/>
  <c r="U53" i="27" s="1"/>
  <c r="W53" i="27" s="1"/>
  <c r="AT56" i="27"/>
  <c r="AV56" i="27" s="1"/>
  <c r="AW56" i="27" s="1"/>
  <c r="AS57" i="27" s="1"/>
  <c r="AT57" i="27" s="1"/>
  <c r="O58" i="27"/>
  <c r="N58" i="27"/>
  <c r="BL54" i="27"/>
  <c r="BM54" i="27" s="1"/>
  <c r="BI55" i="27" s="1"/>
  <c r="BJ55" i="27" s="1"/>
  <c r="BC53" i="27"/>
  <c r="BD53" i="27" s="1"/>
  <c r="BE53" i="27" s="1"/>
  <c r="BA54" i="27" s="1"/>
  <c r="AN51" i="27"/>
  <c r="AO51" i="27" s="1"/>
  <c r="AK52" i="27" s="1"/>
  <c r="AL52" i="27" s="1"/>
  <c r="AF53" i="27"/>
  <c r="AG53" i="27" s="1"/>
  <c r="AC54" i="27" s="1"/>
  <c r="AE54" i="27" s="1"/>
  <c r="C71" i="27"/>
  <c r="A70" i="27"/>
  <c r="F50" i="27" l="1"/>
  <c r="E50" i="27"/>
  <c r="G50" i="27" s="1"/>
  <c r="H50" i="27" s="1"/>
  <c r="D51" i="27" s="1"/>
  <c r="P58" i="27"/>
  <c r="Q58" i="27" s="1"/>
  <c r="M59" i="27" s="1"/>
  <c r="AU57" i="27"/>
  <c r="AV57" i="27" s="1"/>
  <c r="AW57" i="27" s="1"/>
  <c r="AS58" i="27" s="1"/>
  <c r="AT58" i="27" s="1"/>
  <c r="V53" i="27"/>
  <c r="X53" i="27" s="1"/>
  <c r="Y53" i="27" s="1"/>
  <c r="U54" i="27" s="1"/>
  <c r="W54" i="27" s="1"/>
  <c r="BK55" i="27"/>
  <c r="BL55" i="27" s="1"/>
  <c r="BM55" i="27" s="1"/>
  <c r="BI56" i="27" s="1"/>
  <c r="AD54" i="27"/>
  <c r="AF54" i="27" s="1"/>
  <c r="AG54" i="27" s="1"/>
  <c r="AC55" i="27" s="1"/>
  <c r="AM52" i="27"/>
  <c r="AN52" i="27" s="1"/>
  <c r="AO52" i="27" s="1"/>
  <c r="AK53" i="27" s="1"/>
  <c r="C72" i="27"/>
  <c r="A71" i="27"/>
  <c r="O59" i="27"/>
  <c r="N59" i="27"/>
  <c r="BB54" i="27"/>
  <c r="BC54" i="27"/>
  <c r="E51" i="27" l="1"/>
  <c r="F51" i="27"/>
  <c r="I51" i="27"/>
  <c r="AU58" i="27"/>
  <c r="AV58" i="27" s="1"/>
  <c r="AW58" i="27" s="1"/>
  <c r="AS59" i="27" s="1"/>
  <c r="AT59" i="27" s="1"/>
  <c r="V54" i="27"/>
  <c r="X54" i="27" s="1"/>
  <c r="Y54" i="27" s="1"/>
  <c r="U55" i="27" s="1"/>
  <c r="AE55" i="27"/>
  <c r="AD55" i="27"/>
  <c r="BD54" i="27"/>
  <c r="BE54" i="27" s="1"/>
  <c r="BA55" i="27" s="1"/>
  <c r="BC55" i="27" s="1"/>
  <c r="C73" i="27"/>
  <c r="A72" i="27"/>
  <c r="AL53" i="27"/>
  <c r="AM53" i="27"/>
  <c r="P59" i="27"/>
  <c r="Q59" i="27" s="1"/>
  <c r="M60" i="27" s="1"/>
  <c r="BJ56" i="27"/>
  <c r="BK56" i="27"/>
  <c r="G51" i="27" l="1"/>
  <c r="H51" i="27" s="1"/>
  <c r="D52" i="27" s="1"/>
  <c r="F52" i="27" s="1"/>
  <c r="AF55" i="27"/>
  <c r="AG55" i="27" s="1"/>
  <c r="AC56" i="27" s="1"/>
  <c r="AU59" i="27"/>
  <c r="AV59" i="27" s="1"/>
  <c r="AW59" i="27" s="1"/>
  <c r="AS60" i="27" s="1"/>
  <c r="BB55" i="27"/>
  <c r="BD55" i="27" s="1"/>
  <c r="BE55" i="27" s="1"/>
  <c r="BA56" i="27" s="1"/>
  <c r="BC56" i="27" s="1"/>
  <c r="BL56" i="27"/>
  <c r="BM56" i="27" s="1"/>
  <c r="BI57" i="27" s="1"/>
  <c r="BJ57" i="27" s="1"/>
  <c r="A73" i="27"/>
  <c r="C74" i="27"/>
  <c r="AN53" i="27"/>
  <c r="AO53" i="27" s="1"/>
  <c r="AK54" i="27" s="1"/>
  <c r="AM54" i="27" s="1"/>
  <c r="W55" i="27"/>
  <c r="V55" i="27"/>
  <c r="O60" i="27"/>
  <c r="N60" i="27"/>
  <c r="AD56" i="27"/>
  <c r="AE56" i="27"/>
  <c r="I52" i="27" l="1"/>
  <c r="E52" i="27"/>
  <c r="G52" i="27" s="1"/>
  <c r="H52" i="27" s="1"/>
  <c r="D53" i="27" s="1"/>
  <c r="I53" i="27" s="1"/>
  <c r="BB56" i="27"/>
  <c r="BD56" i="27" s="1"/>
  <c r="BE56" i="27" s="1"/>
  <c r="BA57" i="27" s="1"/>
  <c r="BK57" i="27"/>
  <c r="BL57" i="27" s="1"/>
  <c r="BM57" i="27" s="1"/>
  <c r="BI58" i="27" s="1"/>
  <c r="AL54" i="27"/>
  <c r="AN54" i="27" s="1"/>
  <c r="AO54" i="27" s="1"/>
  <c r="AK55" i="27" s="1"/>
  <c r="AL55" i="27" s="1"/>
  <c r="X55" i="27"/>
  <c r="Y55" i="27" s="1"/>
  <c r="U56" i="27" s="1"/>
  <c r="W56" i="27" s="1"/>
  <c r="A74" i="27"/>
  <c r="C75" i="27"/>
  <c r="P60" i="27"/>
  <c r="Q60" i="27" s="1"/>
  <c r="M61" i="27" s="1"/>
  <c r="N61" i="27" s="1"/>
  <c r="AU60" i="27"/>
  <c r="AT60" i="27"/>
  <c r="AF56" i="27"/>
  <c r="AG56" i="27" s="1"/>
  <c r="AC57" i="27" s="1"/>
  <c r="E53" i="27" l="1"/>
  <c r="F53" i="27"/>
  <c r="BJ58" i="27"/>
  <c r="BK58" i="27"/>
  <c r="V56" i="27"/>
  <c r="X56" i="27" s="1"/>
  <c r="Y56" i="27" s="1"/>
  <c r="U57" i="27" s="1"/>
  <c r="AM55" i="27"/>
  <c r="AN55" i="27" s="1"/>
  <c r="AO55" i="27" s="1"/>
  <c r="AK56" i="27" s="1"/>
  <c r="O61" i="27"/>
  <c r="P61" i="27" s="1"/>
  <c r="Q61" i="27" s="1"/>
  <c r="M62" i="27" s="1"/>
  <c r="A75" i="27"/>
  <c r="C76" i="27"/>
  <c r="BB57" i="27"/>
  <c r="BC57" i="27"/>
  <c r="AE57" i="27"/>
  <c r="AD57" i="27"/>
  <c r="AV60" i="27"/>
  <c r="AW60" i="27" s="1"/>
  <c r="AS61" i="27" s="1"/>
  <c r="G53" i="27" l="1"/>
  <c r="H53" i="27" s="1"/>
  <c r="D54" i="27" s="1"/>
  <c r="E54" i="27" s="1"/>
  <c r="BL58" i="27"/>
  <c r="BM58" i="27" s="1"/>
  <c r="BI59" i="27" s="1"/>
  <c r="BJ59" i="27" s="1"/>
  <c r="AF57" i="27"/>
  <c r="AG57" i="27" s="1"/>
  <c r="AC58" i="27" s="1"/>
  <c r="AE58" i="27" s="1"/>
  <c r="N62" i="27"/>
  <c r="O62" i="27"/>
  <c r="A76" i="27"/>
  <c r="C77" i="27"/>
  <c r="BD57" i="27"/>
  <c r="BE57" i="27" s="1"/>
  <c r="BA58" i="27" s="1"/>
  <c r="V57" i="27"/>
  <c r="W57" i="27"/>
  <c r="AU61" i="27"/>
  <c r="AT61" i="27"/>
  <c r="AM56" i="27"/>
  <c r="AL56" i="27"/>
  <c r="F54" i="27" l="1"/>
  <c r="G54" i="27" s="1"/>
  <c r="H54" i="27" s="1"/>
  <c r="D55" i="27" s="1"/>
  <c r="F55" i="27" s="1"/>
  <c r="I54" i="27"/>
  <c r="BK59" i="27"/>
  <c r="P62" i="27"/>
  <c r="Q62" i="27" s="1"/>
  <c r="M63" i="27" s="1"/>
  <c r="N63" i="27" s="1"/>
  <c r="AN56" i="27"/>
  <c r="AO56" i="27" s="1"/>
  <c r="AK57" i="27" s="1"/>
  <c r="AL57" i="27" s="1"/>
  <c r="AD58" i="27"/>
  <c r="AF58" i="27" s="1"/>
  <c r="AG58" i="27" s="1"/>
  <c r="AC59" i="27" s="1"/>
  <c r="AD59" i="27" s="1"/>
  <c r="AV61" i="27"/>
  <c r="AW61" i="27" s="1"/>
  <c r="AS62" i="27" s="1"/>
  <c r="AU62" i="27" s="1"/>
  <c r="C78" i="27"/>
  <c r="A77" i="27"/>
  <c r="BL59" i="27"/>
  <c r="BM59" i="27" s="1"/>
  <c r="BI60" i="27" s="1"/>
  <c r="BJ60" i="27" s="1"/>
  <c r="X57" i="27"/>
  <c r="Y57" i="27" s="1"/>
  <c r="U58" i="27" s="1"/>
  <c r="V58" i="27" s="1"/>
  <c r="BC58" i="27"/>
  <c r="BB58" i="27"/>
  <c r="E55" i="27" l="1"/>
  <c r="O63" i="27"/>
  <c r="I55" i="27"/>
  <c r="G55" i="27"/>
  <c r="H55" i="27" s="1"/>
  <c r="D56" i="27" s="1"/>
  <c r="F56" i="27" s="1"/>
  <c r="AM57" i="27"/>
  <c r="BK60" i="27"/>
  <c r="BL60" i="27" s="1"/>
  <c r="BM60" i="27" s="1"/>
  <c r="BI61" i="27" s="1"/>
  <c r="AE59" i="27"/>
  <c r="AF59" i="27" s="1"/>
  <c r="AG59" i="27" s="1"/>
  <c r="AC60" i="27" s="1"/>
  <c r="AT62" i="27"/>
  <c r="AV62" i="27" s="1"/>
  <c r="AW62" i="27" s="1"/>
  <c r="AS63" i="27" s="1"/>
  <c r="AT63" i="27" s="1"/>
  <c r="BD58" i="27"/>
  <c r="BE58" i="27" s="1"/>
  <c r="BA59" i="27" s="1"/>
  <c r="BB59" i="27" s="1"/>
  <c r="AN57" i="27"/>
  <c r="AO57" i="27" s="1"/>
  <c r="AK58" i="27" s="1"/>
  <c r="AM58" i="27" s="1"/>
  <c r="W58" i="27"/>
  <c r="X58" i="27" s="1"/>
  <c r="Y58" i="27" s="1"/>
  <c r="U59" i="27" s="1"/>
  <c r="C79" i="27"/>
  <c r="A78" i="27"/>
  <c r="P63" i="27"/>
  <c r="Q63" i="27" s="1"/>
  <c r="M64" i="27" s="1"/>
  <c r="E56" i="27" l="1"/>
  <c r="G56" i="27" s="1"/>
  <c r="H56" i="27" s="1"/>
  <c r="D57" i="27" s="1"/>
  <c r="I56" i="27"/>
  <c r="BC59" i="27"/>
  <c r="BD59" i="27" s="1"/>
  <c r="BE59" i="27" s="1"/>
  <c r="BA60" i="27" s="1"/>
  <c r="BK61" i="27"/>
  <c r="BJ61" i="27"/>
  <c r="BL61" i="27" s="1"/>
  <c r="BM61" i="27" s="1"/>
  <c r="BI62" i="27" s="1"/>
  <c r="AU63" i="27"/>
  <c r="AV63" i="27" s="1"/>
  <c r="AW63" i="27" s="1"/>
  <c r="AS64" i="27" s="1"/>
  <c r="AU64" i="27" s="1"/>
  <c r="AL58" i="27"/>
  <c r="AN58" i="27" s="1"/>
  <c r="AO58" i="27" s="1"/>
  <c r="AK59" i="27" s="1"/>
  <c r="AL59" i="27" s="1"/>
  <c r="V59" i="27"/>
  <c r="W59" i="27"/>
  <c r="C80" i="27"/>
  <c r="A79" i="27"/>
  <c r="AD60" i="27"/>
  <c r="AE60" i="27"/>
  <c r="N64" i="27"/>
  <c r="O64" i="27"/>
  <c r="I57" i="27" l="1"/>
  <c r="F57" i="27"/>
  <c r="E57" i="27"/>
  <c r="AM59" i="27"/>
  <c r="AN59" i="27" s="1"/>
  <c r="AO59" i="27" s="1"/>
  <c r="AK60" i="27" s="1"/>
  <c r="C81" i="27"/>
  <c r="A80" i="27"/>
  <c r="AT64" i="27"/>
  <c r="AV64" i="27" s="1"/>
  <c r="AW64" i="27" s="1"/>
  <c r="AS65" i="27" s="1"/>
  <c r="AU65" i="27" s="1"/>
  <c r="X59" i="27"/>
  <c r="Y59" i="27" s="1"/>
  <c r="U60" i="27" s="1"/>
  <c r="BC60" i="27"/>
  <c r="BB60" i="27"/>
  <c r="AF60" i="27"/>
  <c r="AG60" i="27" s="1"/>
  <c r="AC61" i="27" s="1"/>
  <c r="BK62" i="27"/>
  <c r="BJ62" i="27"/>
  <c r="P64" i="27"/>
  <c r="Q64" i="27" s="1"/>
  <c r="M65" i="27" s="1"/>
  <c r="G57" i="27" l="1"/>
  <c r="H57" i="27" s="1"/>
  <c r="D58" i="27" s="1"/>
  <c r="I58" i="27" s="1"/>
  <c r="BL62" i="27"/>
  <c r="BM62" i="27" s="1"/>
  <c r="BI63" i="27" s="1"/>
  <c r="AT65" i="27"/>
  <c r="AV65" i="27" s="1"/>
  <c r="AW65" i="27" s="1"/>
  <c r="AS66" i="27" s="1"/>
  <c r="AT66" i="27" s="1"/>
  <c r="V60" i="27"/>
  <c r="W60" i="27"/>
  <c r="C82" i="27"/>
  <c r="A81" i="27"/>
  <c r="BJ63" i="27"/>
  <c r="BK63" i="27"/>
  <c r="AE61" i="27"/>
  <c r="AD61" i="27"/>
  <c r="AL60" i="27"/>
  <c r="AM60" i="27"/>
  <c r="N65" i="27"/>
  <c r="O65" i="27"/>
  <c r="BD60" i="27"/>
  <c r="BE60" i="27" s="1"/>
  <c r="BA61" i="27" s="1"/>
  <c r="E58" i="27" l="1"/>
  <c r="G58" i="27" s="1"/>
  <c r="H58" i="27" s="1"/>
  <c r="D59" i="27" s="1"/>
  <c r="F58" i="27"/>
  <c r="AF61" i="27"/>
  <c r="AG61" i="27" s="1"/>
  <c r="AC62" i="27" s="1"/>
  <c r="AD62" i="27" s="1"/>
  <c r="BL63" i="27"/>
  <c r="BM63" i="27" s="1"/>
  <c r="BI64" i="27" s="1"/>
  <c r="BK64" i="27" s="1"/>
  <c r="AU66" i="27"/>
  <c r="AV66" i="27" s="1"/>
  <c r="AW66" i="27" s="1"/>
  <c r="AS67" i="27" s="1"/>
  <c r="AT67" i="27" s="1"/>
  <c r="A82" i="27"/>
  <c r="C83" i="27"/>
  <c r="X60" i="27"/>
  <c r="Y60" i="27" s="1"/>
  <c r="U61" i="27" s="1"/>
  <c r="BC61" i="27"/>
  <c r="BB61" i="27"/>
  <c r="BD61" i="27" s="1"/>
  <c r="BE61" i="27" s="1"/>
  <c r="BA62" i="27" s="1"/>
  <c r="P65" i="27"/>
  <c r="Q65" i="27" s="1"/>
  <c r="M66" i="27" s="1"/>
  <c r="AN60" i="27"/>
  <c r="AO60" i="27" s="1"/>
  <c r="AK61" i="27" s="1"/>
  <c r="E59" i="27" l="1"/>
  <c r="F59" i="27"/>
  <c r="I59" i="27"/>
  <c r="AE62" i="27"/>
  <c r="AF62" i="27" s="1"/>
  <c r="AG62" i="27" s="1"/>
  <c r="AC63" i="27" s="1"/>
  <c r="AE63" i="27" s="1"/>
  <c r="BJ64" i="27"/>
  <c r="BL64" i="27" s="1"/>
  <c r="BM64" i="27" s="1"/>
  <c r="BI65" i="27" s="1"/>
  <c r="BJ65" i="27" s="1"/>
  <c r="AU67" i="27"/>
  <c r="AV67" i="27" s="1"/>
  <c r="AW67" i="27" s="1"/>
  <c r="AS68" i="27" s="1"/>
  <c r="AT68" i="27" s="1"/>
  <c r="W61" i="27"/>
  <c r="V61" i="27"/>
  <c r="C84" i="27"/>
  <c r="A83" i="27"/>
  <c r="BB62" i="27"/>
  <c r="BC62" i="27"/>
  <c r="O66" i="27"/>
  <c r="N66" i="27"/>
  <c r="AL61" i="27"/>
  <c r="AM61" i="27"/>
  <c r="G59" i="27" l="1"/>
  <c r="H59" i="27" s="1"/>
  <c r="D60" i="27" s="1"/>
  <c r="F60" i="27" s="1"/>
  <c r="I60" i="27"/>
  <c r="AD63" i="27"/>
  <c r="AF63" i="27" s="1"/>
  <c r="AG63" i="27" s="1"/>
  <c r="AC64" i="27" s="1"/>
  <c r="AD64" i="27" s="1"/>
  <c r="X61" i="27"/>
  <c r="Y61" i="27" s="1"/>
  <c r="U62" i="27" s="1"/>
  <c r="W62" i="27" s="1"/>
  <c r="BK65" i="27"/>
  <c r="BL65" i="27" s="1"/>
  <c r="BM65" i="27" s="1"/>
  <c r="BI66" i="27" s="1"/>
  <c r="P66" i="27"/>
  <c r="Q66" i="27" s="1"/>
  <c r="M67" i="27" s="1"/>
  <c r="N67" i="27" s="1"/>
  <c r="AU68" i="27"/>
  <c r="AV68" i="27" s="1"/>
  <c r="AW68" i="27" s="1"/>
  <c r="AS69" i="27" s="1"/>
  <c r="C85" i="27"/>
  <c r="A84" i="27"/>
  <c r="BD62" i="27"/>
  <c r="BE62" i="27" s="1"/>
  <c r="BA63" i="27" s="1"/>
  <c r="AN61" i="27"/>
  <c r="AO61" i="27" s="1"/>
  <c r="AK62" i="27" s="1"/>
  <c r="E60" i="27" l="1"/>
  <c r="G60" i="27" s="1"/>
  <c r="H60" i="27" s="1"/>
  <c r="D61" i="27" s="1"/>
  <c r="E61" i="27" s="1"/>
  <c r="V62" i="27"/>
  <c r="X62" i="27" s="1"/>
  <c r="Y62" i="27" s="1"/>
  <c r="U63" i="27" s="1"/>
  <c r="V63" i="27" s="1"/>
  <c r="O67" i="27"/>
  <c r="P67" i="27" s="1"/>
  <c r="Q67" i="27" s="1"/>
  <c r="M68" i="27" s="1"/>
  <c r="O68" i="27" s="1"/>
  <c r="AE64" i="27"/>
  <c r="AF64" i="27" s="1"/>
  <c r="AG64" i="27" s="1"/>
  <c r="AC65" i="27" s="1"/>
  <c r="C86" i="27"/>
  <c r="A85" i="27"/>
  <c r="BJ66" i="27"/>
  <c r="BK66" i="27"/>
  <c r="AU69" i="27"/>
  <c r="AT69" i="27"/>
  <c r="AM62" i="27"/>
  <c r="AL62" i="27"/>
  <c r="BB63" i="27"/>
  <c r="BC63" i="27"/>
  <c r="F61" i="27" l="1"/>
  <c r="G61" i="27" s="1"/>
  <c r="H61" i="27" s="1"/>
  <c r="D62" i="27" s="1"/>
  <c r="E62" i="27" s="1"/>
  <c r="I61" i="27"/>
  <c r="I62" i="27"/>
  <c r="W63" i="27"/>
  <c r="X63" i="27" s="1"/>
  <c r="Y63" i="27" s="1"/>
  <c r="U64" i="27" s="1"/>
  <c r="N68" i="27"/>
  <c r="P68" i="27" s="1"/>
  <c r="Q68" i="27" s="1"/>
  <c r="M69" i="27" s="1"/>
  <c r="O69" i="27" s="1"/>
  <c r="AN62" i="27"/>
  <c r="AO62" i="27" s="1"/>
  <c r="AK63" i="27" s="1"/>
  <c r="AM63" i="27" s="1"/>
  <c r="AD65" i="27"/>
  <c r="AE65" i="27"/>
  <c r="BL66" i="27"/>
  <c r="BM66" i="27" s="1"/>
  <c r="BI67" i="27" s="1"/>
  <c r="BJ67" i="27" s="1"/>
  <c r="C87" i="27"/>
  <c r="A86" i="27"/>
  <c r="BD63" i="27"/>
  <c r="BE63" i="27" s="1"/>
  <c r="BA64" i="27" s="1"/>
  <c r="AV69" i="27"/>
  <c r="AW69" i="27" s="1"/>
  <c r="AS70" i="27" s="1"/>
  <c r="F62" i="27" l="1"/>
  <c r="G62" i="27" s="1"/>
  <c r="H62" i="27" s="1"/>
  <c r="D63" i="27" s="1"/>
  <c r="V64" i="27"/>
  <c r="W64" i="27"/>
  <c r="AL63" i="27"/>
  <c r="AN63" i="27" s="1"/>
  <c r="AO63" i="27" s="1"/>
  <c r="AK64" i="27" s="1"/>
  <c r="AM64" i="27" s="1"/>
  <c r="AF65" i="27"/>
  <c r="AG65" i="27" s="1"/>
  <c r="AC66" i="27" s="1"/>
  <c r="BK67" i="27"/>
  <c r="BL67" i="27" s="1"/>
  <c r="BM67" i="27" s="1"/>
  <c r="BI68" i="27" s="1"/>
  <c r="BK68" i="27" s="1"/>
  <c r="N69" i="27"/>
  <c r="P69" i="27" s="1"/>
  <c r="Q69" i="27" s="1"/>
  <c r="M70" i="27" s="1"/>
  <c r="C88" i="27"/>
  <c r="A87" i="27"/>
  <c r="BB64" i="27"/>
  <c r="BC64" i="27"/>
  <c r="AU70" i="27"/>
  <c r="AT70" i="27"/>
  <c r="I63" i="27" l="1"/>
  <c r="F63" i="27"/>
  <c r="E63" i="27"/>
  <c r="X64" i="27"/>
  <c r="Y64" i="27" s="1"/>
  <c r="U65" i="27" s="1"/>
  <c r="W65" i="27" s="1"/>
  <c r="AV70" i="27"/>
  <c r="AW70" i="27" s="1"/>
  <c r="AS71" i="27" s="1"/>
  <c r="AT71" i="27" s="1"/>
  <c r="AE66" i="27"/>
  <c r="AD66" i="27"/>
  <c r="BJ68" i="27"/>
  <c r="BL68" i="27" s="1"/>
  <c r="BM68" i="27" s="1"/>
  <c r="BI69" i="27" s="1"/>
  <c r="BJ69" i="27" s="1"/>
  <c r="AL64" i="27"/>
  <c r="AN64" i="27" s="1"/>
  <c r="AO64" i="27" s="1"/>
  <c r="AK65" i="27" s="1"/>
  <c r="A88" i="27"/>
  <c r="C89" i="27"/>
  <c r="BD64" i="27"/>
  <c r="BE64" i="27" s="1"/>
  <c r="BA65" i="27" s="1"/>
  <c r="BC65" i="27" s="1"/>
  <c r="N70" i="27"/>
  <c r="O70" i="27"/>
  <c r="G63" i="27" l="1"/>
  <c r="H63" i="27" s="1"/>
  <c r="D64" i="27" s="1"/>
  <c r="AF66" i="27"/>
  <c r="AG66" i="27" s="1"/>
  <c r="AC67" i="27" s="1"/>
  <c r="AU71" i="27"/>
  <c r="AV71" i="27" s="1"/>
  <c r="AW71" i="27" s="1"/>
  <c r="AS72" i="27" s="1"/>
  <c r="AU72" i="27" s="1"/>
  <c r="V65" i="27"/>
  <c r="X65" i="27" s="1"/>
  <c r="Y65" i="27" s="1"/>
  <c r="U66" i="27" s="1"/>
  <c r="W66" i="27" s="1"/>
  <c r="BK69" i="27"/>
  <c r="BL69" i="27" s="1"/>
  <c r="BM69" i="27" s="1"/>
  <c r="BI70" i="27" s="1"/>
  <c r="AE67" i="27"/>
  <c r="AD67" i="27"/>
  <c r="AL65" i="27"/>
  <c r="AM65" i="27"/>
  <c r="BB65" i="27"/>
  <c r="BD65" i="27" s="1"/>
  <c r="BE65" i="27" s="1"/>
  <c r="BA66" i="27" s="1"/>
  <c r="BB66" i="27" s="1"/>
  <c r="A89" i="27"/>
  <c r="C90" i="27"/>
  <c r="P70" i="27"/>
  <c r="Q70" i="27" s="1"/>
  <c r="M71" i="27" s="1"/>
  <c r="E64" i="27" l="1"/>
  <c r="I64" i="27"/>
  <c r="F64" i="27"/>
  <c r="G64" i="27" s="1"/>
  <c r="H64" i="27" s="1"/>
  <c r="D65" i="27" s="1"/>
  <c r="AF67" i="27"/>
  <c r="AG67" i="27" s="1"/>
  <c r="AC68" i="27" s="1"/>
  <c r="AD68" i="27" s="1"/>
  <c r="AT72" i="27"/>
  <c r="AV72" i="27" s="1"/>
  <c r="AW72" i="27" s="1"/>
  <c r="AS73" i="27" s="1"/>
  <c r="AU73" i="27" s="1"/>
  <c r="AN65" i="27"/>
  <c r="AO65" i="27" s="1"/>
  <c r="AK66" i="27" s="1"/>
  <c r="AL66" i="27" s="1"/>
  <c r="V66" i="27"/>
  <c r="X66" i="27" s="1"/>
  <c r="Y66" i="27" s="1"/>
  <c r="U67" i="27" s="1"/>
  <c r="V67" i="27" s="1"/>
  <c r="BC66" i="27"/>
  <c r="BD66" i="27" s="1"/>
  <c r="BE66" i="27" s="1"/>
  <c r="BA67" i="27" s="1"/>
  <c r="C91" i="27"/>
  <c r="A90" i="27"/>
  <c r="O71" i="27"/>
  <c r="N71" i="27"/>
  <c r="BJ70" i="27"/>
  <c r="BK70" i="27"/>
  <c r="F65" i="27" l="1"/>
  <c r="E65" i="27"/>
  <c r="G65" i="27" s="1"/>
  <c r="H65" i="27" s="1"/>
  <c r="D66" i="27" s="1"/>
  <c r="I65" i="27"/>
  <c r="AE68" i="27"/>
  <c r="AF68" i="27" s="1"/>
  <c r="AG68" i="27" s="1"/>
  <c r="AC69" i="27" s="1"/>
  <c r="P71" i="27"/>
  <c r="Q71" i="27" s="1"/>
  <c r="M72" i="27" s="1"/>
  <c r="AM66" i="27"/>
  <c r="AN66" i="27" s="1"/>
  <c r="AO66" i="27" s="1"/>
  <c r="AK67" i="27" s="1"/>
  <c r="W67" i="27"/>
  <c r="X67" i="27" s="1"/>
  <c r="Y67" i="27" s="1"/>
  <c r="U68" i="27" s="1"/>
  <c r="W68" i="27" s="1"/>
  <c r="AT73" i="27"/>
  <c r="AV73" i="27" s="1"/>
  <c r="AW73" i="27" s="1"/>
  <c r="AS74" i="27" s="1"/>
  <c r="C92" i="27"/>
  <c r="A91" i="27"/>
  <c r="O72" i="27"/>
  <c r="N72" i="27"/>
  <c r="BC67" i="27"/>
  <c r="BB67" i="27"/>
  <c r="BL70" i="27"/>
  <c r="BM70" i="27" s="1"/>
  <c r="BI71" i="27" s="1"/>
  <c r="E66" i="27" l="1"/>
  <c r="I66" i="27"/>
  <c r="F66" i="27"/>
  <c r="G66" i="27" s="1"/>
  <c r="H66" i="27" s="1"/>
  <c r="D67" i="27" s="1"/>
  <c r="V68" i="27"/>
  <c r="X68" i="27" s="1"/>
  <c r="Y68" i="27" s="1"/>
  <c r="U69" i="27" s="1"/>
  <c r="W69" i="27" s="1"/>
  <c r="P72" i="27"/>
  <c r="Q72" i="27" s="1"/>
  <c r="M73" i="27" s="1"/>
  <c r="N73" i="27" s="1"/>
  <c r="AT74" i="27"/>
  <c r="AU74" i="27"/>
  <c r="AD69" i="27"/>
  <c r="AE69" i="27"/>
  <c r="A92" i="27"/>
  <c r="C93" i="27"/>
  <c r="AM67" i="27"/>
  <c r="AL67" i="27"/>
  <c r="BK71" i="27"/>
  <c r="BJ71" i="27"/>
  <c r="BD67" i="27"/>
  <c r="BE67" i="27" s="1"/>
  <c r="BA68" i="27" s="1"/>
  <c r="F67" i="27" l="1"/>
  <c r="I67" i="27"/>
  <c r="E67" i="27"/>
  <c r="G67" i="27" s="1"/>
  <c r="H67" i="27" s="1"/>
  <c r="D68" i="27" s="1"/>
  <c r="F68" i="27" s="1"/>
  <c r="O73" i="27"/>
  <c r="P73" i="27" s="1"/>
  <c r="Q73" i="27" s="1"/>
  <c r="M74" i="27" s="1"/>
  <c r="N74" i="27" s="1"/>
  <c r="V69" i="27"/>
  <c r="X69" i="27" s="1"/>
  <c r="Y69" i="27" s="1"/>
  <c r="U70" i="27" s="1"/>
  <c r="AN67" i="27"/>
  <c r="AO67" i="27" s="1"/>
  <c r="AK68" i="27" s="1"/>
  <c r="AM68" i="27" s="1"/>
  <c r="AV74" i="27"/>
  <c r="AW74" i="27" s="1"/>
  <c r="AS75" i="27" s="1"/>
  <c r="AF69" i="27"/>
  <c r="AG69" i="27" s="1"/>
  <c r="AC70" i="27" s="1"/>
  <c r="A93" i="27"/>
  <c r="C94" i="27"/>
  <c r="BB68" i="27"/>
  <c r="BC68" i="27"/>
  <c r="BL71" i="27"/>
  <c r="BM71" i="27" s="1"/>
  <c r="BI72" i="27" s="1"/>
  <c r="I68" i="27" l="1"/>
  <c r="E68" i="27"/>
  <c r="G68" i="27" s="1"/>
  <c r="H68" i="27" s="1"/>
  <c r="D69" i="27" s="1"/>
  <c r="E69" i="27" s="1"/>
  <c r="AL68" i="27"/>
  <c r="AN68" i="27" s="1"/>
  <c r="AO68" i="27" s="1"/>
  <c r="AK69" i="27" s="1"/>
  <c r="O74" i="27"/>
  <c r="P74" i="27" s="1"/>
  <c r="Q74" i="27" s="1"/>
  <c r="M75" i="27" s="1"/>
  <c r="AU75" i="27"/>
  <c r="AT75" i="27"/>
  <c r="AD70" i="27"/>
  <c r="AE70" i="27"/>
  <c r="A94" i="27"/>
  <c r="C95" i="27"/>
  <c r="BK72" i="27"/>
  <c r="BJ72" i="27"/>
  <c r="BD68" i="27"/>
  <c r="BE68" i="27" s="1"/>
  <c r="BA69" i="27" s="1"/>
  <c r="W70" i="27"/>
  <c r="V70" i="27"/>
  <c r="I69" i="27" l="1"/>
  <c r="F69" i="27"/>
  <c r="G69" i="27" s="1"/>
  <c r="H69" i="27" s="1"/>
  <c r="D70" i="27" s="1"/>
  <c r="AV75" i="27"/>
  <c r="AW75" i="27" s="1"/>
  <c r="AS76" i="27" s="1"/>
  <c r="AT76" i="27" s="1"/>
  <c r="AF70" i="27"/>
  <c r="AG70" i="27" s="1"/>
  <c r="AC71" i="27" s="1"/>
  <c r="BL72" i="27"/>
  <c r="BM72" i="27" s="1"/>
  <c r="BI73" i="27" s="1"/>
  <c r="BK73" i="27" s="1"/>
  <c r="X70" i="27"/>
  <c r="Y70" i="27" s="1"/>
  <c r="U71" i="27" s="1"/>
  <c r="W71" i="27" s="1"/>
  <c r="A95" i="27"/>
  <c r="C96" i="27"/>
  <c r="N75" i="27"/>
  <c r="O75" i="27"/>
  <c r="BC69" i="27"/>
  <c r="BB69" i="27"/>
  <c r="BD69" i="27" s="1"/>
  <c r="BE69" i="27" s="1"/>
  <c r="BA70" i="27" s="1"/>
  <c r="AL69" i="27"/>
  <c r="AM69" i="27"/>
  <c r="I70" i="27" l="1"/>
  <c r="F70" i="27"/>
  <c r="E70" i="27"/>
  <c r="G70" i="27" s="1"/>
  <c r="H70" i="27" s="1"/>
  <c r="D71" i="27" s="1"/>
  <c r="F71" i="27" s="1"/>
  <c r="AU76" i="27"/>
  <c r="AV76" i="27" s="1"/>
  <c r="AW76" i="27" s="1"/>
  <c r="AS77" i="27" s="1"/>
  <c r="AT77" i="27" s="1"/>
  <c r="V71" i="27"/>
  <c r="X71" i="27" s="1"/>
  <c r="Y71" i="27" s="1"/>
  <c r="U72" i="27" s="1"/>
  <c r="I71" i="27"/>
  <c r="E71" i="27"/>
  <c r="G71" i="27" s="1"/>
  <c r="H71" i="27" s="1"/>
  <c r="D72" i="27" s="1"/>
  <c r="BJ73" i="27"/>
  <c r="BL73" i="27" s="1"/>
  <c r="BM73" i="27" s="1"/>
  <c r="BI74" i="27" s="1"/>
  <c r="BK74" i="27" s="1"/>
  <c r="AD71" i="27"/>
  <c r="AE71" i="27"/>
  <c r="P75" i="27"/>
  <c r="Q75" i="27" s="1"/>
  <c r="M76" i="27" s="1"/>
  <c r="N76" i="27" s="1"/>
  <c r="C97" i="27"/>
  <c r="A96" i="27"/>
  <c r="BB70" i="27"/>
  <c r="BC70" i="27"/>
  <c r="AN69" i="27"/>
  <c r="AO69" i="27" s="1"/>
  <c r="AK70" i="27" s="1"/>
  <c r="AU77" i="27" l="1"/>
  <c r="AV77" i="27" s="1"/>
  <c r="AW77" i="27" s="1"/>
  <c r="AS78" i="27" s="1"/>
  <c r="AU78" i="27" s="1"/>
  <c r="F72" i="27"/>
  <c r="E72" i="27"/>
  <c r="I72" i="27"/>
  <c r="AF71" i="27"/>
  <c r="AG71" i="27" s="1"/>
  <c r="AC72" i="27" s="1"/>
  <c r="O76" i="27"/>
  <c r="P76" i="27" s="1"/>
  <c r="Q76" i="27" s="1"/>
  <c r="M77" i="27" s="1"/>
  <c r="BJ74" i="27"/>
  <c r="BL74" i="27" s="1"/>
  <c r="BM74" i="27" s="1"/>
  <c r="BI75" i="27" s="1"/>
  <c r="BD70" i="27"/>
  <c r="BE70" i="27" s="1"/>
  <c r="BA71" i="27" s="1"/>
  <c r="BB71" i="27" s="1"/>
  <c r="C98" i="27"/>
  <c r="A97" i="27"/>
  <c r="AL70" i="27"/>
  <c r="AM70" i="27"/>
  <c r="W72" i="27"/>
  <c r="V72" i="27"/>
  <c r="G72" i="27" l="1"/>
  <c r="H72" i="27" s="1"/>
  <c r="D73" i="27" s="1"/>
  <c r="F73" i="27" s="1"/>
  <c r="AT78" i="27"/>
  <c r="AV78" i="27" s="1"/>
  <c r="AW78" i="27" s="1"/>
  <c r="AS79" i="27" s="1"/>
  <c r="X72" i="27"/>
  <c r="Y72" i="27" s="1"/>
  <c r="U73" i="27" s="1"/>
  <c r="V73" i="27" s="1"/>
  <c r="BC71" i="27"/>
  <c r="BD71" i="27" s="1"/>
  <c r="BE71" i="27" s="1"/>
  <c r="BA72" i="27" s="1"/>
  <c r="AE72" i="27"/>
  <c r="AD72" i="27"/>
  <c r="A98" i="27"/>
  <c r="C99" i="27"/>
  <c r="AN70" i="27"/>
  <c r="AO70" i="27" s="1"/>
  <c r="AK71" i="27" s="1"/>
  <c r="AM71" i="27" s="1"/>
  <c r="N77" i="27"/>
  <c r="O77" i="27"/>
  <c r="BK75" i="27"/>
  <c r="BJ75" i="27"/>
  <c r="I73" i="27" l="1"/>
  <c r="AF72" i="27"/>
  <c r="AG72" i="27" s="1"/>
  <c r="AC73" i="27" s="1"/>
  <c r="E73" i="27"/>
  <c r="G73" i="27" s="1"/>
  <c r="H73" i="27" s="1"/>
  <c r="D74" i="27" s="1"/>
  <c r="I74" i="27" s="1"/>
  <c r="W73" i="27"/>
  <c r="X73" i="27" s="1"/>
  <c r="Y73" i="27" s="1"/>
  <c r="U74" i="27" s="1"/>
  <c r="BL75" i="27"/>
  <c r="BM75" i="27" s="1"/>
  <c r="BI76" i="27" s="1"/>
  <c r="BK76" i="27" s="1"/>
  <c r="BB72" i="27"/>
  <c r="BC72" i="27"/>
  <c r="AE73" i="27"/>
  <c r="AD73" i="27"/>
  <c r="AL71" i="27"/>
  <c r="AN71" i="27" s="1"/>
  <c r="AO71" i="27" s="1"/>
  <c r="AK72" i="27" s="1"/>
  <c r="AL72" i="27" s="1"/>
  <c r="A99" i="27"/>
  <c r="C100" i="27"/>
  <c r="P77" i="27"/>
  <c r="Q77" i="27" s="1"/>
  <c r="M78" i="27" s="1"/>
  <c r="AU79" i="27"/>
  <c r="AT79" i="27"/>
  <c r="AF73" i="27" l="1"/>
  <c r="AG73" i="27" s="1"/>
  <c r="AC74" i="27" s="1"/>
  <c r="BJ76" i="27"/>
  <c r="BL76" i="27" s="1"/>
  <c r="BM76" i="27" s="1"/>
  <c r="BI77" i="27" s="1"/>
  <c r="BJ77" i="27" s="1"/>
  <c r="AV79" i="27"/>
  <c r="AW79" i="27" s="1"/>
  <c r="AS80" i="27" s="1"/>
  <c r="AT80" i="27" s="1"/>
  <c r="BD72" i="27"/>
  <c r="BE72" i="27" s="1"/>
  <c r="BA73" i="27" s="1"/>
  <c r="BB73" i="27" s="1"/>
  <c r="F74" i="27"/>
  <c r="E74" i="27"/>
  <c r="AD74" i="27"/>
  <c r="AE74" i="27"/>
  <c r="AM72" i="27"/>
  <c r="AN72" i="27" s="1"/>
  <c r="AO72" i="27" s="1"/>
  <c r="AK73" i="27" s="1"/>
  <c r="AL73" i="27" s="1"/>
  <c r="C101" i="27"/>
  <c r="A100" i="27"/>
  <c r="N78" i="27"/>
  <c r="O78" i="27"/>
  <c r="V74" i="27"/>
  <c r="W74" i="27"/>
  <c r="G74" i="27" l="1"/>
  <c r="H74" i="27" s="1"/>
  <c r="D75" i="27" s="1"/>
  <c r="E75" i="27" s="1"/>
  <c r="AU80" i="27"/>
  <c r="BK77" i="27"/>
  <c r="BL77" i="27" s="1"/>
  <c r="BM77" i="27" s="1"/>
  <c r="BI78" i="27" s="1"/>
  <c r="BJ78" i="27" s="1"/>
  <c r="BC73" i="27"/>
  <c r="BD73" i="27" s="1"/>
  <c r="BE73" i="27" s="1"/>
  <c r="BA74" i="27" s="1"/>
  <c r="AM73" i="27"/>
  <c r="AN73" i="27" s="1"/>
  <c r="AO73" i="27" s="1"/>
  <c r="AK74" i="27" s="1"/>
  <c r="AF74" i="27"/>
  <c r="AG74" i="27" s="1"/>
  <c r="AC75" i="27" s="1"/>
  <c r="X74" i="27"/>
  <c r="Y74" i="27" s="1"/>
  <c r="U75" i="27" s="1"/>
  <c r="V75" i="27" s="1"/>
  <c r="C102" i="27"/>
  <c r="A101" i="27"/>
  <c r="P78" i="27"/>
  <c r="Q78" i="27" s="1"/>
  <c r="M79" i="27" s="1"/>
  <c r="AV80" i="27"/>
  <c r="AW80" i="27" s="1"/>
  <c r="AS81" i="27" s="1"/>
  <c r="I75" i="27" l="1"/>
  <c r="F75" i="27"/>
  <c r="G75" i="27" s="1"/>
  <c r="H75" i="27" s="1"/>
  <c r="D76" i="27" s="1"/>
  <c r="F76" i="27" s="1"/>
  <c r="BC74" i="27"/>
  <c r="BB74" i="27"/>
  <c r="AD75" i="27"/>
  <c r="AE75" i="27"/>
  <c r="W75" i="27"/>
  <c r="X75" i="27" s="1"/>
  <c r="Y75" i="27" s="1"/>
  <c r="U76" i="27" s="1"/>
  <c r="BK78" i="27"/>
  <c r="BL78" i="27" s="1"/>
  <c r="BM78" i="27" s="1"/>
  <c r="BI79" i="27" s="1"/>
  <c r="A102" i="27"/>
  <c r="C103" i="27"/>
  <c r="AU81" i="27"/>
  <c r="AT81" i="27"/>
  <c r="AM74" i="27"/>
  <c r="AL74" i="27"/>
  <c r="N79" i="27"/>
  <c r="O79" i="27"/>
  <c r="BD74" i="27" l="1"/>
  <c r="BE74" i="27" s="1"/>
  <c r="BA75" i="27" s="1"/>
  <c r="BC75" i="27" s="1"/>
  <c r="I76" i="27"/>
  <c r="E76" i="27"/>
  <c r="G76" i="27" s="1"/>
  <c r="H76" i="27" s="1"/>
  <c r="D77" i="27" s="1"/>
  <c r="I77" i="27" s="1"/>
  <c r="BB75" i="27"/>
  <c r="BD75" i="27" s="1"/>
  <c r="BE75" i="27" s="1"/>
  <c r="BA76" i="27" s="1"/>
  <c r="BB76" i="27" s="1"/>
  <c r="W76" i="27"/>
  <c r="V76" i="27"/>
  <c r="P79" i="27"/>
  <c r="Q79" i="27" s="1"/>
  <c r="M80" i="27" s="1"/>
  <c r="O80" i="27" s="1"/>
  <c r="AF75" i="27"/>
  <c r="AG75" i="27" s="1"/>
  <c r="AC76" i="27" s="1"/>
  <c r="A103" i="27"/>
  <c r="C104" i="27"/>
  <c r="BK79" i="27"/>
  <c r="BJ79" i="27"/>
  <c r="AV81" i="27"/>
  <c r="AW81" i="27" s="1"/>
  <c r="AS82" i="27" s="1"/>
  <c r="AN74" i="27"/>
  <c r="AO74" i="27" s="1"/>
  <c r="AK75" i="27" s="1"/>
  <c r="X76" i="27" l="1"/>
  <c r="Y76" i="27" s="1"/>
  <c r="U77" i="27" s="1"/>
  <c r="V77" i="27" s="1"/>
  <c r="BL79" i="27"/>
  <c r="BM79" i="27" s="1"/>
  <c r="BI80" i="27" s="1"/>
  <c r="BK80" i="27" s="1"/>
  <c r="E77" i="27"/>
  <c r="N80" i="27"/>
  <c r="P80" i="27" s="1"/>
  <c r="Q80" i="27" s="1"/>
  <c r="M81" i="27" s="1"/>
  <c r="F77" i="27"/>
  <c r="AD76" i="27"/>
  <c r="AE76" i="27"/>
  <c r="BC76" i="27"/>
  <c r="BD76" i="27" s="1"/>
  <c r="BE76" i="27" s="1"/>
  <c r="BA77" i="27" s="1"/>
  <c r="BC77" i="27" s="1"/>
  <c r="C105" i="27"/>
  <c r="A104" i="27"/>
  <c r="AU82" i="27"/>
  <c r="AT82" i="27"/>
  <c r="AL75" i="27"/>
  <c r="AM75" i="27"/>
  <c r="BJ80" i="27" l="1"/>
  <c r="BL80" i="27" s="1"/>
  <c r="BM80" i="27" s="1"/>
  <c r="BI81" i="27" s="1"/>
  <c r="BK81" i="27" s="1"/>
  <c r="W77" i="27"/>
  <c r="X77" i="27" s="1"/>
  <c r="Y77" i="27" s="1"/>
  <c r="U78" i="27" s="1"/>
  <c r="W78" i="27" s="1"/>
  <c r="G77" i="27"/>
  <c r="H77" i="27" s="1"/>
  <c r="D78" i="27" s="1"/>
  <c r="E78" i="27" s="1"/>
  <c r="AF76" i="27"/>
  <c r="AG76" i="27" s="1"/>
  <c r="AC77" i="27" s="1"/>
  <c r="BB77" i="27"/>
  <c r="BD77" i="27" s="1"/>
  <c r="BE77" i="27" s="1"/>
  <c r="BA78" i="27" s="1"/>
  <c r="AV82" i="27"/>
  <c r="AW82" i="27" s="1"/>
  <c r="AS83" i="27" s="1"/>
  <c r="AT83" i="27" s="1"/>
  <c r="A105" i="27"/>
  <c r="C106" i="27"/>
  <c r="AN75" i="27"/>
  <c r="AO75" i="27" s="1"/>
  <c r="AK76" i="27" s="1"/>
  <c r="N81" i="27"/>
  <c r="O81" i="27"/>
  <c r="BJ81" i="27" l="1"/>
  <c r="BL81" i="27" s="1"/>
  <c r="BM81" i="27" s="1"/>
  <c r="BI82" i="27" s="1"/>
  <c r="BJ82" i="27" s="1"/>
  <c r="V78" i="27"/>
  <c r="X78" i="27" s="1"/>
  <c r="Y78" i="27" s="1"/>
  <c r="U79" i="27" s="1"/>
  <c r="I78" i="27"/>
  <c r="F78" i="27"/>
  <c r="G78" i="27" s="1"/>
  <c r="H78" i="27" s="1"/>
  <c r="D79" i="27" s="1"/>
  <c r="AU83" i="27"/>
  <c r="AV83" i="27" s="1"/>
  <c r="AW83" i="27" s="1"/>
  <c r="AS84" i="27" s="1"/>
  <c r="AD77" i="27"/>
  <c r="AE77" i="27"/>
  <c r="C107" i="27"/>
  <c r="A106" i="27"/>
  <c r="BB78" i="27"/>
  <c r="BC78" i="27"/>
  <c r="AL76" i="27"/>
  <c r="AM76" i="27"/>
  <c r="P81" i="27"/>
  <c r="Q81" i="27" s="1"/>
  <c r="M82" i="27" s="1"/>
  <c r="BK82" i="27" l="1"/>
  <c r="AF77" i="27"/>
  <c r="AG77" i="27" s="1"/>
  <c r="AC78" i="27" s="1"/>
  <c r="AE78" i="27" s="1"/>
  <c r="AN76" i="27"/>
  <c r="AO76" i="27" s="1"/>
  <c r="AK77" i="27" s="1"/>
  <c r="AM77" i="27" s="1"/>
  <c r="BL82" i="27"/>
  <c r="BM82" i="27" s="1"/>
  <c r="BI83" i="27" s="1"/>
  <c r="BJ83" i="27" s="1"/>
  <c r="C108" i="27"/>
  <c r="A107" i="27"/>
  <c r="AT84" i="27"/>
  <c r="AU84" i="27"/>
  <c r="E79" i="27"/>
  <c r="I79" i="27"/>
  <c r="F79" i="27"/>
  <c r="V79" i="27"/>
  <c r="W79" i="27"/>
  <c r="O82" i="27"/>
  <c r="N82" i="27"/>
  <c r="BD78" i="27"/>
  <c r="BE78" i="27" s="1"/>
  <c r="BA79" i="27" s="1"/>
  <c r="P82" i="27" l="1"/>
  <c r="Q82" i="27" s="1"/>
  <c r="M83" i="27" s="1"/>
  <c r="AD78" i="27"/>
  <c r="AF78" i="27" s="1"/>
  <c r="AG78" i="27" s="1"/>
  <c r="AC79" i="27" s="1"/>
  <c r="AL77" i="27"/>
  <c r="AN77" i="27" s="1"/>
  <c r="AO77" i="27" s="1"/>
  <c r="AK78" i="27" s="1"/>
  <c r="BK83" i="27"/>
  <c r="BL83" i="27" s="1"/>
  <c r="BM83" i="27" s="1"/>
  <c r="BI84" i="27" s="1"/>
  <c r="G79" i="27"/>
  <c r="H79" i="27" s="1"/>
  <c r="D80" i="27" s="1"/>
  <c r="F80" i="27" s="1"/>
  <c r="X79" i="27"/>
  <c r="Y79" i="27" s="1"/>
  <c r="U80" i="27" s="1"/>
  <c r="W80" i="27" s="1"/>
  <c r="A108" i="27"/>
  <c r="C109" i="27"/>
  <c r="O83" i="27"/>
  <c r="N83" i="27"/>
  <c r="AV84" i="27"/>
  <c r="AW84" i="27" s="1"/>
  <c r="AS85" i="27" s="1"/>
  <c r="BB79" i="27"/>
  <c r="BC79" i="27"/>
  <c r="AE79" i="27" l="1"/>
  <c r="AD79" i="27"/>
  <c r="BJ84" i="27"/>
  <c r="BK84" i="27"/>
  <c r="E80" i="27"/>
  <c r="G80" i="27" s="1"/>
  <c r="H80" i="27" s="1"/>
  <c r="D81" i="27" s="1"/>
  <c r="I80" i="27"/>
  <c r="V80" i="27"/>
  <c r="X80" i="27" s="1"/>
  <c r="Y80" i="27" s="1"/>
  <c r="U81" i="27" s="1"/>
  <c r="BD79" i="27"/>
  <c r="BE79" i="27" s="1"/>
  <c r="BA80" i="27" s="1"/>
  <c r="BB80" i="27" s="1"/>
  <c r="C110" i="27"/>
  <c r="A109" i="27"/>
  <c r="P83" i="27"/>
  <c r="Q83" i="27" s="1"/>
  <c r="M84" i="27" s="1"/>
  <c r="N84" i="27" s="1"/>
  <c r="AU85" i="27"/>
  <c r="AT85" i="27"/>
  <c r="AL78" i="27"/>
  <c r="AM78" i="27"/>
  <c r="AF79" i="27" l="1"/>
  <c r="AG79" i="27" s="1"/>
  <c r="AC80" i="27" s="1"/>
  <c r="AE80" i="27" s="1"/>
  <c r="AV85" i="27"/>
  <c r="AW85" i="27" s="1"/>
  <c r="AS86" i="27" s="1"/>
  <c r="AT86" i="27" s="1"/>
  <c r="BL84" i="27"/>
  <c r="BM84" i="27" s="1"/>
  <c r="BI85" i="27" s="1"/>
  <c r="O84" i="27"/>
  <c r="P84" i="27" s="1"/>
  <c r="Q84" i="27" s="1"/>
  <c r="M85" i="27" s="1"/>
  <c r="BC80" i="27"/>
  <c r="BD80" i="27" s="1"/>
  <c r="BE80" i="27" s="1"/>
  <c r="BA81" i="27" s="1"/>
  <c r="C111" i="27"/>
  <c r="A110" i="27"/>
  <c r="AN78" i="27"/>
  <c r="AO78" i="27" s="1"/>
  <c r="AK79" i="27" s="1"/>
  <c r="AM79" i="27" s="1"/>
  <c r="W81" i="27"/>
  <c r="V81" i="27"/>
  <c r="I81" i="27"/>
  <c r="E81" i="27"/>
  <c r="F81" i="27"/>
  <c r="AD80" i="27" l="1"/>
  <c r="AF80" i="27" s="1"/>
  <c r="AG80" i="27" s="1"/>
  <c r="AC81" i="27" s="1"/>
  <c r="AD81" i="27" s="1"/>
  <c r="AU86" i="27"/>
  <c r="AV86" i="27" s="1"/>
  <c r="AW86" i="27" s="1"/>
  <c r="AS87" i="27" s="1"/>
  <c r="AU87" i="27" s="1"/>
  <c r="BJ85" i="27"/>
  <c r="BK85" i="27"/>
  <c r="N85" i="27"/>
  <c r="O85" i="27"/>
  <c r="AL79" i="27"/>
  <c r="AN79" i="27" s="1"/>
  <c r="AO79" i="27" s="1"/>
  <c r="AK80" i="27" s="1"/>
  <c r="AM80" i="27" s="1"/>
  <c r="A111" i="27"/>
  <c r="C112" i="27"/>
  <c r="G81" i="27"/>
  <c r="H81" i="27" s="1"/>
  <c r="D82" i="27" s="1"/>
  <c r="BB81" i="27"/>
  <c r="BC81" i="27"/>
  <c r="X81" i="27"/>
  <c r="Y81" i="27" s="1"/>
  <c r="U82" i="27" s="1"/>
  <c r="AE81" i="27" l="1"/>
  <c r="AF81" i="27" s="1"/>
  <c r="AG81" i="27" s="1"/>
  <c r="AC82" i="27" s="1"/>
  <c r="AE82" i="27" s="1"/>
  <c r="P85" i="27"/>
  <c r="Q85" i="27" s="1"/>
  <c r="M86" i="27" s="1"/>
  <c r="N86" i="27" s="1"/>
  <c r="BL85" i="27"/>
  <c r="BM85" i="27" s="1"/>
  <c r="BI86" i="27" s="1"/>
  <c r="AL80" i="27"/>
  <c r="AN80" i="27" s="1"/>
  <c r="AO80" i="27" s="1"/>
  <c r="AK81" i="27" s="1"/>
  <c r="AL81" i="27" s="1"/>
  <c r="AT87" i="27"/>
  <c r="AV87" i="27" s="1"/>
  <c r="AW87" i="27" s="1"/>
  <c r="AS88" i="27" s="1"/>
  <c r="AU88" i="27" s="1"/>
  <c r="A112" i="27"/>
  <c r="C113" i="27"/>
  <c r="W82" i="27"/>
  <c r="V82" i="27"/>
  <c r="BD81" i="27"/>
  <c r="BE81" i="27" s="1"/>
  <c r="BA82" i="27" s="1"/>
  <c r="O86" i="27"/>
  <c r="E82" i="27"/>
  <c r="I82" i="27"/>
  <c r="F82" i="27"/>
  <c r="AD82" i="27" l="1"/>
  <c r="AF82" i="27" s="1"/>
  <c r="AG82" i="27" s="1"/>
  <c r="AC83" i="27" s="1"/>
  <c r="AE83" i="27" s="1"/>
  <c r="X82" i="27"/>
  <c r="Y82" i="27" s="1"/>
  <c r="U83" i="27" s="1"/>
  <c r="V83" i="27" s="1"/>
  <c r="AM81" i="27"/>
  <c r="AN81" i="27" s="1"/>
  <c r="AO81" i="27" s="1"/>
  <c r="AK82" i="27" s="1"/>
  <c r="BK86" i="27"/>
  <c r="BJ86" i="27"/>
  <c r="BL86" i="27" s="1"/>
  <c r="BM86" i="27" s="1"/>
  <c r="BI87" i="27" s="1"/>
  <c r="AT88" i="27"/>
  <c r="AV88" i="27" s="1"/>
  <c r="AW88" i="27" s="1"/>
  <c r="AS89" i="27" s="1"/>
  <c r="AT89" i="27" s="1"/>
  <c r="A113" i="27"/>
  <c r="C114" i="27"/>
  <c r="P86" i="27"/>
  <c r="Q86" i="27" s="1"/>
  <c r="M87" i="27" s="1"/>
  <c r="BB82" i="27"/>
  <c r="BC82" i="27"/>
  <c r="G82" i="27"/>
  <c r="H82" i="27" s="1"/>
  <c r="D83" i="27" s="1"/>
  <c r="W83" i="27" l="1"/>
  <c r="X83" i="27" s="1"/>
  <c r="Y83" i="27" s="1"/>
  <c r="U84" i="27" s="1"/>
  <c r="W84" i="27" s="1"/>
  <c r="AD83" i="27"/>
  <c r="AF83" i="27" s="1"/>
  <c r="AG83" i="27" s="1"/>
  <c r="AC84" i="27" s="1"/>
  <c r="AE84" i="27" s="1"/>
  <c r="AU89" i="27"/>
  <c r="AV89" i="27" s="1"/>
  <c r="AW89" i="27" s="1"/>
  <c r="AS90" i="27" s="1"/>
  <c r="AM82" i="27"/>
  <c r="AL82" i="27"/>
  <c r="BJ87" i="27"/>
  <c r="BK87" i="27"/>
  <c r="A114" i="27"/>
  <c r="C115" i="27"/>
  <c r="I83" i="27"/>
  <c r="F83" i="27"/>
  <c r="E83" i="27"/>
  <c r="BD82" i="27"/>
  <c r="BE82" i="27" s="1"/>
  <c r="BA83" i="27" s="1"/>
  <c r="O87" i="27"/>
  <c r="N87" i="27"/>
  <c r="AD84" i="27" l="1"/>
  <c r="AF84" i="27" s="1"/>
  <c r="AG84" i="27" s="1"/>
  <c r="AC85" i="27" s="1"/>
  <c r="AD85" i="27" s="1"/>
  <c r="AN82" i="27"/>
  <c r="AO82" i="27" s="1"/>
  <c r="AK83" i="27" s="1"/>
  <c r="AL83" i="27" s="1"/>
  <c r="P87" i="27"/>
  <c r="Q87" i="27" s="1"/>
  <c r="M88" i="27" s="1"/>
  <c r="O88" i="27" s="1"/>
  <c r="V84" i="27"/>
  <c r="X84" i="27" s="1"/>
  <c r="Y84" i="27" s="1"/>
  <c r="U85" i="27" s="1"/>
  <c r="W85" i="27" s="1"/>
  <c r="BL87" i="27"/>
  <c r="BM87" i="27" s="1"/>
  <c r="BI88" i="27" s="1"/>
  <c r="G83" i="27"/>
  <c r="H83" i="27" s="1"/>
  <c r="D84" i="27" s="1"/>
  <c r="E84" i="27" s="1"/>
  <c r="A115" i="27"/>
  <c r="C116" i="27"/>
  <c r="AT90" i="27"/>
  <c r="AU90" i="27"/>
  <c r="BC83" i="27"/>
  <c r="BB83" i="27"/>
  <c r="N88" i="27" l="1"/>
  <c r="AE85" i="27"/>
  <c r="AF85" i="27" s="1"/>
  <c r="AG85" i="27" s="1"/>
  <c r="AC86" i="27" s="1"/>
  <c r="AD86" i="27" s="1"/>
  <c r="AM83" i="27"/>
  <c r="AN83" i="27" s="1"/>
  <c r="AO83" i="27" s="1"/>
  <c r="AK84" i="27" s="1"/>
  <c r="V85" i="27"/>
  <c r="X85" i="27" s="1"/>
  <c r="Y85" i="27" s="1"/>
  <c r="U86" i="27" s="1"/>
  <c r="W86" i="27" s="1"/>
  <c r="BD83" i="27"/>
  <c r="BE83" i="27" s="1"/>
  <c r="BA84" i="27" s="1"/>
  <c r="BC84" i="27" s="1"/>
  <c r="BJ88" i="27"/>
  <c r="BK88" i="27"/>
  <c r="F84" i="27"/>
  <c r="G84" i="27" s="1"/>
  <c r="H84" i="27" s="1"/>
  <c r="D85" i="27" s="1"/>
  <c r="I84" i="27"/>
  <c r="A116" i="27"/>
  <c r="C117" i="27"/>
  <c r="AV90" i="27"/>
  <c r="AW90" i="27" s="1"/>
  <c r="AS91" i="27" s="1"/>
  <c r="AT91" i="27" s="1"/>
  <c r="P88" i="27"/>
  <c r="Q88" i="27" s="1"/>
  <c r="M89" i="27" s="1"/>
  <c r="BB84" i="27" l="1"/>
  <c r="AL84" i="27"/>
  <c r="AM84" i="27"/>
  <c r="AN84" i="27" s="1"/>
  <c r="AO84" i="27" s="1"/>
  <c r="AK85" i="27" s="1"/>
  <c r="AE86" i="27"/>
  <c r="AF86" i="27" s="1"/>
  <c r="AG86" i="27" s="1"/>
  <c r="AC87" i="27" s="1"/>
  <c r="AD87" i="27" s="1"/>
  <c r="BD84" i="27"/>
  <c r="BE84" i="27" s="1"/>
  <c r="BA85" i="27" s="1"/>
  <c r="BB85" i="27" s="1"/>
  <c r="I85" i="27"/>
  <c r="F85" i="27"/>
  <c r="E85" i="27"/>
  <c r="BL88" i="27"/>
  <c r="BM88" i="27" s="1"/>
  <c r="BI89" i="27" s="1"/>
  <c r="AU91" i="27"/>
  <c r="AV91" i="27" s="1"/>
  <c r="AW91" i="27" s="1"/>
  <c r="AS92" i="27" s="1"/>
  <c r="C118" i="27"/>
  <c r="A117" i="27"/>
  <c r="V86" i="27"/>
  <c r="X86" i="27" s="1"/>
  <c r="Y86" i="27" s="1"/>
  <c r="U87" i="27" s="1"/>
  <c r="W87" i="27" s="1"/>
  <c r="N89" i="27"/>
  <c r="O89" i="27"/>
  <c r="BC85" i="27" l="1"/>
  <c r="BD85" i="27" s="1"/>
  <c r="BE85" i="27" s="1"/>
  <c r="BA86" i="27" s="1"/>
  <c r="BB86" i="27" s="1"/>
  <c r="G85" i="27"/>
  <c r="H85" i="27" s="1"/>
  <c r="D86" i="27" s="1"/>
  <c r="E86" i="27" s="1"/>
  <c r="AE87" i="27"/>
  <c r="AF87" i="27" s="1"/>
  <c r="AG87" i="27" s="1"/>
  <c r="AC88" i="27" s="1"/>
  <c r="BJ89" i="27"/>
  <c r="BK89" i="27"/>
  <c r="C119" i="27"/>
  <c r="A118" i="27"/>
  <c r="V87" i="27"/>
  <c r="X87" i="27" s="1"/>
  <c r="Y87" i="27" s="1"/>
  <c r="U88" i="27" s="1"/>
  <c r="AM85" i="27"/>
  <c r="AL85" i="27"/>
  <c r="AT92" i="27"/>
  <c r="AU92" i="27"/>
  <c r="P89" i="27"/>
  <c r="Q89" i="27" s="1"/>
  <c r="M90" i="27" s="1"/>
  <c r="I86" i="27" l="1"/>
  <c r="AN85" i="27"/>
  <c r="AO85" i="27" s="1"/>
  <c r="AK86" i="27" s="1"/>
  <c r="AM86" i="27" s="1"/>
  <c r="BC86" i="27"/>
  <c r="BD86" i="27" s="1"/>
  <c r="BE86" i="27" s="1"/>
  <c r="BA87" i="27" s="1"/>
  <c r="BB87" i="27" s="1"/>
  <c r="F86" i="27"/>
  <c r="G86" i="27" s="1"/>
  <c r="H86" i="27" s="1"/>
  <c r="D87" i="27" s="1"/>
  <c r="F87" i="27" s="1"/>
  <c r="AD88" i="27"/>
  <c r="AE88" i="27"/>
  <c r="BL89" i="27"/>
  <c r="BM89" i="27" s="1"/>
  <c r="BI90" i="27" s="1"/>
  <c r="A119" i="27"/>
  <c r="C120" i="27"/>
  <c r="W88" i="27"/>
  <c r="V88" i="27"/>
  <c r="O90" i="27"/>
  <c r="N90" i="27"/>
  <c r="AV92" i="27"/>
  <c r="AW92" i="27" s="1"/>
  <c r="AS93" i="27" s="1"/>
  <c r="AL86" i="27" l="1"/>
  <c r="AN86" i="27" s="1"/>
  <c r="AO86" i="27" s="1"/>
  <c r="AK87" i="27" s="1"/>
  <c r="AM87" i="27" s="1"/>
  <c r="E87" i="27"/>
  <c r="G87" i="27" s="1"/>
  <c r="H87" i="27" s="1"/>
  <c r="D88" i="27" s="1"/>
  <c r="E88" i="27" s="1"/>
  <c r="I87" i="27"/>
  <c r="AF88" i="27"/>
  <c r="AG88" i="27" s="1"/>
  <c r="AC89" i="27" s="1"/>
  <c r="P90" i="27"/>
  <c r="Q90" i="27" s="1"/>
  <c r="M91" i="27" s="1"/>
  <c r="N91" i="27" s="1"/>
  <c r="BJ90" i="27"/>
  <c r="BK90" i="27"/>
  <c r="C121" i="27"/>
  <c r="A120" i="27"/>
  <c r="BC87" i="27"/>
  <c r="BD87" i="27" s="1"/>
  <c r="BE87" i="27" s="1"/>
  <c r="BA88" i="27" s="1"/>
  <c r="AU93" i="27"/>
  <c r="AT93" i="27"/>
  <c r="X88" i="27"/>
  <c r="Y88" i="27" s="1"/>
  <c r="U89" i="27" s="1"/>
  <c r="F88" i="27" l="1"/>
  <c r="G88" i="27" s="1"/>
  <c r="H88" i="27" s="1"/>
  <c r="D89" i="27" s="1"/>
  <c r="I88" i="27"/>
  <c r="AD89" i="27"/>
  <c r="AE89" i="27"/>
  <c r="O91" i="27"/>
  <c r="P91" i="27" s="1"/>
  <c r="Q91" i="27" s="1"/>
  <c r="M92" i="27" s="1"/>
  <c r="AV93" i="27"/>
  <c r="AW93" i="27" s="1"/>
  <c r="AS94" i="27" s="1"/>
  <c r="AT94" i="27" s="1"/>
  <c r="BL90" i="27"/>
  <c r="BM90" i="27" s="1"/>
  <c r="BI91" i="27" s="1"/>
  <c r="C122" i="27"/>
  <c r="A121" i="27"/>
  <c r="AL87" i="27"/>
  <c r="AN87" i="27" s="1"/>
  <c r="AO87" i="27" s="1"/>
  <c r="AK88" i="27" s="1"/>
  <c r="AM88" i="27" s="1"/>
  <c r="BB88" i="27"/>
  <c r="BC88" i="27"/>
  <c r="V89" i="27"/>
  <c r="W89" i="27"/>
  <c r="AF89" i="27" l="1"/>
  <c r="AG89" i="27" s="1"/>
  <c r="AC90" i="27" s="1"/>
  <c r="AU94" i="27"/>
  <c r="BJ91" i="27"/>
  <c r="BK91" i="27"/>
  <c r="AL88" i="27"/>
  <c r="AN88" i="27" s="1"/>
  <c r="AO88" i="27" s="1"/>
  <c r="AK89" i="27" s="1"/>
  <c r="AM89" i="27" s="1"/>
  <c r="AV94" i="27"/>
  <c r="AW94" i="27" s="1"/>
  <c r="AS95" i="27" s="1"/>
  <c r="AT95" i="27" s="1"/>
  <c r="X89" i="27"/>
  <c r="Y89" i="27" s="1"/>
  <c r="U90" i="27" s="1"/>
  <c r="V90" i="27" s="1"/>
  <c r="BD88" i="27"/>
  <c r="BE88" i="27" s="1"/>
  <c r="BA89" i="27" s="1"/>
  <c r="BB89" i="27" s="1"/>
  <c r="C123" i="27"/>
  <c r="A122" i="27"/>
  <c r="N92" i="27"/>
  <c r="O92" i="27"/>
  <c r="F89" i="27"/>
  <c r="E89" i="27"/>
  <c r="I89" i="27"/>
  <c r="G89" i="27" l="1"/>
  <c r="H89" i="27" s="1"/>
  <c r="D90" i="27" s="1"/>
  <c r="I90" i="27" s="1"/>
  <c r="AE90" i="27"/>
  <c r="AD90" i="27"/>
  <c r="AL89" i="27"/>
  <c r="AN89" i="27" s="1"/>
  <c r="AO89" i="27" s="1"/>
  <c r="AK90" i="27" s="1"/>
  <c r="AM90" i="27" s="1"/>
  <c r="BL91" i="27"/>
  <c r="BM91" i="27" s="1"/>
  <c r="BI92" i="27" s="1"/>
  <c r="BJ92" i="27" s="1"/>
  <c r="AU95" i="27"/>
  <c r="AV95" i="27" s="1"/>
  <c r="AW95" i="27" s="1"/>
  <c r="AS96" i="27" s="1"/>
  <c r="P92" i="27"/>
  <c r="Q92" i="27" s="1"/>
  <c r="M93" i="27" s="1"/>
  <c r="N93" i="27" s="1"/>
  <c r="BC89" i="27"/>
  <c r="BD89" i="27" s="1"/>
  <c r="BE89" i="27" s="1"/>
  <c r="BA90" i="27" s="1"/>
  <c r="BC90" i="27" s="1"/>
  <c r="W90" i="27"/>
  <c r="X90" i="27" s="1"/>
  <c r="Y90" i="27" s="1"/>
  <c r="U91" i="27" s="1"/>
  <c r="C124" i="27"/>
  <c r="A123" i="27"/>
  <c r="AF90" i="27" l="1"/>
  <c r="AG90" i="27" s="1"/>
  <c r="AC91" i="27" s="1"/>
  <c r="AE91" i="27" s="1"/>
  <c r="BK92" i="27"/>
  <c r="F90" i="27"/>
  <c r="E90" i="27"/>
  <c r="BL92" i="27"/>
  <c r="BM92" i="27" s="1"/>
  <c r="BI93" i="27" s="1"/>
  <c r="BK93" i="27" s="1"/>
  <c r="O93" i="27"/>
  <c r="P93" i="27" s="1"/>
  <c r="Q93" i="27" s="1"/>
  <c r="M94" i="27" s="1"/>
  <c r="AT96" i="27"/>
  <c r="AU96" i="27"/>
  <c r="AL90" i="27"/>
  <c r="AN90" i="27" s="1"/>
  <c r="AO90" i="27" s="1"/>
  <c r="AK91" i="27" s="1"/>
  <c r="AM91" i="27" s="1"/>
  <c r="W91" i="27"/>
  <c r="V91" i="27"/>
  <c r="BB90" i="27"/>
  <c r="BD90" i="27" s="1"/>
  <c r="BE90" i="27" s="1"/>
  <c r="BA91" i="27" s="1"/>
  <c r="BB91" i="27" s="1"/>
  <c r="C125" i="27"/>
  <c r="A124" i="27"/>
  <c r="AD91" i="27" l="1"/>
  <c r="AF91" i="27" s="1"/>
  <c r="AG91" i="27" s="1"/>
  <c r="AC92" i="27" s="1"/>
  <c r="AE92" i="27" s="1"/>
  <c r="BJ93" i="27"/>
  <c r="BL93" i="27" s="1"/>
  <c r="BM93" i="27" s="1"/>
  <c r="BI94" i="27" s="1"/>
  <c r="G90" i="27"/>
  <c r="H90" i="27" s="1"/>
  <c r="D91" i="27" s="1"/>
  <c r="E91" i="27" s="1"/>
  <c r="AD92" i="27"/>
  <c r="AF92" i="27" s="1"/>
  <c r="AG92" i="27" s="1"/>
  <c r="AC93" i="27" s="1"/>
  <c r="AV96" i="27"/>
  <c r="AW96" i="27" s="1"/>
  <c r="AS97" i="27" s="1"/>
  <c r="AT97" i="27" s="1"/>
  <c r="AL91" i="27"/>
  <c r="AN91" i="27" s="1"/>
  <c r="AO91" i="27" s="1"/>
  <c r="AK92" i="27" s="1"/>
  <c r="AL92" i="27" s="1"/>
  <c r="X91" i="27"/>
  <c r="Y91" i="27" s="1"/>
  <c r="U92" i="27" s="1"/>
  <c r="V92" i="27" s="1"/>
  <c r="BC91" i="27"/>
  <c r="BD91" i="27" s="1"/>
  <c r="BE91" i="27" s="1"/>
  <c r="BA92" i="27" s="1"/>
  <c r="A125" i="27"/>
  <c r="C126" i="27"/>
  <c r="N94" i="27"/>
  <c r="O94" i="27"/>
  <c r="AU97" i="27" l="1"/>
  <c r="I91" i="27"/>
  <c r="F91" i="27"/>
  <c r="G91" i="27" s="1"/>
  <c r="H91" i="27" s="1"/>
  <c r="D92" i="27" s="1"/>
  <c r="E92" i="27" s="1"/>
  <c r="AD93" i="27"/>
  <c r="AE93" i="27"/>
  <c r="W92" i="27"/>
  <c r="X92" i="27" s="1"/>
  <c r="Y92" i="27" s="1"/>
  <c r="U93" i="27" s="1"/>
  <c r="V93" i="27" s="1"/>
  <c r="BJ94" i="27"/>
  <c r="BK94" i="27"/>
  <c r="AM92" i="27"/>
  <c r="AN92" i="27" s="1"/>
  <c r="AO92" i="27" s="1"/>
  <c r="AK93" i="27" s="1"/>
  <c r="AV97" i="27"/>
  <c r="AW97" i="27" s="1"/>
  <c r="AS98" i="27" s="1"/>
  <c r="AT98" i="27" s="1"/>
  <c r="C127" i="27"/>
  <c r="A126" i="27"/>
  <c r="P94" i="27"/>
  <c r="Q94" i="27" s="1"/>
  <c r="M95" i="27" s="1"/>
  <c r="N95" i="27" s="1"/>
  <c r="BC92" i="27"/>
  <c r="BB92" i="27"/>
  <c r="AF93" i="27" l="1"/>
  <c r="AG93" i="27" s="1"/>
  <c r="AC94" i="27" s="1"/>
  <c r="F92" i="27"/>
  <c r="G92" i="27" s="1"/>
  <c r="H92" i="27" s="1"/>
  <c r="D93" i="27" s="1"/>
  <c r="I92" i="27"/>
  <c r="W93" i="27"/>
  <c r="X93" i="27" s="1"/>
  <c r="Y93" i="27" s="1"/>
  <c r="U94" i="27" s="1"/>
  <c r="W94" i="27" s="1"/>
  <c r="AU98" i="27"/>
  <c r="AV98" i="27" s="1"/>
  <c r="AW98" i="27" s="1"/>
  <c r="AS99" i="27" s="1"/>
  <c r="BL94" i="27"/>
  <c r="BM94" i="27" s="1"/>
  <c r="BI95" i="27" s="1"/>
  <c r="BD92" i="27"/>
  <c r="BE92" i="27" s="1"/>
  <c r="BA93" i="27" s="1"/>
  <c r="BC93" i="27" s="1"/>
  <c r="AE94" i="27"/>
  <c r="AD94" i="27"/>
  <c r="O95" i="27"/>
  <c r="P95" i="27" s="1"/>
  <c r="Q95" i="27" s="1"/>
  <c r="M96" i="27" s="1"/>
  <c r="C128" i="27"/>
  <c r="A127" i="27"/>
  <c r="AL93" i="27"/>
  <c r="AM93" i="27"/>
  <c r="F93" i="27" l="1"/>
  <c r="E93" i="27"/>
  <c r="I93" i="27"/>
  <c r="AF94" i="27"/>
  <c r="AG94" i="27" s="1"/>
  <c r="AC95" i="27" s="1"/>
  <c r="AD95" i="27" s="1"/>
  <c r="BB93" i="27"/>
  <c r="BD93" i="27" s="1"/>
  <c r="BE93" i="27" s="1"/>
  <c r="BA94" i="27" s="1"/>
  <c r="BJ95" i="27"/>
  <c r="BK95" i="27"/>
  <c r="V94" i="27"/>
  <c r="X94" i="27" s="1"/>
  <c r="Y94" i="27" s="1"/>
  <c r="U95" i="27" s="1"/>
  <c r="A128" i="27"/>
  <c r="C129" i="27"/>
  <c r="AN93" i="27"/>
  <c r="AO93" i="27" s="1"/>
  <c r="AK94" i="27" s="1"/>
  <c r="AL94" i="27" s="1"/>
  <c r="N96" i="27"/>
  <c r="O96" i="27"/>
  <c r="AT99" i="27"/>
  <c r="AU99" i="27"/>
  <c r="G93" i="27" l="1"/>
  <c r="H93" i="27" s="1"/>
  <c r="D94" i="27" s="1"/>
  <c r="F94" i="27" s="1"/>
  <c r="AE95" i="27"/>
  <c r="BL95" i="27"/>
  <c r="BM95" i="27" s="1"/>
  <c r="BI96" i="27" s="1"/>
  <c r="V95" i="27"/>
  <c r="W95" i="27"/>
  <c r="AF95" i="27"/>
  <c r="AG95" i="27" s="1"/>
  <c r="AC96" i="27" s="1"/>
  <c r="A129" i="27"/>
  <c r="C130" i="27"/>
  <c r="AM94" i="27"/>
  <c r="AN94" i="27" s="1"/>
  <c r="AO94" i="27" s="1"/>
  <c r="AK95" i="27" s="1"/>
  <c r="P96" i="27"/>
  <c r="Q96" i="27" s="1"/>
  <c r="M97" i="27" s="1"/>
  <c r="O97" i="27" s="1"/>
  <c r="BC94" i="27"/>
  <c r="BB94" i="27"/>
  <c r="AV99" i="27"/>
  <c r="AW99" i="27" s="1"/>
  <c r="AS100" i="27" s="1"/>
  <c r="E94" i="27" l="1"/>
  <c r="G94" i="27" s="1"/>
  <c r="H94" i="27" s="1"/>
  <c r="D95" i="27" s="1"/>
  <c r="E95" i="27" s="1"/>
  <c r="I94" i="27"/>
  <c r="X95" i="27"/>
  <c r="Y95" i="27" s="1"/>
  <c r="U96" i="27" s="1"/>
  <c r="W96" i="27" s="1"/>
  <c r="BK96" i="27"/>
  <c r="BJ96" i="27"/>
  <c r="N97" i="27"/>
  <c r="P97" i="27" s="1"/>
  <c r="Q97" i="27" s="1"/>
  <c r="M98" i="27" s="1"/>
  <c r="O98" i="27" s="1"/>
  <c r="AE96" i="27"/>
  <c r="AD96" i="27"/>
  <c r="C131" i="27"/>
  <c r="A130" i="27"/>
  <c r="BD94" i="27"/>
  <c r="BE94" i="27" s="1"/>
  <c r="BA95" i="27" s="1"/>
  <c r="BB95" i="27" s="1"/>
  <c r="AL95" i="27"/>
  <c r="AM95" i="27"/>
  <c r="AU100" i="27"/>
  <c r="AT100" i="27"/>
  <c r="V96" i="27" l="1"/>
  <c r="X96" i="27" s="1"/>
  <c r="Y96" i="27" s="1"/>
  <c r="U97" i="27" s="1"/>
  <c r="W97" i="27" s="1"/>
  <c r="I95" i="27"/>
  <c r="F95" i="27"/>
  <c r="G95" i="27" s="1"/>
  <c r="H95" i="27" s="1"/>
  <c r="D96" i="27" s="1"/>
  <c r="I96" i="27" s="1"/>
  <c r="BL96" i="27"/>
  <c r="BM96" i="27" s="1"/>
  <c r="BI97" i="27" s="1"/>
  <c r="AF96" i="27"/>
  <c r="AG96" i="27" s="1"/>
  <c r="AC97" i="27" s="1"/>
  <c r="AE97" i="27" s="1"/>
  <c r="AV100" i="27"/>
  <c r="AW100" i="27" s="1"/>
  <c r="AS101" i="27" s="1"/>
  <c r="AT101" i="27" s="1"/>
  <c r="BC95" i="27"/>
  <c r="BD95" i="27" s="1"/>
  <c r="BE95" i="27" s="1"/>
  <c r="BA96" i="27" s="1"/>
  <c r="N98" i="27"/>
  <c r="P98" i="27" s="1"/>
  <c r="Q98" i="27" s="1"/>
  <c r="M99" i="27" s="1"/>
  <c r="O99" i="27" s="1"/>
  <c r="A131" i="27"/>
  <c r="C132" i="27"/>
  <c r="AN95" i="27"/>
  <c r="AO95" i="27" s="1"/>
  <c r="AK96" i="27" s="1"/>
  <c r="AM96" i="27" s="1"/>
  <c r="V97" i="27" l="1"/>
  <c r="E96" i="27"/>
  <c r="F96" i="27"/>
  <c r="AD97" i="27"/>
  <c r="AF97" i="27" s="1"/>
  <c r="AG97" i="27" s="1"/>
  <c r="AC98" i="27" s="1"/>
  <c r="AE98" i="27" s="1"/>
  <c r="AU101" i="27"/>
  <c r="AV101" i="27" s="1"/>
  <c r="AW101" i="27" s="1"/>
  <c r="AS102" i="27" s="1"/>
  <c r="BJ97" i="27"/>
  <c r="BK97" i="27"/>
  <c r="BB96" i="27"/>
  <c r="BC96" i="27"/>
  <c r="N99" i="27"/>
  <c r="P99" i="27" s="1"/>
  <c r="Q99" i="27" s="1"/>
  <c r="M100" i="27" s="1"/>
  <c r="O100" i="27" s="1"/>
  <c r="AL96" i="27"/>
  <c r="AN96" i="27" s="1"/>
  <c r="AO96" i="27" s="1"/>
  <c r="AK97" i="27" s="1"/>
  <c r="A132" i="27"/>
  <c r="C133" i="27"/>
  <c r="X97" i="27"/>
  <c r="Y97" i="27" s="1"/>
  <c r="U98" i="27" s="1"/>
  <c r="V98" i="27" s="1"/>
  <c r="G96" i="27" l="1"/>
  <c r="H96" i="27" s="1"/>
  <c r="D97" i="27" s="1"/>
  <c r="E97" i="27" s="1"/>
  <c r="AD98" i="27"/>
  <c r="AF98" i="27" s="1"/>
  <c r="AG98" i="27" s="1"/>
  <c r="AC99" i="27" s="1"/>
  <c r="AD99" i="27" s="1"/>
  <c r="BL97" i="27"/>
  <c r="BM97" i="27" s="1"/>
  <c r="BI98" i="27" s="1"/>
  <c r="BD96" i="27"/>
  <c r="BE96" i="27" s="1"/>
  <c r="BA97" i="27" s="1"/>
  <c r="BC97" i="27" s="1"/>
  <c r="N100" i="27"/>
  <c r="P100" i="27" s="1"/>
  <c r="Q100" i="27" s="1"/>
  <c r="M101" i="27" s="1"/>
  <c r="W98" i="27"/>
  <c r="X98" i="27" s="1"/>
  <c r="Y98" i="27" s="1"/>
  <c r="U99" i="27" s="1"/>
  <c r="A133" i="27"/>
  <c r="C134" i="27"/>
  <c r="AL97" i="27"/>
  <c r="AM97" i="27"/>
  <c r="AU102" i="27"/>
  <c r="AT102" i="27"/>
  <c r="F97" i="27" l="1"/>
  <c r="G97" i="27" s="1"/>
  <c r="H97" i="27" s="1"/>
  <c r="D98" i="27" s="1"/>
  <c r="I98" i="27" s="1"/>
  <c r="I97" i="27"/>
  <c r="BB97" i="27"/>
  <c r="BD97" i="27" s="1"/>
  <c r="BE97" i="27" s="1"/>
  <c r="BA98" i="27" s="1"/>
  <c r="BC98" i="27" s="1"/>
  <c r="BJ98" i="27"/>
  <c r="BK98" i="27"/>
  <c r="AE99" i="27"/>
  <c r="AF99" i="27" s="1"/>
  <c r="AG99" i="27" s="1"/>
  <c r="AC100" i="27" s="1"/>
  <c r="AV102" i="27"/>
  <c r="AW102" i="27" s="1"/>
  <c r="AS103" i="27" s="1"/>
  <c r="AT103" i="27" s="1"/>
  <c r="W99" i="27"/>
  <c r="V99" i="27"/>
  <c r="C135" i="27"/>
  <c r="A134" i="27"/>
  <c r="AN97" i="27"/>
  <c r="AO97" i="27" s="1"/>
  <c r="AK98" i="27" s="1"/>
  <c r="N101" i="27"/>
  <c r="O101" i="27"/>
  <c r="BB98" i="27" l="1"/>
  <c r="BD98" i="27" s="1"/>
  <c r="BE98" i="27" s="1"/>
  <c r="BA99" i="27" s="1"/>
  <c r="BC99" i="27" s="1"/>
  <c r="BL98" i="27"/>
  <c r="BM98" i="27" s="1"/>
  <c r="BI99" i="27" s="1"/>
  <c r="BK99" i="27" s="1"/>
  <c r="AU103" i="27"/>
  <c r="AV103" i="27" s="1"/>
  <c r="AW103" i="27" s="1"/>
  <c r="AS104" i="27" s="1"/>
  <c r="AT104" i="27" s="1"/>
  <c r="AD100" i="27"/>
  <c r="AE100" i="27"/>
  <c r="X99" i="27"/>
  <c r="Y99" i="27" s="1"/>
  <c r="U100" i="27" s="1"/>
  <c r="E98" i="27"/>
  <c r="F98" i="27"/>
  <c r="A135" i="27"/>
  <c r="C136" i="27"/>
  <c r="AL98" i="27"/>
  <c r="AM98" i="27"/>
  <c r="P101" i="27"/>
  <c r="Q101" i="27" s="1"/>
  <c r="M102" i="27" s="1"/>
  <c r="BJ99" i="27" l="1"/>
  <c r="AF100" i="27"/>
  <c r="AG100" i="27" s="1"/>
  <c r="AC101" i="27" s="1"/>
  <c r="AE101" i="27" s="1"/>
  <c r="BB99" i="27"/>
  <c r="BD99" i="27" s="1"/>
  <c r="BE99" i="27" s="1"/>
  <c r="BA100" i="27" s="1"/>
  <c r="BC100" i="27" s="1"/>
  <c r="BL99" i="27"/>
  <c r="BM99" i="27" s="1"/>
  <c r="BI100" i="27" s="1"/>
  <c r="BJ100" i="27" s="1"/>
  <c r="AU104" i="27"/>
  <c r="AV104" i="27" s="1"/>
  <c r="AW104" i="27" s="1"/>
  <c r="AS105" i="27" s="1"/>
  <c r="AD101" i="27"/>
  <c r="W100" i="27"/>
  <c r="V100" i="27"/>
  <c r="G98" i="27"/>
  <c r="H98" i="27" s="1"/>
  <c r="D99" i="27" s="1"/>
  <c r="C137" i="27"/>
  <c r="A136" i="27"/>
  <c r="N102" i="27"/>
  <c r="O102" i="27"/>
  <c r="AN98" i="27"/>
  <c r="AO98" i="27" s="1"/>
  <c r="AK99" i="27" s="1"/>
  <c r="X100" i="27" l="1"/>
  <c r="Y100" i="27" s="1"/>
  <c r="U101" i="27" s="1"/>
  <c r="W101" i="27" s="1"/>
  <c r="BB100" i="27"/>
  <c r="BD100" i="27" s="1"/>
  <c r="BE100" i="27" s="1"/>
  <c r="BA101" i="27" s="1"/>
  <c r="BK100" i="27"/>
  <c r="BL100" i="27" s="1"/>
  <c r="BM100" i="27" s="1"/>
  <c r="BI101" i="27" s="1"/>
  <c r="AF101" i="27"/>
  <c r="AG101" i="27" s="1"/>
  <c r="AC102" i="27" s="1"/>
  <c r="AD102" i="27" s="1"/>
  <c r="E99" i="27"/>
  <c r="I99" i="27"/>
  <c r="F99" i="27"/>
  <c r="A137" i="27"/>
  <c r="C138" i="27"/>
  <c r="AL99" i="27"/>
  <c r="AM99" i="27"/>
  <c r="P102" i="27"/>
  <c r="Q102" i="27" s="1"/>
  <c r="M103" i="27" s="1"/>
  <c r="AT105" i="27"/>
  <c r="AU105" i="27"/>
  <c r="AE102" i="27" l="1"/>
  <c r="V101" i="27"/>
  <c r="X101" i="27" s="1"/>
  <c r="Y101" i="27" s="1"/>
  <c r="U102" i="27" s="1"/>
  <c r="W102" i="27" s="1"/>
  <c r="BC101" i="27"/>
  <c r="BB101" i="27"/>
  <c r="BK101" i="27"/>
  <c r="BJ101" i="27"/>
  <c r="BL101" i="27" s="1"/>
  <c r="BM101" i="27" s="1"/>
  <c r="BI102" i="27" s="1"/>
  <c r="BK102" i="27" s="1"/>
  <c r="AF102" i="27"/>
  <c r="AG102" i="27" s="1"/>
  <c r="AC103" i="27" s="1"/>
  <c r="AE103" i="27" s="1"/>
  <c r="G99" i="27"/>
  <c r="H99" i="27" s="1"/>
  <c r="D100" i="27" s="1"/>
  <c r="AN99" i="27"/>
  <c r="AO99" i="27" s="1"/>
  <c r="AK100" i="27" s="1"/>
  <c r="AL100" i="27" s="1"/>
  <c r="C139" i="27"/>
  <c r="A138" i="27"/>
  <c r="AV105" i="27"/>
  <c r="AW105" i="27" s="1"/>
  <c r="AS106" i="27" s="1"/>
  <c r="AU106" i="27" s="1"/>
  <c r="O103" i="27"/>
  <c r="N103" i="27"/>
  <c r="V102" i="27" l="1"/>
  <c r="X102" i="27" s="1"/>
  <c r="Y102" i="27" s="1"/>
  <c r="U103" i="27" s="1"/>
  <c r="V103" i="27" s="1"/>
  <c r="AD103" i="27"/>
  <c r="BD101" i="27"/>
  <c r="BE101" i="27" s="1"/>
  <c r="BA102" i="27" s="1"/>
  <c r="BC102" i="27" s="1"/>
  <c r="BJ102" i="27"/>
  <c r="BL102" i="27" s="1"/>
  <c r="BM102" i="27" s="1"/>
  <c r="BI103" i="27" s="1"/>
  <c r="AF103" i="27"/>
  <c r="AG103" i="27" s="1"/>
  <c r="AC104" i="27" s="1"/>
  <c r="AD104" i="27" s="1"/>
  <c r="AM100" i="27"/>
  <c r="AN100" i="27" s="1"/>
  <c r="AO100" i="27" s="1"/>
  <c r="AK101" i="27" s="1"/>
  <c r="AM101" i="27" s="1"/>
  <c r="F100" i="27"/>
  <c r="I100" i="27"/>
  <c r="E100" i="27"/>
  <c r="A139" i="27"/>
  <c r="C140" i="27"/>
  <c r="AT106" i="27"/>
  <c r="AV106" i="27" s="1"/>
  <c r="AW106" i="27" s="1"/>
  <c r="AS107" i="27" s="1"/>
  <c r="AT107" i="27" s="1"/>
  <c r="W103" i="27"/>
  <c r="P103" i="27"/>
  <c r="Q103" i="27" s="1"/>
  <c r="M104" i="27" s="1"/>
  <c r="BB102" i="27" l="1"/>
  <c r="BD102" i="27" s="1"/>
  <c r="BE102" i="27" s="1"/>
  <c r="BA103" i="27" s="1"/>
  <c r="AE104" i="27"/>
  <c r="AF104" i="27" s="1"/>
  <c r="AG104" i="27" s="1"/>
  <c r="AC105" i="27" s="1"/>
  <c r="BK103" i="27"/>
  <c r="BJ103" i="27"/>
  <c r="AL101" i="27"/>
  <c r="AN101" i="27" s="1"/>
  <c r="AO101" i="27" s="1"/>
  <c r="AK102" i="27" s="1"/>
  <c r="AL102" i="27" s="1"/>
  <c r="G100" i="27"/>
  <c r="H100" i="27" s="1"/>
  <c r="D101" i="27" s="1"/>
  <c r="I101" i="27" s="1"/>
  <c r="AU107" i="27"/>
  <c r="AV107" i="27" s="1"/>
  <c r="AW107" i="27" s="1"/>
  <c r="AS108" i="27" s="1"/>
  <c r="AU108" i="27" s="1"/>
  <c r="A140" i="27"/>
  <c r="C141" i="27"/>
  <c r="N104" i="27"/>
  <c r="O104" i="27"/>
  <c r="X103" i="27"/>
  <c r="Y103" i="27" s="1"/>
  <c r="U104" i="27" s="1"/>
  <c r="BL103" i="27" l="1"/>
  <c r="BM103" i="27" s="1"/>
  <c r="BI104" i="27" s="1"/>
  <c r="BC103" i="27"/>
  <c r="BB103" i="27"/>
  <c r="BD103" i="27" s="1"/>
  <c r="BE103" i="27" s="1"/>
  <c r="BA104" i="27" s="1"/>
  <c r="BB104" i="27" s="1"/>
  <c r="F101" i="27"/>
  <c r="AD105" i="27"/>
  <c r="AE105" i="27"/>
  <c r="E101" i="27"/>
  <c r="G101" i="27" s="1"/>
  <c r="H101" i="27" s="1"/>
  <c r="D102" i="27" s="1"/>
  <c r="I102" i="27" s="1"/>
  <c r="AT108" i="27"/>
  <c r="AV108" i="27" s="1"/>
  <c r="AW108" i="27" s="1"/>
  <c r="AS109" i="27" s="1"/>
  <c r="AT109" i="27" s="1"/>
  <c r="C142" i="27"/>
  <c r="A141" i="27"/>
  <c r="AM102" i="27"/>
  <c r="AN102" i="27" s="1"/>
  <c r="AO102" i="27" s="1"/>
  <c r="AK103" i="27" s="1"/>
  <c r="BJ104" i="27"/>
  <c r="BK104" i="27"/>
  <c r="P104" i="27"/>
  <c r="Q104" i="27" s="1"/>
  <c r="M105" i="27" s="1"/>
  <c r="N105" i="27" s="1"/>
  <c r="W104" i="27"/>
  <c r="V104" i="27"/>
  <c r="BC104" i="27" l="1"/>
  <c r="BD104" i="27" s="1"/>
  <c r="BE104" i="27" s="1"/>
  <c r="BA105" i="27" s="1"/>
  <c r="AF105" i="27"/>
  <c r="AG105" i="27" s="1"/>
  <c r="AC106" i="27" s="1"/>
  <c r="AD106" i="27" s="1"/>
  <c r="F102" i="27"/>
  <c r="E102" i="27"/>
  <c r="G102" i="27" s="1"/>
  <c r="H102" i="27" s="1"/>
  <c r="D103" i="27" s="1"/>
  <c r="AE106" i="27"/>
  <c r="BL104" i="27"/>
  <c r="BM104" i="27" s="1"/>
  <c r="BI105" i="27" s="1"/>
  <c r="BK105" i="27" s="1"/>
  <c r="X104" i="27"/>
  <c r="Y104" i="27" s="1"/>
  <c r="U105" i="27" s="1"/>
  <c r="W105" i="27" s="1"/>
  <c r="AU109" i="27"/>
  <c r="AV109" i="27" s="1"/>
  <c r="AW109" i="27" s="1"/>
  <c r="AS110" i="27" s="1"/>
  <c r="O105" i="27"/>
  <c r="P105" i="27" s="1"/>
  <c r="Q105" i="27" s="1"/>
  <c r="M106" i="27" s="1"/>
  <c r="A142" i="27"/>
  <c r="C143" i="27"/>
  <c r="BB105" i="27"/>
  <c r="BC105" i="27"/>
  <c r="AL103" i="27"/>
  <c r="AM103" i="27"/>
  <c r="AF106" i="27" l="1"/>
  <c r="AG106" i="27" s="1"/>
  <c r="AC107" i="27" s="1"/>
  <c r="BJ105" i="27"/>
  <c r="BL105" i="27" s="1"/>
  <c r="BM105" i="27" s="1"/>
  <c r="BI106" i="27" s="1"/>
  <c r="BK106" i="27" s="1"/>
  <c r="V105" i="27"/>
  <c r="X105" i="27" s="1"/>
  <c r="Y105" i="27" s="1"/>
  <c r="U106" i="27" s="1"/>
  <c r="V106" i="27" s="1"/>
  <c r="I103" i="27"/>
  <c r="F103" i="27"/>
  <c r="E103" i="27"/>
  <c r="AD107" i="27"/>
  <c r="AE107" i="27"/>
  <c r="C144" i="27"/>
  <c r="A143" i="27"/>
  <c r="AN103" i="27"/>
  <c r="AO103" i="27" s="1"/>
  <c r="AK104" i="27" s="1"/>
  <c r="AL104" i="27" s="1"/>
  <c r="BD105" i="27"/>
  <c r="BE105" i="27" s="1"/>
  <c r="BA106" i="27" s="1"/>
  <c r="BB106" i="27" s="1"/>
  <c r="O106" i="27"/>
  <c r="N106" i="27"/>
  <c r="P106" i="27" s="1"/>
  <c r="Q106" i="27" s="1"/>
  <c r="M107" i="27" s="1"/>
  <c r="AT110" i="27"/>
  <c r="AU110" i="27"/>
  <c r="BJ106" i="27" l="1"/>
  <c r="G103" i="27"/>
  <c r="H103" i="27" s="1"/>
  <c r="D104" i="27" s="1"/>
  <c r="I104" i="27" s="1"/>
  <c r="W106" i="27"/>
  <c r="X106" i="27" s="1"/>
  <c r="Y106" i="27" s="1"/>
  <c r="U107" i="27" s="1"/>
  <c r="BL106" i="27"/>
  <c r="BM106" i="27" s="1"/>
  <c r="BI107" i="27" s="1"/>
  <c r="BK107" i="27" s="1"/>
  <c r="AF107" i="27"/>
  <c r="AG107" i="27" s="1"/>
  <c r="AC108" i="27" s="1"/>
  <c r="AM104" i="27"/>
  <c r="AN104" i="27" s="1"/>
  <c r="AO104" i="27" s="1"/>
  <c r="AK105" i="27" s="1"/>
  <c r="BC106" i="27"/>
  <c r="BD106" i="27" s="1"/>
  <c r="BE106" i="27" s="1"/>
  <c r="BA107" i="27" s="1"/>
  <c r="C145" i="27"/>
  <c r="A144" i="27"/>
  <c r="N107" i="27"/>
  <c r="O107" i="27"/>
  <c r="AV110" i="27"/>
  <c r="AW110" i="27" s="1"/>
  <c r="AS111" i="27" s="1"/>
  <c r="F104" i="27" l="1"/>
  <c r="E104" i="27"/>
  <c r="W107" i="27"/>
  <c r="V107" i="27"/>
  <c r="BJ107" i="27"/>
  <c r="BL107" i="27" s="1"/>
  <c r="BM107" i="27" s="1"/>
  <c r="BI108" i="27" s="1"/>
  <c r="BJ108" i="27" s="1"/>
  <c r="AE108" i="27"/>
  <c r="AD108" i="27"/>
  <c r="BC107" i="27"/>
  <c r="BB107" i="27"/>
  <c r="A145" i="27"/>
  <c r="C146" i="27"/>
  <c r="P107" i="27"/>
  <c r="Q107" i="27" s="1"/>
  <c r="M108" i="27" s="1"/>
  <c r="AM105" i="27"/>
  <c r="AL105" i="27"/>
  <c r="AT111" i="27"/>
  <c r="AU111" i="27"/>
  <c r="AF108" i="27" l="1"/>
  <c r="AG108" i="27" s="1"/>
  <c r="AC109" i="27" s="1"/>
  <c r="AD109" i="27" s="1"/>
  <c r="X107" i="27"/>
  <c r="Y107" i="27" s="1"/>
  <c r="U108" i="27" s="1"/>
  <c r="V108" i="27" s="1"/>
  <c r="G104" i="27"/>
  <c r="H104" i="27" s="1"/>
  <c r="D105" i="27" s="1"/>
  <c r="I105" i="27" s="1"/>
  <c r="BK108" i="27"/>
  <c r="BL108" i="27" s="1"/>
  <c r="BM108" i="27" s="1"/>
  <c r="BI109" i="27" s="1"/>
  <c r="BK109" i="27" s="1"/>
  <c r="BD107" i="27"/>
  <c r="BE107" i="27" s="1"/>
  <c r="BA108" i="27" s="1"/>
  <c r="BC108" i="27" s="1"/>
  <c r="A146" i="27"/>
  <c r="C147" i="27"/>
  <c r="AN105" i="27"/>
  <c r="AO105" i="27" s="1"/>
  <c r="AK106" i="27" s="1"/>
  <c r="AL106" i="27" s="1"/>
  <c r="AV111" i="27"/>
  <c r="AW111" i="27" s="1"/>
  <c r="AS112" i="27" s="1"/>
  <c r="O108" i="27"/>
  <c r="N108" i="27"/>
  <c r="AE109" i="27" l="1"/>
  <c r="W108" i="27"/>
  <c r="F105" i="27"/>
  <c r="E105" i="27"/>
  <c r="BB108" i="27"/>
  <c r="BD108" i="27" s="1"/>
  <c r="BE108" i="27" s="1"/>
  <c r="BA109" i="27" s="1"/>
  <c r="X108" i="27"/>
  <c r="Y108" i="27" s="1"/>
  <c r="U109" i="27" s="1"/>
  <c r="W109" i="27" s="1"/>
  <c r="P108" i="27"/>
  <c r="Q108" i="27" s="1"/>
  <c r="M109" i="27" s="1"/>
  <c r="N109" i="27" s="1"/>
  <c r="BJ109" i="27"/>
  <c r="BL109" i="27" s="1"/>
  <c r="BM109" i="27" s="1"/>
  <c r="BI110" i="27" s="1"/>
  <c r="AF109" i="27"/>
  <c r="AG109" i="27" s="1"/>
  <c r="AC110" i="27" s="1"/>
  <c r="AE110" i="27" s="1"/>
  <c r="C148" i="27"/>
  <c r="A147" i="27"/>
  <c r="AM106" i="27"/>
  <c r="AN106" i="27" s="1"/>
  <c r="AO106" i="27" s="1"/>
  <c r="AK107" i="27" s="1"/>
  <c r="AU112" i="27"/>
  <c r="AT112" i="27"/>
  <c r="G105" i="27" l="1"/>
  <c r="H105" i="27" s="1"/>
  <c r="D106" i="27" s="1"/>
  <c r="F106" i="27" s="1"/>
  <c r="I106" i="27"/>
  <c r="E106" i="27"/>
  <c r="G106" i="27" s="1"/>
  <c r="H106" i="27" s="1"/>
  <c r="D107" i="27" s="1"/>
  <c r="I107" i="27" s="1"/>
  <c r="V109" i="27"/>
  <c r="X109" i="27" s="1"/>
  <c r="Y109" i="27" s="1"/>
  <c r="U110" i="27" s="1"/>
  <c r="V110" i="27" s="1"/>
  <c r="O109" i="27"/>
  <c r="P109" i="27" s="1"/>
  <c r="Q109" i="27" s="1"/>
  <c r="M110" i="27" s="1"/>
  <c r="O110" i="27" s="1"/>
  <c r="BC109" i="27"/>
  <c r="BB109" i="27"/>
  <c r="BD109" i="27" s="1"/>
  <c r="BE109" i="27" s="1"/>
  <c r="BA110" i="27" s="1"/>
  <c r="BB110" i="27" s="1"/>
  <c r="AD110" i="27"/>
  <c r="AF110" i="27" s="1"/>
  <c r="AG110" i="27" s="1"/>
  <c r="AC111" i="27" s="1"/>
  <c r="AV112" i="27"/>
  <c r="AW112" i="27" s="1"/>
  <c r="AS113" i="27" s="1"/>
  <c r="AT113" i="27" s="1"/>
  <c r="AM107" i="27"/>
  <c r="AL107" i="27"/>
  <c r="C149" i="27"/>
  <c r="A148" i="27"/>
  <c r="BK110" i="27"/>
  <c r="BJ110" i="27"/>
  <c r="E107" i="27" l="1"/>
  <c r="F107" i="27"/>
  <c r="W110" i="27"/>
  <c r="X110" i="27" s="1"/>
  <c r="Y110" i="27" s="1"/>
  <c r="U111" i="27" s="1"/>
  <c r="W111" i="27" s="1"/>
  <c r="BL110" i="27"/>
  <c r="BM110" i="27" s="1"/>
  <c r="BI111" i="27" s="1"/>
  <c r="BJ111" i="27" s="1"/>
  <c r="AN107" i="27"/>
  <c r="AO107" i="27" s="1"/>
  <c r="AK108" i="27" s="1"/>
  <c r="AM108" i="27" s="1"/>
  <c r="BC110" i="27"/>
  <c r="BD110" i="27" s="1"/>
  <c r="BE110" i="27" s="1"/>
  <c r="BA111" i="27" s="1"/>
  <c r="BC111" i="27" s="1"/>
  <c r="AE111" i="27"/>
  <c r="AD111" i="27"/>
  <c r="AF111" i="27" s="1"/>
  <c r="AG111" i="27" s="1"/>
  <c r="AC112" i="27" s="1"/>
  <c r="AE112" i="27" s="1"/>
  <c r="AU113" i="27"/>
  <c r="AV113" i="27" s="1"/>
  <c r="AW113" i="27" s="1"/>
  <c r="AS114" i="27" s="1"/>
  <c r="AT114" i="27" s="1"/>
  <c r="C150" i="27"/>
  <c r="A149" i="27"/>
  <c r="N110" i="27"/>
  <c r="P110" i="27" s="1"/>
  <c r="Q110" i="27" s="1"/>
  <c r="M111" i="27" s="1"/>
  <c r="BK111" i="27" l="1"/>
  <c r="G107" i="27"/>
  <c r="H107" i="27" s="1"/>
  <c r="D108" i="27" s="1"/>
  <c r="AL108" i="27"/>
  <c r="AN108" i="27" s="1"/>
  <c r="AO108" i="27" s="1"/>
  <c r="AK109" i="27" s="1"/>
  <c r="AL109" i="27" s="1"/>
  <c r="BB111" i="27"/>
  <c r="BD111" i="27" s="1"/>
  <c r="BE111" i="27" s="1"/>
  <c r="BA112" i="27" s="1"/>
  <c r="BC112" i="27" s="1"/>
  <c r="AD112" i="27"/>
  <c r="AF112" i="27" s="1"/>
  <c r="AG112" i="27" s="1"/>
  <c r="AC113" i="27" s="1"/>
  <c r="V111" i="27"/>
  <c r="X111" i="27" s="1"/>
  <c r="Y111" i="27" s="1"/>
  <c r="U112" i="27" s="1"/>
  <c r="W112" i="27" s="1"/>
  <c r="AM109" i="27"/>
  <c r="AN109" i="27" s="1"/>
  <c r="AO109" i="27" s="1"/>
  <c r="AK110" i="27" s="1"/>
  <c r="C151" i="27"/>
  <c r="A150" i="27"/>
  <c r="AU114" i="27"/>
  <c r="AV114" i="27" s="1"/>
  <c r="AW114" i="27" s="1"/>
  <c r="AS115" i="27" s="1"/>
  <c r="BL111" i="27"/>
  <c r="BM111" i="27" s="1"/>
  <c r="BI112" i="27" s="1"/>
  <c r="N111" i="27"/>
  <c r="O111" i="27"/>
  <c r="F108" i="27" l="1"/>
  <c r="E108" i="27"/>
  <c r="I108" i="27"/>
  <c r="AD113" i="27"/>
  <c r="AE113" i="27"/>
  <c r="BB112" i="27"/>
  <c r="BD112" i="27" s="1"/>
  <c r="BE112" i="27" s="1"/>
  <c r="BA113" i="27" s="1"/>
  <c r="V112" i="27"/>
  <c r="X112" i="27" s="1"/>
  <c r="Y112" i="27" s="1"/>
  <c r="U113" i="27" s="1"/>
  <c r="AL110" i="27"/>
  <c r="AM110" i="27"/>
  <c r="A151" i="27"/>
  <c r="C152" i="27"/>
  <c r="AU115" i="27"/>
  <c r="AT115" i="27"/>
  <c r="BK112" i="27"/>
  <c r="BJ112" i="27"/>
  <c r="P111" i="27"/>
  <c r="Q111" i="27" s="1"/>
  <c r="M112" i="27" s="1"/>
  <c r="G108" i="27" l="1"/>
  <c r="H108" i="27" s="1"/>
  <c r="D109" i="27" s="1"/>
  <c r="F109" i="27" s="1"/>
  <c r="E109" i="27"/>
  <c r="I109" i="27"/>
  <c r="BL112" i="27"/>
  <c r="BM112" i="27" s="1"/>
  <c r="BI113" i="27" s="1"/>
  <c r="AF113" i="27"/>
  <c r="AG113" i="27" s="1"/>
  <c r="AC114" i="27" s="1"/>
  <c r="AD114" i="27" s="1"/>
  <c r="AV115" i="27"/>
  <c r="AW115" i="27" s="1"/>
  <c r="AS116" i="27" s="1"/>
  <c r="AT116" i="27" s="1"/>
  <c r="AN110" i="27"/>
  <c r="AO110" i="27" s="1"/>
  <c r="AK111" i="27" s="1"/>
  <c r="AM111" i="27" s="1"/>
  <c r="A152" i="27"/>
  <c r="C153" i="27"/>
  <c r="BJ113" i="27"/>
  <c r="BK113" i="27"/>
  <c r="BC113" i="27"/>
  <c r="BB113" i="27"/>
  <c r="N112" i="27"/>
  <c r="O112" i="27"/>
  <c r="V113" i="27"/>
  <c r="W113" i="27"/>
  <c r="G109" i="27" l="1"/>
  <c r="H109" i="27" s="1"/>
  <c r="D110" i="27" s="1"/>
  <c r="F110" i="27" s="1"/>
  <c r="AU116" i="27"/>
  <c r="E110" i="27"/>
  <c r="AE114" i="27"/>
  <c r="AF114" i="27" s="1"/>
  <c r="AG114" i="27" s="1"/>
  <c r="AC115" i="27" s="1"/>
  <c r="AL111" i="27"/>
  <c r="AN111" i="27" s="1"/>
  <c r="AO111" i="27" s="1"/>
  <c r="AK112" i="27" s="1"/>
  <c r="AL112" i="27" s="1"/>
  <c r="BD113" i="27"/>
  <c r="BE113" i="27" s="1"/>
  <c r="BA114" i="27" s="1"/>
  <c r="BB114" i="27" s="1"/>
  <c r="BL113" i="27"/>
  <c r="BM113" i="27" s="1"/>
  <c r="BI114" i="27" s="1"/>
  <c r="BJ114" i="27" s="1"/>
  <c r="A153" i="27"/>
  <c r="C154" i="27"/>
  <c r="P112" i="27"/>
  <c r="Q112" i="27" s="1"/>
  <c r="M113" i="27" s="1"/>
  <c r="N113" i="27" s="1"/>
  <c r="AV116" i="27"/>
  <c r="AW116" i="27" s="1"/>
  <c r="AS117" i="27" s="1"/>
  <c r="X113" i="27"/>
  <c r="Y113" i="27" s="1"/>
  <c r="U114" i="27" s="1"/>
  <c r="I110" i="27" l="1"/>
  <c r="G110" i="27"/>
  <c r="H110" i="27" s="1"/>
  <c r="D111" i="27" s="1"/>
  <c r="F111" i="27" s="1"/>
  <c r="BC114" i="27"/>
  <c r="BD114" i="27" s="1"/>
  <c r="BE114" i="27" s="1"/>
  <c r="BA115" i="27" s="1"/>
  <c r="BC115" i="27" s="1"/>
  <c r="AM112" i="27"/>
  <c r="AN112" i="27" s="1"/>
  <c r="AO112" i="27" s="1"/>
  <c r="AK113" i="27" s="1"/>
  <c r="AM113" i="27" s="1"/>
  <c r="BK114" i="27"/>
  <c r="BL114" i="27" s="1"/>
  <c r="BM114" i="27" s="1"/>
  <c r="BI115" i="27" s="1"/>
  <c r="AD115" i="27"/>
  <c r="AE115" i="27"/>
  <c r="O113" i="27"/>
  <c r="P113" i="27" s="1"/>
  <c r="Q113" i="27" s="1"/>
  <c r="M114" i="27" s="1"/>
  <c r="C155" i="27"/>
  <c r="A154" i="27"/>
  <c r="AT117" i="27"/>
  <c r="AU117" i="27"/>
  <c r="W114" i="27"/>
  <c r="V114" i="27"/>
  <c r="E111" i="27" l="1"/>
  <c r="G111" i="27" s="1"/>
  <c r="H111" i="27" s="1"/>
  <c r="D112" i="27" s="1"/>
  <c r="I111" i="27"/>
  <c r="AL113" i="27"/>
  <c r="AN113" i="27" s="1"/>
  <c r="AO113" i="27" s="1"/>
  <c r="AK114" i="27" s="1"/>
  <c r="AM114" i="27" s="1"/>
  <c r="AF115" i="27"/>
  <c r="AG115" i="27" s="1"/>
  <c r="AC116" i="27" s="1"/>
  <c r="AD116" i="27" s="1"/>
  <c r="X114" i="27"/>
  <c r="Y114" i="27" s="1"/>
  <c r="U115" i="27" s="1"/>
  <c r="V115" i="27" s="1"/>
  <c r="O114" i="27"/>
  <c r="N114" i="27"/>
  <c r="P114" i="27" s="1"/>
  <c r="Q114" i="27" s="1"/>
  <c r="M115" i="27" s="1"/>
  <c r="N115" i="27" s="1"/>
  <c r="BB115" i="27"/>
  <c r="BD115" i="27" s="1"/>
  <c r="BE115" i="27" s="1"/>
  <c r="BA116" i="27" s="1"/>
  <c r="BC116" i="27" s="1"/>
  <c r="AV117" i="27"/>
  <c r="AW117" i="27" s="1"/>
  <c r="AS118" i="27" s="1"/>
  <c r="AU118" i="27" s="1"/>
  <c r="C156" i="27"/>
  <c r="A155" i="27"/>
  <c r="BJ115" i="27"/>
  <c r="BK115" i="27"/>
  <c r="I112" i="27" l="1"/>
  <c r="F112" i="27"/>
  <c r="E112" i="27"/>
  <c r="AE116" i="27"/>
  <c r="AF116" i="27" s="1"/>
  <c r="AG116" i="27" s="1"/>
  <c r="AC117" i="27" s="1"/>
  <c r="W115" i="27"/>
  <c r="X115" i="27" s="1"/>
  <c r="Y115" i="27" s="1"/>
  <c r="U116" i="27" s="1"/>
  <c r="AT118" i="27"/>
  <c r="AV118" i="27" s="1"/>
  <c r="AW118" i="27" s="1"/>
  <c r="AS119" i="27" s="1"/>
  <c r="AL114" i="27"/>
  <c r="AN114" i="27" s="1"/>
  <c r="AO114" i="27" s="1"/>
  <c r="AK115" i="27" s="1"/>
  <c r="AM115" i="27" s="1"/>
  <c r="O115" i="27"/>
  <c r="P115" i="27" s="1"/>
  <c r="Q115" i="27" s="1"/>
  <c r="M116" i="27" s="1"/>
  <c r="BB116" i="27"/>
  <c r="BD116" i="27" s="1"/>
  <c r="BE116" i="27" s="1"/>
  <c r="BA117" i="27" s="1"/>
  <c r="BB117" i="27" s="1"/>
  <c r="C157" i="27"/>
  <c r="A156" i="27"/>
  <c r="BL115" i="27"/>
  <c r="BM115" i="27" s="1"/>
  <c r="BI116" i="27" s="1"/>
  <c r="G112" i="27" l="1"/>
  <c r="H112" i="27" s="1"/>
  <c r="D113" i="27" s="1"/>
  <c r="F113" i="27" s="1"/>
  <c r="BC117" i="27"/>
  <c r="AE117" i="27"/>
  <c r="AD117" i="27"/>
  <c r="AF117" i="27" s="1"/>
  <c r="AG117" i="27" s="1"/>
  <c r="AC118" i="27" s="1"/>
  <c r="BD117" i="27"/>
  <c r="BE117" i="27" s="1"/>
  <c r="BA118" i="27" s="1"/>
  <c r="BC118" i="27" s="1"/>
  <c r="AL115" i="27"/>
  <c r="AN115" i="27" s="1"/>
  <c r="AO115" i="27" s="1"/>
  <c r="AK116" i="27" s="1"/>
  <c r="A157" i="27"/>
  <c r="C158" i="27"/>
  <c r="AU119" i="27"/>
  <c r="AT119" i="27"/>
  <c r="O116" i="27"/>
  <c r="N116" i="27"/>
  <c r="BK116" i="27"/>
  <c r="BJ116" i="27"/>
  <c r="W116" i="27"/>
  <c r="V116" i="27"/>
  <c r="I113" i="27" l="1"/>
  <c r="E113" i="27"/>
  <c r="G113" i="27" s="1"/>
  <c r="H113" i="27" s="1"/>
  <c r="D114" i="27" s="1"/>
  <c r="I114" i="27" s="1"/>
  <c r="AV119" i="27"/>
  <c r="AW119" i="27" s="1"/>
  <c r="AS120" i="27" s="1"/>
  <c r="AT120" i="27" s="1"/>
  <c r="P116" i="27"/>
  <c r="Q116" i="27" s="1"/>
  <c r="M117" i="27" s="1"/>
  <c r="N117" i="27" s="1"/>
  <c r="AE118" i="27"/>
  <c r="AD118" i="27"/>
  <c r="BL116" i="27"/>
  <c r="BM116" i="27" s="1"/>
  <c r="BI117" i="27" s="1"/>
  <c r="BJ117" i="27" s="1"/>
  <c r="BB118" i="27"/>
  <c r="BD118" i="27" s="1"/>
  <c r="BE118" i="27" s="1"/>
  <c r="BA119" i="27" s="1"/>
  <c r="BB119" i="27" s="1"/>
  <c r="X116" i="27"/>
  <c r="Y116" i="27" s="1"/>
  <c r="U117" i="27" s="1"/>
  <c r="W117" i="27" s="1"/>
  <c r="C159" i="27"/>
  <c r="A158" i="27"/>
  <c r="AM116" i="27"/>
  <c r="AL116" i="27"/>
  <c r="AU120" i="27"/>
  <c r="E114" i="27" l="1"/>
  <c r="F114" i="27"/>
  <c r="O117" i="27"/>
  <c r="AF118" i="27"/>
  <c r="AG118" i="27" s="1"/>
  <c r="AC119" i="27" s="1"/>
  <c r="AD119" i="27" s="1"/>
  <c r="BK117" i="27"/>
  <c r="AV120" i="27"/>
  <c r="AW120" i="27" s="1"/>
  <c r="AS121" i="27" s="1"/>
  <c r="AT121" i="27" s="1"/>
  <c r="V117" i="27"/>
  <c r="X117" i="27" s="1"/>
  <c r="Y117" i="27" s="1"/>
  <c r="U118" i="27" s="1"/>
  <c r="V118" i="27" s="1"/>
  <c r="BC119" i="27"/>
  <c r="BD119" i="27" s="1"/>
  <c r="BE119" i="27" s="1"/>
  <c r="BA120" i="27" s="1"/>
  <c r="A159" i="27"/>
  <c r="C160" i="27"/>
  <c r="AN116" i="27"/>
  <c r="AO116" i="27" s="1"/>
  <c r="AK117" i="27" s="1"/>
  <c r="AM117" i="27" s="1"/>
  <c r="BL117" i="27"/>
  <c r="BM117" i="27" s="1"/>
  <c r="BI118" i="27" s="1"/>
  <c r="P117" i="27"/>
  <c r="Q117" i="27" s="1"/>
  <c r="M118" i="27" s="1"/>
  <c r="G114" i="27" l="1"/>
  <c r="H114" i="27" s="1"/>
  <c r="D115" i="27" s="1"/>
  <c r="I115" i="27" s="1"/>
  <c r="AE119" i="27"/>
  <c r="AU121" i="27"/>
  <c r="AV121" i="27" s="1"/>
  <c r="AW121" i="27" s="1"/>
  <c r="AS122" i="27" s="1"/>
  <c r="AT122" i="27" s="1"/>
  <c r="BC120" i="27"/>
  <c r="BB120" i="27"/>
  <c r="AF119" i="27"/>
  <c r="AG119" i="27" s="1"/>
  <c r="AC120" i="27" s="1"/>
  <c r="AE120" i="27" s="1"/>
  <c r="W118" i="27"/>
  <c r="X118" i="27" s="1"/>
  <c r="Y118" i="27" s="1"/>
  <c r="U119" i="27" s="1"/>
  <c r="AL117" i="27"/>
  <c r="AN117" i="27" s="1"/>
  <c r="AO117" i="27" s="1"/>
  <c r="AK118" i="27" s="1"/>
  <c r="AM118" i="27" s="1"/>
  <c r="C161" i="27"/>
  <c r="A160" i="27"/>
  <c r="N118" i="27"/>
  <c r="O118" i="27"/>
  <c r="BJ118" i="27"/>
  <c r="BK118" i="27"/>
  <c r="F115" i="27" l="1"/>
  <c r="E115" i="27"/>
  <c r="G115" i="27" s="1"/>
  <c r="H115" i="27" s="1"/>
  <c r="D116" i="27" s="1"/>
  <c r="BD120" i="27"/>
  <c r="BE120" i="27" s="1"/>
  <c r="BA121" i="27" s="1"/>
  <c r="BC121" i="27" s="1"/>
  <c r="AD120" i="27"/>
  <c r="AF120" i="27" s="1"/>
  <c r="AG120" i="27" s="1"/>
  <c r="AC121" i="27" s="1"/>
  <c r="AD121" i="27" s="1"/>
  <c r="AU122" i="27"/>
  <c r="AV122" i="27" s="1"/>
  <c r="AW122" i="27" s="1"/>
  <c r="AS123" i="27" s="1"/>
  <c r="AT123" i="27" s="1"/>
  <c r="W119" i="27"/>
  <c r="V119" i="27"/>
  <c r="AL118" i="27"/>
  <c r="AN118" i="27" s="1"/>
  <c r="AO118" i="27" s="1"/>
  <c r="AK119" i="27" s="1"/>
  <c r="BB121" i="27"/>
  <c r="BD121" i="27" s="1"/>
  <c r="BE121" i="27" s="1"/>
  <c r="BA122" i="27" s="1"/>
  <c r="BC122" i="27" s="1"/>
  <c r="BL118" i="27"/>
  <c r="BM118" i="27" s="1"/>
  <c r="BI119" i="27" s="1"/>
  <c r="BK119" i="27" s="1"/>
  <c r="C162" i="27"/>
  <c r="A161" i="27"/>
  <c r="P118" i="27"/>
  <c r="Q118" i="27" s="1"/>
  <c r="M119" i="27" s="1"/>
  <c r="E116" i="27" l="1"/>
  <c r="I116" i="27"/>
  <c r="F116" i="27"/>
  <c r="X119" i="27"/>
  <c r="Y119" i="27" s="1"/>
  <c r="U120" i="27" s="1"/>
  <c r="W120" i="27" s="1"/>
  <c r="AE121" i="27"/>
  <c r="AF121" i="27" s="1"/>
  <c r="AG121" i="27" s="1"/>
  <c r="AC122" i="27" s="1"/>
  <c r="AD122" i="27" s="1"/>
  <c r="AU123" i="27"/>
  <c r="AV123" i="27" s="1"/>
  <c r="AW123" i="27" s="1"/>
  <c r="AS124" i="27" s="1"/>
  <c r="BJ119" i="27"/>
  <c r="BL119" i="27" s="1"/>
  <c r="BM119" i="27" s="1"/>
  <c r="BI120" i="27" s="1"/>
  <c r="BB122" i="27"/>
  <c r="BD122" i="27" s="1"/>
  <c r="BE122" i="27" s="1"/>
  <c r="BA123" i="27" s="1"/>
  <c r="BB123" i="27" s="1"/>
  <c r="C163" i="27"/>
  <c r="A162" i="27"/>
  <c r="AM119" i="27"/>
  <c r="AL119" i="27"/>
  <c r="O119" i="27"/>
  <c r="N119" i="27"/>
  <c r="G116" i="27" l="1"/>
  <c r="H116" i="27" s="1"/>
  <c r="D117" i="27" s="1"/>
  <c r="E117" i="27" s="1"/>
  <c r="F117" i="27"/>
  <c r="V120" i="27"/>
  <c r="X120" i="27" s="1"/>
  <c r="Y120" i="27" s="1"/>
  <c r="U121" i="27" s="1"/>
  <c r="V121" i="27" s="1"/>
  <c r="AE122" i="27"/>
  <c r="AF122" i="27" s="1"/>
  <c r="AG122" i="27" s="1"/>
  <c r="AC123" i="27" s="1"/>
  <c r="AU124" i="27"/>
  <c r="AT124" i="27"/>
  <c r="BC123" i="27"/>
  <c r="BD123" i="27" s="1"/>
  <c r="BE123" i="27" s="1"/>
  <c r="BA124" i="27" s="1"/>
  <c r="P119" i="27"/>
  <c r="Q119" i="27" s="1"/>
  <c r="M120" i="27" s="1"/>
  <c r="O120" i="27" s="1"/>
  <c r="AN119" i="27"/>
  <c r="AO119" i="27" s="1"/>
  <c r="AK120" i="27" s="1"/>
  <c r="AM120" i="27" s="1"/>
  <c r="A163" i="27"/>
  <c r="C164" i="27"/>
  <c r="BK120" i="27"/>
  <c r="BJ120" i="27"/>
  <c r="I117" i="27" l="1"/>
  <c r="G117" i="27"/>
  <c r="H117" i="27" s="1"/>
  <c r="D118" i="27" s="1"/>
  <c r="W121" i="27"/>
  <c r="X121" i="27" s="1"/>
  <c r="Y121" i="27" s="1"/>
  <c r="U122" i="27" s="1"/>
  <c r="BL120" i="27"/>
  <c r="BM120" i="27" s="1"/>
  <c r="BI121" i="27" s="1"/>
  <c r="AV124" i="27"/>
  <c r="AW124" i="27" s="1"/>
  <c r="AS125" i="27" s="1"/>
  <c r="AT125" i="27" s="1"/>
  <c r="N120" i="27"/>
  <c r="P120" i="27" s="1"/>
  <c r="Q120" i="27" s="1"/>
  <c r="M121" i="27" s="1"/>
  <c r="O121" i="27" s="1"/>
  <c r="AL120" i="27"/>
  <c r="AN120" i="27" s="1"/>
  <c r="AO120" i="27" s="1"/>
  <c r="AK121" i="27" s="1"/>
  <c r="AL121" i="27" s="1"/>
  <c r="AE123" i="27"/>
  <c r="AD123" i="27"/>
  <c r="A164" i="27"/>
  <c r="C165" i="27"/>
  <c r="BK121" i="27"/>
  <c r="BJ121" i="27"/>
  <c r="BC124" i="27"/>
  <c r="BB124" i="27"/>
  <c r="F118" i="27" l="1"/>
  <c r="I118" i="27"/>
  <c r="E118" i="27"/>
  <c r="AF123" i="27"/>
  <c r="AG123" i="27" s="1"/>
  <c r="AC124" i="27" s="1"/>
  <c r="AD124" i="27" s="1"/>
  <c r="W122" i="27"/>
  <c r="V122" i="27"/>
  <c r="X122" i="27" s="1"/>
  <c r="Y122" i="27" s="1"/>
  <c r="U123" i="27" s="1"/>
  <c r="V123" i="27" s="1"/>
  <c r="AU125" i="27"/>
  <c r="AV125" i="27" s="1"/>
  <c r="AW125" i="27" s="1"/>
  <c r="AS126" i="27" s="1"/>
  <c r="N121" i="27"/>
  <c r="P121" i="27" s="1"/>
  <c r="Q121" i="27" s="1"/>
  <c r="M122" i="27" s="1"/>
  <c r="O122" i="27" s="1"/>
  <c r="AM121" i="27"/>
  <c r="AN121" i="27" s="1"/>
  <c r="AO121" i="27" s="1"/>
  <c r="AK122" i="27" s="1"/>
  <c r="AL122" i="27" s="1"/>
  <c r="A165" i="27"/>
  <c r="C166" i="27"/>
  <c r="BD124" i="27"/>
  <c r="BE124" i="27" s="1"/>
  <c r="BA125" i="27" s="1"/>
  <c r="BL121" i="27"/>
  <c r="BM121" i="27" s="1"/>
  <c r="BI122" i="27" s="1"/>
  <c r="G118" i="27" l="1"/>
  <c r="H118" i="27" s="1"/>
  <c r="D119" i="27" s="1"/>
  <c r="F119" i="27" s="1"/>
  <c r="I119" i="27"/>
  <c r="E119" i="27"/>
  <c r="G119" i="27" s="1"/>
  <c r="H119" i="27" s="1"/>
  <c r="D120" i="27" s="1"/>
  <c r="F120" i="27" s="1"/>
  <c r="AE124" i="27"/>
  <c r="AF124" i="27" s="1"/>
  <c r="AG124" i="27" s="1"/>
  <c r="AC125" i="27" s="1"/>
  <c r="AE125" i="27" s="1"/>
  <c r="AU126" i="27"/>
  <c r="AT126" i="27"/>
  <c r="AV126" i="27" s="1"/>
  <c r="AW126" i="27" s="1"/>
  <c r="AS127" i="27" s="1"/>
  <c r="N122" i="27"/>
  <c r="P122" i="27" s="1"/>
  <c r="Q122" i="27" s="1"/>
  <c r="M123" i="27" s="1"/>
  <c r="N123" i="27" s="1"/>
  <c r="AM122" i="27"/>
  <c r="AN122" i="27" s="1"/>
  <c r="AO122" i="27" s="1"/>
  <c r="AK123" i="27" s="1"/>
  <c r="W123" i="27"/>
  <c r="X123" i="27" s="1"/>
  <c r="Y123" i="27" s="1"/>
  <c r="U124" i="27" s="1"/>
  <c r="C167" i="27"/>
  <c r="A166" i="27"/>
  <c r="BJ122" i="27"/>
  <c r="BK122" i="27"/>
  <c r="BC125" i="27"/>
  <c r="BB125" i="27"/>
  <c r="E120" i="27" l="1"/>
  <c r="G120" i="27" s="1"/>
  <c r="H120" i="27" s="1"/>
  <c r="D121" i="27" s="1"/>
  <c r="I121" i="27" s="1"/>
  <c r="I120" i="27"/>
  <c r="AD125" i="27"/>
  <c r="AU127" i="27"/>
  <c r="AT127" i="27"/>
  <c r="BD125" i="27"/>
  <c r="BE125" i="27" s="1"/>
  <c r="BA126" i="27" s="1"/>
  <c r="BC126" i="27" s="1"/>
  <c r="O123" i="27"/>
  <c r="P123" i="27" s="1"/>
  <c r="Q123" i="27" s="1"/>
  <c r="M124" i="27" s="1"/>
  <c r="AF125" i="27"/>
  <c r="AG125" i="27" s="1"/>
  <c r="AC126" i="27" s="1"/>
  <c r="W124" i="27"/>
  <c r="V124" i="27"/>
  <c r="C168" i="27"/>
  <c r="A167" i="27"/>
  <c r="BL122" i="27"/>
  <c r="BM122" i="27" s="1"/>
  <c r="BI123" i="27" s="1"/>
  <c r="AL123" i="27"/>
  <c r="AM123" i="27"/>
  <c r="BB126" i="27" l="1"/>
  <c r="AV127" i="27"/>
  <c r="AW127" i="27" s="1"/>
  <c r="AS128" i="27" s="1"/>
  <c r="AU128" i="27" s="1"/>
  <c r="X124" i="27"/>
  <c r="Y124" i="27" s="1"/>
  <c r="U125" i="27" s="1"/>
  <c r="W125" i="27" s="1"/>
  <c r="F121" i="27"/>
  <c r="E121" i="27"/>
  <c r="BD126" i="27"/>
  <c r="BE126" i="27" s="1"/>
  <c r="BA127" i="27" s="1"/>
  <c r="BC127" i="27" s="1"/>
  <c r="AD126" i="27"/>
  <c r="AE126" i="27"/>
  <c r="C169" i="27"/>
  <c r="A168" i="27"/>
  <c r="BJ123" i="27"/>
  <c r="BK123" i="27"/>
  <c r="O124" i="27"/>
  <c r="N124" i="27"/>
  <c r="AN123" i="27"/>
  <c r="AO123" i="27" s="1"/>
  <c r="AK124" i="27" s="1"/>
  <c r="AT128" i="27" l="1"/>
  <c r="AV128" i="27" s="1"/>
  <c r="AW128" i="27" s="1"/>
  <c r="AS129" i="27" s="1"/>
  <c r="AT129" i="27" s="1"/>
  <c r="V125" i="27"/>
  <c r="X125" i="27" s="1"/>
  <c r="Y125" i="27" s="1"/>
  <c r="U126" i="27" s="1"/>
  <c r="W126" i="27" s="1"/>
  <c r="G121" i="27"/>
  <c r="H121" i="27" s="1"/>
  <c r="D122" i="27" s="1"/>
  <c r="I122" i="27" s="1"/>
  <c r="BB127" i="27"/>
  <c r="BD127" i="27" s="1"/>
  <c r="BE127" i="27" s="1"/>
  <c r="BA128" i="27" s="1"/>
  <c r="BC128" i="27" s="1"/>
  <c r="AF126" i="27"/>
  <c r="AG126" i="27" s="1"/>
  <c r="AC127" i="27" s="1"/>
  <c r="AE127" i="27" s="1"/>
  <c r="BL123" i="27"/>
  <c r="BM123" i="27" s="1"/>
  <c r="BI124" i="27" s="1"/>
  <c r="BJ124" i="27" s="1"/>
  <c r="P124" i="27"/>
  <c r="Q124" i="27" s="1"/>
  <c r="M125" i="27" s="1"/>
  <c r="N125" i="27" s="1"/>
  <c r="A169" i="27"/>
  <c r="C170" i="27"/>
  <c r="AM124" i="27"/>
  <c r="AL124" i="27"/>
  <c r="AU129" i="27" l="1"/>
  <c r="F122" i="27"/>
  <c r="E122" i="27"/>
  <c r="V126" i="27"/>
  <c r="X126" i="27" s="1"/>
  <c r="Y126" i="27" s="1"/>
  <c r="U127" i="27" s="1"/>
  <c r="V127" i="27" s="1"/>
  <c r="BB128" i="27"/>
  <c r="BD128" i="27" s="1"/>
  <c r="BE128" i="27" s="1"/>
  <c r="BA129" i="27" s="1"/>
  <c r="AD127" i="27"/>
  <c r="AF127" i="27" s="1"/>
  <c r="AG127" i="27" s="1"/>
  <c r="AC128" i="27" s="1"/>
  <c r="BK124" i="27"/>
  <c r="BL124" i="27" s="1"/>
  <c r="BM124" i="27" s="1"/>
  <c r="BI125" i="27" s="1"/>
  <c r="AN124" i="27"/>
  <c r="AO124" i="27" s="1"/>
  <c r="AK125" i="27" s="1"/>
  <c r="AL125" i="27" s="1"/>
  <c r="O125" i="27"/>
  <c r="P125" i="27" s="1"/>
  <c r="Q125" i="27" s="1"/>
  <c r="M126" i="27" s="1"/>
  <c r="AV129" i="27"/>
  <c r="AW129" i="27" s="1"/>
  <c r="AS130" i="27" s="1"/>
  <c r="AU130" i="27" s="1"/>
  <c r="C171" i="27"/>
  <c r="A170" i="27"/>
  <c r="G122" i="27" l="1"/>
  <c r="H122" i="27" s="1"/>
  <c r="D123" i="27" s="1"/>
  <c r="I123" i="27" s="1"/>
  <c r="BB129" i="27"/>
  <c r="BC129" i="27"/>
  <c r="AE128" i="27"/>
  <c r="AD128" i="27"/>
  <c r="AF128" i="27" s="1"/>
  <c r="AG128" i="27" s="1"/>
  <c r="AC129" i="27" s="1"/>
  <c r="W127" i="27"/>
  <c r="X127" i="27" s="1"/>
  <c r="Y127" i="27" s="1"/>
  <c r="U128" i="27" s="1"/>
  <c r="AM125" i="27"/>
  <c r="AN125" i="27" s="1"/>
  <c r="AO125" i="27" s="1"/>
  <c r="AK126" i="27" s="1"/>
  <c r="AT130" i="27"/>
  <c r="AV130" i="27" s="1"/>
  <c r="AW130" i="27" s="1"/>
  <c r="AS131" i="27" s="1"/>
  <c r="AU131" i="27" s="1"/>
  <c r="C172" i="27"/>
  <c r="A171" i="27"/>
  <c r="O126" i="27"/>
  <c r="N126" i="27"/>
  <c r="BJ125" i="27"/>
  <c r="BK125" i="27"/>
  <c r="F123" i="27" l="1"/>
  <c r="E123" i="27"/>
  <c r="G123" i="27" s="1"/>
  <c r="H123" i="27" s="1"/>
  <c r="D124" i="27" s="1"/>
  <c r="I124" i="27" s="1"/>
  <c r="BD129" i="27"/>
  <c r="BE129" i="27" s="1"/>
  <c r="BA130" i="27" s="1"/>
  <c r="BC130" i="27" s="1"/>
  <c r="AD129" i="27"/>
  <c r="AE129" i="27"/>
  <c r="BB130" i="27"/>
  <c r="BD130" i="27" s="1"/>
  <c r="BE130" i="27" s="1"/>
  <c r="BA131" i="27" s="1"/>
  <c r="AT131" i="27"/>
  <c r="AV131" i="27" s="1"/>
  <c r="AW131" i="27" s="1"/>
  <c r="AS132" i="27" s="1"/>
  <c r="AT132" i="27" s="1"/>
  <c r="AL126" i="27"/>
  <c r="AM126" i="27"/>
  <c r="C173" i="27"/>
  <c r="A172" i="27"/>
  <c r="BL125" i="27"/>
  <c r="BM125" i="27" s="1"/>
  <c r="BI126" i="27" s="1"/>
  <c r="P126" i="27"/>
  <c r="Q126" i="27" s="1"/>
  <c r="M127" i="27" s="1"/>
  <c r="V128" i="27"/>
  <c r="W128" i="27"/>
  <c r="AF129" i="27" l="1"/>
  <c r="AG129" i="27" s="1"/>
  <c r="AC130" i="27" s="1"/>
  <c r="AU132" i="27"/>
  <c r="AV132" i="27" s="1"/>
  <c r="AW132" i="27" s="1"/>
  <c r="AS133" i="27" s="1"/>
  <c r="E124" i="27"/>
  <c r="AN126" i="27"/>
  <c r="AO126" i="27" s="1"/>
  <c r="AK127" i="27" s="1"/>
  <c r="F124" i="27"/>
  <c r="C174" i="27"/>
  <c r="A173" i="27"/>
  <c r="BB131" i="27"/>
  <c r="BC131" i="27"/>
  <c r="O127" i="27"/>
  <c r="N127" i="27"/>
  <c r="BJ126" i="27"/>
  <c r="BK126" i="27"/>
  <c r="X128" i="27"/>
  <c r="Y128" i="27" s="1"/>
  <c r="U129" i="27" s="1"/>
  <c r="AE130" i="27" l="1"/>
  <c r="AD130" i="27"/>
  <c r="G124" i="27"/>
  <c r="H124" i="27" s="1"/>
  <c r="D125" i="27" s="1"/>
  <c r="F125" i="27" s="1"/>
  <c r="AL127" i="27"/>
  <c r="AM127" i="27"/>
  <c r="P127" i="27"/>
  <c r="Q127" i="27" s="1"/>
  <c r="M128" i="27" s="1"/>
  <c r="O128" i="27" s="1"/>
  <c r="A174" i="27"/>
  <c r="C175" i="27"/>
  <c r="AT133" i="27"/>
  <c r="AU133" i="27"/>
  <c r="BD131" i="27"/>
  <c r="BE131" i="27" s="1"/>
  <c r="BA132" i="27" s="1"/>
  <c r="BL126" i="27"/>
  <c r="BM126" i="27" s="1"/>
  <c r="BI127" i="27" s="1"/>
  <c r="W129" i="27"/>
  <c r="V129" i="27"/>
  <c r="E125" i="27" l="1"/>
  <c r="G125" i="27" s="1"/>
  <c r="H125" i="27" s="1"/>
  <c r="D126" i="27" s="1"/>
  <c r="F126" i="27" s="1"/>
  <c r="I125" i="27"/>
  <c r="AF130" i="27"/>
  <c r="AG130" i="27" s="1"/>
  <c r="AC131" i="27" s="1"/>
  <c r="AE131" i="27" s="1"/>
  <c r="X129" i="27"/>
  <c r="Y129" i="27" s="1"/>
  <c r="U130" i="27" s="1"/>
  <c r="V130" i="27" s="1"/>
  <c r="N128" i="27"/>
  <c r="P128" i="27" s="1"/>
  <c r="Q128" i="27" s="1"/>
  <c r="M129" i="27" s="1"/>
  <c r="N129" i="27" s="1"/>
  <c r="AN127" i="27"/>
  <c r="AO127" i="27" s="1"/>
  <c r="AK128" i="27" s="1"/>
  <c r="A175" i="27"/>
  <c r="C176" i="27"/>
  <c r="BB132" i="27"/>
  <c r="BC132" i="27"/>
  <c r="BJ127" i="27"/>
  <c r="BK127" i="27"/>
  <c r="AV133" i="27"/>
  <c r="AW133" i="27" s="1"/>
  <c r="AS134" i="27" s="1"/>
  <c r="AD131" i="27" l="1"/>
  <c r="W130" i="27"/>
  <c r="X130" i="27" s="1"/>
  <c r="Y130" i="27" s="1"/>
  <c r="U131" i="27" s="1"/>
  <c r="O129" i="27"/>
  <c r="AF131" i="27"/>
  <c r="AG131" i="27" s="1"/>
  <c r="AC132" i="27" s="1"/>
  <c r="I126" i="27"/>
  <c r="E126" i="27"/>
  <c r="G126" i="27" s="1"/>
  <c r="H126" i="27" s="1"/>
  <c r="D127" i="27" s="1"/>
  <c r="AL128" i="27"/>
  <c r="AM128" i="27"/>
  <c r="A176" i="27"/>
  <c r="C177" i="27"/>
  <c r="P129" i="27"/>
  <c r="Q129" i="27" s="1"/>
  <c r="M130" i="27" s="1"/>
  <c r="N130" i="27" s="1"/>
  <c r="BD132" i="27"/>
  <c r="BE132" i="27" s="1"/>
  <c r="BA133" i="27" s="1"/>
  <c r="BL127" i="27"/>
  <c r="BM127" i="27" s="1"/>
  <c r="BI128" i="27" s="1"/>
  <c r="AU134" i="27"/>
  <c r="AT134" i="27"/>
  <c r="AE132" i="27" l="1"/>
  <c r="AD132" i="27"/>
  <c r="O130" i="27"/>
  <c r="P130" i="27" s="1"/>
  <c r="Q130" i="27" s="1"/>
  <c r="M131" i="27" s="1"/>
  <c r="AN128" i="27"/>
  <c r="AO128" i="27" s="1"/>
  <c r="AK129" i="27" s="1"/>
  <c r="A177" i="27"/>
  <c r="C178" i="27"/>
  <c r="F127" i="27"/>
  <c r="I127" i="27"/>
  <c r="E127" i="27"/>
  <c r="AV134" i="27"/>
  <c r="AW134" i="27" s="1"/>
  <c r="AS135" i="27" s="1"/>
  <c r="V131" i="27"/>
  <c r="W131" i="27"/>
  <c r="BJ128" i="27"/>
  <c r="BK128" i="27"/>
  <c r="BB133" i="27"/>
  <c r="BC133" i="27"/>
  <c r="AF132" i="27" l="1"/>
  <c r="AG132" i="27" s="1"/>
  <c r="AC133" i="27" s="1"/>
  <c r="AE133" i="27" s="1"/>
  <c r="O131" i="27"/>
  <c r="N131" i="27"/>
  <c r="AL129" i="27"/>
  <c r="AM129" i="27"/>
  <c r="A178" i="27"/>
  <c r="C179" i="27"/>
  <c r="X131" i="27"/>
  <c r="Y131" i="27" s="1"/>
  <c r="U132" i="27" s="1"/>
  <c r="BD133" i="27"/>
  <c r="BE133" i="27" s="1"/>
  <c r="BA134" i="27" s="1"/>
  <c r="AT135" i="27"/>
  <c r="AU135" i="27"/>
  <c r="G127" i="27"/>
  <c r="H127" i="27" s="1"/>
  <c r="D128" i="27" s="1"/>
  <c r="BL128" i="27"/>
  <c r="BM128" i="27" s="1"/>
  <c r="BI129" i="27" s="1"/>
  <c r="AD133" i="27" l="1"/>
  <c r="AF133" i="27" s="1"/>
  <c r="AG133" i="27" s="1"/>
  <c r="AC134" i="27" s="1"/>
  <c r="AD134" i="27" s="1"/>
  <c r="P131" i="27"/>
  <c r="Q131" i="27" s="1"/>
  <c r="M132" i="27" s="1"/>
  <c r="N132" i="27" s="1"/>
  <c r="AN129" i="27"/>
  <c r="AO129" i="27" s="1"/>
  <c r="AK130" i="27" s="1"/>
  <c r="C180" i="27"/>
  <c r="A179" i="27"/>
  <c r="I128" i="27"/>
  <c r="E128" i="27"/>
  <c r="F128" i="27"/>
  <c r="O132" i="27"/>
  <c r="BB134" i="27"/>
  <c r="BC134" i="27"/>
  <c r="W132" i="27"/>
  <c r="V132" i="27"/>
  <c r="BK129" i="27"/>
  <c r="BJ129" i="27"/>
  <c r="AV135" i="27"/>
  <c r="AW135" i="27" s="1"/>
  <c r="AS136" i="27" s="1"/>
  <c r="X132" i="27" l="1"/>
  <c r="Y132" i="27" s="1"/>
  <c r="U133" i="27" s="1"/>
  <c r="W133" i="27" s="1"/>
  <c r="AE134" i="27"/>
  <c r="AF134" i="27" s="1"/>
  <c r="AG134" i="27" s="1"/>
  <c r="AC135" i="27" s="1"/>
  <c r="BL129" i="27"/>
  <c r="BM129" i="27" s="1"/>
  <c r="BI130" i="27" s="1"/>
  <c r="BJ130" i="27" s="1"/>
  <c r="BD134" i="27"/>
  <c r="BE134" i="27" s="1"/>
  <c r="BA135" i="27" s="1"/>
  <c r="BB135" i="27" s="1"/>
  <c r="AL130" i="27"/>
  <c r="AM130" i="27"/>
  <c r="P132" i="27"/>
  <c r="Q132" i="27" s="1"/>
  <c r="M133" i="27" s="1"/>
  <c r="N133" i="27" s="1"/>
  <c r="G128" i="27"/>
  <c r="H128" i="27" s="1"/>
  <c r="D129" i="27" s="1"/>
  <c r="I129" i="27" s="1"/>
  <c r="C181" i="27"/>
  <c r="A180" i="27"/>
  <c r="AU136" i="27"/>
  <c r="AT136" i="27"/>
  <c r="V133" i="27" l="1"/>
  <c r="BK130" i="27"/>
  <c r="AD135" i="27"/>
  <c r="AE135" i="27"/>
  <c r="BC135" i="27"/>
  <c r="BD135" i="27" s="1"/>
  <c r="BE135" i="27" s="1"/>
  <c r="BA136" i="27" s="1"/>
  <c r="AV136" i="27"/>
  <c r="AW136" i="27" s="1"/>
  <c r="AS137" i="27" s="1"/>
  <c r="AT137" i="27" s="1"/>
  <c r="BL130" i="27"/>
  <c r="BM130" i="27" s="1"/>
  <c r="BI131" i="27" s="1"/>
  <c r="BK131" i="27" s="1"/>
  <c r="O133" i="27"/>
  <c r="P133" i="27" s="1"/>
  <c r="Q133" i="27" s="1"/>
  <c r="M134" i="27" s="1"/>
  <c r="O134" i="27" s="1"/>
  <c r="E129" i="27"/>
  <c r="AN130" i="27"/>
  <c r="AO130" i="27" s="1"/>
  <c r="AK131" i="27" s="1"/>
  <c r="F129" i="27"/>
  <c r="A181" i="27"/>
  <c r="C182" i="27"/>
  <c r="X133" i="27"/>
  <c r="Y133" i="27" s="1"/>
  <c r="U134" i="27" s="1"/>
  <c r="AU137" i="27" l="1"/>
  <c r="AV137" i="27" s="1"/>
  <c r="AW137" i="27" s="1"/>
  <c r="AS138" i="27" s="1"/>
  <c r="AU138" i="27" s="1"/>
  <c r="AF135" i="27"/>
  <c r="AG135" i="27" s="1"/>
  <c r="AC136" i="27" s="1"/>
  <c r="AE136" i="27" s="1"/>
  <c r="BJ131" i="27"/>
  <c r="BL131" i="27" s="1"/>
  <c r="BM131" i="27" s="1"/>
  <c r="BI132" i="27" s="1"/>
  <c r="BK132" i="27" s="1"/>
  <c r="G129" i="27"/>
  <c r="H129" i="27" s="1"/>
  <c r="D130" i="27" s="1"/>
  <c r="F130" i="27" s="1"/>
  <c r="N134" i="27"/>
  <c r="P134" i="27" s="1"/>
  <c r="Q134" i="27" s="1"/>
  <c r="M135" i="27" s="1"/>
  <c r="AL131" i="27"/>
  <c r="AM131" i="27"/>
  <c r="C183" i="27"/>
  <c r="A182" i="27"/>
  <c r="V134" i="27"/>
  <c r="W134" i="27"/>
  <c r="BB136" i="27"/>
  <c r="BC136" i="27"/>
  <c r="AD136" i="27" l="1"/>
  <c r="AF136" i="27" s="1"/>
  <c r="AG136" i="27" s="1"/>
  <c r="AC137" i="27" s="1"/>
  <c r="AD137" i="27" s="1"/>
  <c r="E130" i="27"/>
  <c r="G130" i="27" s="1"/>
  <c r="H130" i="27" s="1"/>
  <c r="D131" i="27" s="1"/>
  <c r="F131" i="27" s="1"/>
  <c r="I130" i="27"/>
  <c r="BJ132" i="27"/>
  <c r="BL132" i="27" s="1"/>
  <c r="BM132" i="27" s="1"/>
  <c r="BI133" i="27" s="1"/>
  <c r="BJ133" i="27" s="1"/>
  <c r="AN131" i="27"/>
  <c r="AO131" i="27" s="1"/>
  <c r="AK132" i="27" s="1"/>
  <c r="X134" i="27"/>
  <c r="Y134" i="27" s="1"/>
  <c r="U135" i="27" s="1"/>
  <c r="V135" i="27" s="1"/>
  <c r="AT138" i="27"/>
  <c r="AV138" i="27" s="1"/>
  <c r="AW138" i="27" s="1"/>
  <c r="AS139" i="27" s="1"/>
  <c r="C184" i="27"/>
  <c r="A183" i="27"/>
  <c r="N135" i="27"/>
  <c r="O135" i="27"/>
  <c r="BD136" i="27"/>
  <c r="BE136" i="27" s="1"/>
  <c r="BA137" i="27" s="1"/>
  <c r="AE137" i="27" l="1"/>
  <c r="AF137" i="27" s="1"/>
  <c r="AG137" i="27" s="1"/>
  <c r="AC138" i="27" s="1"/>
  <c r="AE138" i="27" s="1"/>
  <c r="E131" i="27"/>
  <c r="G131" i="27" s="1"/>
  <c r="H131" i="27" s="1"/>
  <c r="D132" i="27" s="1"/>
  <c r="I132" i="27" s="1"/>
  <c r="I131" i="27"/>
  <c r="BK133" i="27"/>
  <c r="BL133" i="27" s="1"/>
  <c r="BM133" i="27" s="1"/>
  <c r="BI134" i="27" s="1"/>
  <c r="AD138" i="27"/>
  <c r="AF138" i="27" s="1"/>
  <c r="AG138" i="27" s="1"/>
  <c r="AC139" i="27" s="1"/>
  <c r="AE139" i="27" s="1"/>
  <c r="AM132" i="27"/>
  <c r="AL132" i="27"/>
  <c r="W135" i="27"/>
  <c r="X135" i="27" s="1"/>
  <c r="Y135" i="27" s="1"/>
  <c r="U136" i="27" s="1"/>
  <c r="A184" i="27"/>
  <c r="C185" i="27"/>
  <c r="P135" i="27"/>
  <c r="Q135" i="27" s="1"/>
  <c r="M136" i="27" s="1"/>
  <c r="AU139" i="27"/>
  <c r="AT139" i="27"/>
  <c r="BB137" i="27"/>
  <c r="BC137" i="27"/>
  <c r="AN132" i="27" l="1"/>
  <c r="AO132" i="27" s="1"/>
  <c r="AK133" i="27" s="1"/>
  <c r="AL133" i="27" s="1"/>
  <c r="E132" i="27"/>
  <c r="F132" i="27"/>
  <c r="AD139" i="27"/>
  <c r="AF139" i="27" s="1"/>
  <c r="AG139" i="27" s="1"/>
  <c r="AC140" i="27" s="1"/>
  <c r="AE140" i="27" s="1"/>
  <c r="A185" i="27"/>
  <c r="C186" i="27"/>
  <c r="BD137" i="27"/>
  <c r="BE137" i="27" s="1"/>
  <c r="BA138" i="27" s="1"/>
  <c r="BC138" i="27" s="1"/>
  <c r="BK134" i="27"/>
  <c r="BJ134" i="27"/>
  <c r="V136" i="27"/>
  <c r="W136" i="27"/>
  <c r="AV139" i="27"/>
  <c r="AW139" i="27" s="1"/>
  <c r="AS140" i="27" s="1"/>
  <c r="N136" i="27"/>
  <c r="O136" i="27"/>
  <c r="BL134" i="27" l="1"/>
  <c r="BM134" i="27" s="1"/>
  <c r="BI135" i="27" s="1"/>
  <c r="BJ135" i="27" s="1"/>
  <c r="AM133" i="27"/>
  <c r="AN133" i="27" s="1"/>
  <c r="AO133" i="27" s="1"/>
  <c r="AK134" i="27" s="1"/>
  <c r="G132" i="27"/>
  <c r="H132" i="27" s="1"/>
  <c r="D133" i="27" s="1"/>
  <c r="E133" i="27" s="1"/>
  <c r="AD140" i="27"/>
  <c r="AF140" i="27" s="1"/>
  <c r="AG140" i="27" s="1"/>
  <c r="AC141" i="27" s="1"/>
  <c r="BB138" i="27"/>
  <c r="BD138" i="27" s="1"/>
  <c r="BE138" i="27" s="1"/>
  <c r="BA139" i="27" s="1"/>
  <c r="C187" i="27"/>
  <c r="A186" i="27"/>
  <c r="BK135" i="27"/>
  <c r="P136" i="27"/>
  <c r="Q136" i="27" s="1"/>
  <c r="M137" i="27" s="1"/>
  <c r="AU140" i="27"/>
  <c r="AT140" i="27"/>
  <c r="AV140" i="27" s="1"/>
  <c r="AW140" i="27" s="1"/>
  <c r="AS141" i="27" s="1"/>
  <c r="X136" i="27"/>
  <c r="Y136" i="27" s="1"/>
  <c r="U137" i="27" s="1"/>
  <c r="I133" i="27" l="1"/>
  <c r="F133" i="27"/>
  <c r="G133" i="27" s="1"/>
  <c r="H133" i="27" s="1"/>
  <c r="D134" i="27" s="1"/>
  <c r="I134" i="27" s="1"/>
  <c r="AL134" i="27"/>
  <c r="AM134" i="27"/>
  <c r="BB139" i="27"/>
  <c r="BC139" i="27"/>
  <c r="C188" i="27"/>
  <c r="A187" i="27"/>
  <c r="AU141" i="27"/>
  <c r="AT141" i="27"/>
  <c r="AD141" i="27"/>
  <c r="AE141" i="27"/>
  <c r="BL135" i="27"/>
  <c r="BM135" i="27" s="1"/>
  <c r="BI136" i="27" s="1"/>
  <c r="O137" i="27"/>
  <c r="N137" i="27"/>
  <c r="V137" i="27"/>
  <c r="W137" i="27"/>
  <c r="AN134" i="27" l="1"/>
  <c r="AO134" i="27" s="1"/>
  <c r="AK135" i="27" s="1"/>
  <c r="AL135" i="27" s="1"/>
  <c r="E134" i="27"/>
  <c r="F134" i="27"/>
  <c r="BD139" i="27"/>
  <c r="BE139" i="27" s="1"/>
  <c r="BA140" i="27" s="1"/>
  <c r="BB140" i="27" s="1"/>
  <c r="AV141" i="27"/>
  <c r="AW141" i="27" s="1"/>
  <c r="AS142" i="27" s="1"/>
  <c r="AT142" i="27" s="1"/>
  <c r="BC140" i="27"/>
  <c r="X137" i="27"/>
  <c r="Y137" i="27" s="1"/>
  <c r="U138" i="27" s="1"/>
  <c r="V138" i="27" s="1"/>
  <c r="A188" i="27"/>
  <c r="C189" i="27"/>
  <c r="AF141" i="27"/>
  <c r="AG141" i="27" s="1"/>
  <c r="AC142" i="27" s="1"/>
  <c r="AD142" i="27" s="1"/>
  <c r="P137" i="27"/>
  <c r="Q137" i="27" s="1"/>
  <c r="M138" i="27" s="1"/>
  <c r="BK136" i="27"/>
  <c r="BJ136" i="27"/>
  <c r="BD140" i="27" l="1"/>
  <c r="BE140" i="27" s="1"/>
  <c r="BA141" i="27" s="1"/>
  <c r="BB141" i="27" s="1"/>
  <c r="G134" i="27"/>
  <c r="H134" i="27" s="1"/>
  <c r="D135" i="27" s="1"/>
  <c r="F135" i="27" s="1"/>
  <c r="AM135" i="27"/>
  <c r="AN135" i="27" s="1"/>
  <c r="AO135" i="27" s="1"/>
  <c r="AK136" i="27" s="1"/>
  <c r="AL136" i="27" s="1"/>
  <c r="BL136" i="27"/>
  <c r="BM136" i="27" s="1"/>
  <c r="BI137" i="27" s="1"/>
  <c r="BK137" i="27" s="1"/>
  <c r="AU142" i="27"/>
  <c r="AV142" i="27" s="1"/>
  <c r="AW142" i="27" s="1"/>
  <c r="AS143" i="27" s="1"/>
  <c r="AU143" i="27" s="1"/>
  <c r="BC141" i="27"/>
  <c r="BD141" i="27" s="1"/>
  <c r="BE141" i="27" s="1"/>
  <c r="BA142" i="27" s="1"/>
  <c r="W138" i="27"/>
  <c r="X138" i="27" s="1"/>
  <c r="Y138" i="27" s="1"/>
  <c r="U139" i="27" s="1"/>
  <c r="W139" i="27" s="1"/>
  <c r="AE142" i="27"/>
  <c r="AF142" i="27" s="1"/>
  <c r="AG142" i="27" s="1"/>
  <c r="AC143" i="27" s="1"/>
  <c r="C190" i="27"/>
  <c r="A189" i="27"/>
  <c r="N138" i="27"/>
  <c r="O138" i="27"/>
  <c r="I135" i="27" l="1"/>
  <c r="E135" i="27"/>
  <c r="G135" i="27" s="1"/>
  <c r="H135" i="27" s="1"/>
  <c r="D136" i="27" s="1"/>
  <c r="I136" i="27" s="1"/>
  <c r="BJ137" i="27"/>
  <c r="AM136" i="27"/>
  <c r="AN136" i="27" s="1"/>
  <c r="AO136" i="27" s="1"/>
  <c r="AK137" i="27" s="1"/>
  <c r="V139" i="27"/>
  <c r="X139" i="27" s="1"/>
  <c r="Y139" i="27" s="1"/>
  <c r="U140" i="27" s="1"/>
  <c r="V140" i="27" s="1"/>
  <c r="AT143" i="27"/>
  <c r="AV143" i="27" s="1"/>
  <c r="AW143" i="27" s="1"/>
  <c r="AS144" i="27" s="1"/>
  <c r="AU144" i="27" s="1"/>
  <c r="P138" i="27"/>
  <c r="Q138" i="27" s="1"/>
  <c r="M139" i="27" s="1"/>
  <c r="O139" i="27" s="1"/>
  <c r="BL137" i="27"/>
  <c r="BM137" i="27" s="1"/>
  <c r="BI138" i="27" s="1"/>
  <c r="BJ138" i="27" s="1"/>
  <c r="A190" i="27"/>
  <c r="C191" i="27"/>
  <c r="BC142" i="27"/>
  <c r="BB142" i="27"/>
  <c r="AE143" i="27"/>
  <c r="AD143" i="27"/>
  <c r="E136" i="27" l="1"/>
  <c r="F136" i="27"/>
  <c r="BD142" i="27"/>
  <c r="BE142" i="27" s="1"/>
  <c r="BA143" i="27" s="1"/>
  <c r="BC143" i="27" s="1"/>
  <c r="BK138" i="27"/>
  <c r="BL138" i="27" s="1"/>
  <c r="BM138" i="27" s="1"/>
  <c r="BI139" i="27" s="1"/>
  <c r="AM137" i="27"/>
  <c r="AL137" i="27"/>
  <c r="AN137" i="27" s="1"/>
  <c r="AO137" i="27" s="1"/>
  <c r="AK138" i="27" s="1"/>
  <c r="W140" i="27"/>
  <c r="X140" i="27" s="1"/>
  <c r="Y140" i="27" s="1"/>
  <c r="U141" i="27" s="1"/>
  <c r="N139" i="27"/>
  <c r="P139" i="27" s="1"/>
  <c r="Q139" i="27" s="1"/>
  <c r="M140" i="27" s="1"/>
  <c r="AT144" i="27"/>
  <c r="AV144" i="27" s="1"/>
  <c r="AW144" i="27" s="1"/>
  <c r="AS145" i="27" s="1"/>
  <c r="A191" i="27"/>
  <c r="C192" i="27"/>
  <c r="BB143" i="27"/>
  <c r="AF143" i="27"/>
  <c r="AG143" i="27" s="1"/>
  <c r="AC144" i="27" s="1"/>
  <c r="G136" i="27" l="1"/>
  <c r="H136" i="27" s="1"/>
  <c r="D137" i="27" s="1"/>
  <c r="I137" i="27" s="1"/>
  <c r="BJ139" i="27"/>
  <c r="BK139" i="27"/>
  <c r="AM138" i="27"/>
  <c r="AL138" i="27"/>
  <c r="BD143" i="27"/>
  <c r="BE143" i="27" s="1"/>
  <c r="BA144" i="27" s="1"/>
  <c r="BC144" i="27" s="1"/>
  <c r="A192" i="27"/>
  <c r="C193" i="27"/>
  <c r="V141" i="27"/>
  <c r="W141" i="27"/>
  <c r="AT145" i="27"/>
  <c r="AU145" i="27"/>
  <c r="AD144" i="27"/>
  <c r="AE144" i="27"/>
  <c r="N140" i="27"/>
  <c r="O140" i="27"/>
  <c r="AN138" i="27" l="1"/>
  <c r="AO138" i="27" s="1"/>
  <c r="AK139" i="27" s="1"/>
  <c r="AM139" i="27" s="1"/>
  <c r="F137" i="27"/>
  <c r="E137" i="27"/>
  <c r="BL139" i="27"/>
  <c r="BM139" i="27" s="1"/>
  <c r="BI140" i="27" s="1"/>
  <c r="BJ140" i="27" s="1"/>
  <c r="BB144" i="27"/>
  <c r="BD144" i="27" s="1"/>
  <c r="BE144" i="27" s="1"/>
  <c r="BA145" i="27" s="1"/>
  <c r="X141" i="27"/>
  <c r="Y141" i="27" s="1"/>
  <c r="U142" i="27" s="1"/>
  <c r="V142" i="27" s="1"/>
  <c r="C194" i="27"/>
  <c r="A193" i="27"/>
  <c r="P140" i="27"/>
  <c r="Q140" i="27" s="1"/>
  <c r="M141" i="27" s="1"/>
  <c r="AV145" i="27"/>
  <c r="AW145" i="27" s="1"/>
  <c r="AS146" i="27" s="1"/>
  <c r="AF144" i="27"/>
  <c r="AG144" i="27" s="1"/>
  <c r="AC145" i="27" s="1"/>
  <c r="AL139" i="27" l="1"/>
  <c r="AN139" i="27" s="1"/>
  <c r="AO139" i="27" s="1"/>
  <c r="AK140" i="27" s="1"/>
  <c r="G137" i="27"/>
  <c r="H137" i="27" s="1"/>
  <c r="D138" i="27" s="1"/>
  <c r="I138" i="27" s="1"/>
  <c r="BK140" i="27"/>
  <c r="BL140" i="27" s="1"/>
  <c r="BM140" i="27" s="1"/>
  <c r="BI141" i="27" s="1"/>
  <c r="W142" i="27"/>
  <c r="X142" i="27" s="1"/>
  <c r="Y142" i="27" s="1"/>
  <c r="U143" i="27" s="1"/>
  <c r="AM140" i="27"/>
  <c r="AL140" i="27"/>
  <c r="C195" i="27"/>
  <c r="A194" i="27"/>
  <c r="AD145" i="27"/>
  <c r="AE145" i="27"/>
  <c r="BC145" i="27"/>
  <c r="BB145" i="27"/>
  <c r="AU146" i="27"/>
  <c r="AT146" i="27"/>
  <c r="O141" i="27"/>
  <c r="N141" i="27"/>
  <c r="E138" i="27" l="1"/>
  <c r="F138" i="27"/>
  <c r="AV146" i="27"/>
  <c r="AW146" i="27" s="1"/>
  <c r="AS147" i="27" s="1"/>
  <c r="AU147" i="27" s="1"/>
  <c r="BK141" i="27"/>
  <c r="BJ141" i="27"/>
  <c r="BL141" i="27" s="1"/>
  <c r="BM141" i="27" s="1"/>
  <c r="BI142" i="27" s="1"/>
  <c r="BJ142" i="27" s="1"/>
  <c r="AN140" i="27"/>
  <c r="AO140" i="27" s="1"/>
  <c r="AK141" i="27" s="1"/>
  <c r="AL141" i="27" s="1"/>
  <c r="BD145" i="27"/>
  <c r="BE145" i="27" s="1"/>
  <c r="BA146" i="27" s="1"/>
  <c r="BC146" i="27" s="1"/>
  <c r="P141" i="27"/>
  <c r="Q141" i="27" s="1"/>
  <c r="M142" i="27" s="1"/>
  <c r="N142" i="27" s="1"/>
  <c r="C196" i="27"/>
  <c r="A195" i="27"/>
  <c r="AT147" i="27"/>
  <c r="V143" i="27"/>
  <c r="W143" i="27"/>
  <c r="AF145" i="27"/>
  <c r="AG145" i="27" s="1"/>
  <c r="AC146" i="27" s="1"/>
  <c r="BK142" i="27" l="1"/>
  <c r="G138" i="27"/>
  <c r="H138" i="27" s="1"/>
  <c r="D139" i="27" s="1"/>
  <c r="I139" i="27" s="1"/>
  <c r="AM141" i="27"/>
  <c r="AN141" i="27" s="1"/>
  <c r="AO141" i="27" s="1"/>
  <c r="AK142" i="27" s="1"/>
  <c r="BB146" i="27"/>
  <c r="O142" i="27"/>
  <c r="AV147" i="27"/>
  <c r="AW147" i="27" s="1"/>
  <c r="AS148" i="27" s="1"/>
  <c r="AT148" i="27" s="1"/>
  <c r="BD146" i="27"/>
  <c r="BE146" i="27" s="1"/>
  <c r="BA147" i="27" s="1"/>
  <c r="BC147" i="27" s="1"/>
  <c r="BL142" i="27"/>
  <c r="BM142" i="27" s="1"/>
  <c r="BI143" i="27" s="1"/>
  <c r="BJ143" i="27" s="1"/>
  <c r="A196" i="27"/>
  <c r="C197" i="27"/>
  <c r="AD146" i="27"/>
  <c r="AE146" i="27"/>
  <c r="X143" i="27"/>
  <c r="Y143" i="27" s="1"/>
  <c r="U144" i="27" s="1"/>
  <c r="P142" i="27"/>
  <c r="Q142" i="27" s="1"/>
  <c r="M143" i="27" s="1"/>
  <c r="E139" i="27" l="1"/>
  <c r="F139" i="27"/>
  <c r="AU148" i="27"/>
  <c r="AV148" i="27"/>
  <c r="AW148" i="27" s="1"/>
  <c r="AS149" i="27" s="1"/>
  <c r="AU149" i="27" s="1"/>
  <c r="BK143" i="27"/>
  <c r="BL143" i="27" s="1"/>
  <c r="BM143" i="27" s="1"/>
  <c r="BI144" i="27" s="1"/>
  <c r="BK144" i="27" s="1"/>
  <c r="BB147" i="27"/>
  <c r="BD147" i="27" s="1"/>
  <c r="BE147" i="27" s="1"/>
  <c r="BA148" i="27" s="1"/>
  <c r="BC148" i="27" s="1"/>
  <c r="AM142" i="27"/>
  <c r="AL142" i="27"/>
  <c r="C198" i="27"/>
  <c r="A197" i="27"/>
  <c r="N143" i="27"/>
  <c r="O143" i="27"/>
  <c r="W144" i="27"/>
  <c r="V144" i="27"/>
  <c r="AF146" i="27"/>
  <c r="AG146" i="27" s="1"/>
  <c r="AC147" i="27" s="1"/>
  <c r="G139" i="27" l="1"/>
  <c r="H139" i="27" s="1"/>
  <c r="D140" i="27" s="1"/>
  <c r="E140" i="27"/>
  <c r="F140" i="27"/>
  <c r="I140" i="27"/>
  <c r="AN142" i="27"/>
  <c r="AO142" i="27" s="1"/>
  <c r="AK143" i="27" s="1"/>
  <c r="AL143" i="27" s="1"/>
  <c r="BB148" i="27"/>
  <c r="BD148" i="27" s="1"/>
  <c r="BE148" i="27" s="1"/>
  <c r="BA149" i="27" s="1"/>
  <c r="BB149" i="27" s="1"/>
  <c r="AT149" i="27"/>
  <c r="AV149" i="27" s="1"/>
  <c r="AW149" i="27" s="1"/>
  <c r="AS150" i="27" s="1"/>
  <c r="AM143" i="27"/>
  <c r="BJ144" i="27"/>
  <c r="BL144" i="27" s="1"/>
  <c r="BM144" i="27" s="1"/>
  <c r="BI145" i="27" s="1"/>
  <c r="P143" i="27"/>
  <c r="Q143" i="27" s="1"/>
  <c r="M144" i="27" s="1"/>
  <c r="N144" i="27" s="1"/>
  <c r="X144" i="27"/>
  <c r="Y144" i="27" s="1"/>
  <c r="U145" i="27" s="1"/>
  <c r="W145" i="27" s="1"/>
  <c r="C199" i="27"/>
  <c r="A198" i="27"/>
  <c r="AE147" i="27"/>
  <c r="AD147" i="27"/>
  <c r="G140" i="27" l="1"/>
  <c r="H140" i="27" s="1"/>
  <c r="D141" i="27" s="1"/>
  <c r="AN143" i="27"/>
  <c r="AO143" i="27" s="1"/>
  <c r="AK144" i="27" s="1"/>
  <c r="BC149" i="27"/>
  <c r="BD149" i="27" s="1"/>
  <c r="BE149" i="27" s="1"/>
  <c r="BA150" i="27" s="1"/>
  <c r="BJ145" i="27"/>
  <c r="BK145" i="27"/>
  <c r="V145" i="27"/>
  <c r="X145" i="27" s="1"/>
  <c r="Y145" i="27" s="1"/>
  <c r="U146" i="27" s="1"/>
  <c r="W146" i="27" s="1"/>
  <c r="AF147" i="27"/>
  <c r="AG147" i="27" s="1"/>
  <c r="AC148" i="27" s="1"/>
  <c r="AE148" i="27" s="1"/>
  <c r="O144" i="27"/>
  <c r="P144" i="27" s="1"/>
  <c r="Q144" i="27" s="1"/>
  <c r="M145" i="27" s="1"/>
  <c r="A199" i="27"/>
  <c r="C200" i="27"/>
  <c r="AM144" i="27"/>
  <c r="AL144" i="27"/>
  <c r="AT150" i="27"/>
  <c r="AU150" i="27"/>
  <c r="F141" i="27" l="1"/>
  <c r="I141" i="27"/>
  <c r="E141" i="27"/>
  <c r="AN144" i="27"/>
  <c r="AO144" i="27" s="1"/>
  <c r="AK145" i="27" s="1"/>
  <c r="AL145" i="27" s="1"/>
  <c r="AD148" i="27"/>
  <c r="AF148" i="27" s="1"/>
  <c r="AG148" i="27" s="1"/>
  <c r="AC149" i="27" s="1"/>
  <c r="BL145" i="27"/>
  <c r="BM145" i="27" s="1"/>
  <c r="BI146" i="27" s="1"/>
  <c r="V146" i="27"/>
  <c r="X146" i="27" s="1"/>
  <c r="Y146" i="27" s="1"/>
  <c r="U147" i="27" s="1"/>
  <c r="W147" i="27" s="1"/>
  <c r="O145" i="27"/>
  <c r="N145" i="27"/>
  <c r="C201" i="27"/>
  <c r="A200" i="27"/>
  <c r="BC150" i="27"/>
  <c r="BB150" i="27"/>
  <c r="AV150" i="27"/>
  <c r="AW150" i="27" s="1"/>
  <c r="AS151" i="27" s="1"/>
  <c r="G141" i="27" l="1"/>
  <c r="H141" i="27" s="1"/>
  <c r="D142" i="27" s="1"/>
  <c r="F142" i="27" s="1"/>
  <c r="P145" i="27"/>
  <c r="Q145" i="27" s="1"/>
  <c r="M146" i="27" s="1"/>
  <c r="N146" i="27" s="1"/>
  <c r="AM145" i="27"/>
  <c r="AN145" i="27" s="1"/>
  <c r="AO145" i="27" s="1"/>
  <c r="AK146" i="27" s="1"/>
  <c r="BJ146" i="27"/>
  <c r="BK146" i="27"/>
  <c r="O146" i="27"/>
  <c r="P146" i="27" s="1"/>
  <c r="Q146" i="27" s="1"/>
  <c r="M147" i="27" s="1"/>
  <c r="N147" i="27" s="1"/>
  <c r="V147" i="27"/>
  <c r="X147" i="27" s="1"/>
  <c r="Y147" i="27" s="1"/>
  <c r="U148" i="27" s="1"/>
  <c r="C202" i="27"/>
  <c r="A201" i="27"/>
  <c r="AD149" i="27"/>
  <c r="AE149" i="27"/>
  <c r="AU151" i="27"/>
  <c r="AT151" i="27"/>
  <c r="BD150" i="27"/>
  <c r="BE150" i="27" s="1"/>
  <c r="BA151" i="27" s="1"/>
  <c r="I142" i="27" l="1"/>
  <c r="E142" i="27"/>
  <c r="G142" i="27" s="1"/>
  <c r="H142" i="27" s="1"/>
  <c r="D143" i="27" s="1"/>
  <c r="O147" i="27"/>
  <c r="BL146" i="27"/>
  <c r="BM146" i="27" s="1"/>
  <c r="BI147" i="27" s="1"/>
  <c r="P147" i="27"/>
  <c r="Q147" i="27" s="1"/>
  <c r="M148" i="27" s="1"/>
  <c r="N148" i="27" s="1"/>
  <c r="AF149" i="27"/>
  <c r="AG149" i="27" s="1"/>
  <c r="AC150" i="27" s="1"/>
  <c r="AE150" i="27" s="1"/>
  <c r="C203" i="27"/>
  <c r="A202" i="27"/>
  <c r="V148" i="27"/>
  <c r="W148" i="27"/>
  <c r="BC151" i="27"/>
  <c r="BB151" i="27"/>
  <c r="AM146" i="27"/>
  <c r="AL146" i="27"/>
  <c r="AV151" i="27"/>
  <c r="AW151" i="27" s="1"/>
  <c r="AS152" i="27" s="1"/>
  <c r="F143" i="27" l="1"/>
  <c r="I143" i="27"/>
  <c r="E143" i="27"/>
  <c r="O148" i="27"/>
  <c r="P148" i="27" s="1"/>
  <c r="Q148" i="27" s="1"/>
  <c r="M149" i="27" s="1"/>
  <c r="BK147" i="27"/>
  <c r="BJ147" i="27"/>
  <c r="AD150" i="27"/>
  <c r="AF150" i="27" s="1"/>
  <c r="AG150" i="27" s="1"/>
  <c r="AC151" i="27" s="1"/>
  <c r="AN146" i="27"/>
  <c r="AO146" i="27" s="1"/>
  <c r="AK147" i="27" s="1"/>
  <c r="AM147" i="27" s="1"/>
  <c r="A203" i="27"/>
  <c r="C204" i="27"/>
  <c r="X148" i="27"/>
  <c r="Y148" i="27" s="1"/>
  <c r="U149" i="27" s="1"/>
  <c r="AU152" i="27"/>
  <c r="AT152" i="27"/>
  <c r="BD151" i="27"/>
  <c r="BE151" i="27" s="1"/>
  <c r="BA152" i="27" s="1"/>
  <c r="G143" i="27" l="1"/>
  <c r="H143" i="27" s="1"/>
  <c r="D144" i="27" s="1"/>
  <c r="I144" i="27" s="1"/>
  <c r="AV152" i="27"/>
  <c r="AW152" i="27" s="1"/>
  <c r="AS153" i="27" s="1"/>
  <c r="BL147" i="27"/>
  <c r="BM147" i="27" s="1"/>
  <c r="BI148" i="27" s="1"/>
  <c r="BJ148" i="27" s="1"/>
  <c r="AL147" i="27"/>
  <c r="AN147" i="27" s="1"/>
  <c r="AO147" i="27" s="1"/>
  <c r="AK148" i="27" s="1"/>
  <c r="AM148" i="27" s="1"/>
  <c r="A204" i="27"/>
  <c r="C205" i="27"/>
  <c r="AT153" i="27"/>
  <c r="AU153" i="27"/>
  <c r="V149" i="27"/>
  <c r="W149" i="27"/>
  <c r="AD151" i="27"/>
  <c r="AE151" i="27"/>
  <c r="BC152" i="27"/>
  <c r="BB152" i="27"/>
  <c r="N149" i="27"/>
  <c r="O149" i="27"/>
  <c r="F144" i="27" l="1"/>
  <c r="E144" i="27"/>
  <c r="BK148" i="27"/>
  <c r="BL148" i="27" s="1"/>
  <c r="BM148" i="27" s="1"/>
  <c r="BI149" i="27" s="1"/>
  <c r="AL148" i="27"/>
  <c r="AN148" i="27" s="1"/>
  <c r="AO148" i="27" s="1"/>
  <c r="AK149" i="27" s="1"/>
  <c r="AL149" i="27" s="1"/>
  <c r="AF151" i="27"/>
  <c r="AG151" i="27" s="1"/>
  <c r="AC152" i="27" s="1"/>
  <c r="AD152" i="27" s="1"/>
  <c r="P149" i="27"/>
  <c r="Q149" i="27" s="1"/>
  <c r="M150" i="27" s="1"/>
  <c r="O150" i="27" s="1"/>
  <c r="BD152" i="27"/>
  <c r="BE152" i="27" s="1"/>
  <c r="BA153" i="27" s="1"/>
  <c r="BC153" i="27" s="1"/>
  <c r="AV153" i="27"/>
  <c r="AW153" i="27" s="1"/>
  <c r="AS154" i="27" s="1"/>
  <c r="AT154" i="27" s="1"/>
  <c r="A205" i="27"/>
  <c r="C206" i="27"/>
  <c r="X149" i="27"/>
  <c r="Y149" i="27" s="1"/>
  <c r="U150" i="27" s="1"/>
  <c r="G144" i="27" l="1"/>
  <c r="H144" i="27" s="1"/>
  <c r="D145" i="27" s="1"/>
  <c r="F145" i="27" s="1"/>
  <c r="E145" i="27"/>
  <c r="I145" i="27"/>
  <c r="AE152" i="27"/>
  <c r="AF152" i="27" s="1"/>
  <c r="AG152" i="27" s="1"/>
  <c r="AC153" i="27" s="1"/>
  <c r="AD153" i="27" s="1"/>
  <c r="BB153" i="27"/>
  <c r="BD153" i="27" s="1"/>
  <c r="BE153" i="27" s="1"/>
  <c r="BA154" i="27" s="1"/>
  <c r="BJ149" i="27"/>
  <c r="BK149" i="27"/>
  <c r="N150" i="27"/>
  <c r="P150" i="27" s="1"/>
  <c r="Q150" i="27" s="1"/>
  <c r="M151" i="27" s="1"/>
  <c r="N151" i="27" s="1"/>
  <c r="AU154" i="27"/>
  <c r="AV154" i="27" s="1"/>
  <c r="AW154" i="27" s="1"/>
  <c r="AS155" i="27" s="1"/>
  <c r="AT155" i="27" s="1"/>
  <c r="AM149" i="27"/>
  <c r="AN149" i="27" s="1"/>
  <c r="AO149" i="27" s="1"/>
  <c r="AK150" i="27" s="1"/>
  <c r="AM150" i="27" s="1"/>
  <c r="C207" i="27"/>
  <c r="A206" i="27"/>
  <c r="V150" i="27"/>
  <c r="W150" i="27"/>
  <c r="G145" i="27" l="1"/>
  <c r="H145" i="27" s="1"/>
  <c r="D146" i="27" s="1"/>
  <c r="BL149" i="27"/>
  <c r="BM149" i="27" s="1"/>
  <c r="BI150" i="27" s="1"/>
  <c r="O151" i="27"/>
  <c r="AU155" i="27"/>
  <c r="AV155" i="27" s="1"/>
  <c r="AW155" i="27" s="1"/>
  <c r="AS156" i="27" s="1"/>
  <c r="P151" i="27"/>
  <c r="Q151" i="27" s="1"/>
  <c r="M152" i="27" s="1"/>
  <c r="N152" i="27" s="1"/>
  <c r="AL150" i="27"/>
  <c r="AN150" i="27" s="1"/>
  <c r="AO150" i="27" s="1"/>
  <c r="AK151" i="27" s="1"/>
  <c r="AE153" i="27"/>
  <c r="AF153" i="27" s="1"/>
  <c r="AG153" i="27" s="1"/>
  <c r="AC154" i="27" s="1"/>
  <c r="A207" i="27"/>
  <c r="C208" i="27"/>
  <c r="X150" i="27"/>
  <c r="Y150" i="27" s="1"/>
  <c r="U151" i="27" s="1"/>
  <c r="BC154" i="27"/>
  <c r="BB154" i="27"/>
  <c r="E146" i="27" l="1"/>
  <c r="G146" i="27" s="1"/>
  <c r="H146" i="27" s="1"/>
  <c r="D147" i="27" s="1"/>
  <c r="F147" i="27" s="1"/>
  <c r="I146" i="27"/>
  <c r="F146" i="27"/>
  <c r="BJ150" i="27"/>
  <c r="BK150" i="27"/>
  <c r="O152" i="27"/>
  <c r="P152" i="27" s="1"/>
  <c r="Q152" i="27" s="1"/>
  <c r="M153" i="27" s="1"/>
  <c r="N153" i="27" s="1"/>
  <c r="AU156" i="27"/>
  <c r="AT156" i="27"/>
  <c r="AE154" i="27"/>
  <c r="AD154" i="27"/>
  <c r="BD154" i="27"/>
  <c r="BE154" i="27" s="1"/>
  <c r="BA155" i="27" s="1"/>
  <c r="BC155" i="27" s="1"/>
  <c r="C209" i="27"/>
  <c r="A208" i="27"/>
  <c r="AL151" i="27"/>
  <c r="AM151" i="27"/>
  <c r="W151" i="27"/>
  <c r="V151" i="27"/>
  <c r="E147" i="27" l="1"/>
  <c r="G147" i="27" s="1"/>
  <c r="H147" i="27" s="1"/>
  <c r="D148" i="27" s="1"/>
  <c r="E148" i="27" s="1"/>
  <c r="I147" i="27"/>
  <c r="AV156" i="27"/>
  <c r="AW156" i="27" s="1"/>
  <c r="AS157" i="27" s="1"/>
  <c r="AT157" i="27" s="1"/>
  <c r="AF154" i="27"/>
  <c r="AG154" i="27" s="1"/>
  <c r="AC155" i="27" s="1"/>
  <c r="AE155" i="27" s="1"/>
  <c r="BL150" i="27"/>
  <c r="BM150" i="27" s="1"/>
  <c r="BI151" i="27" s="1"/>
  <c r="X151" i="27"/>
  <c r="Y151" i="27" s="1"/>
  <c r="U152" i="27" s="1"/>
  <c r="W152" i="27" s="1"/>
  <c r="BB155" i="27"/>
  <c r="BD155" i="27" s="1"/>
  <c r="BE155" i="27" s="1"/>
  <c r="BA156" i="27" s="1"/>
  <c r="O153" i="27"/>
  <c r="P153" i="27" s="1"/>
  <c r="Q153" i="27" s="1"/>
  <c r="M154" i="27" s="1"/>
  <c r="AN151" i="27"/>
  <c r="AO151" i="27" s="1"/>
  <c r="AK152" i="27" s="1"/>
  <c r="AM152" i="27" s="1"/>
  <c r="C210" i="27"/>
  <c r="A209" i="27"/>
  <c r="I148" i="27"/>
  <c r="F148" i="27"/>
  <c r="AU157" i="27" l="1"/>
  <c r="AV157" i="27" s="1"/>
  <c r="AW157" i="27" s="1"/>
  <c r="AS158" i="27" s="1"/>
  <c r="AU158" i="27" s="1"/>
  <c r="AD155" i="27"/>
  <c r="AF155" i="27" s="1"/>
  <c r="AG155" i="27" s="1"/>
  <c r="AC156" i="27" s="1"/>
  <c r="AE156" i="27" s="1"/>
  <c r="BJ151" i="27"/>
  <c r="BK151" i="27"/>
  <c r="V152" i="27"/>
  <c r="X152" i="27" s="1"/>
  <c r="Y152" i="27" s="1"/>
  <c r="U153" i="27" s="1"/>
  <c r="AL152" i="27"/>
  <c r="AN152" i="27" s="1"/>
  <c r="AO152" i="27" s="1"/>
  <c r="AK153" i="27" s="1"/>
  <c r="AL153" i="27" s="1"/>
  <c r="A210" i="27"/>
  <c r="C211" i="27"/>
  <c r="G148" i="27"/>
  <c r="H148" i="27" s="1"/>
  <c r="D149" i="27" s="1"/>
  <c r="O154" i="27"/>
  <c r="N154" i="27"/>
  <c r="BC156" i="27"/>
  <c r="BB156" i="27"/>
  <c r="AT158" i="27" l="1"/>
  <c r="P154" i="27"/>
  <c r="Q154" i="27" s="1"/>
  <c r="M155" i="27" s="1"/>
  <c r="N155" i="27" s="1"/>
  <c r="AD156" i="27"/>
  <c r="AF156" i="27" s="1"/>
  <c r="AG156" i="27" s="1"/>
  <c r="AC157" i="27" s="1"/>
  <c r="AD157" i="27" s="1"/>
  <c r="AM153" i="27"/>
  <c r="AN153" i="27" s="1"/>
  <c r="AO153" i="27" s="1"/>
  <c r="AK154" i="27" s="1"/>
  <c r="BL151" i="27"/>
  <c r="BM151" i="27" s="1"/>
  <c r="BI152" i="27" s="1"/>
  <c r="BD156" i="27"/>
  <c r="BE156" i="27" s="1"/>
  <c r="BA157" i="27" s="1"/>
  <c r="BC157" i="27" s="1"/>
  <c r="AV158" i="27"/>
  <c r="AW158" i="27" s="1"/>
  <c r="AS159" i="27" s="1"/>
  <c r="AU159" i="27" s="1"/>
  <c r="A211" i="27"/>
  <c r="C212" i="27"/>
  <c r="O155" i="27"/>
  <c r="V153" i="27"/>
  <c r="W153" i="27"/>
  <c r="E149" i="27"/>
  <c r="F149" i="27"/>
  <c r="I149" i="27"/>
  <c r="BB157" i="27" l="1"/>
  <c r="BD157" i="27" s="1"/>
  <c r="BE157" i="27" s="1"/>
  <c r="BA158" i="27" s="1"/>
  <c r="BJ152" i="27"/>
  <c r="BK152" i="27"/>
  <c r="AT159" i="27"/>
  <c r="AV159" i="27" s="1"/>
  <c r="AW159" i="27" s="1"/>
  <c r="AS160" i="27" s="1"/>
  <c r="AE157" i="27"/>
  <c r="AF157" i="27" s="1"/>
  <c r="AG157" i="27" s="1"/>
  <c r="AC158" i="27" s="1"/>
  <c r="G149" i="27"/>
  <c r="H149" i="27" s="1"/>
  <c r="D150" i="27" s="1"/>
  <c r="I150" i="27" s="1"/>
  <c r="C213" i="27"/>
  <c r="A212" i="27"/>
  <c r="X153" i="27"/>
  <c r="Y153" i="27" s="1"/>
  <c r="U154" i="27" s="1"/>
  <c r="W154" i="27" s="1"/>
  <c r="AM154" i="27"/>
  <c r="AL154" i="27"/>
  <c r="P155" i="27"/>
  <c r="Q155" i="27" s="1"/>
  <c r="M156" i="27" s="1"/>
  <c r="AU160" i="27" l="1"/>
  <c r="AT160" i="27"/>
  <c r="BL152" i="27"/>
  <c r="BM152" i="27" s="1"/>
  <c r="BI153" i="27" s="1"/>
  <c r="F150" i="27"/>
  <c r="E150" i="27"/>
  <c r="V154" i="27"/>
  <c r="X154" i="27" s="1"/>
  <c r="Y154" i="27" s="1"/>
  <c r="U155" i="27" s="1"/>
  <c r="C214" i="27"/>
  <c r="A213" i="27"/>
  <c r="BB158" i="27"/>
  <c r="BC158" i="27"/>
  <c r="N156" i="27"/>
  <c r="O156" i="27"/>
  <c r="AD158" i="27"/>
  <c r="AE158" i="27"/>
  <c r="AN154" i="27"/>
  <c r="AO154" i="27" s="1"/>
  <c r="AK155" i="27" s="1"/>
  <c r="G150" i="27" l="1"/>
  <c r="H150" i="27" s="1"/>
  <c r="D151" i="27" s="1"/>
  <c r="E151" i="27" s="1"/>
  <c r="AV160" i="27"/>
  <c r="AW160" i="27" s="1"/>
  <c r="AS161" i="27" s="1"/>
  <c r="AT161" i="27" s="1"/>
  <c r="BJ153" i="27"/>
  <c r="BK153" i="27"/>
  <c r="F151" i="27"/>
  <c r="I151" i="27"/>
  <c r="P156" i="27"/>
  <c r="Q156" i="27" s="1"/>
  <c r="M157" i="27" s="1"/>
  <c r="N157" i="27" s="1"/>
  <c r="C215" i="27"/>
  <c r="A214" i="27"/>
  <c r="AL155" i="27"/>
  <c r="AM155" i="27"/>
  <c r="V155" i="27"/>
  <c r="W155" i="27"/>
  <c r="AF158" i="27"/>
  <c r="AG158" i="27" s="1"/>
  <c r="AC159" i="27" s="1"/>
  <c r="BD158" i="27"/>
  <c r="BE158" i="27" s="1"/>
  <c r="BA159" i="27" s="1"/>
  <c r="G151" i="27" l="1"/>
  <c r="H151" i="27" s="1"/>
  <c r="D152" i="27" s="1"/>
  <c r="I152" i="27" s="1"/>
  <c r="AU161" i="27"/>
  <c r="AV161" i="27" s="1"/>
  <c r="AW161" i="27" s="1"/>
  <c r="AS162" i="27" s="1"/>
  <c r="BL153" i="27"/>
  <c r="BM153" i="27" s="1"/>
  <c r="BI154" i="27" s="1"/>
  <c r="O157" i="27"/>
  <c r="P157" i="27" s="1"/>
  <c r="Q157" i="27" s="1"/>
  <c r="M158" i="27" s="1"/>
  <c r="AN155" i="27"/>
  <c r="AO155" i="27" s="1"/>
  <c r="AK156" i="27" s="1"/>
  <c r="AL156" i="27" s="1"/>
  <c r="A215" i="27"/>
  <c r="C216" i="27"/>
  <c r="BC159" i="27"/>
  <c r="BB159" i="27"/>
  <c r="X155" i="27"/>
  <c r="Y155" i="27" s="1"/>
  <c r="U156" i="27" s="1"/>
  <c r="AU162" i="27"/>
  <c r="AT162" i="27"/>
  <c r="AD159" i="27"/>
  <c r="AE159" i="27"/>
  <c r="E152" i="27" l="1"/>
  <c r="G152" i="27" s="1"/>
  <c r="H152" i="27" s="1"/>
  <c r="D153" i="27" s="1"/>
  <c r="I153" i="27" s="1"/>
  <c r="F152" i="27"/>
  <c r="AM156" i="27"/>
  <c r="BJ154" i="27"/>
  <c r="BK154" i="27"/>
  <c r="AV162" i="27"/>
  <c r="AW162" i="27" s="1"/>
  <c r="AS163" i="27" s="1"/>
  <c r="AU163" i="27" s="1"/>
  <c r="BD159" i="27"/>
  <c r="BE159" i="27" s="1"/>
  <c r="BA160" i="27" s="1"/>
  <c r="BB160" i="27" s="1"/>
  <c r="A216" i="27"/>
  <c r="C217" i="27"/>
  <c r="V156" i="27"/>
  <c r="W156" i="27"/>
  <c r="N158" i="27"/>
  <c r="O158" i="27"/>
  <c r="AN156" i="27"/>
  <c r="AO156" i="27" s="1"/>
  <c r="AK157" i="27" s="1"/>
  <c r="AF159" i="27"/>
  <c r="AG159" i="27" s="1"/>
  <c r="AC160" i="27" s="1"/>
  <c r="E153" i="27" l="1"/>
  <c r="F153" i="27"/>
  <c r="AT163" i="27"/>
  <c r="AV163" i="27" s="1"/>
  <c r="AW163" i="27" s="1"/>
  <c r="AS164" i="27" s="1"/>
  <c r="AU164" i="27" s="1"/>
  <c r="BC160" i="27"/>
  <c r="BD160" i="27" s="1"/>
  <c r="BE160" i="27" s="1"/>
  <c r="BA161" i="27" s="1"/>
  <c r="BL154" i="27"/>
  <c r="BM154" i="27" s="1"/>
  <c r="BI155" i="27" s="1"/>
  <c r="C218" i="27"/>
  <c r="A217" i="27"/>
  <c r="AL157" i="27"/>
  <c r="AM157" i="27"/>
  <c r="AE160" i="27"/>
  <c r="AD160" i="27"/>
  <c r="P158" i="27"/>
  <c r="Q158" i="27" s="1"/>
  <c r="M159" i="27" s="1"/>
  <c r="X156" i="27"/>
  <c r="Y156" i="27" s="1"/>
  <c r="U157" i="27" s="1"/>
  <c r="G153" i="27" l="1"/>
  <c r="H153" i="27" s="1"/>
  <c r="D154" i="27" s="1"/>
  <c r="E154" i="27" s="1"/>
  <c r="AT164" i="27"/>
  <c r="BC161" i="27"/>
  <c r="BB161" i="27"/>
  <c r="BK155" i="27"/>
  <c r="BJ155" i="27"/>
  <c r="AF160" i="27"/>
  <c r="AG160" i="27" s="1"/>
  <c r="AC161" i="27" s="1"/>
  <c r="AD161" i="27" s="1"/>
  <c r="AV164" i="27"/>
  <c r="AW164" i="27" s="1"/>
  <c r="AS165" i="27" s="1"/>
  <c r="AT165" i="27" s="1"/>
  <c r="C219" i="27"/>
  <c r="A218" i="27"/>
  <c r="I154" i="27"/>
  <c r="W157" i="27"/>
  <c r="V157" i="27"/>
  <c r="AN157" i="27"/>
  <c r="AO157" i="27" s="1"/>
  <c r="AK158" i="27" s="1"/>
  <c r="O159" i="27"/>
  <c r="N159" i="27"/>
  <c r="F154" i="27" l="1"/>
  <c r="G154" i="27" s="1"/>
  <c r="H154" i="27" s="1"/>
  <c r="D155" i="27" s="1"/>
  <c r="BD161" i="27"/>
  <c r="BE161" i="27" s="1"/>
  <c r="BA162" i="27" s="1"/>
  <c r="BC162" i="27" s="1"/>
  <c r="BL155" i="27"/>
  <c r="BM155" i="27" s="1"/>
  <c r="BI156" i="27" s="1"/>
  <c r="BJ156" i="27" s="1"/>
  <c r="AE161" i="27"/>
  <c r="AF161" i="27" s="1"/>
  <c r="AG161" i="27" s="1"/>
  <c r="AC162" i="27" s="1"/>
  <c r="P159" i="27"/>
  <c r="Q159" i="27" s="1"/>
  <c r="M160" i="27" s="1"/>
  <c r="O160" i="27" s="1"/>
  <c r="AU165" i="27"/>
  <c r="AV165" i="27" s="1"/>
  <c r="AW165" i="27" s="1"/>
  <c r="AS166" i="27" s="1"/>
  <c r="X157" i="27"/>
  <c r="Y157" i="27" s="1"/>
  <c r="U158" i="27" s="1"/>
  <c r="W158" i="27" s="1"/>
  <c r="BB162" i="27"/>
  <c r="BD162" i="27" s="1"/>
  <c r="BE162" i="27" s="1"/>
  <c r="BA163" i="27" s="1"/>
  <c r="C220" i="27"/>
  <c r="A219" i="27"/>
  <c r="AL158" i="27"/>
  <c r="AM158" i="27"/>
  <c r="BK156" i="27" l="1"/>
  <c r="BL156" i="27" s="1"/>
  <c r="BM156" i="27" s="1"/>
  <c r="BI157" i="27" s="1"/>
  <c r="N160" i="27"/>
  <c r="AE162" i="27"/>
  <c r="AD162" i="27"/>
  <c r="AF162" i="27" s="1"/>
  <c r="AG162" i="27" s="1"/>
  <c r="AC163" i="27" s="1"/>
  <c r="AD163" i="27" s="1"/>
  <c r="BB163" i="27"/>
  <c r="BC163" i="27"/>
  <c r="AU166" i="27"/>
  <c r="AT166" i="27"/>
  <c r="AV166" i="27" s="1"/>
  <c r="AW166" i="27" s="1"/>
  <c r="AS167" i="27" s="1"/>
  <c r="AU167" i="27" s="1"/>
  <c r="V158" i="27"/>
  <c r="X158" i="27" s="1"/>
  <c r="Y158" i="27" s="1"/>
  <c r="U159" i="27" s="1"/>
  <c r="AN158" i="27"/>
  <c r="AO158" i="27" s="1"/>
  <c r="AK159" i="27" s="1"/>
  <c r="AL159" i="27" s="1"/>
  <c r="P160" i="27"/>
  <c r="Q160" i="27" s="1"/>
  <c r="M161" i="27" s="1"/>
  <c r="N161" i="27" s="1"/>
  <c r="A220" i="27"/>
  <c r="C221" i="27"/>
  <c r="I155" i="27"/>
  <c r="F155" i="27"/>
  <c r="E155" i="27"/>
  <c r="O161" i="27" l="1"/>
  <c r="BK157" i="27"/>
  <c r="BJ157" i="27"/>
  <c r="BD163" i="27"/>
  <c r="BE163" i="27" s="1"/>
  <c r="BA164" i="27" s="1"/>
  <c r="AM159" i="27"/>
  <c r="AN159" i="27" s="1"/>
  <c r="AO159" i="27" s="1"/>
  <c r="AK160" i="27" s="1"/>
  <c r="AT167" i="27"/>
  <c r="AV167" i="27" s="1"/>
  <c r="AW167" i="27" s="1"/>
  <c r="AS168" i="27" s="1"/>
  <c r="AU168" i="27" s="1"/>
  <c r="G155" i="27"/>
  <c r="H155" i="27" s="1"/>
  <c r="D156" i="27" s="1"/>
  <c r="E156" i="27" s="1"/>
  <c r="AE163" i="27"/>
  <c r="AF163" i="27" s="1"/>
  <c r="AG163" i="27" s="1"/>
  <c r="AC164" i="27" s="1"/>
  <c r="A221" i="27"/>
  <c r="C222" i="27"/>
  <c r="P161" i="27"/>
  <c r="Q161" i="27" s="1"/>
  <c r="M162" i="27" s="1"/>
  <c r="O162" i="27" s="1"/>
  <c r="V159" i="27"/>
  <c r="W159" i="27"/>
  <c r="BL157" i="27" l="1"/>
  <c r="BM157" i="27" s="1"/>
  <c r="BI158" i="27" s="1"/>
  <c r="BK158" i="27" s="1"/>
  <c r="BJ158" i="27"/>
  <c r="AT168" i="27"/>
  <c r="AV168" i="27" s="1"/>
  <c r="AW168" i="27" s="1"/>
  <c r="AS169" i="27" s="1"/>
  <c r="AT169" i="27" s="1"/>
  <c r="BC164" i="27"/>
  <c r="BB164" i="27"/>
  <c r="I156" i="27"/>
  <c r="F156" i="27"/>
  <c r="G156" i="27" s="1"/>
  <c r="H156" i="27" s="1"/>
  <c r="D157" i="27" s="1"/>
  <c r="AD164" i="27"/>
  <c r="AE164" i="27"/>
  <c r="N162" i="27"/>
  <c r="P162" i="27" s="1"/>
  <c r="Q162" i="27" s="1"/>
  <c r="M163" i="27" s="1"/>
  <c r="N163" i="27" s="1"/>
  <c r="A222" i="27"/>
  <c r="C223" i="27"/>
  <c r="X159" i="27"/>
  <c r="Y159" i="27" s="1"/>
  <c r="U160" i="27" s="1"/>
  <c r="AM160" i="27"/>
  <c r="AL160" i="27"/>
  <c r="BD164" i="27" l="1"/>
  <c r="BE164" i="27" s="1"/>
  <c r="BA165" i="27" s="1"/>
  <c r="BB165" i="27" s="1"/>
  <c r="BL158" i="27"/>
  <c r="BM158" i="27" s="1"/>
  <c r="BI159" i="27" s="1"/>
  <c r="BK159" i="27" s="1"/>
  <c r="BC165" i="27"/>
  <c r="BD165" i="27" s="1"/>
  <c r="BE165" i="27" s="1"/>
  <c r="BA166" i="27" s="1"/>
  <c r="AF164" i="27"/>
  <c r="AG164" i="27" s="1"/>
  <c r="AC165" i="27" s="1"/>
  <c r="AD165" i="27" s="1"/>
  <c r="AN160" i="27"/>
  <c r="AO160" i="27" s="1"/>
  <c r="AK161" i="27" s="1"/>
  <c r="AM161" i="27" s="1"/>
  <c r="O163" i="27"/>
  <c r="P163" i="27" s="1"/>
  <c r="Q163" i="27" s="1"/>
  <c r="M164" i="27" s="1"/>
  <c r="AU169" i="27"/>
  <c r="AV169" i="27" s="1"/>
  <c r="AW169" i="27" s="1"/>
  <c r="AS170" i="27" s="1"/>
  <c r="AT170" i="27" s="1"/>
  <c r="A223" i="27"/>
  <c r="C224" i="27"/>
  <c r="W160" i="27"/>
  <c r="V160" i="27"/>
  <c r="E157" i="27"/>
  <c r="F157" i="27"/>
  <c r="I157" i="27"/>
  <c r="BJ159" i="27" l="1"/>
  <c r="BL159" i="27" s="1"/>
  <c r="BM159" i="27" s="1"/>
  <c r="BI160" i="27" s="1"/>
  <c r="AE165" i="27"/>
  <c r="AF165" i="27" s="1"/>
  <c r="AG165" i="27" s="1"/>
  <c r="AC166" i="27" s="1"/>
  <c r="AE166" i="27" s="1"/>
  <c r="AL161" i="27"/>
  <c r="AN161" i="27" s="1"/>
  <c r="AO161" i="27" s="1"/>
  <c r="AK162" i="27" s="1"/>
  <c r="AM162" i="27" s="1"/>
  <c r="X160" i="27"/>
  <c r="Y160" i="27" s="1"/>
  <c r="U161" i="27" s="1"/>
  <c r="W161" i="27" s="1"/>
  <c r="AU170" i="27"/>
  <c r="AV170" i="27" s="1"/>
  <c r="AW170" i="27" s="1"/>
  <c r="AS171" i="27" s="1"/>
  <c r="A224" i="27"/>
  <c r="C225" i="27"/>
  <c r="BC166" i="27"/>
  <c r="BB166" i="27"/>
  <c r="G157" i="27"/>
  <c r="H157" i="27" s="1"/>
  <c r="D158" i="27" s="1"/>
  <c r="N164" i="27"/>
  <c r="O164" i="27"/>
  <c r="BJ160" i="27" l="1"/>
  <c r="BK160" i="27"/>
  <c r="BD166" i="27"/>
  <c r="BE166" i="27" s="1"/>
  <c r="BA167" i="27" s="1"/>
  <c r="BB167" i="27" s="1"/>
  <c r="V161" i="27"/>
  <c r="X161" i="27" s="1"/>
  <c r="Y161" i="27" s="1"/>
  <c r="U162" i="27" s="1"/>
  <c r="W162" i="27" s="1"/>
  <c r="AL162" i="27"/>
  <c r="AN162" i="27" s="1"/>
  <c r="AO162" i="27" s="1"/>
  <c r="AK163" i="27" s="1"/>
  <c r="AL163" i="27" s="1"/>
  <c r="AD166" i="27"/>
  <c r="AF166" i="27" s="1"/>
  <c r="AG166" i="27" s="1"/>
  <c r="AC167" i="27" s="1"/>
  <c r="AE167" i="27" s="1"/>
  <c r="A225" i="27"/>
  <c r="C226" i="27"/>
  <c r="AU171" i="27"/>
  <c r="AT171" i="27"/>
  <c r="I158" i="27"/>
  <c r="F158" i="27"/>
  <c r="E158" i="27"/>
  <c r="P164" i="27"/>
  <c r="Q164" i="27" s="1"/>
  <c r="M165" i="27" s="1"/>
  <c r="BC167" i="27" l="1"/>
  <c r="BL160" i="27"/>
  <c r="BM160" i="27" s="1"/>
  <c r="BI161" i="27" s="1"/>
  <c r="BD167" i="27"/>
  <c r="BE167" i="27" s="1"/>
  <c r="BA168" i="27" s="1"/>
  <c r="BB168" i="27" s="1"/>
  <c r="AM163" i="27"/>
  <c r="AN163" i="27" s="1"/>
  <c r="AO163" i="27" s="1"/>
  <c r="AK164" i="27" s="1"/>
  <c r="V162" i="27"/>
  <c r="X162" i="27" s="1"/>
  <c r="Y162" i="27" s="1"/>
  <c r="U163" i="27" s="1"/>
  <c r="AD167" i="27"/>
  <c r="AF167" i="27" s="1"/>
  <c r="AG167" i="27" s="1"/>
  <c r="AC168" i="27" s="1"/>
  <c r="G158" i="27"/>
  <c r="H158" i="27" s="1"/>
  <c r="D159" i="27" s="1"/>
  <c r="F159" i="27" s="1"/>
  <c r="A226" i="27"/>
  <c r="C227" i="27"/>
  <c r="O165" i="27"/>
  <c r="N165" i="27"/>
  <c r="AV171" i="27"/>
  <c r="AW171" i="27" s="1"/>
  <c r="AS172" i="27" s="1"/>
  <c r="BC168" i="27" l="1"/>
  <c r="BJ161" i="27"/>
  <c r="BK161" i="27"/>
  <c r="P165" i="27"/>
  <c r="Q165" i="27" s="1"/>
  <c r="M166" i="27" s="1"/>
  <c r="N166" i="27" s="1"/>
  <c r="W163" i="27"/>
  <c r="V163" i="27"/>
  <c r="I159" i="27"/>
  <c r="E159" i="27"/>
  <c r="G159" i="27" s="1"/>
  <c r="H159" i="27" s="1"/>
  <c r="D160" i="27" s="1"/>
  <c r="E160" i="27" s="1"/>
  <c r="A227" i="27"/>
  <c r="C228" i="27"/>
  <c r="O166" i="27"/>
  <c r="AL164" i="27"/>
  <c r="AM164" i="27"/>
  <c r="AU172" i="27"/>
  <c r="AT172" i="27"/>
  <c r="AE168" i="27"/>
  <c r="AD168" i="27"/>
  <c r="BD168" i="27"/>
  <c r="BE168" i="27" s="1"/>
  <c r="BA169" i="27" s="1"/>
  <c r="X163" i="27" l="1"/>
  <c r="Y163" i="27" s="1"/>
  <c r="U164" i="27" s="1"/>
  <c r="V164" i="27" s="1"/>
  <c r="AV172" i="27"/>
  <c r="AW172" i="27" s="1"/>
  <c r="AS173" i="27" s="1"/>
  <c r="BL161" i="27"/>
  <c r="BM161" i="27" s="1"/>
  <c r="BI162" i="27" s="1"/>
  <c r="AF168" i="27"/>
  <c r="AG168" i="27" s="1"/>
  <c r="AC169" i="27" s="1"/>
  <c r="AD169" i="27" s="1"/>
  <c r="I160" i="27"/>
  <c r="F160" i="27"/>
  <c r="G160" i="27" s="1"/>
  <c r="H160" i="27" s="1"/>
  <c r="D161" i="27" s="1"/>
  <c r="I161" i="27" s="1"/>
  <c r="W164" i="27"/>
  <c r="X164" i="27" s="1"/>
  <c r="Y164" i="27" s="1"/>
  <c r="U165" i="27" s="1"/>
  <c r="A228" i="27"/>
  <c r="C229" i="27"/>
  <c r="AT173" i="27"/>
  <c r="AU173" i="27"/>
  <c r="BB169" i="27"/>
  <c r="BC169" i="27"/>
  <c r="P166" i="27"/>
  <c r="Q166" i="27" s="1"/>
  <c r="M167" i="27" s="1"/>
  <c r="AN164" i="27"/>
  <c r="AO164" i="27" s="1"/>
  <c r="AK165" i="27" s="1"/>
  <c r="BK162" i="27" l="1"/>
  <c r="BJ162" i="27"/>
  <c r="AE169" i="27"/>
  <c r="AF169" i="27" s="1"/>
  <c r="AG169" i="27" s="1"/>
  <c r="AC170" i="27" s="1"/>
  <c r="F161" i="27"/>
  <c r="E161" i="27"/>
  <c r="AV173" i="27"/>
  <c r="AW173" i="27" s="1"/>
  <c r="AS174" i="27" s="1"/>
  <c r="AU174" i="27" s="1"/>
  <c r="A229" i="27"/>
  <c r="C230" i="27"/>
  <c r="BD169" i="27"/>
  <c r="BE169" i="27" s="1"/>
  <c r="BA170" i="27" s="1"/>
  <c r="AL165" i="27"/>
  <c r="AM165" i="27"/>
  <c r="W165" i="27"/>
  <c r="V165" i="27"/>
  <c r="O167" i="27"/>
  <c r="N167" i="27"/>
  <c r="G161" i="27" l="1"/>
  <c r="H161" i="27" s="1"/>
  <c r="D162" i="27" s="1"/>
  <c r="E162" i="27" s="1"/>
  <c r="X165" i="27"/>
  <c r="Y165" i="27" s="1"/>
  <c r="U166" i="27" s="1"/>
  <c r="BL162" i="27"/>
  <c r="BM162" i="27" s="1"/>
  <c r="BI163" i="27" s="1"/>
  <c r="AT174" i="27"/>
  <c r="AV174" i="27" s="1"/>
  <c r="AW174" i="27" s="1"/>
  <c r="AS175" i="27" s="1"/>
  <c r="AT175" i="27" s="1"/>
  <c r="A230" i="27"/>
  <c r="C231" i="27"/>
  <c r="P167" i="27"/>
  <c r="Q167" i="27" s="1"/>
  <c r="M168" i="27" s="1"/>
  <c r="O168" i="27" s="1"/>
  <c r="W166" i="27"/>
  <c r="V166" i="27"/>
  <c r="X166" i="27" s="1"/>
  <c r="Y166" i="27" s="1"/>
  <c r="U167" i="27" s="1"/>
  <c r="BC170" i="27"/>
  <c r="BB170" i="27"/>
  <c r="AE170" i="27"/>
  <c r="AD170" i="27"/>
  <c r="AN165" i="27"/>
  <c r="AO165" i="27" s="1"/>
  <c r="AK166" i="27" s="1"/>
  <c r="I162" i="27" l="1"/>
  <c r="F162" i="27"/>
  <c r="G162" i="27" s="1"/>
  <c r="H162" i="27" s="1"/>
  <c r="D163" i="27" s="1"/>
  <c r="E163" i="27" s="1"/>
  <c r="BJ163" i="27"/>
  <c r="BK163" i="27"/>
  <c r="AF170" i="27"/>
  <c r="AG170" i="27" s="1"/>
  <c r="AC171" i="27" s="1"/>
  <c r="AD171" i="27" s="1"/>
  <c r="AU175" i="27"/>
  <c r="AV175" i="27" s="1"/>
  <c r="AW175" i="27" s="1"/>
  <c r="AS176" i="27" s="1"/>
  <c r="N168" i="27"/>
  <c r="P168" i="27" s="1"/>
  <c r="Q168" i="27" s="1"/>
  <c r="M169" i="27" s="1"/>
  <c r="A231" i="27"/>
  <c r="C232" i="27"/>
  <c r="W167" i="27"/>
  <c r="V167" i="27"/>
  <c r="BD170" i="27"/>
  <c r="BE170" i="27" s="1"/>
  <c r="BA171" i="27" s="1"/>
  <c r="AM166" i="27"/>
  <c r="AL166" i="27"/>
  <c r="BL163" i="27" l="1"/>
  <c r="BM163" i="27" s="1"/>
  <c r="BI164" i="27" s="1"/>
  <c r="BJ164" i="27" s="1"/>
  <c r="BK164" i="27"/>
  <c r="AE171" i="27"/>
  <c r="AF171" i="27" s="1"/>
  <c r="AG171" i="27" s="1"/>
  <c r="AC172" i="27" s="1"/>
  <c r="AD172" i="27" s="1"/>
  <c r="I163" i="27"/>
  <c r="F163" i="27"/>
  <c r="G163" i="27" s="1"/>
  <c r="H163" i="27" s="1"/>
  <c r="D164" i="27" s="1"/>
  <c r="F164" i="27" s="1"/>
  <c r="BL164" i="27"/>
  <c r="BM164" i="27" s="1"/>
  <c r="BI165" i="27" s="1"/>
  <c r="BJ165" i="27" s="1"/>
  <c r="X167" i="27"/>
  <c r="Y167" i="27" s="1"/>
  <c r="U168" i="27" s="1"/>
  <c r="V168" i="27" s="1"/>
  <c r="BK165" i="27"/>
  <c r="O169" i="27"/>
  <c r="N169" i="27"/>
  <c r="AN166" i="27"/>
  <c r="AO166" i="27" s="1"/>
  <c r="AK167" i="27" s="1"/>
  <c r="AL167" i="27" s="1"/>
  <c r="C233" i="27"/>
  <c r="A232" i="27"/>
  <c r="BC171" i="27"/>
  <c r="BB171" i="27"/>
  <c r="AT176" i="27"/>
  <c r="AU176" i="27"/>
  <c r="BD171" i="27" l="1"/>
  <c r="BE171" i="27" s="1"/>
  <c r="BA172" i="27" s="1"/>
  <c r="W168" i="27"/>
  <c r="X168" i="27" s="1"/>
  <c r="Y168" i="27" s="1"/>
  <c r="U169" i="27" s="1"/>
  <c r="V169" i="27" s="1"/>
  <c r="AE172" i="27"/>
  <c r="AF172" i="27" s="1"/>
  <c r="AG172" i="27" s="1"/>
  <c r="AC173" i="27" s="1"/>
  <c r="P169" i="27"/>
  <c r="Q169" i="27" s="1"/>
  <c r="M170" i="27" s="1"/>
  <c r="O170" i="27" s="1"/>
  <c r="E164" i="27"/>
  <c r="G164" i="27" s="1"/>
  <c r="H164" i="27" s="1"/>
  <c r="D165" i="27" s="1"/>
  <c r="BL165" i="27"/>
  <c r="BM165" i="27" s="1"/>
  <c r="BI166" i="27" s="1"/>
  <c r="I164" i="27"/>
  <c r="AM167" i="27"/>
  <c r="AN167" i="27" s="1"/>
  <c r="AO167" i="27" s="1"/>
  <c r="AK168" i="27" s="1"/>
  <c r="AV176" i="27"/>
  <c r="AW176" i="27" s="1"/>
  <c r="AS177" i="27" s="1"/>
  <c r="AT177" i="27" s="1"/>
  <c r="C234" i="27"/>
  <c r="A233" i="27"/>
  <c r="BC172" i="27"/>
  <c r="BB172" i="27"/>
  <c r="N170" i="27" l="1"/>
  <c r="BJ166" i="27"/>
  <c r="BK166" i="27"/>
  <c r="AU177" i="27"/>
  <c r="AV177" i="27" s="1"/>
  <c r="AW177" i="27" s="1"/>
  <c r="AS178" i="27" s="1"/>
  <c r="W169" i="27"/>
  <c r="X169" i="27" s="1"/>
  <c r="Y169" i="27" s="1"/>
  <c r="U170" i="27" s="1"/>
  <c r="A234" i="27"/>
  <c r="C235" i="27"/>
  <c r="P170" i="27"/>
  <c r="Q170" i="27" s="1"/>
  <c r="M171" i="27" s="1"/>
  <c r="N171" i="27" s="1"/>
  <c r="AL168" i="27"/>
  <c r="AM168" i="27"/>
  <c r="AE173" i="27"/>
  <c r="AD173" i="27"/>
  <c r="I165" i="27"/>
  <c r="F165" i="27"/>
  <c r="E165" i="27"/>
  <c r="BD172" i="27"/>
  <c r="BE172" i="27" s="1"/>
  <c r="BA173" i="27" s="1"/>
  <c r="G165" i="27" l="1"/>
  <c r="H165" i="27" s="1"/>
  <c r="D166" i="27" s="1"/>
  <c r="E166" i="27" s="1"/>
  <c r="BL166" i="27"/>
  <c r="BM166" i="27" s="1"/>
  <c r="BI167" i="27" s="1"/>
  <c r="O171" i="27"/>
  <c r="AF173" i="27"/>
  <c r="AG173" i="27" s="1"/>
  <c r="AC174" i="27" s="1"/>
  <c r="AE174" i="27" s="1"/>
  <c r="AN168" i="27"/>
  <c r="AO168" i="27" s="1"/>
  <c r="AK169" i="27" s="1"/>
  <c r="AM169" i="27" s="1"/>
  <c r="C236" i="27"/>
  <c r="A235" i="27"/>
  <c r="I166" i="27"/>
  <c r="F166" i="27"/>
  <c r="V170" i="27"/>
  <c r="W170" i="27"/>
  <c r="AT178" i="27"/>
  <c r="AU178" i="27"/>
  <c r="BB173" i="27"/>
  <c r="BC173" i="27"/>
  <c r="P171" i="27"/>
  <c r="Q171" i="27" s="1"/>
  <c r="M172" i="27" s="1"/>
  <c r="BK167" i="27" l="1"/>
  <c r="BJ167" i="27"/>
  <c r="AD174" i="27"/>
  <c r="AF174" i="27" s="1"/>
  <c r="AG174" i="27" s="1"/>
  <c r="AC175" i="27" s="1"/>
  <c r="AD175" i="27" s="1"/>
  <c r="AL169" i="27"/>
  <c r="AN169" i="27" s="1"/>
  <c r="AO169" i="27" s="1"/>
  <c r="AK170" i="27" s="1"/>
  <c r="AV178" i="27"/>
  <c r="AW178" i="27" s="1"/>
  <c r="AS179" i="27" s="1"/>
  <c r="AT179" i="27" s="1"/>
  <c r="X170" i="27"/>
  <c r="Y170" i="27" s="1"/>
  <c r="U171" i="27" s="1"/>
  <c r="V171" i="27" s="1"/>
  <c r="BD173" i="27"/>
  <c r="BE173" i="27" s="1"/>
  <c r="BA174" i="27" s="1"/>
  <c r="BC174" i="27" s="1"/>
  <c r="C237" i="27"/>
  <c r="A236" i="27"/>
  <c r="N172" i="27"/>
  <c r="O172" i="27"/>
  <c r="G166" i="27"/>
  <c r="H166" i="27" s="1"/>
  <c r="D167" i="27" s="1"/>
  <c r="BL167" i="27" l="1"/>
  <c r="BM167" i="27" s="1"/>
  <c r="BI168" i="27" s="1"/>
  <c r="BK168" i="27" s="1"/>
  <c r="AU179" i="27"/>
  <c r="AV179" i="27" s="1"/>
  <c r="AW179" i="27" s="1"/>
  <c r="AS180" i="27" s="1"/>
  <c r="AU180" i="27" s="1"/>
  <c r="AE175" i="27"/>
  <c r="AF175" i="27" s="1"/>
  <c r="AG175" i="27" s="1"/>
  <c r="AC176" i="27" s="1"/>
  <c r="W171" i="27"/>
  <c r="X171" i="27" s="1"/>
  <c r="Y171" i="27" s="1"/>
  <c r="U172" i="27" s="1"/>
  <c r="BB174" i="27"/>
  <c r="BD174" i="27" s="1"/>
  <c r="BE174" i="27" s="1"/>
  <c r="BA175" i="27" s="1"/>
  <c r="A237" i="27"/>
  <c r="C238" i="27"/>
  <c r="F167" i="27"/>
  <c r="I167" i="27"/>
  <c r="E167" i="27"/>
  <c r="AL170" i="27"/>
  <c r="AM170" i="27"/>
  <c r="P172" i="27"/>
  <c r="Q172" i="27" s="1"/>
  <c r="M173" i="27" s="1"/>
  <c r="BJ168" i="27" l="1"/>
  <c r="BL168" i="27" s="1"/>
  <c r="BM168" i="27" s="1"/>
  <c r="BI169" i="27" s="1"/>
  <c r="AT180" i="27"/>
  <c r="AV180" i="27" s="1"/>
  <c r="AW180" i="27" s="1"/>
  <c r="AS181" i="27" s="1"/>
  <c r="AT181" i="27" s="1"/>
  <c r="AN170" i="27"/>
  <c r="AO170" i="27" s="1"/>
  <c r="AK171" i="27" s="1"/>
  <c r="AM171" i="27" s="1"/>
  <c r="C239" i="27"/>
  <c r="A238" i="27"/>
  <c r="BB175" i="27"/>
  <c r="BC175" i="27"/>
  <c r="O173" i="27"/>
  <c r="N173" i="27"/>
  <c r="AE176" i="27"/>
  <c r="AD176" i="27"/>
  <c r="W172" i="27"/>
  <c r="V172" i="27"/>
  <c r="G167" i="27"/>
  <c r="H167" i="27" s="1"/>
  <c r="D168" i="27" s="1"/>
  <c r="AL171" i="27" l="1"/>
  <c r="AN171" i="27" s="1"/>
  <c r="AO171" i="27" s="1"/>
  <c r="AK172" i="27" s="1"/>
  <c r="AF176" i="27"/>
  <c r="AG176" i="27" s="1"/>
  <c r="AC177" i="27" s="1"/>
  <c r="AE177" i="27" s="1"/>
  <c r="BK169" i="27"/>
  <c r="BJ169" i="27"/>
  <c r="AU181" i="27"/>
  <c r="AV181" i="27" s="1"/>
  <c r="AW181" i="27" s="1"/>
  <c r="AS182" i="27" s="1"/>
  <c r="AU182" i="27" s="1"/>
  <c r="X172" i="27"/>
  <c r="Y172" i="27" s="1"/>
  <c r="U173" i="27" s="1"/>
  <c r="W173" i="27" s="1"/>
  <c r="C240" i="27"/>
  <c r="A239" i="27"/>
  <c r="BD175" i="27"/>
  <c r="BE175" i="27" s="1"/>
  <c r="BA176" i="27" s="1"/>
  <c r="F168" i="27"/>
  <c r="I168" i="27"/>
  <c r="E168" i="27"/>
  <c r="G168" i="27" s="1"/>
  <c r="H168" i="27" s="1"/>
  <c r="D169" i="27" s="1"/>
  <c r="P173" i="27"/>
  <c r="Q173" i="27" s="1"/>
  <c r="M174" i="27" s="1"/>
  <c r="BL169" i="27" l="1"/>
  <c r="BM169" i="27" s="1"/>
  <c r="BI170" i="27" s="1"/>
  <c r="BK170" i="27" s="1"/>
  <c r="AD177" i="27"/>
  <c r="BJ170" i="27"/>
  <c r="BL170" i="27" s="1"/>
  <c r="BM170" i="27" s="1"/>
  <c r="BI171" i="27" s="1"/>
  <c r="AF177" i="27"/>
  <c r="AG177" i="27" s="1"/>
  <c r="AC178" i="27" s="1"/>
  <c r="AE178" i="27" s="1"/>
  <c r="AT182" i="27"/>
  <c r="AV182" i="27" s="1"/>
  <c r="AW182" i="27" s="1"/>
  <c r="AS183" i="27" s="1"/>
  <c r="V173" i="27"/>
  <c r="X173" i="27" s="1"/>
  <c r="Y173" i="27" s="1"/>
  <c r="U174" i="27" s="1"/>
  <c r="A240" i="27"/>
  <c r="C241" i="27"/>
  <c r="F169" i="27"/>
  <c r="E169" i="27"/>
  <c r="I169" i="27"/>
  <c r="N174" i="27"/>
  <c r="O174" i="27"/>
  <c r="BC176" i="27"/>
  <c r="BB176" i="27"/>
  <c r="AM172" i="27"/>
  <c r="AL172" i="27"/>
  <c r="AD178" i="27" l="1"/>
  <c r="BK171" i="27"/>
  <c r="BJ171" i="27"/>
  <c r="BL171" i="27" s="1"/>
  <c r="BM171" i="27" s="1"/>
  <c r="BI172" i="27" s="1"/>
  <c r="BD176" i="27"/>
  <c r="BE176" i="27" s="1"/>
  <c r="BA177" i="27" s="1"/>
  <c r="BC177" i="27" s="1"/>
  <c r="G169" i="27"/>
  <c r="H169" i="27" s="1"/>
  <c r="D170" i="27" s="1"/>
  <c r="E170" i="27" s="1"/>
  <c r="AN172" i="27"/>
  <c r="AO172" i="27" s="1"/>
  <c r="AK173" i="27" s="1"/>
  <c r="AM173" i="27" s="1"/>
  <c r="A241" i="27"/>
  <c r="C242" i="27"/>
  <c r="P174" i="27"/>
  <c r="Q174" i="27" s="1"/>
  <c r="M175" i="27" s="1"/>
  <c r="AT183" i="27"/>
  <c r="AU183" i="27"/>
  <c r="V174" i="27"/>
  <c r="W174" i="27"/>
  <c r="AF178" i="27"/>
  <c r="AG178" i="27" s="1"/>
  <c r="AC179" i="27" s="1"/>
  <c r="BB177" i="27" l="1"/>
  <c r="BD177" i="27" s="1"/>
  <c r="BE177" i="27" s="1"/>
  <c r="BA178" i="27" s="1"/>
  <c r="BB178" i="27" s="1"/>
  <c r="AL173" i="27"/>
  <c r="AN173" i="27" s="1"/>
  <c r="AO173" i="27" s="1"/>
  <c r="AK174" i="27" s="1"/>
  <c r="AM174" i="27" s="1"/>
  <c r="BJ172" i="27"/>
  <c r="BK172" i="27"/>
  <c r="I170" i="27"/>
  <c r="F170" i="27"/>
  <c r="G170" i="27" s="1"/>
  <c r="H170" i="27" s="1"/>
  <c r="D171" i="27" s="1"/>
  <c r="A242" i="27"/>
  <c r="C243" i="27"/>
  <c r="AD179" i="27"/>
  <c r="AE179" i="27"/>
  <c r="O175" i="27"/>
  <c r="N175" i="27"/>
  <c r="X174" i="27"/>
  <c r="Y174" i="27" s="1"/>
  <c r="U175" i="27" s="1"/>
  <c r="AV183" i="27"/>
  <c r="AW183" i="27" s="1"/>
  <c r="AS184" i="27" s="1"/>
  <c r="AL174" i="27" l="1"/>
  <c r="AN174" i="27" s="1"/>
  <c r="AO174" i="27" s="1"/>
  <c r="AK175" i="27" s="1"/>
  <c r="BC178" i="27"/>
  <c r="P175" i="27"/>
  <c r="Q175" i="27" s="1"/>
  <c r="M176" i="27" s="1"/>
  <c r="N176" i="27" s="1"/>
  <c r="BD178" i="27"/>
  <c r="BE178" i="27" s="1"/>
  <c r="BA179" i="27" s="1"/>
  <c r="BB179" i="27" s="1"/>
  <c r="AF179" i="27"/>
  <c r="AG179" i="27" s="1"/>
  <c r="AC180" i="27" s="1"/>
  <c r="AE180" i="27" s="1"/>
  <c r="BL172" i="27"/>
  <c r="BM172" i="27" s="1"/>
  <c r="BI173" i="27" s="1"/>
  <c r="C244" i="27"/>
  <c r="A243" i="27"/>
  <c r="F171" i="27"/>
  <c r="E171" i="27"/>
  <c r="I171" i="27"/>
  <c r="AU184" i="27"/>
  <c r="AT184" i="27"/>
  <c r="W175" i="27"/>
  <c r="V175" i="27"/>
  <c r="G171" i="27" l="1"/>
  <c r="H171" i="27" s="1"/>
  <c r="D172" i="27" s="1"/>
  <c r="F172" i="27" s="1"/>
  <c r="O176" i="27"/>
  <c r="AD180" i="27"/>
  <c r="AF180" i="27" s="1"/>
  <c r="AG180" i="27" s="1"/>
  <c r="AC181" i="27" s="1"/>
  <c r="BC179" i="27"/>
  <c r="BD179" i="27" s="1"/>
  <c r="BE179" i="27" s="1"/>
  <c r="BA180" i="27" s="1"/>
  <c r="BB180" i="27" s="1"/>
  <c r="BJ173" i="27"/>
  <c r="BK173" i="27"/>
  <c r="X175" i="27"/>
  <c r="Y175" i="27" s="1"/>
  <c r="U176" i="27" s="1"/>
  <c r="V176" i="27" s="1"/>
  <c r="AV184" i="27"/>
  <c r="AW184" i="27" s="1"/>
  <c r="AS185" i="27" s="1"/>
  <c r="AT185" i="27" s="1"/>
  <c r="A244" i="27"/>
  <c r="C245" i="27"/>
  <c r="P176" i="27"/>
  <c r="Q176" i="27" s="1"/>
  <c r="M177" i="27" s="1"/>
  <c r="O177" i="27" s="1"/>
  <c r="AL175" i="27"/>
  <c r="AM175" i="27"/>
  <c r="E172" i="27" l="1"/>
  <c r="G172" i="27" s="1"/>
  <c r="H172" i="27" s="1"/>
  <c r="D173" i="27" s="1"/>
  <c r="F173" i="27" s="1"/>
  <c r="I172" i="27"/>
  <c r="AU185" i="27"/>
  <c r="W176" i="27"/>
  <c r="X176" i="27" s="1"/>
  <c r="Y176" i="27" s="1"/>
  <c r="U177" i="27" s="1"/>
  <c r="W177" i="27" s="1"/>
  <c r="BL173" i="27"/>
  <c r="BM173" i="27" s="1"/>
  <c r="BI174" i="27" s="1"/>
  <c r="BC180" i="27"/>
  <c r="BD180" i="27" s="1"/>
  <c r="BE180" i="27" s="1"/>
  <c r="BA181" i="27" s="1"/>
  <c r="AV185" i="27"/>
  <c r="AW185" i="27" s="1"/>
  <c r="AS186" i="27" s="1"/>
  <c r="AU186" i="27" s="1"/>
  <c r="A245" i="27"/>
  <c r="C246" i="27"/>
  <c r="N177" i="27"/>
  <c r="P177" i="27" s="1"/>
  <c r="Q177" i="27" s="1"/>
  <c r="M178" i="27" s="1"/>
  <c r="AN175" i="27"/>
  <c r="AO175" i="27" s="1"/>
  <c r="AK176" i="27" s="1"/>
  <c r="AD181" i="27"/>
  <c r="AE181" i="27"/>
  <c r="V177" i="27" l="1"/>
  <c r="X177" i="27" s="1"/>
  <c r="Y177" i="27" s="1"/>
  <c r="U178" i="27" s="1"/>
  <c r="BK174" i="27"/>
  <c r="BJ174" i="27"/>
  <c r="BL174" i="27" s="1"/>
  <c r="BM174" i="27" s="1"/>
  <c r="BI175" i="27" s="1"/>
  <c r="AT186" i="27"/>
  <c r="AV186" i="27" s="1"/>
  <c r="AW186" i="27" s="1"/>
  <c r="AS187" i="27" s="1"/>
  <c r="AT187" i="27" s="1"/>
  <c r="E173" i="27"/>
  <c r="G173" i="27" s="1"/>
  <c r="H173" i="27" s="1"/>
  <c r="D174" i="27" s="1"/>
  <c r="F174" i="27" s="1"/>
  <c r="A246" i="27"/>
  <c r="C247" i="27"/>
  <c r="I173" i="27"/>
  <c r="AF181" i="27"/>
  <c r="AG181" i="27" s="1"/>
  <c r="AC182" i="27" s="1"/>
  <c r="AD182" i="27" s="1"/>
  <c r="AL176" i="27"/>
  <c r="AM176" i="27"/>
  <c r="N178" i="27"/>
  <c r="O178" i="27"/>
  <c r="BC181" i="27"/>
  <c r="BB181" i="27"/>
  <c r="AU187" i="27" l="1"/>
  <c r="AV187" i="27" s="1"/>
  <c r="AW187" i="27" s="1"/>
  <c r="AS188" i="27" s="1"/>
  <c r="AT188" i="27" s="1"/>
  <c r="BJ175" i="27"/>
  <c r="BK175" i="27"/>
  <c r="I174" i="27"/>
  <c r="BD181" i="27"/>
  <c r="BE181" i="27" s="1"/>
  <c r="BA182" i="27" s="1"/>
  <c r="BC182" i="27" s="1"/>
  <c r="AE182" i="27"/>
  <c r="AF182" i="27" s="1"/>
  <c r="AG182" i="27" s="1"/>
  <c r="AC183" i="27" s="1"/>
  <c r="E174" i="27"/>
  <c r="G174" i="27" s="1"/>
  <c r="H174" i="27" s="1"/>
  <c r="D175" i="27" s="1"/>
  <c r="F175" i="27" s="1"/>
  <c r="C248" i="27"/>
  <c r="A247" i="27"/>
  <c r="W178" i="27"/>
  <c r="V178" i="27"/>
  <c r="AN176" i="27"/>
  <c r="AO176" i="27" s="1"/>
  <c r="AK177" i="27" s="1"/>
  <c r="P178" i="27"/>
  <c r="Q178" i="27" s="1"/>
  <c r="M179" i="27" s="1"/>
  <c r="X178" i="27" l="1"/>
  <c r="Y178" i="27" s="1"/>
  <c r="U179" i="27" s="1"/>
  <c r="W179" i="27" s="1"/>
  <c r="BB182" i="27"/>
  <c r="BD182" i="27" s="1"/>
  <c r="BE182" i="27" s="1"/>
  <c r="BA183" i="27" s="1"/>
  <c r="BL175" i="27"/>
  <c r="BM175" i="27" s="1"/>
  <c r="BI176" i="27" s="1"/>
  <c r="AU188" i="27"/>
  <c r="AV188" i="27" s="1"/>
  <c r="AW188" i="27" s="1"/>
  <c r="AS189" i="27" s="1"/>
  <c r="I175" i="27"/>
  <c r="E175" i="27"/>
  <c r="G175" i="27" s="1"/>
  <c r="H175" i="27" s="1"/>
  <c r="D176" i="27" s="1"/>
  <c r="A248" i="27"/>
  <c r="C249" i="27"/>
  <c r="AM177" i="27"/>
  <c r="AL177" i="27"/>
  <c r="O179" i="27"/>
  <c r="N179" i="27"/>
  <c r="AD183" i="27"/>
  <c r="AE183" i="27"/>
  <c r="V179" i="27" l="1"/>
  <c r="X179" i="27" s="1"/>
  <c r="Y179" i="27" s="1"/>
  <c r="U180" i="27" s="1"/>
  <c r="W180" i="27" s="1"/>
  <c r="AN177" i="27"/>
  <c r="AO177" i="27" s="1"/>
  <c r="AK178" i="27" s="1"/>
  <c r="AM178" i="27" s="1"/>
  <c r="BJ176" i="27"/>
  <c r="BK176" i="27"/>
  <c r="AU189" i="27"/>
  <c r="AT189" i="27"/>
  <c r="E176" i="27"/>
  <c r="F176" i="27"/>
  <c r="I176" i="27"/>
  <c r="A249" i="27"/>
  <c r="C250" i="27"/>
  <c r="P179" i="27"/>
  <c r="Q179" i="27" s="1"/>
  <c r="M180" i="27" s="1"/>
  <c r="N180" i="27" s="1"/>
  <c r="AF183" i="27"/>
  <c r="AG183" i="27" s="1"/>
  <c r="AC184" i="27" s="1"/>
  <c r="BC183" i="27"/>
  <c r="BB183" i="27"/>
  <c r="AL178" i="27" l="1"/>
  <c r="AN178" i="27" s="1"/>
  <c r="AO178" i="27" s="1"/>
  <c r="AK179" i="27" s="1"/>
  <c r="AM179" i="27" s="1"/>
  <c r="BD183" i="27"/>
  <c r="BE183" i="27" s="1"/>
  <c r="BA184" i="27" s="1"/>
  <c r="BC184" i="27" s="1"/>
  <c r="AV189" i="27"/>
  <c r="AW189" i="27" s="1"/>
  <c r="AS190" i="27" s="1"/>
  <c r="AU190" i="27" s="1"/>
  <c r="BL176" i="27"/>
  <c r="BM176" i="27" s="1"/>
  <c r="BI177" i="27" s="1"/>
  <c r="V180" i="27"/>
  <c r="X180" i="27" s="1"/>
  <c r="Y180" i="27" s="1"/>
  <c r="U181" i="27" s="1"/>
  <c r="W181" i="27" s="1"/>
  <c r="G176" i="27"/>
  <c r="H176" i="27" s="1"/>
  <c r="D177" i="27" s="1"/>
  <c r="O180" i="27"/>
  <c r="P180" i="27" s="1"/>
  <c r="Q180" i="27" s="1"/>
  <c r="M181" i="27" s="1"/>
  <c r="O181" i="27" s="1"/>
  <c r="A250" i="27"/>
  <c r="C251" i="27"/>
  <c r="BB184" i="27"/>
  <c r="AE184" i="27"/>
  <c r="AD184" i="27"/>
  <c r="AT190" i="27" l="1"/>
  <c r="AV190" i="27" s="1"/>
  <c r="AW190" i="27" s="1"/>
  <c r="AS191" i="27" s="1"/>
  <c r="AT191" i="27" s="1"/>
  <c r="BK177" i="27"/>
  <c r="BJ177" i="27"/>
  <c r="BL177" i="27" s="1"/>
  <c r="BM177" i="27" s="1"/>
  <c r="BI178" i="27" s="1"/>
  <c r="AF184" i="27"/>
  <c r="AG184" i="27" s="1"/>
  <c r="AC185" i="27" s="1"/>
  <c r="AD185" i="27" s="1"/>
  <c r="AL179" i="27"/>
  <c r="AN179" i="27" s="1"/>
  <c r="AO179" i="27" s="1"/>
  <c r="AK180" i="27" s="1"/>
  <c r="N181" i="27"/>
  <c r="P181" i="27" s="1"/>
  <c r="Q181" i="27" s="1"/>
  <c r="M182" i="27" s="1"/>
  <c r="E177" i="27"/>
  <c r="I177" i="27"/>
  <c r="F177" i="27"/>
  <c r="BD184" i="27"/>
  <c r="BE184" i="27" s="1"/>
  <c r="BA185" i="27" s="1"/>
  <c r="BC185" i="27" s="1"/>
  <c r="C252" i="27"/>
  <c r="A251" i="27"/>
  <c r="V181" i="27"/>
  <c r="X181" i="27" s="1"/>
  <c r="Y181" i="27" s="1"/>
  <c r="U182" i="27" s="1"/>
  <c r="AU191" i="27" l="1"/>
  <c r="AV191" i="27" s="1"/>
  <c r="AW191" i="27" s="1"/>
  <c r="AS192" i="27" s="1"/>
  <c r="AU192" i="27" s="1"/>
  <c r="AE185" i="27"/>
  <c r="AF185" i="27" s="1"/>
  <c r="AG185" i="27" s="1"/>
  <c r="AC186" i="27" s="1"/>
  <c r="AE186" i="27" s="1"/>
  <c r="BJ178" i="27"/>
  <c r="BK178" i="27"/>
  <c r="G177" i="27"/>
  <c r="H177" i="27" s="1"/>
  <c r="D178" i="27" s="1"/>
  <c r="BB185" i="27"/>
  <c r="BD185" i="27" s="1"/>
  <c r="BE185" i="27" s="1"/>
  <c r="BA186" i="27" s="1"/>
  <c r="BC186" i="27" s="1"/>
  <c r="A252" i="27"/>
  <c r="C253" i="27"/>
  <c r="O182" i="27"/>
  <c r="N182" i="27"/>
  <c r="W182" i="27"/>
  <c r="V182" i="27"/>
  <c r="AL180" i="27"/>
  <c r="AM180" i="27"/>
  <c r="AT192" i="27" l="1"/>
  <c r="AV192" i="27" s="1"/>
  <c r="AW192" i="27" s="1"/>
  <c r="AS193" i="27" s="1"/>
  <c r="AU193" i="27" s="1"/>
  <c r="BL178" i="27"/>
  <c r="BM178" i="27" s="1"/>
  <c r="BI179" i="27" s="1"/>
  <c r="BB186" i="27"/>
  <c r="BD186" i="27" s="1"/>
  <c r="BE186" i="27" s="1"/>
  <c r="BA187" i="27" s="1"/>
  <c r="BB187" i="27" s="1"/>
  <c r="F178" i="27"/>
  <c r="I178" i="27"/>
  <c r="E178" i="27"/>
  <c r="AD186" i="27"/>
  <c r="AF186" i="27" s="1"/>
  <c r="AG186" i="27" s="1"/>
  <c r="AC187" i="27" s="1"/>
  <c r="AD187" i="27" s="1"/>
  <c r="C254" i="27"/>
  <c r="A253" i="27"/>
  <c r="X182" i="27"/>
  <c r="Y182" i="27" s="1"/>
  <c r="U183" i="27" s="1"/>
  <c r="P182" i="27"/>
  <c r="Q182" i="27" s="1"/>
  <c r="M183" i="27" s="1"/>
  <c r="AN180" i="27"/>
  <c r="AO180" i="27" s="1"/>
  <c r="AK181" i="27" s="1"/>
  <c r="AT193" i="27" l="1"/>
  <c r="AV193" i="27" s="1"/>
  <c r="AW193" i="27" s="1"/>
  <c r="AS194" i="27" s="1"/>
  <c r="AU194" i="27" s="1"/>
  <c r="G178" i="27"/>
  <c r="H178" i="27" s="1"/>
  <c r="D179" i="27" s="1"/>
  <c r="E179" i="27" s="1"/>
  <c r="BC187" i="27"/>
  <c r="BD187" i="27" s="1"/>
  <c r="BE187" i="27" s="1"/>
  <c r="BA188" i="27" s="1"/>
  <c r="BJ179" i="27"/>
  <c r="BK179" i="27"/>
  <c r="F179" i="27"/>
  <c r="AE187" i="27"/>
  <c r="AF187" i="27" s="1"/>
  <c r="AG187" i="27" s="1"/>
  <c r="AC188" i="27" s="1"/>
  <c r="A254" i="27"/>
  <c r="C255" i="27"/>
  <c r="O183" i="27"/>
  <c r="N183" i="27"/>
  <c r="AL181" i="27"/>
  <c r="AM181" i="27"/>
  <c r="V183" i="27"/>
  <c r="W183" i="27"/>
  <c r="I179" i="27" l="1"/>
  <c r="P183" i="27"/>
  <c r="Q183" i="27" s="1"/>
  <c r="M184" i="27" s="1"/>
  <c r="AT194" i="27"/>
  <c r="AV194" i="27" s="1"/>
  <c r="AW194" i="27" s="1"/>
  <c r="AS195" i="27" s="1"/>
  <c r="AT195" i="27" s="1"/>
  <c r="BC188" i="27"/>
  <c r="BB188" i="27"/>
  <c r="BL179" i="27"/>
  <c r="BM179" i="27" s="1"/>
  <c r="BI180" i="27" s="1"/>
  <c r="G179" i="27"/>
  <c r="H179" i="27" s="1"/>
  <c r="D180" i="27" s="1"/>
  <c r="AD188" i="27"/>
  <c r="AE188" i="27"/>
  <c r="C256" i="27"/>
  <c r="A255" i="27"/>
  <c r="O184" i="27"/>
  <c r="N184" i="27"/>
  <c r="X183" i="27"/>
  <c r="Y183" i="27" s="1"/>
  <c r="U184" i="27" s="1"/>
  <c r="AN181" i="27"/>
  <c r="AO181" i="27" s="1"/>
  <c r="AK182" i="27" s="1"/>
  <c r="BD188" i="27" l="1"/>
  <c r="BE188" i="27" s="1"/>
  <c r="BA189" i="27" s="1"/>
  <c r="AU195" i="27"/>
  <c r="AV195" i="27" s="1"/>
  <c r="AW195" i="27" s="1"/>
  <c r="AS196" i="27" s="1"/>
  <c r="AU196" i="27" s="1"/>
  <c r="BK180" i="27"/>
  <c r="BJ180" i="27"/>
  <c r="BL180" i="27" s="1"/>
  <c r="BM180" i="27" s="1"/>
  <c r="BI181" i="27" s="1"/>
  <c r="AF188" i="27"/>
  <c r="AG188" i="27" s="1"/>
  <c r="AC189" i="27" s="1"/>
  <c r="AE189" i="27" s="1"/>
  <c r="P184" i="27"/>
  <c r="Q184" i="27" s="1"/>
  <c r="M185" i="27" s="1"/>
  <c r="O185" i="27" s="1"/>
  <c r="AT196" i="27"/>
  <c r="F180" i="27"/>
  <c r="I180" i="27"/>
  <c r="E180" i="27"/>
  <c r="A256" i="27"/>
  <c r="C257" i="27"/>
  <c r="BB189" i="27"/>
  <c r="BC189" i="27"/>
  <c r="W184" i="27"/>
  <c r="V184" i="27"/>
  <c r="AL182" i="27"/>
  <c r="AM182" i="27"/>
  <c r="AV196" i="27" l="1"/>
  <c r="AW196" i="27" s="1"/>
  <c r="AS197" i="27" s="1"/>
  <c r="AT197" i="27" s="1"/>
  <c r="N185" i="27"/>
  <c r="AD189" i="27"/>
  <c r="AF189" i="27" s="1"/>
  <c r="AG189" i="27" s="1"/>
  <c r="AC190" i="27" s="1"/>
  <c r="AD190" i="27" s="1"/>
  <c r="G180" i="27"/>
  <c r="H180" i="27" s="1"/>
  <c r="D181" i="27" s="1"/>
  <c r="E181" i="27" s="1"/>
  <c r="BK181" i="27"/>
  <c r="BJ181" i="27"/>
  <c r="X184" i="27"/>
  <c r="Y184" i="27" s="1"/>
  <c r="U185" i="27" s="1"/>
  <c r="W185" i="27" s="1"/>
  <c r="P185" i="27"/>
  <c r="Q185" i="27" s="1"/>
  <c r="M186" i="27" s="1"/>
  <c r="N186" i="27" s="1"/>
  <c r="A257" i="27"/>
  <c r="C258" i="27"/>
  <c r="BD189" i="27"/>
  <c r="BE189" i="27" s="1"/>
  <c r="BA190" i="27" s="1"/>
  <c r="BC190" i="27" s="1"/>
  <c r="AN182" i="27"/>
  <c r="AO182" i="27" s="1"/>
  <c r="AK183" i="27" s="1"/>
  <c r="BL181" i="27" l="1"/>
  <c r="BM181" i="27" s="1"/>
  <c r="BI182" i="27" s="1"/>
  <c r="AU197" i="27"/>
  <c r="AV197" i="27" s="1"/>
  <c r="AW197" i="27" s="1"/>
  <c r="AS198" i="27" s="1"/>
  <c r="I181" i="27"/>
  <c r="F181" i="27"/>
  <c r="G181" i="27" s="1"/>
  <c r="H181" i="27" s="1"/>
  <c r="D182" i="27" s="1"/>
  <c r="V185" i="27"/>
  <c r="X185" i="27" s="1"/>
  <c r="Y185" i="27" s="1"/>
  <c r="U186" i="27" s="1"/>
  <c r="W186" i="27" s="1"/>
  <c r="AE190" i="27"/>
  <c r="AF190" i="27" s="1"/>
  <c r="AG190" i="27" s="1"/>
  <c r="AC191" i="27" s="1"/>
  <c r="AD191" i="27" s="1"/>
  <c r="BK182" i="27"/>
  <c r="BJ182" i="27"/>
  <c r="BL182" i="27" s="1"/>
  <c r="BM182" i="27" s="1"/>
  <c r="BI183" i="27" s="1"/>
  <c r="O186" i="27"/>
  <c r="P186" i="27" s="1"/>
  <c r="Q186" i="27" s="1"/>
  <c r="M187" i="27" s="1"/>
  <c r="C259" i="27"/>
  <c r="A258" i="27"/>
  <c r="BB190" i="27"/>
  <c r="BD190" i="27" s="1"/>
  <c r="BE190" i="27" s="1"/>
  <c r="BA191" i="27" s="1"/>
  <c r="AL183" i="27"/>
  <c r="AM183" i="27"/>
  <c r="AU198" i="27" l="1"/>
  <c r="AT198" i="27"/>
  <c r="V186" i="27"/>
  <c r="X186" i="27" s="1"/>
  <c r="Y186" i="27" s="1"/>
  <c r="U187" i="27" s="1"/>
  <c r="V187" i="27" s="1"/>
  <c r="AE191" i="27"/>
  <c r="AF191" i="27" s="1"/>
  <c r="AG191" i="27" s="1"/>
  <c r="AC192" i="27" s="1"/>
  <c r="AE192" i="27" s="1"/>
  <c r="BK183" i="27"/>
  <c r="BJ183" i="27"/>
  <c r="O187" i="27"/>
  <c r="N187" i="27"/>
  <c r="P187" i="27" s="1"/>
  <c r="Q187" i="27" s="1"/>
  <c r="M188" i="27" s="1"/>
  <c r="F182" i="27"/>
  <c r="E182" i="27"/>
  <c r="G182" i="27" s="1"/>
  <c r="H182" i="27" s="1"/>
  <c r="D183" i="27" s="1"/>
  <c r="I182" i="27"/>
  <c r="A259" i="27"/>
  <c r="C260" i="27"/>
  <c r="BB191" i="27"/>
  <c r="BC191" i="27"/>
  <c r="AN183" i="27"/>
  <c r="AO183" i="27" s="1"/>
  <c r="AK184" i="27" s="1"/>
  <c r="AV198" i="27" l="1"/>
  <c r="AW198" i="27" s="1"/>
  <c r="AS199" i="27" s="1"/>
  <c r="AD192" i="27"/>
  <c r="AF192" i="27" s="1"/>
  <c r="AG192" i="27" s="1"/>
  <c r="AC193" i="27" s="1"/>
  <c r="AD193" i="27" s="1"/>
  <c r="BL183" i="27"/>
  <c r="BM183" i="27" s="1"/>
  <c r="BI184" i="27" s="1"/>
  <c r="BK184" i="27" s="1"/>
  <c r="N188" i="27"/>
  <c r="O188" i="27"/>
  <c r="W187" i="27"/>
  <c r="X187" i="27" s="1"/>
  <c r="Y187" i="27" s="1"/>
  <c r="U188" i="27" s="1"/>
  <c r="E183" i="27"/>
  <c r="F183" i="27"/>
  <c r="I183" i="27"/>
  <c r="C261" i="27"/>
  <c r="A260" i="27"/>
  <c r="BD191" i="27"/>
  <c r="BE191" i="27" s="1"/>
  <c r="BA192" i="27" s="1"/>
  <c r="AM184" i="27"/>
  <c r="AL184" i="27"/>
  <c r="BJ184" i="27" l="1"/>
  <c r="AU199" i="27"/>
  <c r="AT199" i="27"/>
  <c r="BL184" i="27"/>
  <c r="BM184" i="27" s="1"/>
  <c r="BI185" i="27" s="1"/>
  <c r="BK185" i="27" s="1"/>
  <c r="AE193" i="27"/>
  <c r="AF193" i="27" s="1"/>
  <c r="AG193" i="27" s="1"/>
  <c r="AC194" i="27" s="1"/>
  <c r="AD194" i="27" s="1"/>
  <c r="AN184" i="27"/>
  <c r="AO184" i="27" s="1"/>
  <c r="AK185" i="27" s="1"/>
  <c r="AL185" i="27" s="1"/>
  <c r="BJ185" i="27"/>
  <c r="G183" i="27"/>
  <c r="H183" i="27" s="1"/>
  <c r="D184" i="27" s="1"/>
  <c r="P188" i="27"/>
  <c r="Q188" i="27" s="1"/>
  <c r="M189" i="27" s="1"/>
  <c r="C262" i="27"/>
  <c r="A261" i="27"/>
  <c r="BC192" i="27"/>
  <c r="BB192" i="27"/>
  <c r="V188" i="27"/>
  <c r="W188" i="27"/>
  <c r="AV199" i="27" l="1"/>
  <c r="AW199" i="27" s="1"/>
  <c r="AS200" i="27" s="1"/>
  <c r="AE194" i="27"/>
  <c r="AF194" i="27" s="1"/>
  <c r="AG194" i="27" s="1"/>
  <c r="AC195" i="27" s="1"/>
  <c r="AD195" i="27" s="1"/>
  <c r="BD192" i="27"/>
  <c r="BE192" i="27" s="1"/>
  <c r="BA193" i="27" s="1"/>
  <c r="BB193" i="27" s="1"/>
  <c r="AM185" i="27"/>
  <c r="AN185" i="27" s="1"/>
  <c r="AO185" i="27" s="1"/>
  <c r="AK186" i="27" s="1"/>
  <c r="BL185" i="27"/>
  <c r="BM185" i="27" s="1"/>
  <c r="BI186" i="27" s="1"/>
  <c r="BK186" i="27" s="1"/>
  <c r="O189" i="27"/>
  <c r="N189" i="27"/>
  <c r="X188" i="27"/>
  <c r="Y188" i="27" s="1"/>
  <c r="U189" i="27" s="1"/>
  <c r="V189" i="27" s="1"/>
  <c r="F184" i="27"/>
  <c r="I184" i="27"/>
  <c r="E184" i="27"/>
  <c r="C263" i="27"/>
  <c r="A262" i="27"/>
  <c r="BC193" i="27" l="1"/>
  <c r="AU200" i="27"/>
  <c r="AT200" i="27"/>
  <c r="P189" i="27"/>
  <c r="Q189" i="27" s="1"/>
  <c r="M190" i="27" s="1"/>
  <c r="N190" i="27" s="1"/>
  <c r="BJ186" i="27"/>
  <c r="BL186" i="27" s="1"/>
  <c r="BM186" i="27" s="1"/>
  <c r="BI187" i="27" s="1"/>
  <c r="BK187" i="27" s="1"/>
  <c r="G184" i="27"/>
  <c r="H184" i="27" s="1"/>
  <c r="D185" i="27" s="1"/>
  <c r="I185" i="27" s="1"/>
  <c r="W189" i="27"/>
  <c r="X189" i="27" s="1"/>
  <c r="Y189" i="27" s="1"/>
  <c r="U190" i="27" s="1"/>
  <c r="AE195" i="27"/>
  <c r="AF195" i="27" s="1"/>
  <c r="AG195" i="27" s="1"/>
  <c r="AC196" i="27" s="1"/>
  <c r="BD193" i="27"/>
  <c r="BE193" i="27" s="1"/>
  <c r="BA194" i="27" s="1"/>
  <c r="BB194" i="27" s="1"/>
  <c r="A263" i="27"/>
  <c r="C264" i="27"/>
  <c r="AM186" i="27"/>
  <c r="AL186" i="27"/>
  <c r="F185" i="27" l="1"/>
  <c r="E185" i="27"/>
  <c r="G185" i="27" s="1"/>
  <c r="H185" i="27" s="1"/>
  <c r="D186" i="27" s="1"/>
  <c r="F186" i="27" s="1"/>
  <c r="O190" i="27"/>
  <c r="AV200" i="27"/>
  <c r="AW200" i="27" s="1"/>
  <c r="AS201" i="27" s="1"/>
  <c r="AT201" i="27" s="1"/>
  <c r="AN186" i="27"/>
  <c r="AO186" i="27" s="1"/>
  <c r="AK187" i="27" s="1"/>
  <c r="AL187" i="27" s="1"/>
  <c r="BJ187" i="27"/>
  <c r="BL187" i="27" s="1"/>
  <c r="BM187" i="27" s="1"/>
  <c r="BI188" i="27" s="1"/>
  <c r="BK188" i="27" s="1"/>
  <c r="P190" i="27"/>
  <c r="Q190" i="27" s="1"/>
  <c r="M191" i="27" s="1"/>
  <c r="N191" i="27" s="1"/>
  <c r="BC194" i="27"/>
  <c r="BD194" i="27" s="1"/>
  <c r="BE194" i="27" s="1"/>
  <c r="BA195" i="27" s="1"/>
  <c r="C265" i="27"/>
  <c r="A264" i="27"/>
  <c r="W190" i="27"/>
  <c r="V190" i="27"/>
  <c r="AD196" i="27"/>
  <c r="AE196" i="27"/>
  <c r="AM187" i="27" l="1"/>
  <c r="E186" i="27"/>
  <c r="G186" i="27" s="1"/>
  <c r="H186" i="27" s="1"/>
  <c r="D187" i="27" s="1"/>
  <c r="I186" i="27"/>
  <c r="AU201" i="27"/>
  <c r="AV201" i="27" s="1"/>
  <c r="AW201" i="27" s="1"/>
  <c r="AS202" i="27" s="1"/>
  <c r="BJ188" i="27"/>
  <c r="BL188" i="27" s="1"/>
  <c r="BM188" i="27" s="1"/>
  <c r="BI189" i="27" s="1"/>
  <c r="BJ189" i="27" s="1"/>
  <c r="O191" i="27"/>
  <c r="P191" i="27" s="1"/>
  <c r="Q191" i="27" s="1"/>
  <c r="M192" i="27" s="1"/>
  <c r="AF196" i="27"/>
  <c r="AG196" i="27" s="1"/>
  <c r="AC197" i="27" s="1"/>
  <c r="AE197" i="27" s="1"/>
  <c r="X190" i="27"/>
  <c r="Y190" i="27" s="1"/>
  <c r="U191" i="27" s="1"/>
  <c r="W191" i="27" s="1"/>
  <c r="C266" i="27"/>
  <c r="A265" i="27"/>
  <c r="BC195" i="27"/>
  <c r="BB195" i="27"/>
  <c r="AN187" i="27"/>
  <c r="AO187" i="27" s="1"/>
  <c r="AK188" i="27" s="1"/>
  <c r="AU202" i="27" l="1"/>
  <c r="AT202" i="27"/>
  <c r="AV202" i="27" s="1"/>
  <c r="AW202" i="27" s="1"/>
  <c r="AS203" i="27" s="1"/>
  <c r="AT203" i="27" s="1"/>
  <c r="BD195" i="27"/>
  <c r="BE195" i="27" s="1"/>
  <c r="BA196" i="27" s="1"/>
  <c r="BB196" i="27" s="1"/>
  <c r="AD197" i="27"/>
  <c r="AF197" i="27" s="1"/>
  <c r="AG197" i="27" s="1"/>
  <c r="AC198" i="27" s="1"/>
  <c r="BK189" i="27"/>
  <c r="BL189" i="27" s="1"/>
  <c r="BM189" i="27" s="1"/>
  <c r="BI190" i="27" s="1"/>
  <c r="V191" i="27"/>
  <c r="X191" i="27" s="1"/>
  <c r="Y191" i="27" s="1"/>
  <c r="U192" i="27" s="1"/>
  <c r="V192" i="27" s="1"/>
  <c r="O192" i="27"/>
  <c r="N192" i="27"/>
  <c r="F187" i="27"/>
  <c r="E187" i="27"/>
  <c r="I187" i="27"/>
  <c r="C267" i="27"/>
  <c r="A266" i="27"/>
  <c r="AM188" i="27"/>
  <c r="AL188" i="27"/>
  <c r="BC196" i="27" l="1"/>
  <c r="AU203" i="27"/>
  <c r="AV203" i="27" s="1"/>
  <c r="AW203" i="27" s="1"/>
  <c r="AS204" i="27" s="1"/>
  <c r="P192" i="27"/>
  <c r="Q192" i="27" s="1"/>
  <c r="M193" i="27" s="1"/>
  <c r="N193" i="27" s="1"/>
  <c r="G187" i="27"/>
  <c r="H187" i="27" s="1"/>
  <c r="D188" i="27" s="1"/>
  <c r="I188" i="27" s="1"/>
  <c r="BK190" i="27"/>
  <c r="BJ190" i="27"/>
  <c r="BD196" i="27"/>
  <c r="BE196" i="27" s="1"/>
  <c r="BA197" i="27" s="1"/>
  <c r="BB197" i="27" s="1"/>
  <c r="O193" i="27"/>
  <c r="W192" i="27"/>
  <c r="X192" i="27" s="1"/>
  <c r="Y192" i="27" s="1"/>
  <c r="U193" i="27" s="1"/>
  <c r="V193" i="27" s="1"/>
  <c r="C268" i="27"/>
  <c r="A267" i="27"/>
  <c r="AN188" i="27"/>
  <c r="AO188" i="27" s="1"/>
  <c r="AK189" i="27" s="1"/>
  <c r="AE198" i="27"/>
  <c r="AD198" i="27"/>
  <c r="F188" i="27" l="1"/>
  <c r="E188" i="27"/>
  <c r="BL190" i="27"/>
  <c r="BM190" i="27" s="1"/>
  <c r="BI191" i="27" s="1"/>
  <c r="BC197" i="27"/>
  <c r="BD197" i="27" s="1"/>
  <c r="BE197" i="27" s="1"/>
  <c r="BA198" i="27" s="1"/>
  <c r="AF198" i="27"/>
  <c r="AG198" i="27" s="1"/>
  <c r="AC199" i="27" s="1"/>
  <c r="AE199" i="27" s="1"/>
  <c r="BJ191" i="27"/>
  <c r="BK191" i="27"/>
  <c r="P193" i="27"/>
  <c r="Q193" i="27" s="1"/>
  <c r="M194" i="27" s="1"/>
  <c r="W193" i="27"/>
  <c r="X193" i="27" s="1"/>
  <c r="Y193" i="27" s="1"/>
  <c r="U194" i="27" s="1"/>
  <c r="A268" i="27"/>
  <c r="C269" i="27"/>
  <c r="AM189" i="27"/>
  <c r="AL189" i="27"/>
  <c r="AT204" i="27"/>
  <c r="AU204" i="27"/>
  <c r="G188" i="27" l="1"/>
  <c r="H188" i="27" s="1"/>
  <c r="D189" i="27" s="1"/>
  <c r="F189" i="27" s="1"/>
  <c r="AD199" i="27"/>
  <c r="AF199" i="27" s="1"/>
  <c r="AG199" i="27" s="1"/>
  <c r="AC200" i="27" s="1"/>
  <c r="AE200" i="27" s="1"/>
  <c r="BL191" i="27"/>
  <c r="BM191" i="27" s="1"/>
  <c r="BI192" i="27" s="1"/>
  <c r="BK192" i="27" s="1"/>
  <c r="AN189" i="27"/>
  <c r="AO189" i="27" s="1"/>
  <c r="AK190" i="27" s="1"/>
  <c r="AL190" i="27" s="1"/>
  <c r="O194" i="27"/>
  <c r="N194" i="27"/>
  <c r="C270" i="27"/>
  <c r="A269" i="27"/>
  <c r="V194" i="27"/>
  <c r="W194" i="27"/>
  <c r="BB198" i="27"/>
  <c r="BC198" i="27"/>
  <c r="AV204" i="27"/>
  <c r="AW204" i="27" s="1"/>
  <c r="AS205" i="27" s="1"/>
  <c r="E189" i="27" l="1"/>
  <c r="I189" i="27"/>
  <c r="G189" i="27"/>
  <c r="H189" i="27" s="1"/>
  <c r="D190" i="27" s="1"/>
  <c r="F190" i="27" s="1"/>
  <c r="AD200" i="27"/>
  <c r="AF200" i="27" s="1"/>
  <c r="AG200" i="27" s="1"/>
  <c r="AC201" i="27" s="1"/>
  <c r="AD201" i="27" s="1"/>
  <c r="AM190" i="27"/>
  <c r="AN190" i="27" s="1"/>
  <c r="AO190" i="27" s="1"/>
  <c r="AK191" i="27" s="1"/>
  <c r="AL191" i="27" s="1"/>
  <c r="BJ192" i="27"/>
  <c r="BL192" i="27" s="1"/>
  <c r="BM192" i="27" s="1"/>
  <c r="BI193" i="27" s="1"/>
  <c r="P194" i="27"/>
  <c r="Q194" i="27" s="1"/>
  <c r="M195" i="27" s="1"/>
  <c r="N195" i="27" s="1"/>
  <c r="X194" i="27"/>
  <c r="Y194" i="27" s="1"/>
  <c r="U195" i="27" s="1"/>
  <c r="V195" i="27" s="1"/>
  <c r="BD198" i="27"/>
  <c r="BE198" i="27" s="1"/>
  <c r="BA199" i="27" s="1"/>
  <c r="BC199" i="27" s="1"/>
  <c r="I190" i="27"/>
  <c r="C271" i="27"/>
  <c r="A270" i="27"/>
  <c r="AU205" i="27"/>
  <c r="AT205" i="27"/>
  <c r="E190" i="27" l="1"/>
  <c r="G190" i="27" s="1"/>
  <c r="H190" i="27" s="1"/>
  <c r="D191" i="27" s="1"/>
  <c r="O195" i="27"/>
  <c r="AE201" i="27"/>
  <c r="AF201" i="27" s="1"/>
  <c r="AG201" i="27" s="1"/>
  <c r="AC202" i="27" s="1"/>
  <c r="AD202" i="27" s="1"/>
  <c r="BK193" i="27"/>
  <c r="BJ193" i="27"/>
  <c r="P195" i="27"/>
  <c r="Q195" i="27" s="1"/>
  <c r="M196" i="27" s="1"/>
  <c r="N196" i="27" s="1"/>
  <c r="BB199" i="27"/>
  <c r="BD199" i="27" s="1"/>
  <c r="BE199" i="27" s="1"/>
  <c r="BA200" i="27" s="1"/>
  <c r="W195" i="27"/>
  <c r="X195" i="27" s="1"/>
  <c r="Y195" i="27" s="1"/>
  <c r="U196" i="27" s="1"/>
  <c r="AM191" i="27"/>
  <c r="AN191" i="27" s="1"/>
  <c r="AO191" i="27" s="1"/>
  <c r="AK192" i="27" s="1"/>
  <c r="AM192" i="27" s="1"/>
  <c r="C272" i="27"/>
  <c r="A271" i="27"/>
  <c r="AV205" i="27"/>
  <c r="AW205" i="27" s="1"/>
  <c r="AS206" i="27" s="1"/>
  <c r="BL193" i="27" l="1"/>
  <c r="BM193" i="27" s="1"/>
  <c r="BI194" i="27" s="1"/>
  <c r="BK194" i="27" s="1"/>
  <c r="O196" i="27"/>
  <c r="BB200" i="27"/>
  <c r="BC200" i="27"/>
  <c r="AE202" i="27"/>
  <c r="AF202" i="27" s="1"/>
  <c r="AG202" i="27" s="1"/>
  <c r="AC203" i="27" s="1"/>
  <c r="AE203" i="27" s="1"/>
  <c r="AL192" i="27"/>
  <c r="AN192" i="27" s="1"/>
  <c r="AO192" i="27" s="1"/>
  <c r="AK193" i="27" s="1"/>
  <c r="P196" i="27"/>
  <c r="Q196" i="27" s="1"/>
  <c r="M197" i="27" s="1"/>
  <c r="F191" i="27"/>
  <c r="E191" i="27"/>
  <c r="I191" i="27"/>
  <c r="A272" i="27"/>
  <c r="C273" i="27"/>
  <c r="W196" i="27"/>
  <c r="V196" i="27"/>
  <c r="AU206" i="27"/>
  <c r="AT206" i="27"/>
  <c r="BJ194" i="27" l="1"/>
  <c r="BL194" i="27" s="1"/>
  <c r="BM194" i="27" s="1"/>
  <c r="BI195" i="27" s="1"/>
  <c r="X196" i="27"/>
  <c r="Y196" i="27" s="1"/>
  <c r="U197" i="27" s="1"/>
  <c r="V197" i="27" s="1"/>
  <c r="G191" i="27"/>
  <c r="H191" i="27" s="1"/>
  <c r="D192" i="27" s="1"/>
  <c r="E192" i="27" s="1"/>
  <c r="AV206" i="27"/>
  <c r="AW206" i="27" s="1"/>
  <c r="AS207" i="27" s="1"/>
  <c r="AT207" i="27" s="1"/>
  <c r="BD200" i="27"/>
  <c r="BE200" i="27" s="1"/>
  <c r="BA201" i="27" s="1"/>
  <c r="BJ195" i="27"/>
  <c r="BK195" i="27"/>
  <c r="AL193" i="27"/>
  <c r="AM193" i="27"/>
  <c r="AD203" i="27"/>
  <c r="AF203" i="27" s="1"/>
  <c r="AG203" i="27" s="1"/>
  <c r="AC204" i="27" s="1"/>
  <c r="AE204" i="27" s="1"/>
  <c r="O197" i="27"/>
  <c r="N197" i="27"/>
  <c r="P197" i="27" s="1"/>
  <c r="Q197" i="27" s="1"/>
  <c r="M198" i="27" s="1"/>
  <c r="A273" i="27"/>
  <c r="C274" i="27"/>
  <c r="W197" i="27"/>
  <c r="F192" i="27" l="1"/>
  <c r="G192" i="27" s="1"/>
  <c r="H192" i="27" s="1"/>
  <c r="D193" i="27" s="1"/>
  <c r="I192" i="27"/>
  <c r="AU207" i="27"/>
  <c r="AV207" i="27" s="1"/>
  <c r="AW207" i="27" s="1"/>
  <c r="AS208" i="27" s="1"/>
  <c r="AU208" i="27" s="1"/>
  <c r="BC201" i="27"/>
  <c r="BB201" i="27"/>
  <c r="BL195" i="27"/>
  <c r="BM195" i="27" s="1"/>
  <c r="BI196" i="27" s="1"/>
  <c r="BK196" i="27" s="1"/>
  <c r="AN193" i="27"/>
  <c r="AO193" i="27" s="1"/>
  <c r="AK194" i="27" s="1"/>
  <c r="AL194" i="27" s="1"/>
  <c r="N198" i="27"/>
  <c r="O198" i="27"/>
  <c r="AD204" i="27"/>
  <c r="AF204" i="27" s="1"/>
  <c r="AG204" i="27" s="1"/>
  <c r="AC205" i="27" s="1"/>
  <c r="AE205" i="27" s="1"/>
  <c r="A274" i="27"/>
  <c r="C275" i="27"/>
  <c r="X197" i="27"/>
  <c r="Y197" i="27" s="1"/>
  <c r="U198" i="27" s="1"/>
  <c r="BD201" i="27" l="1"/>
  <c r="BE201" i="27" s="1"/>
  <c r="BA202" i="27" s="1"/>
  <c r="BC202" i="27" s="1"/>
  <c r="BJ196" i="27"/>
  <c r="AM194" i="27"/>
  <c r="AN194" i="27" s="1"/>
  <c r="AO194" i="27" s="1"/>
  <c r="AK195" i="27" s="1"/>
  <c r="BB202" i="27"/>
  <c r="BD202" i="27" s="1"/>
  <c r="BE202" i="27" s="1"/>
  <c r="BA203" i="27" s="1"/>
  <c r="BC203" i="27" s="1"/>
  <c r="BL196" i="27"/>
  <c r="BM196" i="27" s="1"/>
  <c r="BI197" i="27" s="1"/>
  <c r="AT208" i="27"/>
  <c r="AV208" i="27" s="1"/>
  <c r="AW208" i="27" s="1"/>
  <c r="AS209" i="27" s="1"/>
  <c r="AT209" i="27" s="1"/>
  <c r="AD205" i="27"/>
  <c r="AF205" i="27" s="1"/>
  <c r="AG205" i="27" s="1"/>
  <c r="AC206" i="27" s="1"/>
  <c r="AE206" i="27" s="1"/>
  <c r="F193" i="27"/>
  <c r="I193" i="27"/>
  <c r="E193" i="27"/>
  <c r="P198" i="27"/>
  <c r="Q198" i="27" s="1"/>
  <c r="M199" i="27" s="1"/>
  <c r="A275" i="27"/>
  <c r="C276" i="27"/>
  <c r="V198" i="27"/>
  <c r="W198" i="27"/>
  <c r="AM195" i="27" l="1"/>
  <c r="AL195" i="27"/>
  <c r="AN195" i="27" s="1"/>
  <c r="AO195" i="27" s="1"/>
  <c r="AK196" i="27" s="1"/>
  <c r="AM196" i="27" s="1"/>
  <c r="BB203" i="27"/>
  <c r="BD203" i="27" s="1"/>
  <c r="BE203" i="27" s="1"/>
  <c r="BA204" i="27" s="1"/>
  <c r="G193" i="27"/>
  <c r="H193" i="27" s="1"/>
  <c r="D194" i="27" s="1"/>
  <c r="E194" i="27" s="1"/>
  <c r="BJ197" i="27"/>
  <c r="BK197" i="27"/>
  <c r="AU209" i="27"/>
  <c r="AV209" i="27" s="1"/>
  <c r="AW209" i="27" s="1"/>
  <c r="AS210" i="27" s="1"/>
  <c r="AD206" i="27"/>
  <c r="AF206" i="27" s="1"/>
  <c r="AG206" i="27" s="1"/>
  <c r="AC207" i="27" s="1"/>
  <c r="O199" i="27"/>
  <c r="N199" i="27"/>
  <c r="X198" i="27"/>
  <c r="Y198" i="27" s="1"/>
  <c r="U199" i="27" s="1"/>
  <c r="W199" i="27" s="1"/>
  <c r="C277" i="27"/>
  <c r="A276" i="27"/>
  <c r="P199" i="27" l="1"/>
  <c r="Q199" i="27" s="1"/>
  <c r="M200" i="27" s="1"/>
  <c r="I194" i="27"/>
  <c r="F194" i="27"/>
  <c r="G194" i="27" s="1"/>
  <c r="H194" i="27" s="1"/>
  <c r="D195" i="27" s="1"/>
  <c r="BL197" i="27"/>
  <c r="BM197" i="27" s="1"/>
  <c r="BI198" i="27" s="1"/>
  <c r="BK198" i="27" s="1"/>
  <c r="AL196" i="27"/>
  <c r="AN196" i="27" s="1"/>
  <c r="AO196" i="27" s="1"/>
  <c r="AK197" i="27" s="1"/>
  <c r="AL197" i="27" s="1"/>
  <c r="N200" i="27"/>
  <c r="O200" i="27"/>
  <c r="V199" i="27"/>
  <c r="X199" i="27" s="1"/>
  <c r="Y199" i="27" s="1"/>
  <c r="U200" i="27" s="1"/>
  <c r="V200" i="27" s="1"/>
  <c r="C278" i="27"/>
  <c r="A277" i="27"/>
  <c r="AE207" i="27"/>
  <c r="AD207" i="27"/>
  <c r="AF207" i="27" s="1"/>
  <c r="AG207" i="27" s="1"/>
  <c r="AC208" i="27" s="1"/>
  <c r="AU210" i="27"/>
  <c r="AT210" i="27"/>
  <c r="BB204" i="27"/>
  <c r="BC204" i="27"/>
  <c r="BJ198" i="27" l="1"/>
  <c r="BL198" i="27" s="1"/>
  <c r="BM198" i="27" s="1"/>
  <c r="BI199" i="27" s="1"/>
  <c r="AM197" i="27"/>
  <c r="AN197" i="27" s="1"/>
  <c r="AO197" i="27" s="1"/>
  <c r="AK198" i="27" s="1"/>
  <c r="W200" i="27"/>
  <c r="X200" i="27" s="1"/>
  <c r="Y200" i="27" s="1"/>
  <c r="U201" i="27" s="1"/>
  <c r="V201" i="27" s="1"/>
  <c r="P200" i="27"/>
  <c r="Q200" i="27" s="1"/>
  <c r="M201" i="27" s="1"/>
  <c r="F195" i="27"/>
  <c r="E195" i="27"/>
  <c r="I195" i="27"/>
  <c r="AV210" i="27"/>
  <c r="AW210" i="27" s="1"/>
  <c r="AS211" i="27" s="1"/>
  <c r="AT211" i="27" s="1"/>
  <c r="C279" i="27"/>
  <c r="A278" i="27"/>
  <c r="AE208" i="27"/>
  <c r="AD208" i="27"/>
  <c r="BD204" i="27"/>
  <c r="BE204" i="27" s="1"/>
  <c r="BA205" i="27" s="1"/>
  <c r="G195" i="27" l="1"/>
  <c r="H195" i="27" s="1"/>
  <c r="D196" i="27" s="1"/>
  <c r="F196" i="27" s="1"/>
  <c r="BK199" i="27"/>
  <c r="BJ199" i="27"/>
  <c r="AU211" i="27"/>
  <c r="AV211" i="27" s="1"/>
  <c r="AW211" i="27" s="1"/>
  <c r="AS212" i="27" s="1"/>
  <c r="W201" i="27"/>
  <c r="X201" i="27" s="1"/>
  <c r="Y201" i="27" s="1"/>
  <c r="U202" i="27" s="1"/>
  <c r="N201" i="27"/>
  <c r="O201" i="27"/>
  <c r="C280" i="27"/>
  <c r="A279" i="27"/>
  <c r="AM198" i="27"/>
  <c r="AL198" i="27"/>
  <c r="BC205" i="27"/>
  <c r="BB205" i="27"/>
  <c r="AF208" i="27"/>
  <c r="AG208" i="27" s="1"/>
  <c r="AC209" i="27" s="1"/>
  <c r="BD205" i="27" l="1"/>
  <c r="BE205" i="27" s="1"/>
  <c r="BA206" i="27" s="1"/>
  <c r="I196" i="27"/>
  <c r="E196" i="27"/>
  <c r="G196" i="27" s="1"/>
  <c r="H196" i="27" s="1"/>
  <c r="D197" i="27" s="1"/>
  <c r="F197" i="27" s="1"/>
  <c r="BL199" i="27"/>
  <c r="BM199" i="27" s="1"/>
  <c r="BI200" i="27" s="1"/>
  <c r="P201" i="27"/>
  <c r="Q201" i="27" s="1"/>
  <c r="M202" i="27" s="1"/>
  <c r="N202" i="27" s="1"/>
  <c r="AT212" i="27"/>
  <c r="AU212" i="27"/>
  <c r="AN198" i="27"/>
  <c r="AO198" i="27" s="1"/>
  <c r="AK199" i="27" s="1"/>
  <c r="AM199" i="27" s="1"/>
  <c r="A280" i="27"/>
  <c r="C281" i="27"/>
  <c r="BB206" i="27"/>
  <c r="BC206" i="27"/>
  <c r="V202" i="27"/>
  <c r="W202" i="27"/>
  <c r="AE209" i="27"/>
  <c r="AD209" i="27"/>
  <c r="BJ200" i="27" l="1"/>
  <c r="BK200" i="27"/>
  <c r="E197" i="27"/>
  <c r="G197" i="27" s="1"/>
  <c r="H197" i="27" s="1"/>
  <c r="D198" i="27" s="1"/>
  <c r="F198" i="27" s="1"/>
  <c r="I197" i="27"/>
  <c r="O202" i="27"/>
  <c r="P202" i="27" s="1"/>
  <c r="Q202" i="27" s="1"/>
  <c r="M203" i="27" s="1"/>
  <c r="AL199" i="27"/>
  <c r="AN199" i="27" s="1"/>
  <c r="AO199" i="27" s="1"/>
  <c r="AK200" i="27" s="1"/>
  <c r="AM200" i="27" s="1"/>
  <c r="AV212" i="27"/>
  <c r="AW212" i="27" s="1"/>
  <c r="AS213" i="27" s="1"/>
  <c r="X202" i="27"/>
  <c r="Y202" i="27" s="1"/>
  <c r="U203" i="27" s="1"/>
  <c r="V203" i="27" s="1"/>
  <c r="A281" i="27"/>
  <c r="C282" i="27"/>
  <c r="BD206" i="27"/>
  <c r="BE206" i="27" s="1"/>
  <c r="BA207" i="27" s="1"/>
  <c r="AF209" i="27"/>
  <c r="AG209" i="27" s="1"/>
  <c r="AC210" i="27" s="1"/>
  <c r="BL200" i="27" l="1"/>
  <c r="BM200" i="27" s="1"/>
  <c r="BI201" i="27" s="1"/>
  <c r="BK201" i="27" s="1"/>
  <c r="E198" i="27"/>
  <c r="G198" i="27" s="1"/>
  <c r="H198" i="27" s="1"/>
  <c r="D199" i="27" s="1"/>
  <c r="I199" i="27" s="1"/>
  <c r="I198" i="27"/>
  <c r="AL200" i="27"/>
  <c r="AN200" i="27" s="1"/>
  <c r="AO200" i="27" s="1"/>
  <c r="AK201" i="27" s="1"/>
  <c r="AL201" i="27" s="1"/>
  <c r="N203" i="27"/>
  <c r="O203" i="27"/>
  <c r="W203" i="27"/>
  <c r="X203" i="27" s="1"/>
  <c r="Y203" i="27" s="1"/>
  <c r="U204" i="27" s="1"/>
  <c r="AT213" i="27"/>
  <c r="AU213" i="27"/>
  <c r="A282" i="27"/>
  <c r="C283" i="27"/>
  <c r="AD210" i="27"/>
  <c r="AE210" i="27"/>
  <c r="BB207" i="27"/>
  <c r="BC207" i="27"/>
  <c r="BJ201" i="27" l="1"/>
  <c r="BL201" i="27" s="1"/>
  <c r="BM201" i="27" s="1"/>
  <c r="BI202" i="27" s="1"/>
  <c r="AV213" i="27"/>
  <c r="AW213" i="27" s="1"/>
  <c r="AS214" i="27" s="1"/>
  <c r="AT214" i="27" s="1"/>
  <c r="AM201" i="27"/>
  <c r="AN201" i="27" s="1"/>
  <c r="AO201" i="27" s="1"/>
  <c r="AK202" i="27" s="1"/>
  <c r="E199" i="27"/>
  <c r="F199" i="27"/>
  <c r="P203" i="27"/>
  <c r="Q203" i="27" s="1"/>
  <c r="M204" i="27" s="1"/>
  <c r="C284" i="27"/>
  <c r="A283" i="27"/>
  <c r="AF210" i="27"/>
  <c r="AG210" i="27" s="1"/>
  <c r="AC211" i="27" s="1"/>
  <c r="V204" i="27"/>
  <c r="W204" i="27"/>
  <c r="BD207" i="27"/>
  <c r="BE207" i="27" s="1"/>
  <c r="BA208" i="27" s="1"/>
  <c r="AU214" i="27" l="1"/>
  <c r="BJ202" i="27"/>
  <c r="BK202" i="27"/>
  <c r="G199" i="27"/>
  <c r="H199" i="27" s="1"/>
  <c r="D200" i="27" s="1"/>
  <c r="F200" i="27" s="1"/>
  <c r="O204" i="27"/>
  <c r="N204" i="27"/>
  <c r="AV214" i="27"/>
  <c r="AW214" i="27" s="1"/>
  <c r="AS215" i="27" s="1"/>
  <c r="C285" i="27"/>
  <c r="A284" i="27"/>
  <c r="X204" i="27"/>
  <c r="Y204" i="27" s="1"/>
  <c r="U205" i="27" s="1"/>
  <c r="BC208" i="27"/>
  <c r="BB208" i="27"/>
  <c r="AE211" i="27"/>
  <c r="AD211" i="27"/>
  <c r="AM202" i="27"/>
  <c r="AL202" i="27"/>
  <c r="BL202" i="27" l="1"/>
  <c r="BM202" i="27" s="1"/>
  <c r="BI203" i="27" s="1"/>
  <c r="BK203" i="27" s="1"/>
  <c r="E200" i="27"/>
  <c r="G200" i="27" s="1"/>
  <c r="H200" i="27" s="1"/>
  <c r="D201" i="27" s="1"/>
  <c r="I200" i="27"/>
  <c r="P204" i="27"/>
  <c r="Q204" i="27" s="1"/>
  <c r="M205" i="27" s="1"/>
  <c r="N205" i="27" s="1"/>
  <c r="AF211" i="27"/>
  <c r="AG211" i="27" s="1"/>
  <c r="AC212" i="27" s="1"/>
  <c r="AD212" i="27" s="1"/>
  <c r="AT215" i="27"/>
  <c r="AU215" i="27"/>
  <c r="AN202" i="27"/>
  <c r="AO202" i="27" s="1"/>
  <c r="AK203" i="27" s="1"/>
  <c r="AL203" i="27" s="1"/>
  <c r="BD208" i="27"/>
  <c r="BE208" i="27" s="1"/>
  <c r="BA209" i="27" s="1"/>
  <c r="BC209" i="27" s="1"/>
  <c r="A285" i="27"/>
  <c r="C286" i="27"/>
  <c r="W205" i="27"/>
  <c r="V205" i="27"/>
  <c r="BJ203" i="27" l="1"/>
  <c r="BL203" i="27" s="1"/>
  <c r="BM203" i="27" s="1"/>
  <c r="BI204" i="27" s="1"/>
  <c r="X205" i="27"/>
  <c r="Y205" i="27" s="1"/>
  <c r="U206" i="27" s="1"/>
  <c r="W206" i="27" s="1"/>
  <c r="AE212" i="27"/>
  <c r="AF212" i="27" s="1"/>
  <c r="AG212" i="27" s="1"/>
  <c r="AC213" i="27" s="1"/>
  <c r="O205" i="27"/>
  <c r="P205" i="27" s="1"/>
  <c r="Q205" i="27" s="1"/>
  <c r="M206" i="27" s="1"/>
  <c r="AM203" i="27"/>
  <c r="AN203" i="27" s="1"/>
  <c r="AO203" i="27" s="1"/>
  <c r="AK204" i="27" s="1"/>
  <c r="AV215" i="27"/>
  <c r="AW215" i="27" s="1"/>
  <c r="AS216" i="27" s="1"/>
  <c r="E201" i="27"/>
  <c r="I201" i="27"/>
  <c r="F201" i="27"/>
  <c r="BB209" i="27"/>
  <c r="BD209" i="27" s="1"/>
  <c r="BE209" i="27" s="1"/>
  <c r="BA210" i="27" s="1"/>
  <c r="A286" i="27"/>
  <c r="C287" i="27"/>
  <c r="V206" i="27" l="1"/>
  <c r="X206" i="27" s="1"/>
  <c r="Y206" i="27" s="1"/>
  <c r="U207" i="27" s="1"/>
  <c r="V207" i="27" s="1"/>
  <c r="BK204" i="27"/>
  <c r="BJ204" i="27"/>
  <c r="BL204" i="27" s="1"/>
  <c r="BM204" i="27" s="1"/>
  <c r="BI205" i="27" s="1"/>
  <c r="N206" i="27"/>
  <c r="O206" i="27"/>
  <c r="BC210" i="27"/>
  <c r="BB210" i="27"/>
  <c r="AM204" i="27"/>
  <c r="AL204" i="27"/>
  <c r="AT216" i="27"/>
  <c r="AU216" i="27"/>
  <c r="G201" i="27"/>
  <c r="H201" i="27" s="1"/>
  <c r="D202" i="27" s="1"/>
  <c r="C288" i="27"/>
  <c r="A287" i="27"/>
  <c r="AE213" i="27"/>
  <c r="AD213" i="27"/>
  <c r="W207" i="27" l="1"/>
  <c r="X207" i="27" s="1"/>
  <c r="Y207" i="27" s="1"/>
  <c r="U208" i="27" s="1"/>
  <c r="W208" i="27" s="1"/>
  <c r="BD210" i="27"/>
  <c r="BE210" i="27" s="1"/>
  <c r="BA211" i="27" s="1"/>
  <c r="BC211" i="27" s="1"/>
  <c r="AN204" i="27"/>
  <c r="AO204" i="27" s="1"/>
  <c r="AK205" i="27" s="1"/>
  <c r="AL205" i="27" s="1"/>
  <c r="BK205" i="27"/>
  <c r="BJ205" i="27"/>
  <c r="BB211" i="27"/>
  <c r="BD211" i="27" s="1"/>
  <c r="BE211" i="27" s="1"/>
  <c r="BA212" i="27" s="1"/>
  <c r="P206" i="27"/>
  <c r="Q206" i="27" s="1"/>
  <c r="M207" i="27" s="1"/>
  <c r="AV216" i="27"/>
  <c r="AW216" i="27" s="1"/>
  <c r="AS217" i="27" s="1"/>
  <c r="I202" i="27"/>
  <c r="F202" i="27"/>
  <c r="E202" i="27"/>
  <c r="A288" i="27"/>
  <c r="C289" i="27"/>
  <c r="AM205" i="27"/>
  <c r="AF213" i="27"/>
  <c r="AG213" i="27" s="1"/>
  <c r="AC214" i="27" s="1"/>
  <c r="BL205" i="27" l="1"/>
  <c r="BM205" i="27" s="1"/>
  <c r="BI206" i="27" s="1"/>
  <c r="BJ206" i="27" s="1"/>
  <c r="G202" i="27"/>
  <c r="H202" i="27" s="1"/>
  <c r="D203" i="27" s="1"/>
  <c r="E203" i="27" s="1"/>
  <c r="O207" i="27"/>
  <c r="N207" i="27"/>
  <c r="V208" i="27"/>
  <c r="X208" i="27" s="1"/>
  <c r="Y208" i="27" s="1"/>
  <c r="U209" i="27" s="1"/>
  <c r="W209" i="27" s="1"/>
  <c r="AU217" i="27"/>
  <c r="AT217" i="27"/>
  <c r="A289" i="27"/>
  <c r="C290" i="27"/>
  <c r="AN205" i="27"/>
  <c r="AO205" i="27" s="1"/>
  <c r="AK206" i="27" s="1"/>
  <c r="AL206" i="27" s="1"/>
  <c r="BC212" i="27"/>
  <c r="BB212" i="27"/>
  <c r="AD214" i="27"/>
  <c r="AE214" i="27"/>
  <c r="AV217" i="27" l="1"/>
  <c r="AW217" i="27" s="1"/>
  <c r="AS218" i="27" s="1"/>
  <c r="F203" i="27"/>
  <c r="G203" i="27" s="1"/>
  <c r="H203" i="27" s="1"/>
  <c r="D204" i="27" s="1"/>
  <c r="F204" i="27" s="1"/>
  <c r="I203" i="27"/>
  <c r="BK206" i="27"/>
  <c r="P207" i="27"/>
  <c r="Q207" i="27" s="1"/>
  <c r="M208" i="27" s="1"/>
  <c r="O208" i="27" s="1"/>
  <c r="BL206" i="27"/>
  <c r="BM206" i="27" s="1"/>
  <c r="BI207" i="27" s="1"/>
  <c r="BK207" i="27" s="1"/>
  <c r="N208" i="27"/>
  <c r="P208" i="27" s="1"/>
  <c r="Q208" i="27" s="1"/>
  <c r="M209" i="27" s="1"/>
  <c r="O209" i="27" s="1"/>
  <c r="V209" i="27"/>
  <c r="X209" i="27" s="1"/>
  <c r="Y209" i="27" s="1"/>
  <c r="U210" i="27" s="1"/>
  <c r="W210" i="27" s="1"/>
  <c r="AM206" i="27"/>
  <c r="AN206" i="27" s="1"/>
  <c r="AO206" i="27" s="1"/>
  <c r="AK207" i="27" s="1"/>
  <c r="AM207" i="27" s="1"/>
  <c r="AT218" i="27"/>
  <c r="AU218" i="27"/>
  <c r="AF214" i="27"/>
  <c r="AG214" i="27" s="1"/>
  <c r="AC215" i="27" s="1"/>
  <c r="AD215" i="27" s="1"/>
  <c r="BD212" i="27"/>
  <c r="BE212" i="27" s="1"/>
  <c r="BA213" i="27" s="1"/>
  <c r="BB213" i="27" s="1"/>
  <c r="A290" i="27"/>
  <c r="C291" i="27"/>
  <c r="I204" i="27" l="1"/>
  <c r="BJ207" i="27"/>
  <c r="BL207" i="27" s="1"/>
  <c r="BM207" i="27" s="1"/>
  <c r="BI208" i="27" s="1"/>
  <c r="E204" i="27"/>
  <c r="G204" i="27" s="1"/>
  <c r="H204" i="27" s="1"/>
  <c r="D205" i="27" s="1"/>
  <c r="E205" i="27" s="1"/>
  <c r="N209" i="27"/>
  <c r="P209" i="27" s="1"/>
  <c r="Q209" i="27" s="1"/>
  <c r="M210" i="27" s="1"/>
  <c r="N210" i="27" s="1"/>
  <c r="BC213" i="27"/>
  <c r="BD213" i="27" s="1"/>
  <c r="BE213" i="27" s="1"/>
  <c r="BA214" i="27" s="1"/>
  <c r="AV218" i="27"/>
  <c r="AW218" i="27" s="1"/>
  <c r="AS219" i="27" s="1"/>
  <c r="AL207" i="27"/>
  <c r="AN207" i="27" s="1"/>
  <c r="AO207" i="27" s="1"/>
  <c r="AK208" i="27" s="1"/>
  <c r="AL208" i="27" s="1"/>
  <c r="V210" i="27"/>
  <c r="X210" i="27" s="1"/>
  <c r="Y210" i="27" s="1"/>
  <c r="U211" i="27" s="1"/>
  <c r="AE215" i="27"/>
  <c r="AF215" i="27" s="1"/>
  <c r="AG215" i="27" s="1"/>
  <c r="AC216" i="27" s="1"/>
  <c r="C292" i="27"/>
  <c r="A291" i="27"/>
  <c r="BJ208" i="27" l="1"/>
  <c r="BK208" i="27"/>
  <c r="O210" i="27"/>
  <c r="I205" i="27"/>
  <c r="F205" i="27"/>
  <c r="G205" i="27" s="1"/>
  <c r="H205" i="27" s="1"/>
  <c r="D206" i="27" s="1"/>
  <c r="BL208" i="27"/>
  <c r="BM208" i="27" s="1"/>
  <c r="BI209" i="27" s="1"/>
  <c r="P210" i="27"/>
  <c r="Q210" i="27" s="1"/>
  <c r="M211" i="27" s="1"/>
  <c r="AU219" i="27"/>
  <c r="AT219" i="27"/>
  <c r="AE216" i="27"/>
  <c r="AD216" i="27"/>
  <c r="AM208" i="27"/>
  <c r="AN208" i="27" s="1"/>
  <c r="AO208" i="27" s="1"/>
  <c r="AK209" i="27" s="1"/>
  <c r="C293" i="27"/>
  <c r="A292" i="27"/>
  <c r="BC214" i="27"/>
  <c r="BB214" i="27"/>
  <c r="V211" i="27"/>
  <c r="W211" i="27"/>
  <c r="AF216" i="27" l="1"/>
  <c r="AG216" i="27" s="1"/>
  <c r="AC217" i="27" s="1"/>
  <c r="AD217" i="27" s="1"/>
  <c r="AV219" i="27"/>
  <c r="AW219" i="27" s="1"/>
  <c r="AS220" i="27" s="1"/>
  <c r="AT220" i="27" s="1"/>
  <c r="BJ209" i="27"/>
  <c r="BK209" i="27"/>
  <c r="E206" i="27"/>
  <c r="I206" i="27"/>
  <c r="F206" i="27"/>
  <c r="O211" i="27"/>
  <c r="N211" i="27"/>
  <c r="A293" i="27"/>
  <c r="C294" i="27"/>
  <c r="AM209" i="27"/>
  <c r="AL209" i="27"/>
  <c r="X211" i="27"/>
  <c r="Y211" i="27" s="1"/>
  <c r="U212" i="27" s="1"/>
  <c r="BD214" i="27"/>
  <c r="BE214" i="27" s="1"/>
  <c r="BA215" i="27" s="1"/>
  <c r="AE217" i="27" l="1"/>
  <c r="AF217" i="27" s="1"/>
  <c r="AG217" i="27" s="1"/>
  <c r="AC218" i="27" s="1"/>
  <c r="AU220" i="27"/>
  <c r="BL209" i="27"/>
  <c r="BM209" i="27" s="1"/>
  <c r="BI210" i="27" s="1"/>
  <c r="BJ210" i="27" s="1"/>
  <c r="G206" i="27"/>
  <c r="H206" i="27" s="1"/>
  <c r="D207" i="27" s="1"/>
  <c r="AV220" i="27"/>
  <c r="AW220" i="27" s="1"/>
  <c r="AS221" i="27" s="1"/>
  <c r="P211" i="27"/>
  <c r="Q211" i="27" s="1"/>
  <c r="M212" i="27" s="1"/>
  <c r="C295" i="27"/>
  <c r="A294" i="27"/>
  <c r="V212" i="27"/>
  <c r="W212" i="27"/>
  <c r="AN209" i="27"/>
  <c r="AO209" i="27" s="1"/>
  <c r="AK210" i="27" s="1"/>
  <c r="BB215" i="27"/>
  <c r="BC215" i="27"/>
  <c r="AE218" i="27" l="1"/>
  <c r="AD218" i="27"/>
  <c r="AF218" i="27" s="1"/>
  <c r="AG218" i="27" s="1"/>
  <c r="AC219" i="27" s="1"/>
  <c r="BK210" i="27"/>
  <c r="BL210" i="27" s="1"/>
  <c r="BM210" i="27" s="1"/>
  <c r="BI211" i="27" s="1"/>
  <c r="O212" i="27"/>
  <c r="N212" i="27"/>
  <c r="AU221" i="27"/>
  <c r="AT221" i="27"/>
  <c r="F207" i="27"/>
  <c r="E207" i="27"/>
  <c r="I207" i="27"/>
  <c r="A295" i="27"/>
  <c r="C296" i="27"/>
  <c r="X212" i="27"/>
  <c r="Y212" i="27" s="1"/>
  <c r="U213" i="27" s="1"/>
  <c r="BD215" i="27"/>
  <c r="BE215" i="27" s="1"/>
  <c r="BA216" i="27" s="1"/>
  <c r="AM210" i="27"/>
  <c r="AL210" i="27"/>
  <c r="G207" i="27" l="1"/>
  <c r="H207" i="27" s="1"/>
  <c r="D208" i="27" s="1"/>
  <c r="F208" i="27" s="1"/>
  <c r="P212" i="27"/>
  <c r="Q212" i="27" s="1"/>
  <c r="M213" i="27" s="1"/>
  <c r="AV221" i="27"/>
  <c r="AW221" i="27" s="1"/>
  <c r="AS222" i="27" s="1"/>
  <c r="AT222" i="27" s="1"/>
  <c r="BK211" i="27"/>
  <c r="BJ211" i="27"/>
  <c r="N213" i="27"/>
  <c r="O213" i="27"/>
  <c r="A296" i="27"/>
  <c r="C297" i="27"/>
  <c r="BC216" i="27"/>
  <c r="BB216" i="27"/>
  <c r="AD219" i="27"/>
  <c r="AE219" i="27"/>
  <c r="W213" i="27"/>
  <c r="V213" i="27"/>
  <c r="AN210" i="27"/>
  <c r="AO210" i="27" s="1"/>
  <c r="AK211" i="27" s="1"/>
  <c r="BL211" i="27" l="1"/>
  <c r="BM211" i="27" s="1"/>
  <c r="BI212" i="27" s="1"/>
  <c r="BK212" i="27" s="1"/>
  <c r="E208" i="27"/>
  <c r="G208" i="27" s="1"/>
  <c r="H208" i="27" s="1"/>
  <c r="D209" i="27" s="1"/>
  <c r="I208" i="27"/>
  <c r="AU222" i="27"/>
  <c r="AV222" i="27" s="1"/>
  <c r="AW222" i="27" s="1"/>
  <c r="AS223" i="27" s="1"/>
  <c r="AU223" i="27" s="1"/>
  <c r="BJ212" i="27"/>
  <c r="BL212" i="27" s="1"/>
  <c r="BM212" i="27" s="1"/>
  <c r="BI213" i="27" s="1"/>
  <c r="X213" i="27"/>
  <c r="Y213" i="27" s="1"/>
  <c r="U214" i="27" s="1"/>
  <c r="W214" i="27" s="1"/>
  <c r="P213" i="27"/>
  <c r="Q213" i="27" s="1"/>
  <c r="M214" i="27" s="1"/>
  <c r="AF219" i="27"/>
  <c r="AG219" i="27" s="1"/>
  <c r="AC220" i="27" s="1"/>
  <c r="AE220" i="27" s="1"/>
  <c r="A297" i="27"/>
  <c r="C298" i="27"/>
  <c r="AM211" i="27"/>
  <c r="AL211" i="27"/>
  <c r="BD216" i="27"/>
  <c r="BE216" i="27" s="1"/>
  <c r="BA217" i="27" s="1"/>
  <c r="AT223" i="27" l="1"/>
  <c r="AV223" i="27" s="1"/>
  <c r="AW223" i="27" s="1"/>
  <c r="AS224" i="27" s="1"/>
  <c r="AU224" i="27" s="1"/>
  <c r="AN211" i="27"/>
  <c r="AO211" i="27" s="1"/>
  <c r="AK212" i="27" s="1"/>
  <c r="AM212" i="27" s="1"/>
  <c r="BK213" i="27"/>
  <c r="BJ213" i="27"/>
  <c r="V214" i="27"/>
  <c r="X214" i="27" s="1"/>
  <c r="Y214" i="27" s="1"/>
  <c r="U215" i="27" s="1"/>
  <c r="W215" i="27" s="1"/>
  <c r="AD220" i="27"/>
  <c r="AF220" i="27" s="1"/>
  <c r="AG220" i="27" s="1"/>
  <c r="AC221" i="27" s="1"/>
  <c r="O214" i="27"/>
  <c r="N214" i="27"/>
  <c r="I209" i="27"/>
  <c r="E209" i="27"/>
  <c r="F209" i="27"/>
  <c r="A298" i="27"/>
  <c r="C299" i="27"/>
  <c r="BC217" i="27"/>
  <c r="BB217" i="27"/>
  <c r="BL213" i="27" l="1"/>
  <c r="BM213" i="27" s="1"/>
  <c r="BI214" i="27" s="1"/>
  <c r="AT224" i="27"/>
  <c r="AV224" i="27" s="1"/>
  <c r="AW224" i="27" s="1"/>
  <c r="AS225" i="27" s="1"/>
  <c r="AT225" i="27" s="1"/>
  <c r="AL212" i="27"/>
  <c r="AN212" i="27" s="1"/>
  <c r="AO212" i="27" s="1"/>
  <c r="AK213" i="27" s="1"/>
  <c r="AM213" i="27" s="1"/>
  <c r="BJ214" i="27"/>
  <c r="BK214" i="27"/>
  <c r="P214" i="27"/>
  <c r="Q214" i="27" s="1"/>
  <c r="M215" i="27" s="1"/>
  <c r="O215" i="27" s="1"/>
  <c r="V215" i="27"/>
  <c r="X215" i="27" s="1"/>
  <c r="Y215" i="27" s="1"/>
  <c r="U216" i="27" s="1"/>
  <c r="BL214" i="27"/>
  <c r="BM214" i="27" s="1"/>
  <c r="BI215" i="27" s="1"/>
  <c r="G209" i="27"/>
  <c r="H209" i="27" s="1"/>
  <c r="D210" i="27" s="1"/>
  <c r="C300" i="27"/>
  <c r="A299" i="27"/>
  <c r="BD217" i="27"/>
  <c r="BE217" i="27" s="1"/>
  <c r="BA218" i="27" s="1"/>
  <c r="BC218" i="27" s="1"/>
  <c r="AD221" i="27"/>
  <c r="AE221" i="27"/>
  <c r="AU225" i="27" l="1"/>
  <c r="AV225" i="27" s="1"/>
  <c r="AW225" i="27" s="1"/>
  <c r="AS226" i="27" s="1"/>
  <c r="AU226" i="27" s="1"/>
  <c r="N215" i="27"/>
  <c r="BK215" i="27"/>
  <c r="BJ215" i="27"/>
  <c r="AL213" i="27"/>
  <c r="AN213" i="27" s="1"/>
  <c r="AO213" i="27" s="1"/>
  <c r="AK214" i="27" s="1"/>
  <c r="P215" i="27"/>
  <c r="Q215" i="27" s="1"/>
  <c r="M216" i="27" s="1"/>
  <c r="F210" i="27"/>
  <c r="E210" i="27"/>
  <c r="I210" i="27"/>
  <c r="BB218" i="27"/>
  <c r="BD218" i="27" s="1"/>
  <c r="BE218" i="27" s="1"/>
  <c r="BA219" i="27" s="1"/>
  <c r="BC219" i="27" s="1"/>
  <c r="A300" i="27"/>
  <c r="C301" i="27"/>
  <c r="W216" i="27"/>
  <c r="V216" i="27"/>
  <c r="AF221" i="27"/>
  <c r="AG221" i="27" s="1"/>
  <c r="AC222" i="27" s="1"/>
  <c r="AT226" i="27" l="1"/>
  <c r="G210" i="27"/>
  <c r="H210" i="27" s="1"/>
  <c r="D211" i="27" s="1"/>
  <c r="E211" i="27" s="1"/>
  <c r="BL215" i="27"/>
  <c r="BM215" i="27" s="1"/>
  <c r="BI216" i="27" s="1"/>
  <c r="BB219" i="27"/>
  <c r="BD219" i="27" s="1"/>
  <c r="BE219" i="27" s="1"/>
  <c r="BA220" i="27" s="1"/>
  <c r="BB220" i="27" s="1"/>
  <c r="N216" i="27"/>
  <c r="O216" i="27"/>
  <c r="C302" i="27"/>
  <c r="A301" i="27"/>
  <c r="AD222" i="27"/>
  <c r="AE222" i="27"/>
  <c r="AL214" i="27"/>
  <c r="AM214" i="27"/>
  <c r="X216" i="27"/>
  <c r="Y216" i="27" s="1"/>
  <c r="U217" i="27" s="1"/>
  <c r="AV226" i="27"/>
  <c r="AW226" i="27" s="1"/>
  <c r="AS227" i="27" s="1"/>
  <c r="I211" i="27" l="1"/>
  <c r="F211" i="27"/>
  <c r="G211" i="27" s="1"/>
  <c r="H211" i="27" s="1"/>
  <c r="D212" i="27" s="1"/>
  <c r="BK216" i="27"/>
  <c r="BJ216" i="27"/>
  <c r="P216" i="27"/>
  <c r="Q216" i="27" s="1"/>
  <c r="M217" i="27" s="1"/>
  <c r="N217" i="27" s="1"/>
  <c r="BC220" i="27"/>
  <c r="BD220" i="27" s="1"/>
  <c r="BE220" i="27" s="1"/>
  <c r="BA221" i="27" s="1"/>
  <c r="AN214" i="27"/>
  <c r="AO214" i="27" s="1"/>
  <c r="AK215" i="27" s="1"/>
  <c r="AM215" i="27" s="1"/>
  <c r="A302" i="27"/>
  <c r="C303" i="27"/>
  <c r="AU227" i="27"/>
  <c r="AT227" i="27"/>
  <c r="AF222" i="27"/>
  <c r="AG222" i="27" s="1"/>
  <c r="AC223" i="27" s="1"/>
  <c r="W217" i="27"/>
  <c r="V217" i="27"/>
  <c r="O217" i="27" l="1"/>
  <c r="BL216" i="27"/>
  <c r="BM216" i="27" s="1"/>
  <c r="BI217" i="27" s="1"/>
  <c r="P217" i="27"/>
  <c r="Q217" i="27" s="1"/>
  <c r="M218" i="27" s="1"/>
  <c r="AL215" i="27"/>
  <c r="AN215" i="27" s="1"/>
  <c r="AO215" i="27" s="1"/>
  <c r="AK216" i="27" s="1"/>
  <c r="AM216" i="27" s="1"/>
  <c r="I212" i="27"/>
  <c r="F212" i="27"/>
  <c r="E212" i="27"/>
  <c r="A303" i="27"/>
  <c r="C304" i="27"/>
  <c r="X217" i="27"/>
  <c r="Y217" i="27" s="1"/>
  <c r="U218" i="27" s="1"/>
  <c r="AE223" i="27"/>
  <c r="AD223" i="27"/>
  <c r="BC221" i="27"/>
  <c r="BB221" i="27"/>
  <c r="AV227" i="27"/>
  <c r="AW227" i="27" s="1"/>
  <c r="AS228" i="27" s="1"/>
  <c r="G212" i="27" l="1"/>
  <c r="H212" i="27" s="1"/>
  <c r="D213" i="27" s="1"/>
  <c r="E213" i="27" s="1"/>
  <c r="BJ217" i="27"/>
  <c r="BK217" i="27"/>
  <c r="AL216" i="27"/>
  <c r="AN216" i="27" s="1"/>
  <c r="AO216" i="27" s="1"/>
  <c r="AK217" i="27" s="1"/>
  <c r="AL217" i="27" s="1"/>
  <c r="O218" i="27"/>
  <c r="N218" i="27"/>
  <c r="P218" i="27" s="1"/>
  <c r="Q218" i="27" s="1"/>
  <c r="M219" i="27" s="1"/>
  <c r="BD221" i="27"/>
  <c r="BE221" i="27" s="1"/>
  <c r="BA222" i="27" s="1"/>
  <c r="BB222" i="27" s="1"/>
  <c r="C305" i="27"/>
  <c r="A304" i="27"/>
  <c r="AT228" i="27"/>
  <c r="AU228" i="27"/>
  <c r="AF223" i="27"/>
  <c r="AG223" i="27" s="1"/>
  <c r="AC224" i="27" s="1"/>
  <c r="V218" i="27"/>
  <c r="W218" i="27"/>
  <c r="I213" i="27" l="1"/>
  <c r="F213" i="27"/>
  <c r="G213" i="27" s="1"/>
  <c r="H213" i="27" s="1"/>
  <c r="D214" i="27" s="1"/>
  <c r="E214" i="27" s="1"/>
  <c r="BC222" i="27"/>
  <c r="BD222" i="27" s="1"/>
  <c r="BE222" i="27" s="1"/>
  <c r="BA223" i="27" s="1"/>
  <c r="BC223" i="27" s="1"/>
  <c r="BL217" i="27"/>
  <c r="BM217" i="27" s="1"/>
  <c r="BI218" i="27" s="1"/>
  <c r="BK218" i="27" s="1"/>
  <c r="O219" i="27"/>
  <c r="N219" i="27"/>
  <c r="AM217" i="27"/>
  <c r="AN217" i="27" s="1"/>
  <c r="AO217" i="27" s="1"/>
  <c r="AK218" i="27" s="1"/>
  <c r="AM218" i="27" s="1"/>
  <c r="C306" i="27"/>
  <c r="A305" i="27"/>
  <c r="X218" i="27"/>
  <c r="Y218" i="27" s="1"/>
  <c r="U219" i="27" s="1"/>
  <c r="V219" i="27" s="1"/>
  <c r="AE224" i="27"/>
  <c r="AD224" i="27"/>
  <c r="AV228" i="27"/>
  <c r="AW228" i="27" s="1"/>
  <c r="AS229" i="27" s="1"/>
  <c r="F214" i="27" l="1"/>
  <c r="G214" i="27" s="1"/>
  <c r="H214" i="27" s="1"/>
  <c r="D215" i="27" s="1"/>
  <c r="I214" i="27"/>
  <c r="BJ218" i="27"/>
  <c r="BL218" i="27" s="1"/>
  <c r="BM218" i="27" s="1"/>
  <c r="BI219" i="27" s="1"/>
  <c r="P219" i="27"/>
  <c r="Q219" i="27" s="1"/>
  <c r="M220" i="27" s="1"/>
  <c r="O220" i="27" s="1"/>
  <c r="BB223" i="27"/>
  <c r="BD223" i="27" s="1"/>
  <c r="BE223" i="27" s="1"/>
  <c r="BA224" i="27" s="1"/>
  <c r="BB224" i="27" s="1"/>
  <c r="AF224" i="27"/>
  <c r="AG224" i="27" s="1"/>
  <c r="AC225" i="27" s="1"/>
  <c r="AD225" i="27" s="1"/>
  <c r="W219" i="27"/>
  <c r="X219" i="27" s="1"/>
  <c r="Y219" i="27" s="1"/>
  <c r="U220" i="27" s="1"/>
  <c r="N220" i="27"/>
  <c r="C307" i="27"/>
  <c r="A306" i="27"/>
  <c r="AL218" i="27"/>
  <c r="AN218" i="27" s="1"/>
  <c r="AO218" i="27" s="1"/>
  <c r="AK219" i="27" s="1"/>
  <c r="AU229" i="27"/>
  <c r="AT229" i="27"/>
  <c r="BC224" i="27" l="1"/>
  <c r="BD224" i="27" s="1"/>
  <c r="BE224" i="27" s="1"/>
  <c r="BA225" i="27" s="1"/>
  <c r="BJ219" i="27"/>
  <c r="BK219" i="27"/>
  <c r="AE225" i="27"/>
  <c r="AF225" i="27" s="1"/>
  <c r="AG225" i="27" s="1"/>
  <c r="AC226" i="27" s="1"/>
  <c r="AE226" i="27" s="1"/>
  <c r="F215" i="27"/>
  <c r="E215" i="27"/>
  <c r="G215" i="27" s="1"/>
  <c r="H215" i="27" s="1"/>
  <c r="D216" i="27" s="1"/>
  <c r="E216" i="27" s="1"/>
  <c r="I215" i="27"/>
  <c r="P220" i="27"/>
  <c r="Q220" i="27" s="1"/>
  <c r="M221" i="27" s="1"/>
  <c r="AV229" i="27"/>
  <c r="AW229" i="27" s="1"/>
  <c r="AS230" i="27" s="1"/>
  <c r="AU230" i="27" s="1"/>
  <c r="C308" i="27"/>
  <c r="A307" i="27"/>
  <c r="V220" i="27"/>
  <c r="W220" i="27"/>
  <c r="AL219" i="27"/>
  <c r="AM219" i="27"/>
  <c r="BL219" i="27" l="1"/>
  <c r="BM219" i="27" s="1"/>
  <c r="BI220" i="27" s="1"/>
  <c r="BK220" i="27" s="1"/>
  <c r="F216" i="27"/>
  <c r="G216" i="27" s="1"/>
  <c r="H216" i="27" s="1"/>
  <c r="D217" i="27" s="1"/>
  <c r="I216" i="27"/>
  <c r="AD226" i="27"/>
  <c r="AF226" i="27" s="1"/>
  <c r="AG226" i="27" s="1"/>
  <c r="AC227" i="27" s="1"/>
  <c r="O221" i="27"/>
  <c r="N221" i="27"/>
  <c r="AT230" i="27"/>
  <c r="AV230" i="27" s="1"/>
  <c r="AW230" i="27" s="1"/>
  <c r="AS231" i="27" s="1"/>
  <c r="AU231" i="27" s="1"/>
  <c r="A308" i="27"/>
  <c r="C309" i="27"/>
  <c r="X220" i="27"/>
  <c r="Y220" i="27" s="1"/>
  <c r="U221" i="27" s="1"/>
  <c r="BB225" i="27"/>
  <c r="BC225" i="27"/>
  <c r="AN219" i="27"/>
  <c r="AO219" i="27" s="1"/>
  <c r="AK220" i="27" s="1"/>
  <c r="P221" i="27" l="1"/>
  <c r="Q221" i="27" s="1"/>
  <c r="M222" i="27" s="1"/>
  <c r="BJ220" i="27"/>
  <c r="BL220" i="27" s="1"/>
  <c r="BM220" i="27" s="1"/>
  <c r="BI221" i="27" s="1"/>
  <c r="AT231" i="27"/>
  <c r="AV231" i="27" s="1"/>
  <c r="AW231" i="27" s="1"/>
  <c r="AS232" i="27" s="1"/>
  <c r="N222" i="27"/>
  <c r="O222" i="27"/>
  <c r="C310" i="27"/>
  <c r="A309" i="27"/>
  <c r="BD225" i="27"/>
  <c r="BE225" i="27" s="1"/>
  <c r="BA226" i="27" s="1"/>
  <c r="BB226" i="27" s="1"/>
  <c r="AD227" i="27"/>
  <c r="AE227" i="27"/>
  <c r="W221" i="27"/>
  <c r="V221" i="27"/>
  <c r="AL220" i="27"/>
  <c r="AM220" i="27"/>
  <c r="E217" i="27"/>
  <c r="I217" i="27"/>
  <c r="F217" i="27"/>
  <c r="X221" i="27" l="1"/>
  <c r="Y221" i="27" s="1"/>
  <c r="U222" i="27" s="1"/>
  <c r="W222" i="27" s="1"/>
  <c r="BK221" i="27"/>
  <c r="BJ221" i="27"/>
  <c r="P222" i="27"/>
  <c r="Q222" i="27" s="1"/>
  <c r="M223" i="27" s="1"/>
  <c r="AF227" i="27"/>
  <c r="AG227" i="27" s="1"/>
  <c r="AC228" i="27" s="1"/>
  <c r="AD228" i="27" s="1"/>
  <c r="BC226" i="27"/>
  <c r="BD226" i="27" s="1"/>
  <c r="BE226" i="27" s="1"/>
  <c r="BA227" i="27" s="1"/>
  <c r="A310" i="27"/>
  <c r="C311" i="27"/>
  <c r="V222" i="27"/>
  <c r="G217" i="27"/>
  <c r="H217" i="27" s="1"/>
  <c r="D218" i="27" s="1"/>
  <c r="AN220" i="27"/>
  <c r="AO220" i="27" s="1"/>
  <c r="AK221" i="27" s="1"/>
  <c r="AU232" i="27"/>
  <c r="AT232" i="27"/>
  <c r="AV232" i="27" l="1"/>
  <c r="AW232" i="27" s="1"/>
  <c r="AS233" i="27" s="1"/>
  <c r="AE228" i="27"/>
  <c r="AF228" i="27" s="1"/>
  <c r="AG228" i="27" s="1"/>
  <c r="AC229" i="27" s="1"/>
  <c r="BL221" i="27"/>
  <c r="BM221" i="27" s="1"/>
  <c r="BI222" i="27" s="1"/>
  <c r="O223" i="27"/>
  <c r="N223" i="27"/>
  <c r="A311" i="27"/>
  <c r="C312" i="27"/>
  <c r="AU233" i="27"/>
  <c r="AT233" i="27"/>
  <c r="F218" i="27"/>
  <c r="I218" i="27"/>
  <c r="E218" i="27"/>
  <c r="AL221" i="27"/>
  <c r="AM221" i="27"/>
  <c r="X222" i="27"/>
  <c r="Y222" i="27" s="1"/>
  <c r="U223" i="27" s="1"/>
  <c r="BC227" i="27"/>
  <c r="BB227" i="27"/>
  <c r="P223" i="27" l="1"/>
  <c r="Q223" i="27" s="1"/>
  <c r="M224" i="27" s="1"/>
  <c r="AV233" i="27"/>
  <c r="AW233" i="27" s="1"/>
  <c r="AS234" i="27" s="1"/>
  <c r="AT234" i="27" s="1"/>
  <c r="AE229" i="27"/>
  <c r="AD229" i="27"/>
  <c r="BK222" i="27"/>
  <c r="BJ222" i="27"/>
  <c r="O224" i="27"/>
  <c r="N224" i="27"/>
  <c r="G218" i="27"/>
  <c r="H218" i="27" s="1"/>
  <c r="D219" i="27" s="1"/>
  <c r="I219" i="27" s="1"/>
  <c r="BD227" i="27"/>
  <c r="BE227" i="27" s="1"/>
  <c r="BA228" i="27" s="1"/>
  <c r="BB228" i="27" s="1"/>
  <c r="C313" i="27"/>
  <c r="A312" i="27"/>
  <c r="AN221" i="27"/>
  <c r="AO221" i="27" s="1"/>
  <c r="AK222" i="27" s="1"/>
  <c r="V223" i="27"/>
  <c r="W223" i="27"/>
  <c r="P224" i="27" l="1"/>
  <c r="Q224" i="27" s="1"/>
  <c r="M225" i="27" s="1"/>
  <c r="AU234" i="27"/>
  <c r="AV234" i="27" s="1"/>
  <c r="AW234" i="27" s="1"/>
  <c r="AS235" i="27" s="1"/>
  <c r="AU235" i="27" s="1"/>
  <c r="AF229" i="27"/>
  <c r="AG229" i="27" s="1"/>
  <c r="AC230" i="27" s="1"/>
  <c r="BL222" i="27"/>
  <c r="BM222" i="27" s="1"/>
  <c r="BI223" i="27" s="1"/>
  <c r="O225" i="27"/>
  <c r="N225" i="27"/>
  <c r="E219" i="27"/>
  <c r="BC228" i="27"/>
  <c r="BD228" i="27" s="1"/>
  <c r="BE228" i="27" s="1"/>
  <c r="BA229" i="27" s="1"/>
  <c r="F219" i="27"/>
  <c r="A313" i="27"/>
  <c r="C314" i="27"/>
  <c r="AM222" i="27"/>
  <c r="AL222" i="27"/>
  <c r="X223" i="27"/>
  <c r="Y223" i="27" s="1"/>
  <c r="U224" i="27" s="1"/>
  <c r="P225" i="27" l="1"/>
  <c r="Q225" i="27" s="1"/>
  <c r="M226" i="27" s="1"/>
  <c r="N226" i="27" s="1"/>
  <c r="AD230" i="27"/>
  <c r="AE230" i="27"/>
  <c r="BJ223" i="27"/>
  <c r="BK223" i="27"/>
  <c r="AT235" i="27"/>
  <c r="AV235" i="27" s="1"/>
  <c r="AW235" i="27" s="1"/>
  <c r="AS236" i="27" s="1"/>
  <c r="AU236" i="27" s="1"/>
  <c r="BC229" i="27"/>
  <c r="BB229" i="27"/>
  <c r="G219" i="27"/>
  <c r="H219" i="27" s="1"/>
  <c r="D220" i="27" s="1"/>
  <c r="AN222" i="27"/>
  <c r="AO222" i="27" s="1"/>
  <c r="AK223" i="27" s="1"/>
  <c r="AM223" i="27" s="1"/>
  <c r="A314" i="27"/>
  <c r="C315" i="27"/>
  <c r="V224" i="27"/>
  <c r="W224" i="27"/>
  <c r="O226" i="27" l="1"/>
  <c r="P226" i="27" s="1"/>
  <c r="Q226" i="27" s="1"/>
  <c r="M227" i="27" s="1"/>
  <c r="BD229" i="27"/>
  <c r="BE229" i="27" s="1"/>
  <c r="BA230" i="27" s="1"/>
  <c r="BC230" i="27" s="1"/>
  <c r="AF230" i="27"/>
  <c r="AG230" i="27" s="1"/>
  <c r="AC231" i="27" s="1"/>
  <c r="AD231" i="27" s="1"/>
  <c r="BL223" i="27"/>
  <c r="BM223" i="27" s="1"/>
  <c r="BI224" i="27" s="1"/>
  <c r="AL223" i="27"/>
  <c r="AN223" i="27" s="1"/>
  <c r="AO223" i="27" s="1"/>
  <c r="AK224" i="27" s="1"/>
  <c r="AM224" i="27" s="1"/>
  <c r="E220" i="27"/>
  <c r="F220" i="27"/>
  <c r="I220" i="27"/>
  <c r="AT236" i="27"/>
  <c r="AV236" i="27" s="1"/>
  <c r="AW236" i="27" s="1"/>
  <c r="AS237" i="27" s="1"/>
  <c r="C316" i="27"/>
  <c r="A315" i="27"/>
  <c r="BB230" i="27"/>
  <c r="X224" i="27"/>
  <c r="Y224" i="27" s="1"/>
  <c r="U225" i="27" s="1"/>
  <c r="AE231" i="27" l="1"/>
  <c r="AF231" i="27" s="1"/>
  <c r="AG231" i="27" s="1"/>
  <c r="AC232" i="27" s="1"/>
  <c r="AD232" i="27" s="1"/>
  <c r="AL224" i="27"/>
  <c r="AN224" i="27" s="1"/>
  <c r="AO224" i="27" s="1"/>
  <c r="AK225" i="27" s="1"/>
  <c r="AM225" i="27" s="1"/>
  <c r="BK224" i="27"/>
  <c r="BJ224" i="27"/>
  <c r="AT237" i="27"/>
  <c r="AU237" i="27"/>
  <c r="G220" i="27"/>
  <c r="H220" i="27" s="1"/>
  <c r="D221" i="27" s="1"/>
  <c r="O227" i="27"/>
  <c r="N227" i="27"/>
  <c r="A316" i="27"/>
  <c r="C317" i="27"/>
  <c r="V225" i="27"/>
  <c r="W225" i="27"/>
  <c r="BD230" i="27"/>
  <c r="BE230" i="27" s="1"/>
  <c r="BA231" i="27" s="1"/>
  <c r="AE232" i="27" l="1"/>
  <c r="AF232" i="27" s="1"/>
  <c r="AG232" i="27" s="1"/>
  <c r="AC233" i="27" s="1"/>
  <c r="AE233" i="27" s="1"/>
  <c r="P227" i="27"/>
  <c r="Q227" i="27" s="1"/>
  <c r="M228" i="27" s="1"/>
  <c r="O228" i="27" s="1"/>
  <c r="BL224" i="27"/>
  <c r="BM224" i="27" s="1"/>
  <c r="BI225" i="27" s="1"/>
  <c r="N228" i="27"/>
  <c r="F221" i="27"/>
  <c r="I221" i="27"/>
  <c r="E221" i="27"/>
  <c r="AV237" i="27"/>
  <c r="AW237" i="27" s="1"/>
  <c r="AS238" i="27" s="1"/>
  <c r="C318" i="27"/>
  <c r="A317" i="27"/>
  <c r="AL225" i="27"/>
  <c r="AN225" i="27" s="1"/>
  <c r="AO225" i="27" s="1"/>
  <c r="AK226" i="27" s="1"/>
  <c r="BC231" i="27"/>
  <c r="BB231" i="27"/>
  <c r="X225" i="27"/>
  <c r="Y225" i="27" s="1"/>
  <c r="U226" i="27" s="1"/>
  <c r="P228" i="27" l="1"/>
  <c r="Q228" i="27" s="1"/>
  <c r="M229" i="27" s="1"/>
  <c r="AD233" i="27"/>
  <c r="AF233" i="27" s="1"/>
  <c r="AG233" i="27" s="1"/>
  <c r="AC234" i="27" s="1"/>
  <c r="AD234" i="27" s="1"/>
  <c r="G221" i="27"/>
  <c r="H221" i="27" s="1"/>
  <c r="D222" i="27" s="1"/>
  <c r="F222" i="27" s="1"/>
  <c r="BJ225" i="27"/>
  <c r="BK225" i="27"/>
  <c r="AT238" i="27"/>
  <c r="AU238" i="27"/>
  <c r="O229" i="27"/>
  <c r="N229" i="27"/>
  <c r="BD231" i="27"/>
  <c r="BE231" i="27" s="1"/>
  <c r="BA232" i="27" s="1"/>
  <c r="BC232" i="27" s="1"/>
  <c r="AM226" i="27"/>
  <c r="AL226" i="27"/>
  <c r="C319" i="27"/>
  <c r="A318" i="27"/>
  <c r="V226" i="27"/>
  <c r="W226" i="27"/>
  <c r="E222" i="27" l="1"/>
  <c r="G222" i="27" s="1"/>
  <c r="H222" i="27" s="1"/>
  <c r="D223" i="27" s="1"/>
  <c r="I222" i="27"/>
  <c r="AN226" i="27"/>
  <c r="AO226" i="27" s="1"/>
  <c r="AK227" i="27" s="1"/>
  <c r="AM227" i="27" s="1"/>
  <c r="BL225" i="27"/>
  <c r="BM225" i="27" s="1"/>
  <c r="BI226" i="27" s="1"/>
  <c r="BK226" i="27" s="1"/>
  <c r="AE234" i="27"/>
  <c r="AF234" i="27" s="1"/>
  <c r="AG234" i="27" s="1"/>
  <c r="AC235" i="27" s="1"/>
  <c r="P229" i="27"/>
  <c r="Q229" i="27" s="1"/>
  <c r="M230" i="27" s="1"/>
  <c r="O230" i="27" s="1"/>
  <c r="BB232" i="27"/>
  <c r="BD232" i="27" s="1"/>
  <c r="BE232" i="27" s="1"/>
  <c r="BA233" i="27" s="1"/>
  <c r="AV238" i="27"/>
  <c r="AW238" i="27" s="1"/>
  <c r="AS239" i="27" s="1"/>
  <c r="A319" i="27"/>
  <c r="C320" i="27"/>
  <c r="X226" i="27"/>
  <c r="Y226" i="27" s="1"/>
  <c r="U227" i="27" s="1"/>
  <c r="AL227" i="27" l="1"/>
  <c r="AN227" i="27" s="1"/>
  <c r="AO227" i="27" s="1"/>
  <c r="AK228" i="27" s="1"/>
  <c r="AM228" i="27" s="1"/>
  <c r="BJ226" i="27"/>
  <c r="N230" i="27"/>
  <c r="P230" i="27" s="1"/>
  <c r="Q230" i="27" s="1"/>
  <c r="M231" i="27" s="1"/>
  <c r="BL226" i="27"/>
  <c r="BM226" i="27" s="1"/>
  <c r="BI227" i="27" s="1"/>
  <c r="AU239" i="27"/>
  <c r="AT239" i="27"/>
  <c r="F223" i="27"/>
  <c r="I223" i="27"/>
  <c r="E223" i="27"/>
  <c r="C321" i="27"/>
  <c r="A320" i="27"/>
  <c r="V227" i="27"/>
  <c r="W227" i="27"/>
  <c r="AD235" i="27"/>
  <c r="AE235" i="27"/>
  <c r="BC233" i="27"/>
  <c r="BB233" i="27"/>
  <c r="N231" i="27" l="1"/>
  <c r="O231" i="27"/>
  <c r="AV239" i="27"/>
  <c r="AW239" i="27" s="1"/>
  <c r="AS240" i="27" s="1"/>
  <c r="AU240" i="27" s="1"/>
  <c r="P231" i="27"/>
  <c r="Q231" i="27" s="1"/>
  <c r="M232" i="27" s="1"/>
  <c r="O232" i="27" s="1"/>
  <c r="G223" i="27"/>
  <c r="H223" i="27" s="1"/>
  <c r="D224" i="27" s="1"/>
  <c r="F224" i="27" s="1"/>
  <c r="BK227" i="27"/>
  <c r="BJ227" i="27"/>
  <c r="BD233" i="27"/>
  <c r="BE233" i="27" s="1"/>
  <c r="BA234" i="27" s="1"/>
  <c r="BC234" i="27" s="1"/>
  <c r="AF235" i="27"/>
  <c r="AG235" i="27" s="1"/>
  <c r="AC236" i="27" s="1"/>
  <c r="AE236" i="27" s="1"/>
  <c r="AL228" i="27"/>
  <c r="AN228" i="27" s="1"/>
  <c r="AO228" i="27" s="1"/>
  <c r="AK229" i="27" s="1"/>
  <c r="X227" i="27"/>
  <c r="Y227" i="27" s="1"/>
  <c r="U228" i="27" s="1"/>
  <c r="V228" i="27" s="1"/>
  <c r="A321" i="27"/>
  <c r="C322" i="27"/>
  <c r="E224" i="27" l="1"/>
  <c r="N232" i="27"/>
  <c r="AT240" i="27"/>
  <c r="AV240" i="27" s="1"/>
  <c r="AW240" i="27" s="1"/>
  <c r="AS241" i="27" s="1"/>
  <c r="AU241" i="27" s="1"/>
  <c r="I224" i="27"/>
  <c r="BB234" i="27"/>
  <c r="BD234" i="27" s="1"/>
  <c r="BE234" i="27" s="1"/>
  <c r="BA235" i="27" s="1"/>
  <c r="AD236" i="27"/>
  <c r="AF236" i="27" s="1"/>
  <c r="AG236" i="27" s="1"/>
  <c r="AC237" i="27" s="1"/>
  <c r="BL227" i="27"/>
  <c r="BM227" i="27" s="1"/>
  <c r="BI228" i="27" s="1"/>
  <c r="P232" i="27"/>
  <c r="Q232" i="27" s="1"/>
  <c r="M233" i="27" s="1"/>
  <c r="O233" i="27" s="1"/>
  <c r="G224" i="27"/>
  <c r="H224" i="27" s="1"/>
  <c r="D225" i="27" s="1"/>
  <c r="F225" i="27" s="1"/>
  <c r="W228" i="27"/>
  <c r="X228" i="27" s="1"/>
  <c r="Y228" i="27" s="1"/>
  <c r="U229" i="27" s="1"/>
  <c r="C323" i="27"/>
  <c r="A322" i="27"/>
  <c r="AL229" i="27"/>
  <c r="AM229" i="27"/>
  <c r="AT241" i="27" l="1"/>
  <c r="N233" i="27"/>
  <c r="AE237" i="27"/>
  <c r="AD237" i="27"/>
  <c r="BJ228" i="27"/>
  <c r="BK228" i="27"/>
  <c r="I225" i="27"/>
  <c r="E225" i="27"/>
  <c r="G225" i="27" s="1"/>
  <c r="H225" i="27" s="1"/>
  <c r="D226" i="27" s="1"/>
  <c r="P233" i="27"/>
  <c r="Q233" i="27" s="1"/>
  <c r="M234" i="27" s="1"/>
  <c r="O234" i="27" s="1"/>
  <c r="AV241" i="27"/>
  <c r="AW241" i="27" s="1"/>
  <c r="AS242" i="27" s="1"/>
  <c r="AT242" i="27" s="1"/>
  <c r="A323" i="27"/>
  <c r="C324" i="27"/>
  <c r="V229" i="27"/>
  <c r="W229" i="27"/>
  <c r="BB235" i="27"/>
  <c r="BC235" i="27"/>
  <c r="AN229" i="27"/>
  <c r="AO229" i="27" s="1"/>
  <c r="AK230" i="27" s="1"/>
  <c r="N234" i="27" l="1"/>
  <c r="P234" i="27" s="1"/>
  <c r="Q234" i="27" s="1"/>
  <c r="M235" i="27" s="1"/>
  <c r="AF237" i="27"/>
  <c r="AG237" i="27" s="1"/>
  <c r="AC238" i="27" s="1"/>
  <c r="AE238" i="27" s="1"/>
  <c r="BL228" i="27"/>
  <c r="BM228" i="27" s="1"/>
  <c r="BI229" i="27" s="1"/>
  <c r="AU242" i="27"/>
  <c r="AV242" i="27" s="1"/>
  <c r="AW242" i="27" s="1"/>
  <c r="AS243" i="27" s="1"/>
  <c r="AT243" i="27" s="1"/>
  <c r="X229" i="27"/>
  <c r="Y229" i="27" s="1"/>
  <c r="U230" i="27" s="1"/>
  <c r="V230" i="27" s="1"/>
  <c r="F226" i="27"/>
  <c r="E226" i="27"/>
  <c r="I226" i="27"/>
  <c r="C325" i="27"/>
  <c r="A324" i="27"/>
  <c r="AM230" i="27"/>
  <c r="AL230" i="27"/>
  <c r="BD235" i="27"/>
  <c r="BE235" i="27" s="1"/>
  <c r="BA236" i="27" s="1"/>
  <c r="O235" i="27" l="1"/>
  <c r="N235" i="27"/>
  <c r="AD238" i="27"/>
  <c r="AF238" i="27" s="1"/>
  <c r="AG238" i="27" s="1"/>
  <c r="AC239" i="27" s="1"/>
  <c r="BJ229" i="27"/>
  <c r="BK229" i="27"/>
  <c r="G226" i="27"/>
  <c r="H226" i="27" s="1"/>
  <c r="D227" i="27" s="1"/>
  <c r="F227" i="27" s="1"/>
  <c r="AU243" i="27"/>
  <c r="AV243" i="27" s="1"/>
  <c r="AW243" i="27" s="1"/>
  <c r="AS244" i="27" s="1"/>
  <c r="AT244" i="27" s="1"/>
  <c r="W230" i="27"/>
  <c r="X230" i="27" s="1"/>
  <c r="Y230" i="27" s="1"/>
  <c r="U231" i="27" s="1"/>
  <c r="AN230" i="27"/>
  <c r="AO230" i="27" s="1"/>
  <c r="AK231" i="27" s="1"/>
  <c r="AM231" i="27" s="1"/>
  <c r="C326" i="27"/>
  <c r="A325" i="27"/>
  <c r="BB236" i="27"/>
  <c r="BC236" i="27"/>
  <c r="P235" i="27" l="1"/>
  <c r="Q235" i="27" s="1"/>
  <c r="M236" i="27" s="1"/>
  <c r="BL229" i="27"/>
  <c r="BM229" i="27" s="1"/>
  <c r="BI230" i="27" s="1"/>
  <c r="BK230" i="27" s="1"/>
  <c r="E227" i="27"/>
  <c r="G227" i="27" s="1"/>
  <c r="H227" i="27" s="1"/>
  <c r="D228" i="27" s="1"/>
  <c r="I227" i="27"/>
  <c r="AU244" i="27"/>
  <c r="AV244" i="27" s="1"/>
  <c r="AW244" i="27" s="1"/>
  <c r="AS245" i="27" s="1"/>
  <c r="O236" i="27"/>
  <c r="N236" i="27"/>
  <c r="AL231" i="27"/>
  <c r="AN231" i="27" s="1"/>
  <c r="AO231" i="27" s="1"/>
  <c r="AK232" i="27" s="1"/>
  <c r="AL232" i="27" s="1"/>
  <c r="A326" i="27"/>
  <c r="C327" i="27"/>
  <c r="V231" i="27"/>
  <c r="W231" i="27"/>
  <c r="AE239" i="27"/>
  <c r="AD239" i="27"/>
  <c r="BD236" i="27"/>
  <c r="BE236" i="27" s="1"/>
  <c r="BA237" i="27" s="1"/>
  <c r="BJ230" i="27" l="1"/>
  <c r="BL230" i="27" s="1"/>
  <c r="BM230" i="27" s="1"/>
  <c r="BI231" i="27" s="1"/>
  <c r="P236" i="27"/>
  <c r="Q236" i="27" s="1"/>
  <c r="M237" i="27" s="1"/>
  <c r="F228" i="27"/>
  <c r="E228" i="27"/>
  <c r="I228" i="27"/>
  <c r="AM232" i="27"/>
  <c r="AN232" i="27" s="1"/>
  <c r="AO232" i="27" s="1"/>
  <c r="AK233" i="27" s="1"/>
  <c r="N237" i="27"/>
  <c r="O237" i="27"/>
  <c r="X231" i="27"/>
  <c r="Y231" i="27" s="1"/>
  <c r="U232" i="27" s="1"/>
  <c r="V232" i="27" s="1"/>
  <c r="AF239" i="27"/>
  <c r="AG239" i="27" s="1"/>
  <c r="AC240" i="27" s="1"/>
  <c r="AE240" i="27" s="1"/>
  <c r="C328" i="27"/>
  <c r="A327" i="27"/>
  <c r="BB237" i="27"/>
  <c r="BC237" i="27"/>
  <c r="AT245" i="27"/>
  <c r="AU245" i="27"/>
  <c r="AD240" i="27" l="1"/>
  <c r="AF240" i="27" s="1"/>
  <c r="AG240" i="27" s="1"/>
  <c r="AC241" i="27" s="1"/>
  <c r="BJ231" i="27"/>
  <c r="BK231" i="27"/>
  <c r="G228" i="27"/>
  <c r="H228" i="27" s="1"/>
  <c r="D229" i="27" s="1"/>
  <c r="E229" i="27" s="1"/>
  <c r="P237" i="27"/>
  <c r="Q237" i="27" s="1"/>
  <c r="M238" i="27" s="1"/>
  <c r="N238" i="27" s="1"/>
  <c r="W232" i="27"/>
  <c r="X232" i="27" s="1"/>
  <c r="Y232" i="27" s="1"/>
  <c r="U233" i="27" s="1"/>
  <c r="W233" i="27" s="1"/>
  <c r="AL233" i="27"/>
  <c r="AM233" i="27"/>
  <c r="A328" i="27"/>
  <c r="C329" i="27"/>
  <c r="AV245" i="27"/>
  <c r="AW245" i="27" s="1"/>
  <c r="AS246" i="27" s="1"/>
  <c r="BD237" i="27"/>
  <c r="BE237" i="27" s="1"/>
  <c r="BA238" i="27" s="1"/>
  <c r="AD241" i="27" l="1"/>
  <c r="AE241" i="27"/>
  <c r="O238" i="27"/>
  <c r="BL231" i="27"/>
  <c r="BM231" i="27" s="1"/>
  <c r="BI232" i="27" s="1"/>
  <c r="BJ232" i="27" s="1"/>
  <c r="I229" i="27"/>
  <c r="F229" i="27"/>
  <c r="G229" i="27" s="1"/>
  <c r="H229" i="27" s="1"/>
  <c r="D230" i="27" s="1"/>
  <c r="F230" i="27" s="1"/>
  <c r="P238" i="27"/>
  <c r="Q238" i="27" s="1"/>
  <c r="M239" i="27" s="1"/>
  <c r="O239" i="27" s="1"/>
  <c r="AN233" i="27"/>
  <c r="AO233" i="27" s="1"/>
  <c r="AK234" i="27" s="1"/>
  <c r="AL234" i="27" s="1"/>
  <c r="V233" i="27"/>
  <c r="X233" i="27" s="1"/>
  <c r="Y233" i="27" s="1"/>
  <c r="U234" i="27" s="1"/>
  <c r="C330" i="27"/>
  <c r="A329" i="27"/>
  <c r="BB238" i="27"/>
  <c r="BC238" i="27"/>
  <c r="AU246" i="27"/>
  <c r="AT246" i="27"/>
  <c r="AF241" i="27" l="1"/>
  <c r="AG241" i="27" s="1"/>
  <c r="AC242" i="27" s="1"/>
  <c r="AE242" i="27" s="1"/>
  <c r="N239" i="27"/>
  <c r="P239" i="27" s="1"/>
  <c r="Q239" i="27" s="1"/>
  <c r="M240" i="27" s="1"/>
  <c r="BK232" i="27"/>
  <c r="BL232" i="27" s="1"/>
  <c r="BM232" i="27" s="1"/>
  <c r="BI233" i="27" s="1"/>
  <c r="BJ233" i="27" s="1"/>
  <c r="I230" i="27"/>
  <c r="E230" i="27"/>
  <c r="G230" i="27" s="1"/>
  <c r="H230" i="27" s="1"/>
  <c r="D231" i="27" s="1"/>
  <c r="E231" i="27" s="1"/>
  <c r="AM234" i="27"/>
  <c r="AN234" i="27" s="1"/>
  <c r="AO234" i="27" s="1"/>
  <c r="AK235" i="27" s="1"/>
  <c r="AM235" i="27" s="1"/>
  <c r="AV246" i="27"/>
  <c r="AW246" i="27" s="1"/>
  <c r="AS247" i="27" s="1"/>
  <c r="AT247" i="27" s="1"/>
  <c r="V234" i="27"/>
  <c r="W234" i="27"/>
  <c r="C331" i="27"/>
  <c r="A330" i="27"/>
  <c r="BD238" i="27"/>
  <c r="BE238" i="27" s="1"/>
  <c r="BA239" i="27" s="1"/>
  <c r="AD242" i="27" l="1"/>
  <c r="AF242" i="27" s="1"/>
  <c r="AG242" i="27" s="1"/>
  <c r="AC243" i="27" s="1"/>
  <c r="AD243" i="27" s="1"/>
  <c r="BK233" i="27"/>
  <c r="BL233" i="27"/>
  <c r="BM233" i="27" s="1"/>
  <c r="BI234" i="27" s="1"/>
  <c r="BK234" i="27" s="1"/>
  <c r="AU247" i="27"/>
  <c r="AV247" i="27" s="1"/>
  <c r="AW247" i="27" s="1"/>
  <c r="AS248" i="27" s="1"/>
  <c r="AL235" i="27"/>
  <c r="AN235" i="27" s="1"/>
  <c r="AO235" i="27" s="1"/>
  <c r="AK236" i="27" s="1"/>
  <c r="F231" i="27"/>
  <c r="G231" i="27" s="1"/>
  <c r="H231" i="27" s="1"/>
  <c r="D232" i="27" s="1"/>
  <c r="F232" i="27" s="1"/>
  <c r="I231" i="27"/>
  <c r="O240" i="27"/>
  <c r="N240" i="27"/>
  <c r="X234" i="27"/>
  <c r="Y234" i="27" s="1"/>
  <c r="U235" i="27" s="1"/>
  <c r="A331" i="27"/>
  <c r="C332" i="27"/>
  <c r="BC239" i="27"/>
  <c r="BB239" i="27"/>
  <c r="P240" i="27" l="1"/>
  <c r="Q240" i="27" s="1"/>
  <c r="M241" i="27" s="1"/>
  <c r="O241" i="27" s="1"/>
  <c r="BJ234" i="27"/>
  <c r="BL234" i="27" s="1"/>
  <c r="BM234" i="27" s="1"/>
  <c r="BI235" i="27" s="1"/>
  <c r="AE243" i="27"/>
  <c r="AF243" i="27" s="1"/>
  <c r="AG243" i="27" s="1"/>
  <c r="AC244" i="27" s="1"/>
  <c r="E232" i="27"/>
  <c r="G232" i="27" s="1"/>
  <c r="H232" i="27" s="1"/>
  <c r="D233" i="27" s="1"/>
  <c r="I232" i="27"/>
  <c r="N241" i="27"/>
  <c r="P241" i="27" s="1"/>
  <c r="Q241" i="27" s="1"/>
  <c r="M242" i="27" s="1"/>
  <c r="W235" i="27"/>
  <c r="V235" i="27"/>
  <c r="AM236" i="27"/>
  <c r="AL236" i="27"/>
  <c r="C333" i="27"/>
  <c r="A332" i="27"/>
  <c r="AT248" i="27"/>
  <c r="AU248" i="27"/>
  <c r="BD239" i="27"/>
  <c r="BE239" i="27" s="1"/>
  <c r="BA240" i="27" s="1"/>
  <c r="AN236" i="27" l="1"/>
  <c r="AO236" i="27" s="1"/>
  <c r="AK237" i="27" s="1"/>
  <c r="X235" i="27"/>
  <c r="Y235" i="27" s="1"/>
  <c r="U236" i="27" s="1"/>
  <c r="W236" i="27" s="1"/>
  <c r="BK235" i="27"/>
  <c r="BJ235" i="27"/>
  <c r="AM237" i="27"/>
  <c r="AL237" i="27"/>
  <c r="F233" i="27"/>
  <c r="E233" i="27"/>
  <c r="I233" i="27"/>
  <c r="C334" i="27"/>
  <c r="A333" i="27"/>
  <c r="AE244" i="27"/>
  <c r="AD244" i="27"/>
  <c r="N242" i="27"/>
  <c r="O242" i="27"/>
  <c r="AV248" i="27"/>
  <c r="AW248" i="27" s="1"/>
  <c r="AS249" i="27" s="1"/>
  <c r="BC240" i="27"/>
  <c r="BB240" i="27"/>
  <c r="G233" i="27" l="1"/>
  <c r="H233" i="27" s="1"/>
  <c r="D234" i="27" s="1"/>
  <c r="F234" i="27" s="1"/>
  <c r="V236" i="27"/>
  <c r="AN237" i="27"/>
  <c r="AO237" i="27" s="1"/>
  <c r="AK238" i="27" s="1"/>
  <c r="AL238" i="27" s="1"/>
  <c r="BL235" i="27"/>
  <c r="BM235" i="27" s="1"/>
  <c r="BI236" i="27" s="1"/>
  <c r="X236" i="27"/>
  <c r="Y236" i="27" s="1"/>
  <c r="U237" i="27" s="1"/>
  <c r="AF244" i="27"/>
  <c r="AG244" i="27" s="1"/>
  <c r="AC245" i="27" s="1"/>
  <c r="AD245" i="27" s="1"/>
  <c r="BD240" i="27"/>
  <c r="BE240" i="27" s="1"/>
  <c r="BA241" i="27" s="1"/>
  <c r="BB241" i="27" s="1"/>
  <c r="A334" i="27"/>
  <c r="C335" i="27"/>
  <c r="P242" i="27"/>
  <c r="Q242" i="27" s="1"/>
  <c r="M243" i="27" s="1"/>
  <c r="AU249" i="27"/>
  <c r="AT249" i="27"/>
  <c r="AV249" i="27" s="1"/>
  <c r="AW249" i="27" s="1"/>
  <c r="AS250" i="27" s="1"/>
  <c r="I234" i="27" l="1"/>
  <c r="E234" i="27"/>
  <c r="G234" i="27" s="1"/>
  <c r="H234" i="27" s="1"/>
  <c r="D235" i="27" s="1"/>
  <c r="AM238" i="27"/>
  <c r="AN238" i="27" s="1"/>
  <c r="AO238" i="27" s="1"/>
  <c r="AK239" i="27" s="1"/>
  <c r="BK236" i="27"/>
  <c r="BJ236" i="27"/>
  <c r="AE245" i="27"/>
  <c r="AF245" i="27" s="1"/>
  <c r="AG245" i="27" s="1"/>
  <c r="AC246" i="27" s="1"/>
  <c r="AE246" i="27" s="1"/>
  <c r="BC241" i="27"/>
  <c r="BD241" i="27" s="1"/>
  <c r="BE241" i="27" s="1"/>
  <c r="BA242" i="27" s="1"/>
  <c r="W237" i="27"/>
  <c r="V237" i="27"/>
  <c r="A335" i="27"/>
  <c r="C336" i="27"/>
  <c r="AU250" i="27"/>
  <c r="AT250" i="27"/>
  <c r="N243" i="27"/>
  <c r="O243" i="27"/>
  <c r="AV250" i="27" l="1"/>
  <c r="AW250" i="27" s="1"/>
  <c r="AS251" i="27" s="1"/>
  <c r="X237" i="27"/>
  <c r="Y237" i="27" s="1"/>
  <c r="U238" i="27" s="1"/>
  <c r="BL236" i="27"/>
  <c r="BM236" i="27" s="1"/>
  <c r="BI237" i="27" s="1"/>
  <c r="AD246" i="27"/>
  <c r="AF246" i="27" s="1"/>
  <c r="AG246" i="27" s="1"/>
  <c r="AC247" i="27" s="1"/>
  <c r="AD247" i="27" s="1"/>
  <c r="W238" i="27"/>
  <c r="V238" i="27"/>
  <c r="F235" i="27"/>
  <c r="I235" i="27"/>
  <c r="E235" i="27"/>
  <c r="G235" i="27" s="1"/>
  <c r="H235" i="27" s="1"/>
  <c r="D236" i="27" s="1"/>
  <c r="AM239" i="27"/>
  <c r="AL239" i="27"/>
  <c r="C337" i="27"/>
  <c r="A336" i="27"/>
  <c r="AU251" i="27"/>
  <c r="AT251" i="27"/>
  <c r="BB242" i="27"/>
  <c r="BC242" i="27"/>
  <c r="P243" i="27"/>
  <c r="Q243" i="27" s="1"/>
  <c r="M244" i="27" s="1"/>
  <c r="AV251" i="27" l="1"/>
  <c r="AW251" i="27" s="1"/>
  <c r="AS252" i="27" s="1"/>
  <c r="X238" i="27"/>
  <c r="Y238" i="27" s="1"/>
  <c r="U239" i="27" s="1"/>
  <c r="W239" i="27" s="1"/>
  <c r="BJ237" i="27"/>
  <c r="BK237" i="27"/>
  <c r="AE247" i="27"/>
  <c r="AF247" i="27" s="1"/>
  <c r="AG247" i="27" s="1"/>
  <c r="AC248" i="27" s="1"/>
  <c r="AN239" i="27"/>
  <c r="AO239" i="27" s="1"/>
  <c r="AK240" i="27" s="1"/>
  <c r="AL240" i="27" s="1"/>
  <c r="I236" i="27"/>
  <c r="F236" i="27"/>
  <c r="E236" i="27"/>
  <c r="BD242" i="27"/>
  <c r="BE242" i="27" s="1"/>
  <c r="BA243" i="27" s="1"/>
  <c r="BC243" i="27" s="1"/>
  <c r="A337" i="27"/>
  <c r="C338" i="27"/>
  <c r="AU252" i="27"/>
  <c r="AT252" i="27"/>
  <c r="N244" i="27"/>
  <c r="O244" i="27"/>
  <c r="V239" i="27" l="1"/>
  <c r="X239" i="27" s="1"/>
  <c r="Y239" i="27" s="1"/>
  <c r="U240" i="27" s="1"/>
  <c r="W240" i="27" s="1"/>
  <c r="G236" i="27"/>
  <c r="H236" i="27" s="1"/>
  <c r="D237" i="27" s="1"/>
  <c r="F237" i="27" s="1"/>
  <c r="BL237" i="27"/>
  <c r="BM237" i="27" s="1"/>
  <c r="BI238" i="27" s="1"/>
  <c r="BK238" i="27" s="1"/>
  <c r="AM240" i="27"/>
  <c r="AN240" i="27" s="1"/>
  <c r="AO240" i="27" s="1"/>
  <c r="AK241" i="27" s="1"/>
  <c r="BB243" i="27"/>
  <c r="BD243" i="27" s="1"/>
  <c r="BE243" i="27" s="1"/>
  <c r="BA244" i="27" s="1"/>
  <c r="A338" i="27"/>
  <c r="C339" i="27"/>
  <c r="P244" i="27"/>
  <c r="Q244" i="27" s="1"/>
  <c r="M245" i="27" s="1"/>
  <c r="AV252" i="27"/>
  <c r="AW252" i="27" s="1"/>
  <c r="AS253" i="27" s="1"/>
  <c r="AE248" i="27"/>
  <c r="AD248" i="27"/>
  <c r="V240" i="27" l="1"/>
  <c r="X240" i="27" s="1"/>
  <c r="Y240" i="27" s="1"/>
  <c r="U241" i="27" s="1"/>
  <c r="I237" i="27"/>
  <c r="E237" i="27"/>
  <c r="G237" i="27" s="1"/>
  <c r="H237" i="27" s="1"/>
  <c r="D238" i="27" s="1"/>
  <c r="I238" i="27" s="1"/>
  <c r="BJ238" i="27"/>
  <c r="BL238" i="27" s="1"/>
  <c r="BM238" i="27" s="1"/>
  <c r="BI239" i="27" s="1"/>
  <c r="AF248" i="27"/>
  <c r="AG248" i="27" s="1"/>
  <c r="AC249" i="27" s="1"/>
  <c r="AD249" i="27" s="1"/>
  <c r="AM241" i="27"/>
  <c r="AL241" i="27"/>
  <c r="A339" i="27"/>
  <c r="C340" i="27"/>
  <c r="AU253" i="27"/>
  <c r="AT253" i="27"/>
  <c r="N245" i="27"/>
  <c r="O245" i="27"/>
  <c r="W241" i="27"/>
  <c r="V241" i="27"/>
  <c r="BB244" i="27"/>
  <c r="BC244" i="27"/>
  <c r="AE249" i="27" l="1"/>
  <c r="F238" i="27"/>
  <c r="E238" i="27"/>
  <c r="BJ239" i="27"/>
  <c r="BK239" i="27"/>
  <c r="AN241" i="27"/>
  <c r="AO241" i="27" s="1"/>
  <c r="AK242" i="27" s="1"/>
  <c r="AL242" i="27" s="1"/>
  <c r="AF249" i="27"/>
  <c r="AG249" i="27" s="1"/>
  <c r="AC250" i="27" s="1"/>
  <c r="AE250" i="27" s="1"/>
  <c r="C341" i="27"/>
  <c r="A340" i="27"/>
  <c r="X241" i="27"/>
  <c r="Y241" i="27" s="1"/>
  <c r="U242" i="27" s="1"/>
  <c r="V242" i="27" s="1"/>
  <c r="P245" i="27"/>
  <c r="Q245" i="27" s="1"/>
  <c r="M246" i="27" s="1"/>
  <c r="AV253" i="27"/>
  <c r="AW253" i="27" s="1"/>
  <c r="AS254" i="27" s="1"/>
  <c r="BD244" i="27"/>
  <c r="BE244" i="27" s="1"/>
  <c r="BA245" i="27" s="1"/>
  <c r="G238" i="27" l="1"/>
  <c r="H238" i="27" s="1"/>
  <c r="D239" i="27" s="1"/>
  <c r="E239" i="27" s="1"/>
  <c r="BL239" i="27"/>
  <c r="BM239" i="27" s="1"/>
  <c r="BI240" i="27" s="1"/>
  <c r="AM242" i="27"/>
  <c r="AN242" i="27" s="1"/>
  <c r="AO242" i="27" s="1"/>
  <c r="AK243" i="27" s="1"/>
  <c r="AL243" i="27" s="1"/>
  <c r="W242" i="27"/>
  <c r="X242" i="27" s="1"/>
  <c r="Y242" i="27" s="1"/>
  <c r="U243" i="27" s="1"/>
  <c r="AD250" i="27"/>
  <c r="AF250" i="27" s="1"/>
  <c r="AG250" i="27" s="1"/>
  <c r="AC251" i="27" s="1"/>
  <c r="AE251" i="27" s="1"/>
  <c r="C342" i="27"/>
  <c r="A341" i="27"/>
  <c r="AU254" i="27"/>
  <c r="AT254" i="27"/>
  <c r="BB245" i="27"/>
  <c r="BC245" i="27"/>
  <c r="O246" i="27"/>
  <c r="N246" i="27"/>
  <c r="F239" i="27" l="1"/>
  <c r="G239" i="27" s="1"/>
  <c r="H239" i="27" s="1"/>
  <c r="D240" i="27" s="1"/>
  <c r="I239" i="27"/>
  <c r="BJ240" i="27"/>
  <c r="BK240" i="27"/>
  <c r="AM243" i="27"/>
  <c r="AN243" i="27" s="1"/>
  <c r="AO243" i="27" s="1"/>
  <c r="AK244" i="27" s="1"/>
  <c r="AD251" i="27"/>
  <c r="AF251" i="27" s="1"/>
  <c r="AG251" i="27" s="1"/>
  <c r="AC252" i="27" s="1"/>
  <c r="AE252" i="27" s="1"/>
  <c r="BD245" i="27"/>
  <c r="BE245" i="27" s="1"/>
  <c r="BA246" i="27" s="1"/>
  <c r="BC246" i="27" s="1"/>
  <c r="AV254" i="27"/>
  <c r="AW254" i="27" s="1"/>
  <c r="AS255" i="27" s="1"/>
  <c r="AT255" i="27" s="1"/>
  <c r="P246" i="27"/>
  <c r="Q246" i="27" s="1"/>
  <c r="M247" i="27" s="1"/>
  <c r="O247" i="27" s="1"/>
  <c r="C343" i="27"/>
  <c r="A342" i="27"/>
  <c r="W243" i="27"/>
  <c r="V243" i="27"/>
  <c r="I240" i="27" l="1"/>
  <c r="F240" i="27"/>
  <c r="E240" i="27"/>
  <c r="G240" i="27" s="1"/>
  <c r="H240" i="27" s="1"/>
  <c r="D241" i="27" s="1"/>
  <c r="I241" i="27" s="1"/>
  <c r="X243" i="27"/>
  <c r="Y243" i="27" s="1"/>
  <c r="U244" i="27" s="1"/>
  <c r="W244" i="27" s="1"/>
  <c r="BL240" i="27"/>
  <c r="BM240" i="27" s="1"/>
  <c r="BI241" i="27" s="1"/>
  <c r="BJ241" i="27" s="1"/>
  <c r="AD252" i="27"/>
  <c r="AF252" i="27" s="1"/>
  <c r="AG252" i="27" s="1"/>
  <c r="AC253" i="27" s="1"/>
  <c r="AD253" i="27" s="1"/>
  <c r="AM244" i="27"/>
  <c r="AL244" i="27"/>
  <c r="AU255" i="27"/>
  <c r="AV255" i="27" s="1"/>
  <c r="AW255" i="27" s="1"/>
  <c r="AS256" i="27" s="1"/>
  <c r="AT256" i="27" s="1"/>
  <c r="BB246" i="27"/>
  <c r="BD246" i="27" s="1"/>
  <c r="BE246" i="27" s="1"/>
  <c r="BA247" i="27" s="1"/>
  <c r="BC247" i="27" s="1"/>
  <c r="N247" i="27"/>
  <c r="P247" i="27" s="1"/>
  <c r="Q247" i="27" s="1"/>
  <c r="M248" i="27" s="1"/>
  <c r="C344" i="27"/>
  <c r="A343" i="27"/>
  <c r="V244" i="27" l="1"/>
  <c r="BK241" i="27"/>
  <c r="BL241" i="27" s="1"/>
  <c r="BM241" i="27" s="1"/>
  <c r="BI242" i="27" s="1"/>
  <c r="E241" i="27"/>
  <c r="F241" i="27"/>
  <c r="AN244" i="27"/>
  <c r="AO244" i="27" s="1"/>
  <c r="AK245" i="27" s="1"/>
  <c r="AU256" i="27"/>
  <c r="AV256" i="27" s="1"/>
  <c r="AW256" i="27" s="1"/>
  <c r="AS257" i="27" s="1"/>
  <c r="AU257" i="27" s="1"/>
  <c r="N248" i="27"/>
  <c r="O248" i="27"/>
  <c r="BB247" i="27"/>
  <c r="BD247" i="27" s="1"/>
  <c r="BE247" i="27" s="1"/>
  <c r="BA248" i="27" s="1"/>
  <c r="BB248" i="27" s="1"/>
  <c r="C345" i="27"/>
  <c r="A344" i="27"/>
  <c r="AE253" i="27"/>
  <c r="AF253" i="27" s="1"/>
  <c r="AG253" i="27" s="1"/>
  <c r="AC254" i="27" s="1"/>
  <c r="X244" i="27"/>
  <c r="Y244" i="27" s="1"/>
  <c r="U245" i="27" s="1"/>
  <c r="G241" i="27" l="1"/>
  <c r="H241" i="27" s="1"/>
  <c r="D242" i="27" s="1"/>
  <c r="E242" i="27" s="1"/>
  <c r="BK242" i="27"/>
  <c r="BJ242" i="27"/>
  <c r="BL242" i="27" s="1"/>
  <c r="BM242" i="27" s="1"/>
  <c r="BI243" i="27" s="1"/>
  <c r="AM245" i="27"/>
  <c r="AL245" i="27"/>
  <c r="P248" i="27"/>
  <c r="Q248" i="27" s="1"/>
  <c r="M249" i="27" s="1"/>
  <c r="O249" i="27" s="1"/>
  <c r="AT257" i="27"/>
  <c r="AV257" i="27" s="1"/>
  <c r="AW257" i="27" s="1"/>
  <c r="AS258" i="27" s="1"/>
  <c r="AT258" i="27" s="1"/>
  <c r="BC248" i="27"/>
  <c r="BD248" i="27" s="1"/>
  <c r="BE248" i="27" s="1"/>
  <c r="BA249" i="27" s="1"/>
  <c r="AE254" i="27"/>
  <c r="AD254" i="27"/>
  <c r="A345" i="27"/>
  <c r="C346" i="27"/>
  <c r="V245" i="27"/>
  <c r="W245" i="27"/>
  <c r="F242" i="27" l="1"/>
  <c r="G242" i="27" s="1"/>
  <c r="H242" i="27" s="1"/>
  <c r="D243" i="27" s="1"/>
  <c r="E243" i="27" s="1"/>
  <c r="I242" i="27"/>
  <c r="BJ243" i="27"/>
  <c r="BK243" i="27"/>
  <c r="N249" i="27"/>
  <c r="P249" i="27" s="1"/>
  <c r="Q249" i="27" s="1"/>
  <c r="M250" i="27" s="1"/>
  <c r="O250" i="27" s="1"/>
  <c r="AU258" i="27"/>
  <c r="AV258" i="27" s="1"/>
  <c r="AW258" i="27" s="1"/>
  <c r="AS259" i="27" s="1"/>
  <c r="AN245" i="27"/>
  <c r="AO245" i="27" s="1"/>
  <c r="AK246" i="27" s="1"/>
  <c r="AF254" i="27"/>
  <c r="AG254" i="27" s="1"/>
  <c r="AC255" i="27" s="1"/>
  <c r="AD255" i="27" s="1"/>
  <c r="A346" i="27"/>
  <c r="C347" i="27"/>
  <c r="X245" i="27"/>
  <c r="Y245" i="27" s="1"/>
  <c r="U246" i="27" s="1"/>
  <c r="BC249" i="27"/>
  <c r="BB249" i="27"/>
  <c r="F243" i="27" l="1"/>
  <c r="G243" i="27" s="1"/>
  <c r="H243" i="27" s="1"/>
  <c r="D244" i="27" s="1"/>
  <c r="I243" i="27"/>
  <c r="BD249" i="27"/>
  <c r="BE249" i="27" s="1"/>
  <c r="BA250" i="27" s="1"/>
  <c r="BC250" i="27" s="1"/>
  <c r="N250" i="27"/>
  <c r="P250" i="27" s="1"/>
  <c r="Q250" i="27" s="1"/>
  <c r="M251" i="27" s="1"/>
  <c r="BL243" i="27"/>
  <c r="BM243" i="27" s="1"/>
  <c r="BI244" i="27" s="1"/>
  <c r="AM246" i="27"/>
  <c r="AL246" i="27"/>
  <c r="AE255" i="27"/>
  <c r="AF255" i="27" s="1"/>
  <c r="AG255" i="27" s="1"/>
  <c r="AC256" i="27" s="1"/>
  <c r="AE256" i="27" s="1"/>
  <c r="A347" i="27"/>
  <c r="C348" i="27"/>
  <c r="AU259" i="27"/>
  <c r="AT259" i="27"/>
  <c r="V246" i="27"/>
  <c r="W246" i="27"/>
  <c r="AV259" i="27" l="1"/>
  <c r="AW259" i="27" s="1"/>
  <c r="AS260" i="27" s="1"/>
  <c r="BB250" i="27"/>
  <c r="BK244" i="27"/>
  <c r="BJ244" i="27"/>
  <c r="AD256" i="27"/>
  <c r="AF256" i="27" s="1"/>
  <c r="AG256" i="27" s="1"/>
  <c r="AC257" i="27" s="1"/>
  <c r="AE257" i="27" s="1"/>
  <c r="AN246" i="27"/>
  <c r="AO246" i="27" s="1"/>
  <c r="AK247" i="27" s="1"/>
  <c r="F244" i="27"/>
  <c r="E244" i="27"/>
  <c r="G244" i="27" s="1"/>
  <c r="H244" i="27" s="1"/>
  <c r="D245" i="27" s="1"/>
  <c r="E245" i="27" s="1"/>
  <c r="I244" i="27"/>
  <c r="C349" i="27"/>
  <c r="A348" i="27"/>
  <c r="X246" i="27"/>
  <c r="Y246" i="27" s="1"/>
  <c r="U247" i="27" s="1"/>
  <c r="W247" i="27" s="1"/>
  <c r="AT260" i="27"/>
  <c r="AU260" i="27"/>
  <c r="N251" i="27"/>
  <c r="O251" i="27"/>
  <c r="BD250" i="27"/>
  <c r="BE250" i="27" s="1"/>
  <c r="BA251" i="27" s="1"/>
  <c r="AD257" i="27" l="1"/>
  <c r="AF257" i="27" s="1"/>
  <c r="AG257" i="27" s="1"/>
  <c r="AC258" i="27" s="1"/>
  <c r="AD258" i="27" s="1"/>
  <c r="BL244" i="27"/>
  <c r="BM244" i="27" s="1"/>
  <c r="BI245" i="27" s="1"/>
  <c r="I245" i="27"/>
  <c r="AL247" i="27"/>
  <c r="AM247" i="27"/>
  <c r="V247" i="27"/>
  <c r="X247" i="27" s="1"/>
  <c r="Y247" i="27" s="1"/>
  <c r="U248" i="27" s="1"/>
  <c r="F245" i="27"/>
  <c r="G245" i="27" s="1"/>
  <c r="H245" i="27" s="1"/>
  <c r="D246" i="27" s="1"/>
  <c r="F246" i="27" s="1"/>
  <c r="A349" i="27"/>
  <c r="C350" i="27"/>
  <c r="BB251" i="27"/>
  <c r="BC251" i="27"/>
  <c r="AV260" i="27"/>
  <c r="AW260" i="27" s="1"/>
  <c r="AS261" i="27" s="1"/>
  <c r="P251" i="27"/>
  <c r="Q251" i="27" s="1"/>
  <c r="M252" i="27" s="1"/>
  <c r="AE258" i="27" l="1"/>
  <c r="AF258" i="27" s="1"/>
  <c r="AG258" i="27" s="1"/>
  <c r="AC259" i="27" s="1"/>
  <c r="AD259" i="27" s="1"/>
  <c r="BJ245" i="27"/>
  <c r="BK245" i="27"/>
  <c r="AN247" i="27"/>
  <c r="AO247" i="27" s="1"/>
  <c r="AK248" i="27" s="1"/>
  <c r="AM248" i="27" s="1"/>
  <c r="E246" i="27"/>
  <c r="G246" i="27" s="1"/>
  <c r="H246" i="27" s="1"/>
  <c r="D247" i="27" s="1"/>
  <c r="F247" i="27" s="1"/>
  <c r="I246" i="27"/>
  <c r="A350" i="27"/>
  <c r="C351" i="27"/>
  <c r="BD251" i="27"/>
  <c r="BE251" i="27" s="1"/>
  <c r="BA252" i="27" s="1"/>
  <c r="BC252" i="27" s="1"/>
  <c r="AT261" i="27"/>
  <c r="AU261" i="27"/>
  <c r="N252" i="27"/>
  <c r="O252" i="27"/>
  <c r="V248" i="27"/>
  <c r="W248" i="27"/>
  <c r="AE259" i="27" l="1"/>
  <c r="AL248" i="27"/>
  <c r="AN248" i="27" s="1"/>
  <c r="AO248" i="27" s="1"/>
  <c r="AK249" i="27" s="1"/>
  <c r="BL245" i="27"/>
  <c r="BM245" i="27" s="1"/>
  <c r="BI246" i="27" s="1"/>
  <c r="BK246" i="27" s="1"/>
  <c r="AF259" i="27"/>
  <c r="AG259" i="27" s="1"/>
  <c r="AC260" i="27" s="1"/>
  <c r="AD260" i="27" s="1"/>
  <c r="E247" i="27"/>
  <c r="G247" i="27" s="1"/>
  <c r="H247" i="27" s="1"/>
  <c r="D248" i="27" s="1"/>
  <c r="E248" i="27" s="1"/>
  <c r="I247" i="27"/>
  <c r="BB252" i="27"/>
  <c r="BD252" i="27" s="1"/>
  <c r="BE252" i="27" s="1"/>
  <c r="BA253" i="27" s="1"/>
  <c r="BC253" i="27" s="1"/>
  <c r="C352" i="27"/>
  <c r="A351" i="27"/>
  <c r="P252" i="27"/>
  <c r="Q252" i="27" s="1"/>
  <c r="M253" i="27" s="1"/>
  <c r="X248" i="27"/>
  <c r="Y248" i="27" s="1"/>
  <c r="U249" i="27" s="1"/>
  <c r="AV261" i="27"/>
  <c r="AW261" i="27" s="1"/>
  <c r="AS262" i="27" s="1"/>
  <c r="BJ246" i="27" l="1"/>
  <c r="BL246" i="27" s="1"/>
  <c r="BM246" i="27" s="1"/>
  <c r="BI247" i="27" s="1"/>
  <c r="AE260" i="27"/>
  <c r="AL249" i="27"/>
  <c r="AM249" i="27"/>
  <c r="BB253" i="27"/>
  <c r="BD253" i="27" s="1"/>
  <c r="BE253" i="27" s="1"/>
  <c r="BA254" i="27" s="1"/>
  <c r="I248" i="27"/>
  <c r="F248" i="27"/>
  <c r="G248" i="27" s="1"/>
  <c r="H248" i="27" s="1"/>
  <c r="D249" i="27" s="1"/>
  <c r="A352" i="27"/>
  <c r="C353" i="27"/>
  <c r="N253" i="27"/>
  <c r="O253" i="27"/>
  <c r="AT262" i="27"/>
  <c r="AU262" i="27"/>
  <c r="AF260" i="27"/>
  <c r="AG260" i="27" s="1"/>
  <c r="AC261" i="27" s="1"/>
  <c r="W249" i="27"/>
  <c r="V249" i="27"/>
  <c r="BK247" i="27" l="1"/>
  <c r="BJ247" i="27"/>
  <c r="BL247" i="27" s="1"/>
  <c r="BM247" i="27" s="1"/>
  <c r="BI248" i="27" s="1"/>
  <c r="AN249" i="27"/>
  <c r="AO249" i="27" s="1"/>
  <c r="AK250" i="27" s="1"/>
  <c r="AL250" i="27" s="1"/>
  <c r="I249" i="27"/>
  <c r="E249" i="27"/>
  <c r="F249" i="27"/>
  <c r="AV262" i="27"/>
  <c r="AW262" i="27" s="1"/>
  <c r="AS263" i="27" s="1"/>
  <c r="AU263" i="27" s="1"/>
  <c r="C354" i="27"/>
  <c r="A353" i="27"/>
  <c r="BC254" i="27"/>
  <c r="BB254" i="27"/>
  <c r="P253" i="27"/>
  <c r="Q253" i="27" s="1"/>
  <c r="M254" i="27" s="1"/>
  <c r="AE261" i="27"/>
  <c r="AD261" i="27"/>
  <c r="X249" i="27"/>
  <c r="Y249" i="27" s="1"/>
  <c r="U250" i="27" s="1"/>
  <c r="BK248" i="27" l="1"/>
  <c r="BJ248" i="27"/>
  <c r="BD254" i="27"/>
  <c r="BE254" i="27" s="1"/>
  <c r="BA255" i="27" s="1"/>
  <c r="BB255" i="27" s="1"/>
  <c r="AM250" i="27"/>
  <c r="AN250" i="27" s="1"/>
  <c r="AO250" i="27" s="1"/>
  <c r="AK251" i="27" s="1"/>
  <c r="G249" i="27"/>
  <c r="H249" i="27" s="1"/>
  <c r="D250" i="27" s="1"/>
  <c r="I250" i="27" s="1"/>
  <c r="AT263" i="27"/>
  <c r="AV263" i="27" s="1"/>
  <c r="AW263" i="27" s="1"/>
  <c r="AS264" i="27" s="1"/>
  <c r="AT264" i="27" s="1"/>
  <c r="A354" i="27"/>
  <c r="C355" i="27"/>
  <c r="W250" i="27"/>
  <c r="V250" i="27"/>
  <c r="N254" i="27"/>
  <c r="O254" i="27"/>
  <c r="AF261" i="27"/>
  <c r="AG261" i="27" s="1"/>
  <c r="AC262" i="27" s="1"/>
  <c r="BL248" i="27" l="1"/>
  <c r="BM248" i="27" s="1"/>
  <c r="BI249" i="27" s="1"/>
  <c r="BK249" i="27" s="1"/>
  <c r="BC255" i="27"/>
  <c r="BD255" i="27" s="1"/>
  <c r="BE255" i="27" s="1"/>
  <c r="BA256" i="27" s="1"/>
  <c r="E250" i="27"/>
  <c r="F250" i="27"/>
  <c r="AU264" i="27"/>
  <c r="AV264" i="27" s="1"/>
  <c r="AW264" i="27" s="1"/>
  <c r="AS265" i="27" s="1"/>
  <c r="AU265" i="27" s="1"/>
  <c r="AM251" i="27"/>
  <c r="AL251" i="27"/>
  <c r="A355" i="27"/>
  <c r="C356" i="27"/>
  <c r="AE262" i="27"/>
  <c r="AD262" i="27"/>
  <c r="P254" i="27"/>
  <c r="Q254" i="27" s="1"/>
  <c r="M255" i="27" s="1"/>
  <c r="X250" i="27"/>
  <c r="Y250" i="27" s="1"/>
  <c r="U251" i="27" s="1"/>
  <c r="BJ249" i="27" l="1"/>
  <c r="BL249" i="27" s="1"/>
  <c r="BM249" i="27" s="1"/>
  <c r="BI250" i="27" s="1"/>
  <c r="BJ250" i="27" s="1"/>
  <c r="G250" i="27"/>
  <c r="H250" i="27" s="1"/>
  <c r="D251" i="27" s="1"/>
  <c r="I251" i="27" s="1"/>
  <c r="AF262" i="27"/>
  <c r="AG262" i="27" s="1"/>
  <c r="AC263" i="27" s="1"/>
  <c r="AD263" i="27" s="1"/>
  <c r="AT265" i="27"/>
  <c r="AV265" i="27" s="1"/>
  <c r="AW265" i="27" s="1"/>
  <c r="AS266" i="27" s="1"/>
  <c r="AN251" i="27"/>
  <c r="AO251" i="27" s="1"/>
  <c r="AK252" i="27" s="1"/>
  <c r="A356" i="27"/>
  <c r="C357" i="27"/>
  <c r="N255" i="27"/>
  <c r="O255" i="27"/>
  <c r="BC256" i="27"/>
  <c r="BB256" i="27"/>
  <c r="V251" i="27"/>
  <c r="W251" i="27"/>
  <c r="BK250" i="27" l="1"/>
  <c r="AE263" i="27"/>
  <c r="AF263" i="27" s="1"/>
  <c r="AG263" i="27" s="1"/>
  <c r="AC264" i="27" s="1"/>
  <c r="BL250" i="27"/>
  <c r="BM250" i="27" s="1"/>
  <c r="BI251" i="27" s="1"/>
  <c r="E251" i="27"/>
  <c r="F251" i="27"/>
  <c r="AL252" i="27"/>
  <c r="AM252" i="27"/>
  <c r="P255" i="27"/>
  <c r="Q255" i="27" s="1"/>
  <c r="M256" i="27" s="1"/>
  <c r="N256" i="27" s="1"/>
  <c r="BD256" i="27"/>
  <c r="BE256" i="27" s="1"/>
  <c r="BA257" i="27" s="1"/>
  <c r="BC257" i="27" s="1"/>
  <c r="A357" i="27"/>
  <c r="C358" i="27"/>
  <c r="X251" i="27"/>
  <c r="Y251" i="27" s="1"/>
  <c r="U252" i="27" s="1"/>
  <c r="AU266" i="27"/>
  <c r="AT266" i="27"/>
  <c r="G251" i="27" l="1"/>
  <c r="H251" i="27" s="1"/>
  <c r="D252" i="27" s="1"/>
  <c r="I252" i="27" s="1"/>
  <c r="BK251" i="27"/>
  <c r="BJ251" i="27"/>
  <c r="O256" i="27"/>
  <c r="P256" i="27" s="1"/>
  <c r="Q256" i="27" s="1"/>
  <c r="M257" i="27" s="1"/>
  <c r="O257" i="27" s="1"/>
  <c r="AN252" i="27"/>
  <c r="AO252" i="27" s="1"/>
  <c r="AK253" i="27" s="1"/>
  <c r="AL253" i="27" s="1"/>
  <c r="BB257" i="27"/>
  <c r="BD257" i="27" s="1"/>
  <c r="BE257" i="27" s="1"/>
  <c r="BA258" i="27" s="1"/>
  <c r="AV266" i="27"/>
  <c r="AW266" i="27" s="1"/>
  <c r="AS267" i="27" s="1"/>
  <c r="AT267" i="27" s="1"/>
  <c r="A358" i="27"/>
  <c r="C359" i="27"/>
  <c r="V252" i="27"/>
  <c r="W252" i="27"/>
  <c r="AD264" i="27"/>
  <c r="AE264" i="27"/>
  <c r="F252" i="27" l="1"/>
  <c r="AU267" i="27"/>
  <c r="AV267" i="27" s="1"/>
  <c r="AW267" i="27" s="1"/>
  <c r="AS268" i="27" s="1"/>
  <c r="AU268" i="27" s="1"/>
  <c r="E252" i="27"/>
  <c r="AM253" i="27"/>
  <c r="BL251" i="27"/>
  <c r="BM251" i="27" s="1"/>
  <c r="BI252" i="27" s="1"/>
  <c r="N257" i="27"/>
  <c r="P257" i="27" s="1"/>
  <c r="Q257" i="27" s="1"/>
  <c r="M258" i="27" s="1"/>
  <c r="O258" i="27" s="1"/>
  <c r="AN253" i="27"/>
  <c r="AO253" i="27" s="1"/>
  <c r="AK254" i="27" s="1"/>
  <c r="AF264" i="27"/>
  <c r="AG264" i="27" s="1"/>
  <c r="AC265" i="27" s="1"/>
  <c r="AE265" i="27" s="1"/>
  <c r="A359" i="27"/>
  <c r="C360" i="27"/>
  <c r="X252" i="27"/>
  <c r="Y252" i="27" s="1"/>
  <c r="U253" i="27" s="1"/>
  <c r="BC258" i="27"/>
  <c r="BB258" i="27"/>
  <c r="G252" i="27" l="1"/>
  <c r="H252" i="27" s="1"/>
  <c r="D253" i="27" s="1"/>
  <c r="E253" i="27" s="1"/>
  <c r="BJ252" i="27"/>
  <c r="BK252" i="27"/>
  <c r="AD265" i="27"/>
  <c r="AF265" i="27" s="1"/>
  <c r="AG265" i="27" s="1"/>
  <c r="AC266" i="27" s="1"/>
  <c r="N258" i="27"/>
  <c r="P258" i="27" s="1"/>
  <c r="Q258" i="27" s="1"/>
  <c r="M259" i="27" s="1"/>
  <c r="AM254" i="27"/>
  <c r="AL254" i="27"/>
  <c r="AT268" i="27"/>
  <c r="AV268" i="27" s="1"/>
  <c r="AW268" i="27" s="1"/>
  <c r="AS269" i="27" s="1"/>
  <c r="AT269" i="27" s="1"/>
  <c r="BD258" i="27"/>
  <c r="BE258" i="27" s="1"/>
  <c r="BA259" i="27" s="1"/>
  <c r="BB259" i="27" s="1"/>
  <c r="C361" i="27"/>
  <c r="A360" i="27"/>
  <c r="V253" i="27"/>
  <c r="W253" i="27"/>
  <c r="I253" i="27" l="1"/>
  <c r="F253" i="27"/>
  <c r="G253" i="27" s="1"/>
  <c r="H253" i="27" s="1"/>
  <c r="D254" i="27" s="1"/>
  <c r="I254" i="27" s="1"/>
  <c r="BL252" i="27"/>
  <c r="BM252" i="27" s="1"/>
  <c r="BI253" i="27" s="1"/>
  <c r="BC259" i="27"/>
  <c r="BD259" i="27" s="1"/>
  <c r="BE259" i="27" s="1"/>
  <c r="BA260" i="27" s="1"/>
  <c r="BB260" i="27" s="1"/>
  <c r="AU269" i="27"/>
  <c r="AV269" i="27" s="1"/>
  <c r="AW269" i="27" s="1"/>
  <c r="AS270" i="27" s="1"/>
  <c r="AN254" i="27"/>
  <c r="AO254" i="27" s="1"/>
  <c r="AK255" i="27" s="1"/>
  <c r="A361" i="27"/>
  <c r="C362" i="27"/>
  <c r="X253" i="27"/>
  <c r="Y253" i="27" s="1"/>
  <c r="U254" i="27" s="1"/>
  <c r="AD266" i="27"/>
  <c r="AE266" i="27"/>
  <c r="N259" i="27"/>
  <c r="O259" i="27"/>
  <c r="E254" i="27" l="1"/>
  <c r="F254" i="27"/>
  <c r="BC260" i="27"/>
  <c r="BD260" i="27" s="1"/>
  <c r="BE260" i="27" s="1"/>
  <c r="BA261" i="27" s="1"/>
  <c r="BB261" i="27" s="1"/>
  <c r="BJ253" i="27"/>
  <c r="BK253" i="27"/>
  <c r="AM255" i="27"/>
  <c r="AL255" i="27"/>
  <c r="P259" i="27"/>
  <c r="Q259" i="27" s="1"/>
  <c r="M260" i="27" s="1"/>
  <c r="N260" i="27" s="1"/>
  <c r="C363" i="27"/>
  <c r="A362" i="27"/>
  <c r="AT270" i="27"/>
  <c r="AU270" i="27"/>
  <c r="AF266" i="27"/>
  <c r="AG266" i="27" s="1"/>
  <c r="AC267" i="27" s="1"/>
  <c r="V254" i="27"/>
  <c r="W254" i="27"/>
  <c r="G254" i="27" l="1"/>
  <c r="H254" i="27" s="1"/>
  <c r="D255" i="27" s="1"/>
  <c r="I255" i="27" s="1"/>
  <c r="BC261" i="27"/>
  <c r="BL253" i="27"/>
  <c r="BM253" i="27" s="1"/>
  <c r="BI254" i="27" s="1"/>
  <c r="O260" i="27"/>
  <c r="P260" i="27" s="1"/>
  <c r="Q260" i="27" s="1"/>
  <c r="M261" i="27" s="1"/>
  <c r="AN255" i="27"/>
  <c r="AO255" i="27" s="1"/>
  <c r="AK256" i="27" s="1"/>
  <c r="C364" i="27"/>
  <c r="A363" i="27"/>
  <c r="BD261" i="27"/>
  <c r="BE261" i="27" s="1"/>
  <c r="BA262" i="27" s="1"/>
  <c r="AV270" i="27"/>
  <c r="AW270" i="27" s="1"/>
  <c r="AS271" i="27" s="1"/>
  <c r="AE267" i="27"/>
  <c r="AD267" i="27"/>
  <c r="X254" i="27"/>
  <c r="Y254" i="27" s="1"/>
  <c r="U255" i="27" s="1"/>
  <c r="E255" i="27" l="1"/>
  <c r="F255" i="27"/>
  <c r="AF267" i="27"/>
  <c r="AG267" i="27" s="1"/>
  <c r="AC268" i="27" s="1"/>
  <c r="AE268" i="27" s="1"/>
  <c r="BK254" i="27"/>
  <c r="BJ254" i="27"/>
  <c r="O261" i="27"/>
  <c r="N261" i="27"/>
  <c r="AM256" i="27"/>
  <c r="AL256" i="27"/>
  <c r="C365" i="27"/>
  <c r="A364" i="27"/>
  <c r="V255" i="27"/>
  <c r="W255" i="27"/>
  <c r="AU271" i="27"/>
  <c r="AT271" i="27"/>
  <c r="BC262" i="27"/>
  <c r="BB262" i="27"/>
  <c r="G255" i="27" l="1"/>
  <c r="H255" i="27" s="1"/>
  <c r="D256" i="27" s="1"/>
  <c r="F256" i="27" s="1"/>
  <c r="AD268" i="27"/>
  <c r="AF268" i="27" s="1"/>
  <c r="AG268" i="27" s="1"/>
  <c r="AC269" i="27" s="1"/>
  <c r="AE269" i="27" s="1"/>
  <c r="P261" i="27"/>
  <c r="Q261" i="27" s="1"/>
  <c r="M262" i="27" s="1"/>
  <c r="O262" i="27" s="1"/>
  <c r="BL254" i="27"/>
  <c r="BM254" i="27" s="1"/>
  <c r="BI255" i="27" s="1"/>
  <c r="BJ255" i="27" s="1"/>
  <c r="AN256" i="27"/>
  <c r="AO256" i="27" s="1"/>
  <c r="AK257" i="27" s="1"/>
  <c r="N262" i="27"/>
  <c r="P262" i="27" s="1"/>
  <c r="Q262" i="27" s="1"/>
  <c r="M263" i="27" s="1"/>
  <c r="N263" i="27" s="1"/>
  <c r="BD262" i="27"/>
  <c r="BE262" i="27" s="1"/>
  <c r="BA263" i="27" s="1"/>
  <c r="BC263" i="27" s="1"/>
  <c r="AV271" i="27"/>
  <c r="AW271" i="27" s="1"/>
  <c r="AS272" i="27" s="1"/>
  <c r="AU272" i="27" s="1"/>
  <c r="C366" i="27"/>
  <c r="A365" i="27"/>
  <c r="X255" i="27"/>
  <c r="Y255" i="27" s="1"/>
  <c r="U256" i="27" s="1"/>
  <c r="E256" i="27" l="1"/>
  <c r="G256" i="27" s="1"/>
  <c r="H256" i="27" s="1"/>
  <c r="D257" i="27" s="1"/>
  <c r="I257" i="27" s="1"/>
  <c r="I256" i="27"/>
  <c r="BK255" i="27"/>
  <c r="BL255" i="27"/>
  <c r="BM255" i="27" s="1"/>
  <c r="BI256" i="27" s="1"/>
  <c r="BK256" i="27" s="1"/>
  <c r="AD269" i="27"/>
  <c r="AF269" i="27" s="1"/>
  <c r="AG269" i="27" s="1"/>
  <c r="AC270" i="27" s="1"/>
  <c r="BB263" i="27"/>
  <c r="BD263" i="27" s="1"/>
  <c r="BE263" i="27" s="1"/>
  <c r="BA264" i="27" s="1"/>
  <c r="BC264" i="27" s="1"/>
  <c r="F257" i="27"/>
  <c r="E257" i="27"/>
  <c r="O263" i="27"/>
  <c r="P263" i="27" s="1"/>
  <c r="Q263" i="27" s="1"/>
  <c r="M264" i="27" s="1"/>
  <c r="AL257" i="27"/>
  <c r="AM257" i="27"/>
  <c r="AT272" i="27"/>
  <c r="AV272" i="27" s="1"/>
  <c r="AW272" i="27" s="1"/>
  <c r="AS273" i="27" s="1"/>
  <c r="C367" i="27"/>
  <c r="A366" i="27"/>
  <c r="W256" i="27"/>
  <c r="V256" i="27"/>
  <c r="X256" i="27" l="1"/>
  <c r="Y256" i="27" s="1"/>
  <c r="U257" i="27" s="1"/>
  <c r="V257" i="27" s="1"/>
  <c r="BJ256" i="27"/>
  <c r="BL256" i="27" s="1"/>
  <c r="BM256" i="27" s="1"/>
  <c r="BI257" i="27" s="1"/>
  <c r="BB264" i="27"/>
  <c r="BD264" i="27" s="1"/>
  <c r="BE264" i="27" s="1"/>
  <c r="BA265" i="27" s="1"/>
  <c r="G257" i="27"/>
  <c r="H257" i="27" s="1"/>
  <c r="D258" i="27" s="1"/>
  <c r="E258" i="27" s="1"/>
  <c r="AN257" i="27"/>
  <c r="AO257" i="27" s="1"/>
  <c r="AK258" i="27" s="1"/>
  <c r="AM258" i="27" s="1"/>
  <c r="N264" i="27"/>
  <c r="O264" i="27"/>
  <c r="C368" i="27"/>
  <c r="A367" i="27"/>
  <c r="W257" i="27"/>
  <c r="AU273" i="27"/>
  <c r="AT273" i="27"/>
  <c r="AD270" i="27"/>
  <c r="AE270" i="27"/>
  <c r="AL258" i="27" l="1"/>
  <c r="P264" i="27"/>
  <c r="Q264" i="27" s="1"/>
  <c r="M265" i="27" s="1"/>
  <c r="O265" i="27" s="1"/>
  <c r="BJ257" i="27"/>
  <c r="BK257" i="27"/>
  <c r="F258" i="27"/>
  <c r="G258" i="27" s="1"/>
  <c r="H258" i="27" s="1"/>
  <c r="D259" i="27" s="1"/>
  <c r="E259" i="27" s="1"/>
  <c r="I258" i="27"/>
  <c r="AN258" i="27"/>
  <c r="AO258" i="27" s="1"/>
  <c r="AK259" i="27" s="1"/>
  <c r="AL259" i="27" s="1"/>
  <c r="N265" i="27"/>
  <c r="P265" i="27" s="1"/>
  <c r="Q265" i="27" s="1"/>
  <c r="M266" i="27" s="1"/>
  <c r="AF270" i="27"/>
  <c r="AG270" i="27" s="1"/>
  <c r="AC271" i="27" s="1"/>
  <c r="AD271" i="27" s="1"/>
  <c r="AV273" i="27"/>
  <c r="AW273" i="27" s="1"/>
  <c r="AS274" i="27" s="1"/>
  <c r="AT274" i="27" s="1"/>
  <c r="C369" i="27"/>
  <c r="A368" i="27"/>
  <c r="BC265" i="27"/>
  <c r="BB265" i="27"/>
  <c r="X257" i="27"/>
  <c r="Y257" i="27" s="1"/>
  <c r="U258" i="27" s="1"/>
  <c r="AM259" i="27" l="1"/>
  <c r="AN259" i="27" s="1"/>
  <c r="AO259" i="27" s="1"/>
  <c r="AK260" i="27" s="1"/>
  <c r="BL257" i="27"/>
  <c r="BM257" i="27" s="1"/>
  <c r="BI258" i="27" s="1"/>
  <c r="BK258" i="27" s="1"/>
  <c r="AE271" i="27"/>
  <c r="AF271" i="27" s="1"/>
  <c r="AG271" i="27" s="1"/>
  <c r="AC272" i="27" s="1"/>
  <c r="I259" i="27"/>
  <c r="AU274" i="27"/>
  <c r="AV274" i="27" s="1"/>
  <c r="AW274" i="27" s="1"/>
  <c r="AS275" i="27" s="1"/>
  <c r="AU275" i="27" s="1"/>
  <c r="F259" i="27"/>
  <c r="G259" i="27" s="1"/>
  <c r="H259" i="27" s="1"/>
  <c r="D260" i="27" s="1"/>
  <c r="C370" i="27"/>
  <c r="A369" i="27"/>
  <c r="O266" i="27"/>
  <c r="N266" i="27"/>
  <c r="W258" i="27"/>
  <c r="V258" i="27"/>
  <c r="BD265" i="27"/>
  <c r="BE265" i="27" s="1"/>
  <c r="BA266" i="27" s="1"/>
  <c r="X258" i="27" l="1"/>
  <c r="Y258" i="27" s="1"/>
  <c r="U259" i="27" s="1"/>
  <c r="BJ258" i="27"/>
  <c r="BL258" i="27" s="1"/>
  <c r="BM258" i="27" s="1"/>
  <c r="BI259" i="27" s="1"/>
  <c r="BK259" i="27" s="1"/>
  <c r="AM260" i="27"/>
  <c r="AL260" i="27"/>
  <c r="AN260" i="27" s="1"/>
  <c r="AO260" i="27" s="1"/>
  <c r="AK261" i="27" s="1"/>
  <c r="AT275" i="27"/>
  <c r="AV275" i="27" s="1"/>
  <c r="AW275" i="27" s="1"/>
  <c r="AS276" i="27" s="1"/>
  <c r="P266" i="27"/>
  <c r="Q266" i="27" s="1"/>
  <c r="M267" i="27" s="1"/>
  <c r="N267" i="27" s="1"/>
  <c r="C371" i="27"/>
  <c r="A370" i="27"/>
  <c r="V259" i="27"/>
  <c r="W259" i="27"/>
  <c r="F260" i="27"/>
  <c r="I260" i="27"/>
  <c r="E260" i="27"/>
  <c r="BC266" i="27"/>
  <c r="BB266" i="27"/>
  <c r="AD272" i="27"/>
  <c r="AE272" i="27"/>
  <c r="BJ259" i="27" l="1"/>
  <c r="BL259" i="27" s="1"/>
  <c r="BM259" i="27" s="1"/>
  <c r="BI260" i="27" s="1"/>
  <c r="BJ260" i="27" s="1"/>
  <c r="G260" i="27"/>
  <c r="H260" i="27" s="1"/>
  <c r="D261" i="27" s="1"/>
  <c r="I261" i="27" s="1"/>
  <c r="AT276" i="27"/>
  <c r="AU276" i="27"/>
  <c r="AM261" i="27"/>
  <c r="AL261" i="27"/>
  <c r="O267" i="27"/>
  <c r="P267" i="27" s="1"/>
  <c r="Q267" i="27" s="1"/>
  <c r="M268" i="27" s="1"/>
  <c r="C372" i="27"/>
  <c r="A371" i="27"/>
  <c r="BD266" i="27"/>
  <c r="BE266" i="27" s="1"/>
  <c r="BA267" i="27" s="1"/>
  <c r="BC267" i="27" s="1"/>
  <c r="AF272" i="27"/>
  <c r="AG272" i="27" s="1"/>
  <c r="AC273" i="27" s="1"/>
  <c r="X259" i="27"/>
  <c r="Y259" i="27" s="1"/>
  <c r="U260" i="27" s="1"/>
  <c r="AN261" i="27" l="1"/>
  <c r="AO261" i="27" s="1"/>
  <c r="AK262" i="27" s="1"/>
  <c r="BK260" i="27"/>
  <c r="AV276" i="27"/>
  <c r="AW276" i="27" s="1"/>
  <c r="AS277" i="27" s="1"/>
  <c r="AU277" i="27" s="1"/>
  <c r="BL260" i="27"/>
  <c r="BM260" i="27" s="1"/>
  <c r="BI261" i="27" s="1"/>
  <c r="BJ261" i="27" s="1"/>
  <c r="E261" i="27"/>
  <c r="F261" i="27"/>
  <c r="AM262" i="27"/>
  <c r="AL262" i="27"/>
  <c r="BB267" i="27"/>
  <c r="BD267" i="27" s="1"/>
  <c r="BE267" i="27" s="1"/>
  <c r="BA268" i="27" s="1"/>
  <c r="BC268" i="27" s="1"/>
  <c r="A372" i="27"/>
  <c r="C373" i="27"/>
  <c r="O268" i="27"/>
  <c r="N268" i="27"/>
  <c r="V260" i="27"/>
  <c r="W260" i="27"/>
  <c r="AD273" i="27"/>
  <c r="AE273" i="27"/>
  <c r="AT277" i="27" l="1"/>
  <c r="AV277" i="27" s="1"/>
  <c r="AW277" i="27" s="1"/>
  <c r="AS278" i="27" s="1"/>
  <c r="AT278" i="27" s="1"/>
  <c r="BK261" i="27"/>
  <c r="AN262" i="27"/>
  <c r="AO262" i="27" s="1"/>
  <c r="AK263" i="27" s="1"/>
  <c r="BL261" i="27"/>
  <c r="BM261" i="27" s="1"/>
  <c r="BI262" i="27" s="1"/>
  <c r="G261" i="27"/>
  <c r="H261" i="27" s="1"/>
  <c r="D262" i="27" s="1"/>
  <c r="I262" i="27" s="1"/>
  <c r="P268" i="27"/>
  <c r="Q268" i="27" s="1"/>
  <c r="M269" i="27" s="1"/>
  <c r="O269" i="27" s="1"/>
  <c r="AL263" i="27"/>
  <c r="AM263" i="27"/>
  <c r="BB268" i="27"/>
  <c r="BD268" i="27" s="1"/>
  <c r="BE268" i="27" s="1"/>
  <c r="BA269" i="27" s="1"/>
  <c r="AF273" i="27"/>
  <c r="AG273" i="27" s="1"/>
  <c r="AC274" i="27" s="1"/>
  <c r="AD274" i="27" s="1"/>
  <c r="C374" i="27"/>
  <c r="A373" i="27"/>
  <c r="AU278" i="27"/>
  <c r="X260" i="27"/>
  <c r="Y260" i="27" s="1"/>
  <c r="U261" i="27" s="1"/>
  <c r="AV278" i="27" l="1"/>
  <c r="AW278" i="27" s="1"/>
  <c r="AS279" i="27" s="1"/>
  <c r="N269" i="27"/>
  <c r="P269" i="27" s="1"/>
  <c r="Q269" i="27" s="1"/>
  <c r="M270" i="27" s="1"/>
  <c r="BJ262" i="27"/>
  <c r="BK262" i="27"/>
  <c r="E262" i="27"/>
  <c r="F262" i="27"/>
  <c r="AN263" i="27"/>
  <c r="AO263" i="27" s="1"/>
  <c r="AK264" i="27" s="1"/>
  <c r="AE274" i="27"/>
  <c r="AF274" i="27" s="1"/>
  <c r="AG274" i="27" s="1"/>
  <c r="AC275" i="27" s="1"/>
  <c r="AE275" i="27" s="1"/>
  <c r="C375" i="27"/>
  <c r="A374" i="27"/>
  <c r="AT279" i="27"/>
  <c r="AU279" i="27"/>
  <c r="W261" i="27"/>
  <c r="V261" i="27"/>
  <c r="BB269" i="27"/>
  <c r="BC269" i="27"/>
  <c r="G262" i="27" l="1"/>
  <c r="H262" i="27" s="1"/>
  <c r="D263" i="27" s="1"/>
  <c r="I263" i="27" s="1"/>
  <c r="BL262" i="27"/>
  <c r="BM262" i="27" s="1"/>
  <c r="BI263" i="27" s="1"/>
  <c r="AL264" i="27"/>
  <c r="AM264" i="27"/>
  <c r="AD275" i="27"/>
  <c r="AF275" i="27" s="1"/>
  <c r="AG275" i="27" s="1"/>
  <c r="AC276" i="27" s="1"/>
  <c r="X261" i="27"/>
  <c r="Y261" i="27" s="1"/>
  <c r="U262" i="27" s="1"/>
  <c r="W262" i="27" s="1"/>
  <c r="AV279" i="27"/>
  <c r="AW279" i="27" s="1"/>
  <c r="AS280" i="27" s="1"/>
  <c r="AT280" i="27" s="1"/>
  <c r="C376" i="27"/>
  <c r="A375" i="27"/>
  <c r="N270" i="27"/>
  <c r="O270" i="27"/>
  <c r="BD269" i="27"/>
  <c r="BE269" i="27" s="1"/>
  <c r="BA270" i="27" s="1"/>
  <c r="F263" i="27" l="1"/>
  <c r="E263" i="27"/>
  <c r="BK263" i="27"/>
  <c r="BJ263" i="27"/>
  <c r="AN264" i="27"/>
  <c r="AO264" i="27" s="1"/>
  <c r="AK265" i="27" s="1"/>
  <c r="V262" i="27"/>
  <c r="X262" i="27" s="1"/>
  <c r="Y262" i="27" s="1"/>
  <c r="U263" i="27" s="1"/>
  <c r="AU280" i="27"/>
  <c r="AV280" i="27" s="1"/>
  <c r="AW280" i="27" s="1"/>
  <c r="AS281" i="27" s="1"/>
  <c r="C377" i="27"/>
  <c r="A376" i="27"/>
  <c r="P270" i="27"/>
  <c r="Q270" i="27" s="1"/>
  <c r="M271" i="27" s="1"/>
  <c r="BB270" i="27"/>
  <c r="BC270" i="27"/>
  <c r="AD276" i="27"/>
  <c r="AE276" i="27"/>
  <c r="BL263" i="27" l="1"/>
  <c r="BM263" i="27" s="1"/>
  <c r="BI264" i="27" s="1"/>
  <c r="G263" i="27"/>
  <c r="H263" i="27" s="1"/>
  <c r="D264" i="27" s="1"/>
  <c r="F264" i="27" s="1"/>
  <c r="BK264" i="27"/>
  <c r="BJ264" i="27"/>
  <c r="AL265" i="27"/>
  <c r="AM265" i="27"/>
  <c r="AT281" i="27"/>
  <c r="AU281" i="27"/>
  <c r="C378" i="27"/>
  <c r="A377" i="27"/>
  <c r="W263" i="27"/>
  <c r="V263" i="27"/>
  <c r="AF276" i="27"/>
  <c r="AG276" i="27" s="1"/>
  <c r="AC277" i="27" s="1"/>
  <c r="E264" i="27"/>
  <c r="BD270" i="27"/>
  <c r="BE270" i="27" s="1"/>
  <c r="BA271" i="27" s="1"/>
  <c r="N271" i="27"/>
  <c r="O271" i="27"/>
  <c r="I264" i="27" l="1"/>
  <c r="X263" i="27"/>
  <c r="Y263" i="27" s="1"/>
  <c r="U264" i="27" s="1"/>
  <c r="W264" i="27" s="1"/>
  <c r="BL264" i="27"/>
  <c r="BM264" i="27" s="1"/>
  <c r="BI265" i="27" s="1"/>
  <c r="BK265" i="27" s="1"/>
  <c r="AV281" i="27"/>
  <c r="AW281" i="27" s="1"/>
  <c r="AS282" i="27" s="1"/>
  <c r="AU282" i="27" s="1"/>
  <c r="AN265" i="27"/>
  <c r="AO265" i="27" s="1"/>
  <c r="AK266" i="27" s="1"/>
  <c r="G264" i="27"/>
  <c r="H264" i="27" s="1"/>
  <c r="D265" i="27" s="1"/>
  <c r="I265" i="27" s="1"/>
  <c r="C379" i="27"/>
  <c r="A378" i="27"/>
  <c r="AE277" i="27"/>
  <c r="AD277" i="27"/>
  <c r="BC271" i="27"/>
  <c r="BB271" i="27"/>
  <c r="P271" i="27"/>
  <c r="Q271" i="27" s="1"/>
  <c r="M272" i="27" s="1"/>
  <c r="AT282" i="27" l="1"/>
  <c r="V264" i="27"/>
  <c r="BJ265" i="27"/>
  <c r="BL265" i="27" s="1"/>
  <c r="BM265" i="27" s="1"/>
  <c r="BI266" i="27" s="1"/>
  <c r="BD271" i="27"/>
  <c r="BE271" i="27" s="1"/>
  <c r="BA272" i="27" s="1"/>
  <c r="BC272" i="27" s="1"/>
  <c r="X264" i="27"/>
  <c r="Y264" i="27" s="1"/>
  <c r="U265" i="27" s="1"/>
  <c r="V265" i="27" s="1"/>
  <c r="F265" i="27"/>
  <c r="E265" i="27"/>
  <c r="AM266" i="27"/>
  <c r="AL266" i="27"/>
  <c r="AV282" i="27"/>
  <c r="AW282" i="27" s="1"/>
  <c r="AS283" i="27" s="1"/>
  <c r="AU283" i="27" s="1"/>
  <c r="AF277" i="27"/>
  <c r="AG277" i="27" s="1"/>
  <c r="AC278" i="27" s="1"/>
  <c r="AD278" i="27" s="1"/>
  <c r="C380" i="27"/>
  <c r="A379" i="27"/>
  <c r="O272" i="27"/>
  <c r="N272" i="27"/>
  <c r="G265" i="27" l="1"/>
  <c r="H265" i="27" s="1"/>
  <c r="D266" i="27" s="1"/>
  <c r="F266" i="27" s="1"/>
  <c r="AN266" i="27"/>
  <c r="AO266" i="27" s="1"/>
  <c r="AK267" i="27" s="1"/>
  <c r="BJ266" i="27"/>
  <c r="BK266" i="27"/>
  <c r="BB272" i="27"/>
  <c r="BD272" i="27" s="1"/>
  <c r="BE272" i="27" s="1"/>
  <c r="BA273" i="27" s="1"/>
  <c r="W265" i="27"/>
  <c r="X265" i="27" s="1"/>
  <c r="Y265" i="27" s="1"/>
  <c r="U266" i="27" s="1"/>
  <c r="V266" i="27" s="1"/>
  <c r="BL266" i="27"/>
  <c r="BM266" i="27" s="1"/>
  <c r="BI267" i="27" s="1"/>
  <c r="AT283" i="27"/>
  <c r="AV283" i="27" s="1"/>
  <c r="AW283" i="27" s="1"/>
  <c r="AS284" i="27" s="1"/>
  <c r="AE278" i="27"/>
  <c r="AF278" i="27" s="1"/>
  <c r="AG278" i="27" s="1"/>
  <c r="AC279" i="27" s="1"/>
  <c r="AM267" i="27"/>
  <c r="AL267" i="27"/>
  <c r="AN267" i="27" s="1"/>
  <c r="AO267" i="27" s="1"/>
  <c r="AK268" i="27" s="1"/>
  <c r="A380" i="27"/>
  <c r="C381" i="27"/>
  <c r="P272" i="27"/>
  <c r="Q272" i="27" s="1"/>
  <c r="M273" i="27" s="1"/>
  <c r="E266" i="27" l="1"/>
  <c r="G266" i="27" s="1"/>
  <c r="H266" i="27" s="1"/>
  <c r="D267" i="27" s="1"/>
  <c r="E267" i="27" s="1"/>
  <c r="I266" i="27"/>
  <c r="BK267" i="27"/>
  <c r="BJ267" i="27"/>
  <c r="W266" i="27"/>
  <c r="X266" i="27" s="1"/>
  <c r="Y266" i="27" s="1"/>
  <c r="U267" i="27" s="1"/>
  <c r="W267" i="27" s="1"/>
  <c r="AD279" i="27"/>
  <c r="AE279" i="27"/>
  <c r="AM268" i="27"/>
  <c r="AL268" i="27"/>
  <c r="A381" i="27"/>
  <c r="C382" i="27"/>
  <c r="AT284" i="27"/>
  <c r="AU284" i="27"/>
  <c r="BB273" i="27"/>
  <c r="BC273" i="27"/>
  <c r="O273" i="27"/>
  <c r="N273" i="27"/>
  <c r="F267" i="27" l="1"/>
  <c r="G267" i="27" s="1"/>
  <c r="H267" i="27" s="1"/>
  <c r="D268" i="27" s="1"/>
  <c r="I268" i="27" s="1"/>
  <c r="I267" i="27"/>
  <c r="BL267" i="27"/>
  <c r="BM267" i="27" s="1"/>
  <c r="BI268" i="27" s="1"/>
  <c r="AN268" i="27"/>
  <c r="AO268" i="27" s="1"/>
  <c r="AK269" i="27" s="1"/>
  <c r="BJ268" i="27"/>
  <c r="BK268" i="27"/>
  <c r="AF279" i="27"/>
  <c r="AG279" i="27" s="1"/>
  <c r="AC280" i="27" s="1"/>
  <c r="AE280" i="27" s="1"/>
  <c r="V267" i="27"/>
  <c r="X267" i="27" s="1"/>
  <c r="Y267" i="27" s="1"/>
  <c r="U268" i="27" s="1"/>
  <c r="AM269" i="27"/>
  <c r="AL269" i="27"/>
  <c r="AN269" i="27" s="1"/>
  <c r="AO269" i="27" s="1"/>
  <c r="AK270" i="27" s="1"/>
  <c r="P273" i="27"/>
  <c r="Q273" i="27" s="1"/>
  <c r="M274" i="27" s="1"/>
  <c r="O274" i="27" s="1"/>
  <c r="A382" i="27"/>
  <c r="C383" i="27"/>
  <c r="F268" i="27"/>
  <c r="E268" i="27"/>
  <c r="AV284" i="27"/>
  <c r="AW284" i="27" s="1"/>
  <c r="AS285" i="27" s="1"/>
  <c r="BD273" i="27"/>
  <c r="BE273" i="27" s="1"/>
  <c r="BA274" i="27" s="1"/>
  <c r="AD280" i="27" l="1"/>
  <c r="AF280" i="27" s="1"/>
  <c r="AG280" i="27" s="1"/>
  <c r="AC281" i="27" s="1"/>
  <c r="AE281" i="27" s="1"/>
  <c r="BL268" i="27"/>
  <c r="BM268" i="27" s="1"/>
  <c r="BI269" i="27" s="1"/>
  <c r="BJ269" i="27" s="1"/>
  <c r="N274" i="27"/>
  <c r="P274" i="27" s="1"/>
  <c r="Q274" i="27" s="1"/>
  <c r="M275" i="27" s="1"/>
  <c r="N275" i="27" s="1"/>
  <c r="AM270" i="27"/>
  <c r="AL270" i="27"/>
  <c r="G268" i="27"/>
  <c r="H268" i="27" s="1"/>
  <c r="D269" i="27" s="1"/>
  <c r="I269" i="27" s="1"/>
  <c r="C384" i="27"/>
  <c r="A383" i="27"/>
  <c r="AU285" i="27"/>
  <c r="AT285" i="27"/>
  <c r="W268" i="27"/>
  <c r="V268" i="27"/>
  <c r="BC274" i="27"/>
  <c r="BB274" i="27"/>
  <c r="AN270" i="27" l="1"/>
  <c r="AO270" i="27" s="1"/>
  <c r="AK271" i="27" s="1"/>
  <c r="BK269" i="27"/>
  <c r="BL269" i="27" s="1"/>
  <c r="BM269" i="27" s="1"/>
  <c r="BI270" i="27" s="1"/>
  <c r="BJ270" i="27" s="1"/>
  <c r="X268" i="27"/>
  <c r="Y268" i="27" s="1"/>
  <c r="U269" i="27" s="1"/>
  <c r="W269" i="27" s="1"/>
  <c r="AD281" i="27"/>
  <c r="AF281" i="27" s="1"/>
  <c r="AG281" i="27" s="1"/>
  <c r="AC282" i="27" s="1"/>
  <c r="AE282" i="27" s="1"/>
  <c r="BD274" i="27"/>
  <c r="BE274" i="27" s="1"/>
  <c r="BA275" i="27" s="1"/>
  <c r="BC275" i="27" s="1"/>
  <c r="O275" i="27"/>
  <c r="P275" i="27" s="1"/>
  <c r="Q275" i="27" s="1"/>
  <c r="M276" i="27" s="1"/>
  <c r="O276" i="27" s="1"/>
  <c r="AV285" i="27"/>
  <c r="AW285" i="27" s="1"/>
  <c r="AS286" i="27" s="1"/>
  <c r="AU286" i="27" s="1"/>
  <c r="AL271" i="27"/>
  <c r="AM271" i="27"/>
  <c r="F269" i="27"/>
  <c r="E269" i="27"/>
  <c r="A384" i="27"/>
  <c r="C385" i="27"/>
  <c r="V269" i="27" l="1"/>
  <c r="AD282" i="27"/>
  <c r="AF282" i="27" s="1"/>
  <c r="AG282" i="27" s="1"/>
  <c r="AC283" i="27" s="1"/>
  <c r="AD283" i="27" s="1"/>
  <c r="BB275" i="27"/>
  <c r="BD275" i="27" s="1"/>
  <c r="BE275" i="27" s="1"/>
  <c r="BA276" i="27" s="1"/>
  <c r="BB276" i="27" s="1"/>
  <c r="BK270" i="27"/>
  <c r="AT286" i="27"/>
  <c r="AV286" i="27" s="1"/>
  <c r="AW286" i="27" s="1"/>
  <c r="AS287" i="27" s="1"/>
  <c r="BL270" i="27"/>
  <c r="BM270" i="27" s="1"/>
  <c r="BI271" i="27" s="1"/>
  <c r="BK271" i="27" s="1"/>
  <c r="G269" i="27"/>
  <c r="H269" i="27" s="1"/>
  <c r="D270" i="27" s="1"/>
  <c r="E270" i="27" s="1"/>
  <c r="AN271" i="27"/>
  <c r="AO271" i="27" s="1"/>
  <c r="AK272" i="27" s="1"/>
  <c r="AL272" i="27" s="1"/>
  <c r="N276" i="27"/>
  <c r="P276" i="27" s="1"/>
  <c r="Q276" i="27" s="1"/>
  <c r="M277" i="27" s="1"/>
  <c r="O277" i="27" s="1"/>
  <c r="C386" i="27"/>
  <c r="A385" i="27"/>
  <c r="X269" i="27"/>
  <c r="Y269" i="27" s="1"/>
  <c r="U270" i="27" s="1"/>
  <c r="I270" i="27" l="1"/>
  <c r="F270" i="27"/>
  <c r="G270" i="27" s="1"/>
  <c r="H270" i="27" s="1"/>
  <c r="D271" i="27" s="1"/>
  <c r="BJ271" i="27"/>
  <c r="BL271" i="27" s="1"/>
  <c r="BM271" i="27" s="1"/>
  <c r="BI272" i="27" s="1"/>
  <c r="AM272" i="27"/>
  <c r="AN272" i="27" s="1"/>
  <c r="AO272" i="27" s="1"/>
  <c r="AK273" i="27" s="1"/>
  <c r="BC276" i="27"/>
  <c r="BD276" i="27" s="1"/>
  <c r="BE276" i="27" s="1"/>
  <c r="BA277" i="27" s="1"/>
  <c r="N277" i="27"/>
  <c r="P277" i="27" s="1"/>
  <c r="Q277" i="27" s="1"/>
  <c r="M278" i="27" s="1"/>
  <c r="N278" i="27" s="1"/>
  <c r="AE283" i="27"/>
  <c r="AF283" i="27" s="1"/>
  <c r="AG283" i="27" s="1"/>
  <c r="AC284" i="27" s="1"/>
  <c r="A386" i="27"/>
  <c r="C387" i="27"/>
  <c r="AU287" i="27"/>
  <c r="AT287" i="27"/>
  <c r="W270" i="27"/>
  <c r="V270" i="27"/>
  <c r="AV287" i="27" l="1"/>
  <c r="AW287" i="27" s="1"/>
  <c r="AS288" i="27" s="1"/>
  <c r="BJ272" i="27"/>
  <c r="BK272" i="27"/>
  <c r="AM273" i="27"/>
  <c r="AL273" i="27"/>
  <c r="AN273" i="27" s="1"/>
  <c r="AO273" i="27" s="1"/>
  <c r="AK274" i="27" s="1"/>
  <c r="O278" i="27"/>
  <c r="P278" i="27" s="1"/>
  <c r="Q278" i="27" s="1"/>
  <c r="M279" i="27" s="1"/>
  <c r="C388" i="27"/>
  <c r="A387" i="27"/>
  <c r="AU288" i="27"/>
  <c r="AT288" i="27"/>
  <c r="F271" i="27"/>
  <c r="E271" i="27"/>
  <c r="I271" i="27"/>
  <c r="BC277" i="27"/>
  <c r="BB277" i="27"/>
  <c r="X270" i="27"/>
  <c r="Y270" i="27" s="1"/>
  <c r="U271" i="27" s="1"/>
  <c r="AE284" i="27"/>
  <c r="AD284" i="27"/>
  <c r="BL272" i="27" l="1"/>
  <c r="BM272" i="27" s="1"/>
  <c r="BI273" i="27" s="1"/>
  <c r="G271" i="27"/>
  <c r="H271" i="27" s="1"/>
  <c r="D272" i="27" s="1"/>
  <c r="I272" i="27" s="1"/>
  <c r="AL274" i="27"/>
  <c r="AM274" i="27"/>
  <c r="BD277" i="27"/>
  <c r="BE277" i="27" s="1"/>
  <c r="BA278" i="27" s="1"/>
  <c r="BB278" i="27" s="1"/>
  <c r="AF284" i="27"/>
  <c r="AG284" i="27" s="1"/>
  <c r="AC285" i="27" s="1"/>
  <c r="AE285" i="27" s="1"/>
  <c r="A388" i="27"/>
  <c r="C389" i="27"/>
  <c r="AV288" i="27"/>
  <c r="AW288" i="27" s="1"/>
  <c r="AS289" i="27" s="1"/>
  <c r="O279" i="27"/>
  <c r="N279" i="27"/>
  <c r="V271" i="27"/>
  <c r="W271" i="27"/>
  <c r="P279" i="27" l="1"/>
  <c r="Q279" i="27" s="1"/>
  <c r="M280" i="27" s="1"/>
  <c r="BJ273" i="27"/>
  <c r="BK273" i="27"/>
  <c r="E272" i="27"/>
  <c r="F272" i="27"/>
  <c r="AD285" i="27"/>
  <c r="AF285" i="27" s="1"/>
  <c r="AG285" i="27" s="1"/>
  <c r="AC286" i="27" s="1"/>
  <c r="AE286" i="27" s="1"/>
  <c r="AN274" i="27"/>
  <c r="AO274" i="27" s="1"/>
  <c r="AK275" i="27" s="1"/>
  <c r="BC278" i="27"/>
  <c r="BD278" i="27" s="1"/>
  <c r="BE278" i="27" s="1"/>
  <c r="BA279" i="27" s="1"/>
  <c r="BB279" i="27" s="1"/>
  <c r="A389" i="27"/>
  <c r="C390" i="27"/>
  <c r="N280" i="27"/>
  <c r="O280" i="27"/>
  <c r="X271" i="27"/>
  <c r="Y271" i="27" s="1"/>
  <c r="U272" i="27" s="1"/>
  <c r="AU289" i="27"/>
  <c r="AT289" i="27"/>
  <c r="BL273" i="27" l="1"/>
  <c r="BM273" i="27" s="1"/>
  <c r="BI274" i="27" s="1"/>
  <c r="G272" i="27"/>
  <c r="H272" i="27" s="1"/>
  <c r="D273" i="27" s="1"/>
  <c r="F273" i="27" s="1"/>
  <c r="AD286" i="27"/>
  <c r="AF286" i="27" s="1"/>
  <c r="AG286" i="27" s="1"/>
  <c r="AC287" i="27" s="1"/>
  <c r="AE287" i="27" s="1"/>
  <c r="AM275" i="27"/>
  <c r="AL275" i="27"/>
  <c r="BC279" i="27"/>
  <c r="BD279" i="27" s="1"/>
  <c r="BE279" i="27" s="1"/>
  <c r="BA280" i="27" s="1"/>
  <c r="C391" i="27"/>
  <c r="A390" i="27"/>
  <c r="AV289" i="27"/>
  <c r="AW289" i="27" s="1"/>
  <c r="AS290" i="27" s="1"/>
  <c r="AU290" i="27" s="1"/>
  <c r="V272" i="27"/>
  <c r="W272" i="27"/>
  <c r="P280" i="27"/>
  <c r="Q280" i="27" s="1"/>
  <c r="M281" i="27" s="1"/>
  <c r="BJ274" i="27" l="1"/>
  <c r="BK274" i="27"/>
  <c r="AN275" i="27"/>
  <c r="AO275" i="27" s="1"/>
  <c r="AK276" i="27" s="1"/>
  <c r="AM276" i="27" s="1"/>
  <c r="E273" i="27"/>
  <c r="G273" i="27" s="1"/>
  <c r="H273" i="27" s="1"/>
  <c r="D274" i="27" s="1"/>
  <c r="F274" i="27" s="1"/>
  <c r="I273" i="27"/>
  <c r="AD287" i="27"/>
  <c r="AF287" i="27" s="1"/>
  <c r="AG287" i="27" s="1"/>
  <c r="AC288" i="27" s="1"/>
  <c r="BB280" i="27"/>
  <c r="BC280" i="27"/>
  <c r="AT290" i="27"/>
  <c r="AV290" i="27" s="1"/>
  <c r="AW290" i="27" s="1"/>
  <c r="AS291" i="27" s="1"/>
  <c r="C392" i="27"/>
  <c r="A391" i="27"/>
  <c r="N281" i="27"/>
  <c r="O281" i="27"/>
  <c r="X272" i="27"/>
  <c r="Y272" i="27" s="1"/>
  <c r="U273" i="27" s="1"/>
  <c r="AL276" i="27" l="1"/>
  <c r="AN276" i="27" s="1"/>
  <c r="AO276" i="27" s="1"/>
  <c r="AK277" i="27" s="1"/>
  <c r="AL277" i="27" s="1"/>
  <c r="BL274" i="27"/>
  <c r="BM274" i="27" s="1"/>
  <c r="BI275" i="27" s="1"/>
  <c r="E274" i="27"/>
  <c r="G274" i="27" s="1"/>
  <c r="H274" i="27" s="1"/>
  <c r="D275" i="27" s="1"/>
  <c r="E275" i="27" s="1"/>
  <c r="I274" i="27"/>
  <c r="BD280" i="27"/>
  <c r="BE280" i="27" s="1"/>
  <c r="BA281" i="27" s="1"/>
  <c r="BC281" i="27" s="1"/>
  <c r="AM277" i="27"/>
  <c r="P281" i="27"/>
  <c r="Q281" i="27" s="1"/>
  <c r="M282" i="27" s="1"/>
  <c r="O282" i="27" s="1"/>
  <c r="A392" i="27"/>
  <c r="C393" i="27"/>
  <c r="W273" i="27"/>
  <c r="V273" i="27"/>
  <c r="AE288" i="27"/>
  <c r="AD288" i="27"/>
  <c r="AU291" i="27"/>
  <c r="AT291" i="27"/>
  <c r="I275" i="27" l="1"/>
  <c r="F275" i="27"/>
  <c r="G275" i="27" s="1"/>
  <c r="H275" i="27" s="1"/>
  <c r="D276" i="27" s="1"/>
  <c r="E276" i="27" s="1"/>
  <c r="AN277" i="27"/>
  <c r="AO277" i="27" s="1"/>
  <c r="AK278" i="27" s="1"/>
  <c r="BJ275" i="27"/>
  <c r="BK275" i="27"/>
  <c r="BB281" i="27"/>
  <c r="BD281" i="27" s="1"/>
  <c r="BE281" i="27" s="1"/>
  <c r="BA282" i="27" s="1"/>
  <c r="BB282" i="27" s="1"/>
  <c r="AL278" i="27"/>
  <c r="AM278" i="27"/>
  <c r="AV291" i="27"/>
  <c r="AW291" i="27" s="1"/>
  <c r="AS292" i="27" s="1"/>
  <c r="AU292" i="27" s="1"/>
  <c r="N282" i="27"/>
  <c r="P282" i="27" s="1"/>
  <c r="Q282" i="27" s="1"/>
  <c r="M283" i="27" s="1"/>
  <c r="N283" i="27" s="1"/>
  <c r="AF288" i="27"/>
  <c r="AG288" i="27" s="1"/>
  <c r="AC289" i="27" s="1"/>
  <c r="AE289" i="27" s="1"/>
  <c r="A393" i="27"/>
  <c r="C394" i="27"/>
  <c r="X273" i="27"/>
  <c r="Y273" i="27" s="1"/>
  <c r="U274" i="27" s="1"/>
  <c r="F276" i="27" l="1"/>
  <c r="G276" i="27" s="1"/>
  <c r="H276" i="27" s="1"/>
  <c r="D277" i="27" s="1"/>
  <c r="I276" i="27"/>
  <c r="BL275" i="27"/>
  <c r="BM275" i="27" s="1"/>
  <c r="BI276" i="27" s="1"/>
  <c r="BC282" i="27"/>
  <c r="BD282" i="27" s="1"/>
  <c r="BE282" i="27" s="1"/>
  <c r="BA283" i="27" s="1"/>
  <c r="BC283" i="27" s="1"/>
  <c r="AN278" i="27"/>
  <c r="AO278" i="27" s="1"/>
  <c r="AK279" i="27" s="1"/>
  <c r="AL279" i="27" s="1"/>
  <c r="AT292" i="27"/>
  <c r="AV292" i="27" s="1"/>
  <c r="AW292" i="27" s="1"/>
  <c r="AS293" i="27" s="1"/>
  <c r="AU293" i="27" s="1"/>
  <c r="O283" i="27"/>
  <c r="P283" i="27" s="1"/>
  <c r="Q283" i="27" s="1"/>
  <c r="M284" i="27" s="1"/>
  <c r="AD289" i="27"/>
  <c r="AF289" i="27" s="1"/>
  <c r="AG289" i="27" s="1"/>
  <c r="AC290" i="27" s="1"/>
  <c r="AD290" i="27" s="1"/>
  <c r="C395" i="27"/>
  <c r="A394" i="27"/>
  <c r="V274" i="27"/>
  <c r="W274" i="27"/>
  <c r="BB283" i="27" l="1"/>
  <c r="BJ276" i="27"/>
  <c r="BK276" i="27"/>
  <c r="AM279" i="27"/>
  <c r="AT293" i="27"/>
  <c r="AV293" i="27" s="1"/>
  <c r="AW293" i="27" s="1"/>
  <c r="AS294" i="27" s="1"/>
  <c r="AU294" i="27" s="1"/>
  <c r="AN279" i="27"/>
  <c r="AO279" i="27" s="1"/>
  <c r="AK280" i="27" s="1"/>
  <c r="AL280" i="27" s="1"/>
  <c r="AE290" i="27"/>
  <c r="AF290" i="27" s="1"/>
  <c r="AG290" i="27" s="1"/>
  <c r="AC291" i="27" s="1"/>
  <c r="X274" i="27"/>
  <c r="Y274" i="27" s="1"/>
  <c r="U275" i="27" s="1"/>
  <c r="V275" i="27" s="1"/>
  <c r="C396" i="27"/>
  <c r="A395" i="27"/>
  <c r="BD283" i="27"/>
  <c r="BE283" i="27" s="1"/>
  <c r="BA284" i="27" s="1"/>
  <c r="N284" i="27"/>
  <c r="O284" i="27"/>
  <c r="I277" i="27"/>
  <c r="E277" i="27"/>
  <c r="F277" i="27"/>
  <c r="BL276" i="27" l="1"/>
  <c r="BM276" i="27" s="1"/>
  <c r="BI277" i="27" s="1"/>
  <c r="AM280" i="27"/>
  <c r="AN280" i="27" s="1"/>
  <c r="AO280" i="27" s="1"/>
  <c r="AK281" i="27" s="1"/>
  <c r="AL281" i="27" s="1"/>
  <c r="AT294" i="27"/>
  <c r="AV294" i="27" s="1"/>
  <c r="AW294" i="27" s="1"/>
  <c r="AS295" i="27" s="1"/>
  <c r="AE291" i="27"/>
  <c r="AD291" i="27"/>
  <c r="W275" i="27"/>
  <c r="X275" i="27" s="1"/>
  <c r="Y275" i="27" s="1"/>
  <c r="U276" i="27" s="1"/>
  <c r="V276" i="27" s="1"/>
  <c r="P284" i="27"/>
  <c r="Q284" i="27" s="1"/>
  <c r="M285" i="27" s="1"/>
  <c r="N285" i="27" s="1"/>
  <c r="A396" i="27"/>
  <c r="C397" i="27"/>
  <c r="G277" i="27"/>
  <c r="H277" i="27" s="1"/>
  <c r="D278" i="27" s="1"/>
  <c r="BB284" i="27"/>
  <c r="BC284" i="27"/>
  <c r="AF291" i="27" l="1"/>
  <c r="AG291" i="27" s="1"/>
  <c r="AC292" i="27" s="1"/>
  <c r="AD292" i="27" s="1"/>
  <c r="BK277" i="27"/>
  <c r="BJ277" i="27"/>
  <c r="BL277" i="27" s="1"/>
  <c r="BM277" i="27" s="1"/>
  <c r="BI278" i="27" s="1"/>
  <c r="O285" i="27"/>
  <c r="P285" i="27" s="1"/>
  <c r="Q285" i="27" s="1"/>
  <c r="M286" i="27" s="1"/>
  <c r="O286" i="27" s="1"/>
  <c r="W276" i="27"/>
  <c r="X276" i="27" s="1"/>
  <c r="Y276" i="27" s="1"/>
  <c r="U277" i="27" s="1"/>
  <c r="AM281" i="27"/>
  <c r="AN281" i="27" s="1"/>
  <c r="AO281" i="27" s="1"/>
  <c r="AK282" i="27" s="1"/>
  <c r="AE292" i="27"/>
  <c r="AF292" i="27" s="1"/>
  <c r="AG292" i="27" s="1"/>
  <c r="AC293" i="27" s="1"/>
  <c r="A397" i="27"/>
  <c r="C398" i="27"/>
  <c r="AT295" i="27"/>
  <c r="AU295" i="27"/>
  <c r="E278" i="27"/>
  <c r="I278" i="27"/>
  <c r="F278" i="27"/>
  <c r="BD284" i="27"/>
  <c r="BE284" i="27" s="1"/>
  <c r="BA285" i="27" s="1"/>
  <c r="BK278" i="27" l="1"/>
  <c r="BJ278" i="27"/>
  <c r="BL278" i="27" s="1"/>
  <c r="BM278" i="27" s="1"/>
  <c r="BI279" i="27" s="1"/>
  <c r="N286" i="27"/>
  <c r="P286" i="27" s="1"/>
  <c r="Q286" i="27" s="1"/>
  <c r="M287" i="27" s="1"/>
  <c r="AV295" i="27"/>
  <c r="AW295" i="27" s="1"/>
  <c r="AS296" i="27" s="1"/>
  <c r="AT296" i="27" s="1"/>
  <c r="AL282" i="27"/>
  <c r="AM282" i="27"/>
  <c r="C399" i="27"/>
  <c r="A398" i="27"/>
  <c r="AE293" i="27"/>
  <c r="AD293" i="27"/>
  <c r="BC285" i="27"/>
  <c r="BB285" i="27"/>
  <c r="G278" i="27"/>
  <c r="H278" i="27" s="1"/>
  <c r="D279" i="27" s="1"/>
  <c r="W277" i="27"/>
  <c r="V277" i="27"/>
  <c r="BJ279" i="27" l="1"/>
  <c r="BK279" i="27"/>
  <c r="BD285" i="27"/>
  <c r="BE285" i="27" s="1"/>
  <c r="BA286" i="27" s="1"/>
  <c r="BC286" i="27" s="1"/>
  <c r="AU296" i="27"/>
  <c r="AV296" i="27" s="1"/>
  <c r="AW296" i="27" s="1"/>
  <c r="AS297" i="27" s="1"/>
  <c r="N287" i="27"/>
  <c r="O287" i="27"/>
  <c r="AN282" i="27"/>
  <c r="AO282" i="27" s="1"/>
  <c r="AK283" i="27" s="1"/>
  <c r="X277" i="27"/>
  <c r="Y277" i="27" s="1"/>
  <c r="U278" i="27" s="1"/>
  <c r="V278" i="27" s="1"/>
  <c r="AF293" i="27"/>
  <c r="AG293" i="27" s="1"/>
  <c r="AC294" i="27" s="1"/>
  <c r="AD294" i="27" s="1"/>
  <c r="C400" i="27"/>
  <c r="A399" i="27"/>
  <c r="I279" i="27"/>
  <c r="F279" i="27"/>
  <c r="E279" i="27"/>
  <c r="P287" i="27" l="1"/>
  <c r="Q287" i="27" s="1"/>
  <c r="M288" i="27" s="1"/>
  <c r="N288" i="27" s="1"/>
  <c r="BB286" i="27"/>
  <c r="BL279" i="27"/>
  <c r="BM279" i="27" s="1"/>
  <c r="BI280" i="27" s="1"/>
  <c r="AT297" i="27"/>
  <c r="AU297" i="27"/>
  <c r="O288" i="27"/>
  <c r="P288" i="27" s="1"/>
  <c r="Q288" i="27" s="1"/>
  <c r="M289" i="27" s="1"/>
  <c r="N289" i="27" s="1"/>
  <c r="W278" i="27"/>
  <c r="X278" i="27" s="1"/>
  <c r="Y278" i="27" s="1"/>
  <c r="U279" i="27" s="1"/>
  <c r="AE294" i="27"/>
  <c r="AF294" i="27" s="1"/>
  <c r="AG294" i="27" s="1"/>
  <c r="AC295" i="27" s="1"/>
  <c r="BD286" i="27"/>
  <c r="BE286" i="27" s="1"/>
  <c r="BA287" i="27" s="1"/>
  <c r="BB287" i="27" s="1"/>
  <c r="AL283" i="27"/>
  <c r="AM283" i="27"/>
  <c r="C401" i="27"/>
  <c r="A400" i="27"/>
  <c r="G279" i="27"/>
  <c r="H279" i="27" s="1"/>
  <c r="D280" i="27" s="1"/>
  <c r="BJ280" i="27" l="1"/>
  <c r="BK280" i="27"/>
  <c r="AV297" i="27"/>
  <c r="AW297" i="27" s="1"/>
  <c r="AS298" i="27" s="1"/>
  <c r="AT298" i="27" s="1"/>
  <c r="BC287" i="27"/>
  <c r="BD287" i="27" s="1"/>
  <c r="BE287" i="27" s="1"/>
  <c r="BA288" i="27" s="1"/>
  <c r="O289" i="27"/>
  <c r="P289" i="27" s="1"/>
  <c r="Q289" i="27" s="1"/>
  <c r="M290" i="27" s="1"/>
  <c r="AN283" i="27"/>
  <c r="AO283" i="27" s="1"/>
  <c r="AK284" i="27" s="1"/>
  <c r="A401" i="27"/>
  <c r="C402" i="27"/>
  <c r="V279" i="27"/>
  <c r="W279" i="27"/>
  <c r="AE295" i="27"/>
  <c r="AD295" i="27"/>
  <c r="E280" i="27"/>
  <c r="I280" i="27"/>
  <c r="F280" i="27"/>
  <c r="AU298" i="27" l="1"/>
  <c r="BL280" i="27"/>
  <c r="BM280" i="27" s="1"/>
  <c r="BI281" i="27" s="1"/>
  <c r="AF295" i="27"/>
  <c r="AG295" i="27" s="1"/>
  <c r="AC296" i="27" s="1"/>
  <c r="AD296" i="27" s="1"/>
  <c r="O290" i="27"/>
  <c r="N290" i="27"/>
  <c r="P290" i="27" s="1"/>
  <c r="Q290" i="27" s="1"/>
  <c r="M291" i="27" s="1"/>
  <c r="N291" i="27" s="1"/>
  <c r="AM284" i="27"/>
  <c r="AL284" i="27"/>
  <c r="G280" i="27"/>
  <c r="H280" i="27" s="1"/>
  <c r="D281" i="27" s="1"/>
  <c r="E281" i="27" s="1"/>
  <c r="AV298" i="27"/>
  <c r="AW298" i="27" s="1"/>
  <c r="AS299" i="27" s="1"/>
  <c r="AU299" i="27" s="1"/>
  <c r="C403" i="27"/>
  <c r="A402" i="27"/>
  <c r="X279" i="27"/>
  <c r="Y279" i="27" s="1"/>
  <c r="U280" i="27" s="1"/>
  <c r="V280" i="27" s="1"/>
  <c r="BB288" i="27"/>
  <c r="BC288" i="27"/>
  <c r="BK281" i="27" l="1"/>
  <c r="BJ281" i="27"/>
  <c r="BL281" i="27" s="1"/>
  <c r="BM281" i="27" s="1"/>
  <c r="BI282" i="27" s="1"/>
  <c r="AE296" i="27"/>
  <c r="AF296" i="27" s="1"/>
  <c r="AG296" i="27" s="1"/>
  <c r="AC297" i="27" s="1"/>
  <c r="AD297" i="27" s="1"/>
  <c r="AN284" i="27"/>
  <c r="AO284" i="27" s="1"/>
  <c r="AK285" i="27" s="1"/>
  <c r="AL285" i="27" s="1"/>
  <c r="O291" i="27"/>
  <c r="P291" i="27" s="1"/>
  <c r="Q291" i="27" s="1"/>
  <c r="M292" i="27" s="1"/>
  <c r="I281" i="27"/>
  <c r="F281" i="27"/>
  <c r="G281" i="27" s="1"/>
  <c r="H281" i="27" s="1"/>
  <c r="D282" i="27" s="1"/>
  <c r="W280" i="27"/>
  <c r="X280" i="27" s="1"/>
  <c r="Y280" i="27" s="1"/>
  <c r="U281" i="27" s="1"/>
  <c r="BD288" i="27"/>
  <c r="BE288" i="27" s="1"/>
  <c r="BA289" i="27" s="1"/>
  <c r="BC289" i="27" s="1"/>
  <c r="AT299" i="27"/>
  <c r="AV299" i="27" s="1"/>
  <c r="AW299" i="27" s="1"/>
  <c r="AS300" i="27" s="1"/>
  <c r="AU300" i="27" s="1"/>
  <c r="C404" i="27"/>
  <c r="A403" i="27"/>
  <c r="BJ282" i="27" l="1"/>
  <c r="BK282" i="27"/>
  <c r="AM285" i="27"/>
  <c r="AN285" i="27" s="1"/>
  <c r="AO285" i="27" s="1"/>
  <c r="AK286" i="27" s="1"/>
  <c r="N292" i="27"/>
  <c r="O292" i="27"/>
  <c r="BB289" i="27"/>
  <c r="BD289" i="27" s="1"/>
  <c r="BE289" i="27" s="1"/>
  <c r="BA290" i="27" s="1"/>
  <c r="BB290" i="27" s="1"/>
  <c r="W281" i="27"/>
  <c r="V281" i="27"/>
  <c r="AT300" i="27"/>
  <c r="AV300" i="27" s="1"/>
  <c r="AW300" i="27" s="1"/>
  <c r="AS301" i="27" s="1"/>
  <c r="AU301" i="27" s="1"/>
  <c r="AE297" i="27"/>
  <c r="AF297" i="27" s="1"/>
  <c r="AG297" i="27" s="1"/>
  <c r="AC298" i="27" s="1"/>
  <c r="AD298" i="27" s="1"/>
  <c r="A404" i="27"/>
  <c r="C405" i="27"/>
  <c r="E282" i="27"/>
  <c r="I282" i="27"/>
  <c r="F282" i="27"/>
  <c r="BL282" i="27" l="1"/>
  <c r="BM282" i="27" s="1"/>
  <c r="BI283" i="27" s="1"/>
  <c r="P292" i="27"/>
  <c r="Q292" i="27" s="1"/>
  <c r="M293" i="27" s="1"/>
  <c r="O293" i="27" s="1"/>
  <c r="X281" i="27"/>
  <c r="Y281" i="27" s="1"/>
  <c r="U282" i="27" s="1"/>
  <c r="V282" i="27" s="1"/>
  <c r="BC290" i="27"/>
  <c r="BD290" i="27" s="1"/>
  <c r="BE290" i="27" s="1"/>
  <c r="BA291" i="27" s="1"/>
  <c r="N293" i="27"/>
  <c r="P293" i="27" s="1"/>
  <c r="Q293" i="27" s="1"/>
  <c r="M294" i="27" s="1"/>
  <c r="O294" i="27" s="1"/>
  <c r="AT301" i="27"/>
  <c r="AV301" i="27" s="1"/>
  <c r="AW301" i="27" s="1"/>
  <c r="AS302" i="27" s="1"/>
  <c r="AU302" i="27" s="1"/>
  <c r="AL286" i="27"/>
  <c r="AM286" i="27"/>
  <c r="AE298" i="27"/>
  <c r="AF298" i="27" s="1"/>
  <c r="AG298" i="27" s="1"/>
  <c r="AC299" i="27" s="1"/>
  <c r="AE299" i="27" s="1"/>
  <c r="G282" i="27"/>
  <c r="H282" i="27" s="1"/>
  <c r="D283" i="27" s="1"/>
  <c r="F283" i="27" s="1"/>
  <c r="C406" i="27"/>
  <c r="A405" i="27"/>
  <c r="BJ283" i="27" l="1"/>
  <c r="BK283" i="27"/>
  <c r="W282" i="27"/>
  <c r="X282" i="27" s="1"/>
  <c r="Y282" i="27" s="1"/>
  <c r="U283" i="27" s="1"/>
  <c r="W283" i="27" s="1"/>
  <c r="AT302" i="27"/>
  <c r="AV302" i="27" s="1"/>
  <c r="AW302" i="27" s="1"/>
  <c r="AS303" i="27" s="1"/>
  <c r="AU303" i="27" s="1"/>
  <c r="N294" i="27"/>
  <c r="P294" i="27" s="1"/>
  <c r="Q294" i="27" s="1"/>
  <c r="M295" i="27" s="1"/>
  <c r="N295" i="27" s="1"/>
  <c r="E283" i="27"/>
  <c r="G283" i="27" s="1"/>
  <c r="H283" i="27" s="1"/>
  <c r="D284" i="27" s="1"/>
  <c r="I283" i="27"/>
  <c r="AD299" i="27"/>
  <c r="AF299" i="27" s="1"/>
  <c r="AG299" i="27" s="1"/>
  <c r="AC300" i="27" s="1"/>
  <c r="AE300" i="27" s="1"/>
  <c r="AN286" i="27"/>
  <c r="AO286" i="27" s="1"/>
  <c r="AK287" i="27" s="1"/>
  <c r="A406" i="27"/>
  <c r="C407" i="27"/>
  <c r="BC291" i="27"/>
  <c r="BB291" i="27"/>
  <c r="BL283" i="27" l="1"/>
  <c r="BM283" i="27" s="1"/>
  <c r="BI284" i="27" s="1"/>
  <c r="V283" i="27"/>
  <c r="X283" i="27" s="1"/>
  <c r="Y283" i="27" s="1"/>
  <c r="U284" i="27" s="1"/>
  <c r="W284" i="27" s="1"/>
  <c r="BD291" i="27"/>
  <c r="BE291" i="27" s="1"/>
  <c r="BA292" i="27" s="1"/>
  <c r="BC292" i="27" s="1"/>
  <c r="AT303" i="27"/>
  <c r="AV303" i="27" s="1"/>
  <c r="AW303" i="27" s="1"/>
  <c r="AS304" i="27" s="1"/>
  <c r="AT304" i="27" s="1"/>
  <c r="O295" i="27"/>
  <c r="P295" i="27" s="1"/>
  <c r="Q295" i="27" s="1"/>
  <c r="M296" i="27" s="1"/>
  <c r="V284" i="27"/>
  <c r="X284" i="27" s="1"/>
  <c r="Y284" i="27" s="1"/>
  <c r="U285" i="27" s="1"/>
  <c r="W285" i="27" s="1"/>
  <c r="AL287" i="27"/>
  <c r="AM287" i="27"/>
  <c r="AD300" i="27"/>
  <c r="AF300" i="27" s="1"/>
  <c r="AG300" i="27" s="1"/>
  <c r="AC301" i="27" s="1"/>
  <c r="AE301" i="27" s="1"/>
  <c r="A407" i="27"/>
  <c r="C408" i="27"/>
  <c r="BB292" i="27"/>
  <c r="E284" i="27"/>
  <c r="F284" i="27"/>
  <c r="I284" i="27"/>
  <c r="BK284" i="27" l="1"/>
  <c r="BJ284" i="27"/>
  <c r="BL284" i="27" s="1"/>
  <c r="BM284" i="27" s="1"/>
  <c r="BI285" i="27" s="1"/>
  <c r="AU304" i="27"/>
  <c r="AV304" i="27" s="1"/>
  <c r="AW304" i="27" s="1"/>
  <c r="AS305" i="27" s="1"/>
  <c r="V285" i="27"/>
  <c r="X285" i="27" s="1"/>
  <c r="Y285" i="27" s="1"/>
  <c r="U286" i="27" s="1"/>
  <c r="AD301" i="27"/>
  <c r="AF301" i="27" s="1"/>
  <c r="AG301" i="27" s="1"/>
  <c r="AC302" i="27" s="1"/>
  <c r="AE302" i="27" s="1"/>
  <c r="AN287" i="27"/>
  <c r="AO287" i="27" s="1"/>
  <c r="AK288" i="27" s="1"/>
  <c r="G284" i="27"/>
  <c r="H284" i="27" s="1"/>
  <c r="D285" i="27" s="1"/>
  <c r="I285" i="27" s="1"/>
  <c r="BD292" i="27"/>
  <c r="BE292" i="27" s="1"/>
  <c r="BA293" i="27" s="1"/>
  <c r="BC293" i="27" s="1"/>
  <c r="C409" i="27"/>
  <c r="A408" i="27"/>
  <c r="O296" i="27"/>
  <c r="N296" i="27"/>
  <c r="P296" i="27" s="1"/>
  <c r="Q296" i="27" s="1"/>
  <c r="M297" i="27" s="1"/>
  <c r="BK285" i="27" l="1"/>
  <c r="BJ285" i="27"/>
  <c r="BL285" i="27" s="1"/>
  <c r="BM285" i="27" s="1"/>
  <c r="BI286" i="27" s="1"/>
  <c r="V286" i="27"/>
  <c r="W286" i="27"/>
  <c r="F285" i="27"/>
  <c r="AD302" i="27"/>
  <c r="AF302" i="27" s="1"/>
  <c r="AG302" i="27" s="1"/>
  <c r="AC303" i="27" s="1"/>
  <c r="AE303" i="27" s="1"/>
  <c r="E285" i="27"/>
  <c r="AM288" i="27"/>
  <c r="AL288" i="27"/>
  <c r="BB293" i="27"/>
  <c r="BD293" i="27" s="1"/>
  <c r="BE293" i="27" s="1"/>
  <c r="BA294" i="27" s="1"/>
  <c r="BB294" i="27" s="1"/>
  <c r="A409" i="27"/>
  <c r="C410" i="27"/>
  <c r="O297" i="27"/>
  <c r="N297" i="27"/>
  <c r="AT305" i="27"/>
  <c r="AU305" i="27"/>
  <c r="BJ286" i="27" l="1"/>
  <c r="BK286" i="27"/>
  <c r="G285" i="27"/>
  <c r="H285" i="27" s="1"/>
  <c r="D286" i="27" s="1"/>
  <c r="E286" i="27" s="1"/>
  <c r="X286" i="27"/>
  <c r="Y286" i="27" s="1"/>
  <c r="U287" i="27" s="1"/>
  <c r="W287" i="27" s="1"/>
  <c r="AN288" i="27"/>
  <c r="AO288" i="27" s="1"/>
  <c r="AK289" i="27" s="1"/>
  <c r="AM289" i="27" s="1"/>
  <c r="AD303" i="27"/>
  <c r="AF303" i="27" s="1"/>
  <c r="AG303" i="27" s="1"/>
  <c r="AC304" i="27" s="1"/>
  <c r="AD304" i="27" s="1"/>
  <c r="BC294" i="27"/>
  <c r="BD294" i="27" s="1"/>
  <c r="BE294" i="27" s="1"/>
  <c r="BA295" i="27" s="1"/>
  <c r="P297" i="27"/>
  <c r="Q297" i="27" s="1"/>
  <c r="M298" i="27" s="1"/>
  <c r="N298" i="27" s="1"/>
  <c r="A410" i="27"/>
  <c r="C411" i="27"/>
  <c r="AV305" i="27"/>
  <c r="AW305" i="27" s="1"/>
  <c r="AS306" i="27" s="1"/>
  <c r="BL286" i="27" l="1"/>
  <c r="BM286" i="27" s="1"/>
  <c r="BI287" i="27" s="1"/>
  <c r="I286" i="27"/>
  <c r="F286" i="27"/>
  <c r="G286" i="27" s="1"/>
  <c r="H286" i="27" s="1"/>
  <c r="D287" i="27" s="1"/>
  <c r="F287" i="27" s="1"/>
  <c r="AL289" i="27"/>
  <c r="AN289" i="27" s="1"/>
  <c r="AO289" i="27" s="1"/>
  <c r="AK290" i="27" s="1"/>
  <c r="BK287" i="27"/>
  <c r="BJ287" i="27"/>
  <c r="BL287" i="27" s="1"/>
  <c r="BM287" i="27" s="1"/>
  <c r="BI288" i="27" s="1"/>
  <c r="V287" i="27"/>
  <c r="X287" i="27" s="1"/>
  <c r="Y287" i="27" s="1"/>
  <c r="U288" i="27" s="1"/>
  <c r="V288" i="27" s="1"/>
  <c r="AE304" i="27"/>
  <c r="AF304" i="27" s="1"/>
  <c r="AG304" i="27" s="1"/>
  <c r="AC305" i="27" s="1"/>
  <c r="O298" i="27"/>
  <c r="P298" i="27" s="1"/>
  <c r="Q298" i="27" s="1"/>
  <c r="M299" i="27" s="1"/>
  <c r="A411" i="27"/>
  <c r="C412" i="27"/>
  <c r="BC295" i="27"/>
  <c r="BB295" i="27"/>
  <c r="AT306" i="27"/>
  <c r="AU306" i="27"/>
  <c r="BK288" i="27" l="1"/>
  <c r="BJ288" i="27"/>
  <c r="BL288" i="27" s="1"/>
  <c r="BM288" i="27" s="1"/>
  <c r="BI289" i="27" s="1"/>
  <c r="W288" i="27"/>
  <c r="X288" i="27" s="1"/>
  <c r="Y288" i="27" s="1"/>
  <c r="U289" i="27" s="1"/>
  <c r="W289" i="27" s="1"/>
  <c r="N299" i="27"/>
  <c r="O299" i="27"/>
  <c r="I287" i="27"/>
  <c r="AL290" i="27"/>
  <c r="AM290" i="27"/>
  <c r="E287" i="27"/>
  <c r="G287" i="27" s="1"/>
  <c r="H287" i="27" s="1"/>
  <c r="D288" i="27" s="1"/>
  <c r="BD295" i="27"/>
  <c r="BE295" i="27" s="1"/>
  <c r="BA296" i="27" s="1"/>
  <c r="BC296" i="27" s="1"/>
  <c r="A412" i="27"/>
  <c r="C413" i="27"/>
  <c r="AV306" i="27"/>
  <c r="AW306" i="27" s="1"/>
  <c r="AS307" i="27" s="1"/>
  <c r="AD305" i="27"/>
  <c r="AE305" i="27"/>
  <c r="BJ289" i="27" l="1"/>
  <c r="BK289" i="27"/>
  <c r="P299" i="27"/>
  <c r="Q299" i="27" s="1"/>
  <c r="M300" i="27" s="1"/>
  <c r="O300" i="27" s="1"/>
  <c r="BB296" i="27"/>
  <c r="BD296" i="27" s="1"/>
  <c r="BE296" i="27" s="1"/>
  <c r="BA297" i="27" s="1"/>
  <c r="BB297" i="27" s="1"/>
  <c r="AN290" i="27"/>
  <c r="AO290" i="27" s="1"/>
  <c r="AK291" i="27" s="1"/>
  <c r="V289" i="27"/>
  <c r="X289" i="27" s="1"/>
  <c r="Y289" i="27" s="1"/>
  <c r="U290" i="27" s="1"/>
  <c r="A413" i="27"/>
  <c r="C414" i="27"/>
  <c r="AU307" i="27"/>
  <c r="AT307" i="27"/>
  <c r="I288" i="27"/>
  <c r="F288" i="27"/>
  <c r="E288" i="27"/>
  <c r="AF305" i="27"/>
  <c r="AG305" i="27" s="1"/>
  <c r="AC306" i="27" s="1"/>
  <c r="N300" i="27" l="1"/>
  <c r="G288" i="27"/>
  <c r="H288" i="27" s="1"/>
  <c r="D289" i="27" s="1"/>
  <c r="F289" i="27" s="1"/>
  <c r="BL289" i="27"/>
  <c r="BM289" i="27" s="1"/>
  <c r="BI290" i="27" s="1"/>
  <c r="AV307" i="27"/>
  <c r="AW307" i="27" s="1"/>
  <c r="AS308" i="27" s="1"/>
  <c r="AU308" i="27" s="1"/>
  <c r="BC297" i="27"/>
  <c r="BD297" i="27" s="1"/>
  <c r="BE297" i="27" s="1"/>
  <c r="BA298" i="27" s="1"/>
  <c r="AM291" i="27"/>
  <c r="AL291" i="27"/>
  <c r="C415" i="27"/>
  <c r="A414" i="27"/>
  <c r="W290" i="27"/>
  <c r="V290" i="27"/>
  <c r="AD306" i="27"/>
  <c r="AE306" i="27"/>
  <c r="P300" i="27"/>
  <c r="Q300" i="27" s="1"/>
  <c r="M301" i="27" s="1"/>
  <c r="E289" i="27" l="1"/>
  <c r="G289" i="27" s="1"/>
  <c r="H289" i="27" s="1"/>
  <c r="D290" i="27" s="1"/>
  <c r="F290" i="27" s="1"/>
  <c r="I289" i="27"/>
  <c r="AN291" i="27"/>
  <c r="AO291" i="27" s="1"/>
  <c r="AK292" i="27" s="1"/>
  <c r="BJ290" i="27"/>
  <c r="BK290" i="27"/>
  <c r="AT308" i="27"/>
  <c r="AV308" i="27" s="1"/>
  <c r="AW308" i="27" s="1"/>
  <c r="AS309" i="27" s="1"/>
  <c r="X290" i="27"/>
  <c r="Y290" i="27" s="1"/>
  <c r="U291" i="27" s="1"/>
  <c r="V291" i="27" s="1"/>
  <c r="BB298" i="27"/>
  <c r="BC298" i="27"/>
  <c r="AM292" i="27"/>
  <c r="AL292" i="27"/>
  <c r="A415" i="27"/>
  <c r="C416" i="27"/>
  <c r="AF306" i="27"/>
  <c r="AG306" i="27" s="1"/>
  <c r="AC307" i="27" s="1"/>
  <c r="O301" i="27"/>
  <c r="N301" i="27"/>
  <c r="BL290" i="27" l="1"/>
  <c r="BM290" i="27" s="1"/>
  <c r="BI291" i="27" s="1"/>
  <c r="W291" i="27"/>
  <c r="X291" i="27" s="1"/>
  <c r="Y291" i="27" s="1"/>
  <c r="U292" i="27" s="1"/>
  <c r="V292" i="27" s="1"/>
  <c r="AN292" i="27"/>
  <c r="AO292" i="27" s="1"/>
  <c r="AK293" i="27" s="1"/>
  <c r="AM293" i="27" s="1"/>
  <c r="AU309" i="27"/>
  <c r="AT309" i="27"/>
  <c r="AV309" i="27" s="1"/>
  <c r="AW309" i="27" s="1"/>
  <c r="AS310" i="27" s="1"/>
  <c r="BD298" i="27"/>
  <c r="BE298" i="27" s="1"/>
  <c r="BA299" i="27" s="1"/>
  <c r="BB299" i="27" s="1"/>
  <c r="P301" i="27"/>
  <c r="Q301" i="27" s="1"/>
  <c r="M302" i="27" s="1"/>
  <c r="N302" i="27" s="1"/>
  <c r="I290" i="27"/>
  <c r="E290" i="27"/>
  <c r="G290" i="27" s="1"/>
  <c r="H290" i="27" s="1"/>
  <c r="D291" i="27" s="1"/>
  <c r="F291" i="27" s="1"/>
  <c r="A416" i="27"/>
  <c r="C417" i="27"/>
  <c r="AE307" i="27"/>
  <c r="AD307" i="27"/>
  <c r="BK291" i="27" l="1"/>
  <c r="BJ291" i="27"/>
  <c r="AL293" i="27"/>
  <c r="O302" i="27"/>
  <c r="P302" i="27" s="1"/>
  <c r="Q302" i="27" s="1"/>
  <c r="M303" i="27" s="1"/>
  <c r="O303" i="27" s="1"/>
  <c r="BC299" i="27"/>
  <c r="BD299" i="27" s="1"/>
  <c r="BE299" i="27" s="1"/>
  <c r="BA300" i="27" s="1"/>
  <c r="AN293" i="27"/>
  <c r="AO293" i="27" s="1"/>
  <c r="AK294" i="27" s="1"/>
  <c r="AL294" i="27" s="1"/>
  <c r="W292" i="27"/>
  <c r="X292" i="27" s="1"/>
  <c r="Y292" i="27" s="1"/>
  <c r="U293" i="27" s="1"/>
  <c r="W293" i="27" s="1"/>
  <c r="I291" i="27"/>
  <c r="E291" i="27"/>
  <c r="G291" i="27" s="1"/>
  <c r="H291" i="27" s="1"/>
  <c r="D292" i="27" s="1"/>
  <c r="I292" i="27" s="1"/>
  <c r="AF307" i="27"/>
  <c r="AG307" i="27" s="1"/>
  <c r="AC308" i="27" s="1"/>
  <c r="AE308" i="27" s="1"/>
  <c r="C418" i="27"/>
  <c r="A417" i="27"/>
  <c r="AU310" i="27"/>
  <c r="AT310" i="27"/>
  <c r="BL291" i="27" l="1"/>
  <c r="BM291" i="27" s="1"/>
  <c r="BI292" i="27" s="1"/>
  <c r="BK292" i="27" s="1"/>
  <c r="AM294" i="27"/>
  <c r="AN294" i="27" s="1"/>
  <c r="AO294" i="27" s="1"/>
  <c r="AK295" i="27" s="1"/>
  <c r="AD308" i="27"/>
  <c r="AF308" i="27" s="1"/>
  <c r="AG308" i="27" s="1"/>
  <c r="AC309" i="27" s="1"/>
  <c r="AD309" i="27" s="1"/>
  <c r="F292" i="27"/>
  <c r="N303" i="27"/>
  <c r="P303" i="27" s="1"/>
  <c r="Q303" i="27" s="1"/>
  <c r="M304" i="27" s="1"/>
  <c r="O304" i="27" s="1"/>
  <c r="E292" i="27"/>
  <c r="V293" i="27"/>
  <c r="X293" i="27" s="1"/>
  <c r="Y293" i="27" s="1"/>
  <c r="U294" i="27" s="1"/>
  <c r="AV310" i="27"/>
  <c r="AW310" i="27" s="1"/>
  <c r="AS311" i="27" s="1"/>
  <c r="AT311" i="27" s="1"/>
  <c r="A418" i="27"/>
  <c r="C419" i="27"/>
  <c r="BC300" i="27"/>
  <c r="BB300" i="27"/>
  <c r="BJ292" i="27" l="1"/>
  <c r="BL292" i="27" s="1"/>
  <c r="BM292" i="27" s="1"/>
  <c r="BI293" i="27" s="1"/>
  <c r="BK293" i="27" s="1"/>
  <c r="BJ293" i="27"/>
  <c r="G292" i="27"/>
  <c r="H292" i="27" s="1"/>
  <c r="D293" i="27" s="1"/>
  <c r="E293" i="27" s="1"/>
  <c r="BD300" i="27"/>
  <c r="BE300" i="27" s="1"/>
  <c r="BA301" i="27" s="1"/>
  <c r="BC301" i="27" s="1"/>
  <c r="V294" i="27"/>
  <c r="W294" i="27"/>
  <c r="N304" i="27"/>
  <c r="P304" i="27" s="1"/>
  <c r="Q304" i="27" s="1"/>
  <c r="M305" i="27" s="1"/>
  <c r="AM295" i="27"/>
  <c r="AL295" i="27"/>
  <c r="AE309" i="27"/>
  <c r="AF309" i="27" s="1"/>
  <c r="AG309" i="27" s="1"/>
  <c r="AC310" i="27" s="1"/>
  <c r="AU311" i="27"/>
  <c r="AV311" i="27" s="1"/>
  <c r="AW311" i="27" s="1"/>
  <c r="AS312" i="27" s="1"/>
  <c r="C420" i="27"/>
  <c r="A419" i="27"/>
  <c r="BL293" i="27" l="1"/>
  <c r="BM293" i="27" s="1"/>
  <c r="BI294" i="27" s="1"/>
  <c r="BB301" i="27"/>
  <c r="I293" i="27"/>
  <c r="BD301" i="27"/>
  <c r="BE301" i="27" s="1"/>
  <c r="BA302" i="27" s="1"/>
  <c r="BC302" i="27" s="1"/>
  <c r="F293" i="27"/>
  <c r="G293" i="27" s="1"/>
  <c r="H293" i="27" s="1"/>
  <c r="D294" i="27" s="1"/>
  <c r="BK294" i="27"/>
  <c r="BJ294" i="27"/>
  <c r="BL294" i="27" s="1"/>
  <c r="BM294" i="27" s="1"/>
  <c r="BI295" i="27" s="1"/>
  <c r="AN295" i="27"/>
  <c r="AO295" i="27" s="1"/>
  <c r="AK296" i="27" s="1"/>
  <c r="AM296" i="27" s="1"/>
  <c r="X294" i="27"/>
  <c r="Y294" i="27" s="1"/>
  <c r="U295" i="27" s="1"/>
  <c r="W295" i="27" s="1"/>
  <c r="AU312" i="27"/>
  <c r="AT312" i="27"/>
  <c r="AV312" i="27" s="1"/>
  <c r="AW312" i="27" s="1"/>
  <c r="AS313" i="27" s="1"/>
  <c r="C421" i="27"/>
  <c r="A420" i="27"/>
  <c r="AE310" i="27"/>
  <c r="AD310" i="27"/>
  <c r="O305" i="27"/>
  <c r="N305" i="27"/>
  <c r="BB302" i="27" l="1"/>
  <c r="AF310" i="27"/>
  <c r="AG310" i="27" s="1"/>
  <c r="AC311" i="27" s="1"/>
  <c r="AD311" i="27" s="1"/>
  <c r="BK295" i="27"/>
  <c r="BJ295" i="27"/>
  <c r="BL295" i="27" s="1"/>
  <c r="BM295" i="27" s="1"/>
  <c r="BI296" i="27" s="1"/>
  <c r="AL296" i="27"/>
  <c r="AN296" i="27" s="1"/>
  <c r="AO296" i="27" s="1"/>
  <c r="AK297" i="27" s="1"/>
  <c r="AL297" i="27" s="1"/>
  <c r="V295" i="27"/>
  <c r="X295" i="27" s="1"/>
  <c r="Y295" i="27" s="1"/>
  <c r="U296" i="27" s="1"/>
  <c r="V296" i="27" s="1"/>
  <c r="A421" i="27"/>
  <c r="C422" i="27"/>
  <c r="AE311" i="27"/>
  <c r="I294" i="27"/>
  <c r="E294" i="27"/>
  <c r="F294" i="27"/>
  <c r="AU313" i="27"/>
  <c r="AT313" i="27"/>
  <c r="BD302" i="27"/>
  <c r="BE302" i="27" s="1"/>
  <c r="BA303" i="27" s="1"/>
  <c r="P305" i="27"/>
  <c r="Q305" i="27" s="1"/>
  <c r="M306" i="27" s="1"/>
  <c r="BJ296" i="27" l="1"/>
  <c r="BK296" i="27"/>
  <c r="AV313" i="27"/>
  <c r="AW313" i="27" s="1"/>
  <c r="AS314" i="27" s="1"/>
  <c r="AU314" i="27" s="1"/>
  <c r="AM297" i="27"/>
  <c r="W296" i="27"/>
  <c r="X296" i="27" s="1"/>
  <c r="Y296" i="27" s="1"/>
  <c r="U297" i="27" s="1"/>
  <c r="G294" i="27"/>
  <c r="H294" i="27" s="1"/>
  <c r="D295" i="27" s="1"/>
  <c r="I295" i="27" s="1"/>
  <c r="AN297" i="27"/>
  <c r="AO297" i="27" s="1"/>
  <c r="AK298" i="27" s="1"/>
  <c r="C423" i="27"/>
  <c r="A422" i="27"/>
  <c r="BC303" i="27"/>
  <c r="BB303" i="27"/>
  <c r="N306" i="27"/>
  <c r="O306" i="27"/>
  <c r="AF311" i="27"/>
  <c r="AG311" i="27" s="1"/>
  <c r="AC312" i="27" s="1"/>
  <c r="BL296" i="27" l="1"/>
  <c r="BM296" i="27" s="1"/>
  <c r="BI297" i="27" s="1"/>
  <c r="AT314" i="27"/>
  <c r="AV314" i="27" s="1"/>
  <c r="AW314" i="27" s="1"/>
  <c r="AS315" i="27" s="1"/>
  <c r="BD303" i="27"/>
  <c r="BE303" i="27" s="1"/>
  <c r="BA304" i="27" s="1"/>
  <c r="BB304" i="27" s="1"/>
  <c r="F295" i="27"/>
  <c r="E295" i="27"/>
  <c r="P306" i="27"/>
  <c r="Q306" i="27" s="1"/>
  <c r="M307" i="27" s="1"/>
  <c r="N307" i="27" s="1"/>
  <c r="AM298" i="27"/>
  <c r="AL298" i="27"/>
  <c r="C424" i="27"/>
  <c r="A423" i="27"/>
  <c r="AE312" i="27"/>
  <c r="AD312" i="27"/>
  <c r="V297" i="27"/>
  <c r="W297" i="27"/>
  <c r="BC304" i="27" l="1"/>
  <c r="BK297" i="27"/>
  <c r="BJ297" i="27"/>
  <c r="BL297" i="27" s="1"/>
  <c r="BM297" i="27" s="1"/>
  <c r="BI298" i="27" s="1"/>
  <c r="AN298" i="27"/>
  <c r="AO298" i="27" s="1"/>
  <c r="AK299" i="27" s="1"/>
  <c r="AL299" i="27" s="1"/>
  <c r="G295" i="27"/>
  <c r="H295" i="27" s="1"/>
  <c r="D296" i="27" s="1"/>
  <c r="I296" i="27" s="1"/>
  <c r="O307" i="27"/>
  <c r="P307" i="27" s="1"/>
  <c r="Q307" i="27" s="1"/>
  <c r="M308" i="27" s="1"/>
  <c r="O308" i="27" s="1"/>
  <c r="X297" i="27"/>
  <c r="Y297" i="27" s="1"/>
  <c r="U298" i="27" s="1"/>
  <c r="V298" i="27" s="1"/>
  <c r="C425" i="27"/>
  <c r="A424" i="27"/>
  <c r="BD304" i="27"/>
  <c r="BE304" i="27" s="1"/>
  <c r="BA305" i="27" s="1"/>
  <c r="AT315" i="27"/>
  <c r="AU315" i="27"/>
  <c r="AF312" i="27"/>
  <c r="AG312" i="27" s="1"/>
  <c r="AC313" i="27" s="1"/>
  <c r="BJ298" i="27" l="1"/>
  <c r="BK298" i="27"/>
  <c r="AM299" i="27"/>
  <c r="AN299" i="27" s="1"/>
  <c r="AO299" i="27" s="1"/>
  <c r="AK300" i="27" s="1"/>
  <c r="F296" i="27"/>
  <c r="E296" i="27"/>
  <c r="G296" i="27" s="1"/>
  <c r="H296" i="27" s="1"/>
  <c r="D297" i="27" s="1"/>
  <c r="W298" i="27"/>
  <c r="X298" i="27" s="1"/>
  <c r="Y298" i="27" s="1"/>
  <c r="U299" i="27" s="1"/>
  <c r="N308" i="27"/>
  <c r="P308" i="27" s="1"/>
  <c r="Q308" i="27" s="1"/>
  <c r="M309" i="27" s="1"/>
  <c r="O309" i="27" s="1"/>
  <c r="AV315" i="27"/>
  <c r="AW315" i="27" s="1"/>
  <c r="AS316" i="27" s="1"/>
  <c r="AT316" i="27" s="1"/>
  <c r="A425" i="27"/>
  <c r="C426" i="27"/>
  <c r="AD313" i="27"/>
  <c r="AE313" i="27"/>
  <c r="BC305" i="27"/>
  <c r="BB305" i="27"/>
  <c r="BL298" i="27" l="1"/>
  <c r="BM298" i="27" s="1"/>
  <c r="BI299" i="27" s="1"/>
  <c r="BD305" i="27"/>
  <c r="BE305" i="27" s="1"/>
  <c r="BA306" i="27" s="1"/>
  <c r="AU316" i="27"/>
  <c r="AV316" i="27" s="1"/>
  <c r="AW316" i="27" s="1"/>
  <c r="AS317" i="27" s="1"/>
  <c r="N309" i="27"/>
  <c r="P309" i="27" s="1"/>
  <c r="Q309" i="27" s="1"/>
  <c r="M310" i="27" s="1"/>
  <c r="O310" i="27" s="1"/>
  <c r="AL300" i="27"/>
  <c r="AM300" i="27"/>
  <c r="C427" i="27"/>
  <c r="A426" i="27"/>
  <c r="AF313" i="27"/>
  <c r="AG313" i="27" s="1"/>
  <c r="AC314" i="27" s="1"/>
  <c r="AD314" i="27" s="1"/>
  <c r="BC306" i="27"/>
  <c r="BB306" i="27"/>
  <c r="E297" i="27"/>
  <c r="I297" i="27"/>
  <c r="F297" i="27"/>
  <c r="W299" i="27"/>
  <c r="V299" i="27"/>
  <c r="BK299" i="27" l="1"/>
  <c r="BJ299" i="27"/>
  <c r="BL299" i="27" s="1"/>
  <c r="BM299" i="27" s="1"/>
  <c r="BI300" i="27" s="1"/>
  <c r="AT317" i="27"/>
  <c r="AU317" i="27"/>
  <c r="X299" i="27"/>
  <c r="Y299" i="27" s="1"/>
  <c r="U300" i="27" s="1"/>
  <c r="V300" i="27" s="1"/>
  <c r="N310" i="27"/>
  <c r="P310" i="27" s="1"/>
  <c r="Q310" i="27" s="1"/>
  <c r="M311" i="27" s="1"/>
  <c r="AN300" i="27"/>
  <c r="AO300" i="27" s="1"/>
  <c r="AK301" i="27" s="1"/>
  <c r="AM301" i="27" s="1"/>
  <c r="AE314" i="27"/>
  <c r="AF314" i="27" s="1"/>
  <c r="AG314" i="27" s="1"/>
  <c r="AC315" i="27" s="1"/>
  <c r="BD306" i="27"/>
  <c r="BE306" i="27" s="1"/>
  <c r="BA307" i="27" s="1"/>
  <c r="BB307" i="27" s="1"/>
  <c r="A427" i="27"/>
  <c r="C428" i="27"/>
  <c r="G297" i="27"/>
  <c r="H297" i="27" s="1"/>
  <c r="D298" i="27" s="1"/>
  <c r="BJ300" i="27" l="1"/>
  <c r="BK300" i="27"/>
  <c r="W300" i="27"/>
  <c r="X300" i="27" s="1"/>
  <c r="Y300" i="27" s="1"/>
  <c r="U301" i="27" s="1"/>
  <c r="AV317" i="27"/>
  <c r="AW317" i="27" s="1"/>
  <c r="AS318" i="27" s="1"/>
  <c r="AU318" i="27" s="1"/>
  <c r="AL301" i="27"/>
  <c r="AN301" i="27" s="1"/>
  <c r="AO301" i="27" s="1"/>
  <c r="AK302" i="27" s="1"/>
  <c r="AL302" i="27" s="1"/>
  <c r="BC307" i="27"/>
  <c r="BD307" i="27" s="1"/>
  <c r="BE307" i="27" s="1"/>
  <c r="BA308" i="27" s="1"/>
  <c r="BB308" i="27" s="1"/>
  <c r="AD315" i="27"/>
  <c r="AE315" i="27"/>
  <c r="C429" i="27"/>
  <c r="A428" i="27"/>
  <c r="O311" i="27"/>
  <c r="N311" i="27"/>
  <c r="F298" i="27"/>
  <c r="E298" i="27"/>
  <c r="I298" i="27"/>
  <c r="BL300" i="27" l="1"/>
  <c r="BM300" i="27" s="1"/>
  <c r="BI301" i="27" s="1"/>
  <c r="AT318" i="27"/>
  <c r="AV318" i="27" s="1"/>
  <c r="AW318" i="27" s="1"/>
  <c r="AS319" i="27" s="1"/>
  <c r="AU319" i="27" s="1"/>
  <c r="AM302" i="27"/>
  <c r="AN302" i="27" s="1"/>
  <c r="AO302" i="27" s="1"/>
  <c r="AK303" i="27" s="1"/>
  <c r="BC308" i="27"/>
  <c r="AF315" i="27"/>
  <c r="AG315" i="27" s="1"/>
  <c r="AC316" i="27" s="1"/>
  <c r="BD308" i="27"/>
  <c r="BE308" i="27" s="1"/>
  <c r="BA309" i="27" s="1"/>
  <c r="BC309" i="27" s="1"/>
  <c r="C430" i="27"/>
  <c r="A429" i="27"/>
  <c r="G298" i="27"/>
  <c r="H298" i="27" s="1"/>
  <c r="D299" i="27" s="1"/>
  <c r="F299" i="27" s="1"/>
  <c r="W301" i="27"/>
  <c r="V301" i="27"/>
  <c r="AT319" i="27"/>
  <c r="P311" i="27"/>
  <c r="Q311" i="27" s="1"/>
  <c r="M312" i="27" s="1"/>
  <c r="BJ301" i="27" l="1"/>
  <c r="BK301" i="27"/>
  <c r="X301" i="27"/>
  <c r="Y301" i="27" s="1"/>
  <c r="U302" i="27" s="1"/>
  <c r="W302" i="27" s="1"/>
  <c r="AV319" i="27"/>
  <c r="AW319" i="27" s="1"/>
  <c r="AS320" i="27" s="1"/>
  <c r="AT320" i="27" s="1"/>
  <c r="BB309" i="27"/>
  <c r="BD309" i="27" s="1"/>
  <c r="BE309" i="27" s="1"/>
  <c r="BA310" i="27" s="1"/>
  <c r="AD316" i="27"/>
  <c r="AE316" i="27"/>
  <c r="E299" i="27"/>
  <c r="G299" i="27" s="1"/>
  <c r="H299" i="27" s="1"/>
  <c r="D300" i="27" s="1"/>
  <c r="AL303" i="27"/>
  <c r="AM303" i="27"/>
  <c r="I299" i="27"/>
  <c r="A430" i="27"/>
  <c r="C431" i="27"/>
  <c r="N312" i="27"/>
  <c r="O312" i="27"/>
  <c r="V302" i="27" l="1"/>
  <c r="BL301" i="27"/>
  <c r="BM301" i="27" s="1"/>
  <c r="BI302" i="27" s="1"/>
  <c r="AU320" i="27"/>
  <c r="AV320" i="27" s="1"/>
  <c r="AW320" i="27" s="1"/>
  <c r="AS321" i="27" s="1"/>
  <c r="AF316" i="27"/>
  <c r="AG316" i="27" s="1"/>
  <c r="AC317" i="27" s="1"/>
  <c r="AN303" i="27"/>
  <c r="AO303" i="27" s="1"/>
  <c r="AK304" i="27" s="1"/>
  <c r="X302" i="27"/>
  <c r="Y302" i="27" s="1"/>
  <c r="U303" i="27" s="1"/>
  <c r="W303" i="27" s="1"/>
  <c r="C432" i="27"/>
  <c r="A431" i="27"/>
  <c r="BC310" i="27"/>
  <c r="BB310" i="27"/>
  <c r="P312" i="27"/>
  <c r="Q312" i="27" s="1"/>
  <c r="M313" i="27" s="1"/>
  <c r="F300" i="27"/>
  <c r="E300" i="27"/>
  <c r="I300" i="27"/>
  <c r="BK302" i="27" l="1"/>
  <c r="BJ302" i="27"/>
  <c r="BL302" i="27" s="1"/>
  <c r="BM302" i="27" s="1"/>
  <c r="BI303" i="27" s="1"/>
  <c r="V303" i="27"/>
  <c r="X303" i="27" s="1"/>
  <c r="Y303" i="27" s="1"/>
  <c r="U304" i="27" s="1"/>
  <c r="W304" i="27" s="1"/>
  <c r="AE317" i="27"/>
  <c r="AD317" i="27"/>
  <c r="AM304" i="27"/>
  <c r="AL304" i="27"/>
  <c r="AN304" i="27" s="1"/>
  <c r="AO304" i="27" s="1"/>
  <c r="AK305" i="27" s="1"/>
  <c r="G300" i="27"/>
  <c r="H300" i="27" s="1"/>
  <c r="D301" i="27" s="1"/>
  <c r="E301" i="27" s="1"/>
  <c r="C433" i="27"/>
  <c r="A432" i="27"/>
  <c r="BD310" i="27"/>
  <c r="BE310" i="27" s="1"/>
  <c r="BA311" i="27" s="1"/>
  <c r="BB311" i="27" s="1"/>
  <c r="O313" i="27"/>
  <c r="N313" i="27"/>
  <c r="AT321" i="27"/>
  <c r="AU321" i="27"/>
  <c r="P313" i="27" l="1"/>
  <c r="Q313" i="27" s="1"/>
  <c r="M314" i="27" s="1"/>
  <c r="BK303" i="27"/>
  <c r="BJ303" i="27"/>
  <c r="BL303" i="27" s="1"/>
  <c r="BM303" i="27" s="1"/>
  <c r="BI304" i="27" s="1"/>
  <c r="AF317" i="27"/>
  <c r="AG317" i="27" s="1"/>
  <c r="AC318" i="27" s="1"/>
  <c r="AD318" i="27" s="1"/>
  <c r="V304" i="27"/>
  <c r="X304" i="27" s="1"/>
  <c r="Y304" i="27" s="1"/>
  <c r="U305" i="27" s="1"/>
  <c r="W305" i="27" s="1"/>
  <c r="F301" i="27"/>
  <c r="G301" i="27" s="1"/>
  <c r="H301" i="27" s="1"/>
  <c r="D302" i="27" s="1"/>
  <c r="F302" i="27" s="1"/>
  <c r="I301" i="27"/>
  <c r="BC311" i="27"/>
  <c r="BD311" i="27" s="1"/>
  <c r="BE311" i="27" s="1"/>
  <c r="BA312" i="27" s="1"/>
  <c r="AM305" i="27"/>
  <c r="AL305" i="27"/>
  <c r="C434" i="27"/>
  <c r="A433" i="27"/>
  <c r="AV321" i="27"/>
  <c r="AW321" i="27" s="1"/>
  <c r="AS322" i="27" s="1"/>
  <c r="AU322" i="27" s="1"/>
  <c r="O314" i="27"/>
  <c r="N314" i="27"/>
  <c r="BK304" i="27" l="1"/>
  <c r="BJ304" i="27"/>
  <c r="BL304" i="27" s="1"/>
  <c r="BM304" i="27" s="1"/>
  <c r="BI305" i="27" s="1"/>
  <c r="AE318" i="27"/>
  <c r="AF318" i="27" s="1"/>
  <c r="AG318" i="27" s="1"/>
  <c r="AC319" i="27" s="1"/>
  <c r="AN305" i="27"/>
  <c r="AO305" i="27" s="1"/>
  <c r="AK306" i="27" s="1"/>
  <c r="AL306" i="27" s="1"/>
  <c r="I302" i="27"/>
  <c r="E302" i="27"/>
  <c r="G302" i="27" s="1"/>
  <c r="H302" i="27" s="1"/>
  <c r="D303" i="27" s="1"/>
  <c r="I303" i="27" s="1"/>
  <c r="P314" i="27"/>
  <c r="Q314" i="27" s="1"/>
  <c r="M315" i="27" s="1"/>
  <c r="O315" i="27" s="1"/>
  <c r="AT322" i="27"/>
  <c r="AV322" i="27" s="1"/>
  <c r="AW322" i="27" s="1"/>
  <c r="AS323" i="27" s="1"/>
  <c r="AU323" i="27" s="1"/>
  <c r="V305" i="27"/>
  <c r="X305" i="27" s="1"/>
  <c r="Y305" i="27" s="1"/>
  <c r="U306" i="27" s="1"/>
  <c r="A434" i="27"/>
  <c r="C435" i="27"/>
  <c r="BC312" i="27"/>
  <c r="BB312" i="27"/>
  <c r="BJ305" i="27" l="1"/>
  <c r="BK305" i="27"/>
  <c r="AD319" i="27"/>
  <c r="AE319" i="27"/>
  <c r="AM306" i="27"/>
  <c r="AN306" i="27" s="1"/>
  <c r="AO306" i="27" s="1"/>
  <c r="AK307" i="27" s="1"/>
  <c r="N315" i="27"/>
  <c r="P315" i="27" s="1"/>
  <c r="Q315" i="27" s="1"/>
  <c r="M316" i="27" s="1"/>
  <c r="AT323" i="27"/>
  <c r="AV323" i="27" s="1"/>
  <c r="AW323" i="27" s="1"/>
  <c r="AS324" i="27" s="1"/>
  <c r="AU324" i="27" s="1"/>
  <c r="BD312" i="27"/>
  <c r="BE312" i="27" s="1"/>
  <c r="BA313" i="27" s="1"/>
  <c r="BB313" i="27" s="1"/>
  <c r="F303" i="27"/>
  <c r="E303" i="27"/>
  <c r="A435" i="27"/>
  <c r="C436" i="27"/>
  <c r="V306" i="27"/>
  <c r="W306" i="27"/>
  <c r="BL305" i="27" l="1"/>
  <c r="BM305" i="27" s="1"/>
  <c r="BI306" i="27" s="1"/>
  <c r="AF319" i="27"/>
  <c r="AG319" i="27" s="1"/>
  <c r="AC320" i="27" s="1"/>
  <c r="G303" i="27"/>
  <c r="H303" i="27" s="1"/>
  <c r="D304" i="27" s="1"/>
  <c r="E304" i="27" s="1"/>
  <c r="AT324" i="27"/>
  <c r="AV324" i="27" s="1"/>
  <c r="AW324" i="27" s="1"/>
  <c r="AS325" i="27" s="1"/>
  <c r="AU325" i="27" s="1"/>
  <c r="BC313" i="27"/>
  <c r="BD313" i="27" s="1"/>
  <c r="BE313" i="27" s="1"/>
  <c r="BA314" i="27" s="1"/>
  <c r="BC314" i="27" s="1"/>
  <c r="AL307" i="27"/>
  <c r="AM307" i="27"/>
  <c r="X306" i="27"/>
  <c r="Y306" i="27" s="1"/>
  <c r="U307" i="27" s="1"/>
  <c r="V307" i="27" s="1"/>
  <c r="C437" i="27"/>
  <c r="A436" i="27"/>
  <c r="N316" i="27"/>
  <c r="O316" i="27"/>
  <c r="BJ306" i="27" l="1"/>
  <c r="BK306" i="27"/>
  <c r="I304" i="27"/>
  <c r="F304" i="27"/>
  <c r="G304" i="27" s="1"/>
  <c r="H304" i="27" s="1"/>
  <c r="D305" i="27" s="1"/>
  <c r="F305" i="27" s="1"/>
  <c r="AD320" i="27"/>
  <c r="AE320" i="27"/>
  <c r="AT325" i="27"/>
  <c r="AV325" i="27" s="1"/>
  <c r="AW325" i="27" s="1"/>
  <c r="AS326" i="27" s="1"/>
  <c r="AU326" i="27" s="1"/>
  <c r="W307" i="27"/>
  <c r="X307" i="27" s="1"/>
  <c r="Y307" i="27" s="1"/>
  <c r="U308" i="27" s="1"/>
  <c r="W308" i="27" s="1"/>
  <c r="BB314" i="27"/>
  <c r="BD314" i="27" s="1"/>
  <c r="BE314" i="27" s="1"/>
  <c r="BA315" i="27" s="1"/>
  <c r="BC315" i="27" s="1"/>
  <c r="AN307" i="27"/>
  <c r="AO307" i="27" s="1"/>
  <c r="AK308" i="27" s="1"/>
  <c r="C438" i="27"/>
  <c r="A437" i="27"/>
  <c r="P316" i="27"/>
  <c r="Q316" i="27" s="1"/>
  <c r="M317" i="27" s="1"/>
  <c r="BL306" i="27" l="1"/>
  <c r="BM306" i="27" s="1"/>
  <c r="BI307" i="27" s="1"/>
  <c r="AF320" i="27"/>
  <c r="AG320" i="27" s="1"/>
  <c r="AC321" i="27" s="1"/>
  <c r="E305" i="27"/>
  <c r="G305" i="27" s="1"/>
  <c r="H305" i="27" s="1"/>
  <c r="D306" i="27" s="1"/>
  <c r="E306" i="27" s="1"/>
  <c r="I305" i="27"/>
  <c r="AD321" i="27"/>
  <c r="AE321" i="27"/>
  <c r="BB315" i="27"/>
  <c r="BD315" i="27" s="1"/>
  <c r="BE315" i="27" s="1"/>
  <c r="BA316" i="27" s="1"/>
  <c r="BC316" i="27" s="1"/>
  <c r="V308" i="27"/>
  <c r="X308" i="27" s="1"/>
  <c r="Y308" i="27" s="1"/>
  <c r="U309" i="27" s="1"/>
  <c r="AM308" i="27"/>
  <c r="AL308" i="27"/>
  <c r="AT326" i="27"/>
  <c r="AV326" i="27" s="1"/>
  <c r="AW326" i="27" s="1"/>
  <c r="AS327" i="27" s="1"/>
  <c r="AT327" i="27" s="1"/>
  <c r="C439" i="27"/>
  <c r="A438" i="27"/>
  <c r="N317" i="27"/>
  <c r="O317" i="27"/>
  <c r="BJ307" i="27" l="1"/>
  <c r="BK307" i="27"/>
  <c r="I306" i="27"/>
  <c r="F306" i="27"/>
  <c r="G306" i="27" s="1"/>
  <c r="H306" i="27" s="1"/>
  <c r="D307" i="27" s="1"/>
  <c r="AF321" i="27"/>
  <c r="AG321" i="27" s="1"/>
  <c r="AC322" i="27" s="1"/>
  <c r="AN308" i="27"/>
  <c r="AO308" i="27" s="1"/>
  <c r="AK309" i="27" s="1"/>
  <c r="AM309" i="27" s="1"/>
  <c r="AU327" i="27"/>
  <c r="AV327" i="27" s="1"/>
  <c r="AW327" i="27" s="1"/>
  <c r="AS328" i="27" s="1"/>
  <c r="BB316" i="27"/>
  <c r="BD316" i="27" s="1"/>
  <c r="BE316" i="27" s="1"/>
  <c r="BA317" i="27" s="1"/>
  <c r="BB317" i="27" s="1"/>
  <c r="A439" i="27"/>
  <c r="C440" i="27"/>
  <c r="W309" i="27"/>
  <c r="V309" i="27"/>
  <c r="P317" i="27"/>
  <c r="Q317" i="27" s="1"/>
  <c r="M318" i="27" s="1"/>
  <c r="BL307" i="27" l="1"/>
  <c r="BM307" i="27" s="1"/>
  <c r="BI308" i="27" s="1"/>
  <c r="I307" i="27"/>
  <c r="E307" i="27"/>
  <c r="F307" i="27"/>
  <c r="AD322" i="27"/>
  <c r="AE322" i="27"/>
  <c r="AL309" i="27"/>
  <c r="AN309" i="27" s="1"/>
  <c r="AO309" i="27" s="1"/>
  <c r="AK310" i="27" s="1"/>
  <c r="AL310" i="27" s="1"/>
  <c r="BC317" i="27"/>
  <c r="BD317" i="27" s="1"/>
  <c r="BE317" i="27" s="1"/>
  <c r="BA318" i="27" s="1"/>
  <c r="BB318" i="27" s="1"/>
  <c r="C441" i="27"/>
  <c r="A440" i="27"/>
  <c r="N318" i="27"/>
  <c r="O318" i="27"/>
  <c r="AU328" i="27"/>
  <c r="AT328" i="27"/>
  <c r="X309" i="27"/>
  <c r="Y309" i="27" s="1"/>
  <c r="U310" i="27" s="1"/>
  <c r="G307" i="27" l="1"/>
  <c r="H307" i="27" s="1"/>
  <c r="D308" i="27" s="1"/>
  <c r="E308" i="27" s="1"/>
  <c r="BK308" i="27"/>
  <c r="BJ308" i="27"/>
  <c r="AF322" i="27"/>
  <c r="AG322" i="27" s="1"/>
  <c r="AC323" i="27" s="1"/>
  <c r="AM310" i="27"/>
  <c r="AN310" i="27" s="1"/>
  <c r="AO310" i="27" s="1"/>
  <c r="AK311" i="27" s="1"/>
  <c r="BC318" i="27"/>
  <c r="BD318" i="27" s="1"/>
  <c r="BE318" i="27" s="1"/>
  <c r="BA319" i="27" s="1"/>
  <c r="C442" i="27"/>
  <c r="A441" i="27"/>
  <c r="W310" i="27"/>
  <c r="V310" i="27"/>
  <c r="P318" i="27"/>
  <c r="Q318" i="27" s="1"/>
  <c r="M319" i="27" s="1"/>
  <c r="AV328" i="27"/>
  <c r="AW328" i="27" s="1"/>
  <c r="AS329" i="27" s="1"/>
  <c r="X310" i="27" l="1"/>
  <c r="Y310" i="27" s="1"/>
  <c r="U311" i="27" s="1"/>
  <c r="F308" i="27"/>
  <c r="G308" i="27" s="1"/>
  <c r="H308" i="27" s="1"/>
  <c r="D309" i="27" s="1"/>
  <c r="BL308" i="27"/>
  <c r="BM308" i="27" s="1"/>
  <c r="BI309" i="27" s="1"/>
  <c r="I308" i="27"/>
  <c r="BJ309" i="27"/>
  <c r="BK309" i="27"/>
  <c r="AD323" i="27"/>
  <c r="AE323" i="27"/>
  <c r="BC319" i="27"/>
  <c r="BB319" i="27"/>
  <c r="BD319" i="27" s="1"/>
  <c r="BE319" i="27" s="1"/>
  <c r="BA320" i="27" s="1"/>
  <c r="AM311" i="27"/>
  <c r="AL311" i="27"/>
  <c r="A442" i="27"/>
  <c r="C443" i="27"/>
  <c r="W311" i="27"/>
  <c r="V311" i="27"/>
  <c r="N319" i="27"/>
  <c r="O319" i="27"/>
  <c r="AU329" i="27"/>
  <c r="AT329" i="27"/>
  <c r="E309" i="27" l="1"/>
  <c r="F309" i="27"/>
  <c r="I309" i="27"/>
  <c r="AF323" i="27"/>
  <c r="AG323" i="27" s="1"/>
  <c r="AC324" i="27" s="1"/>
  <c r="BL309" i="27"/>
  <c r="BM309" i="27" s="1"/>
  <c r="BI310" i="27" s="1"/>
  <c r="AD324" i="27"/>
  <c r="AE324" i="27"/>
  <c r="AN311" i="27"/>
  <c r="AO311" i="27" s="1"/>
  <c r="AK312" i="27" s="1"/>
  <c r="AL312" i="27" s="1"/>
  <c r="BC320" i="27"/>
  <c r="BB320" i="27"/>
  <c r="AM312" i="27"/>
  <c r="X311" i="27"/>
  <c r="Y311" i="27" s="1"/>
  <c r="U312" i="27" s="1"/>
  <c r="W312" i="27" s="1"/>
  <c r="AV329" i="27"/>
  <c r="AW329" i="27" s="1"/>
  <c r="AS330" i="27" s="1"/>
  <c r="AT330" i="27" s="1"/>
  <c r="A443" i="27"/>
  <c r="C444" i="27"/>
  <c r="P319" i="27"/>
  <c r="Q319" i="27" s="1"/>
  <c r="M320" i="27" s="1"/>
  <c r="G309" i="27"/>
  <c r="H309" i="27" s="1"/>
  <c r="D310" i="27" s="1"/>
  <c r="BJ310" i="27" l="1"/>
  <c r="BK310" i="27"/>
  <c r="AN312" i="27"/>
  <c r="AO312" i="27" s="1"/>
  <c r="AK313" i="27" s="1"/>
  <c r="AL313" i="27" s="1"/>
  <c r="AF324" i="27"/>
  <c r="AG324" i="27" s="1"/>
  <c r="AC325" i="27" s="1"/>
  <c r="BD320" i="27"/>
  <c r="BE320" i="27" s="1"/>
  <c r="BA321" i="27" s="1"/>
  <c r="BC321" i="27" s="1"/>
  <c r="V312" i="27"/>
  <c r="X312" i="27" s="1"/>
  <c r="Y312" i="27" s="1"/>
  <c r="U313" i="27" s="1"/>
  <c r="V313" i="27" s="1"/>
  <c r="AU330" i="27"/>
  <c r="AV330" i="27" s="1"/>
  <c r="AW330" i="27" s="1"/>
  <c r="AS331" i="27" s="1"/>
  <c r="A444" i="27"/>
  <c r="C445" i="27"/>
  <c r="F310" i="27"/>
  <c r="I310" i="27"/>
  <c r="E310" i="27"/>
  <c r="G310" i="27" s="1"/>
  <c r="H310" i="27" s="1"/>
  <c r="D311" i="27" s="1"/>
  <c r="O320" i="27"/>
  <c r="N320" i="27"/>
  <c r="BB321" i="27" l="1"/>
  <c r="BD321" i="27" s="1"/>
  <c r="BE321" i="27" s="1"/>
  <c r="BA322" i="27" s="1"/>
  <c r="AM313" i="27"/>
  <c r="AN313" i="27" s="1"/>
  <c r="AO313" i="27" s="1"/>
  <c r="AK314" i="27" s="1"/>
  <c r="AL314" i="27" s="1"/>
  <c r="BL310" i="27"/>
  <c r="BM310" i="27" s="1"/>
  <c r="BI311" i="27" s="1"/>
  <c r="AD325" i="27"/>
  <c r="AE325" i="27"/>
  <c r="W313" i="27"/>
  <c r="X313" i="27" s="1"/>
  <c r="Y313" i="27" s="1"/>
  <c r="U314" i="27" s="1"/>
  <c r="P320" i="27"/>
  <c r="Q320" i="27" s="1"/>
  <c r="M321" i="27" s="1"/>
  <c r="O321" i="27" s="1"/>
  <c r="C446" i="27"/>
  <c r="A445" i="27"/>
  <c r="I311" i="27"/>
  <c r="F311" i="27"/>
  <c r="E311" i="27"/>
  <c r="AU331" i="27"/>
  <c r="AT331" i="27"/>
  <c r="BB322" i="27"/>
  <c r="BC322" i="27"/>
  <c r="BJ311" i="27" l="1"/>
  <c r="BK311" i="27"/>
  <c r="AF325" i="27"/>
  <c r="AG325" i="27" s="1"/>
  <c r="AC326" i="27" s="1"/>
  <c r="AE326" i="27" s="1"/>
  <c r="AD326" i="27"/>
  <c r="AM314" i="27"/>
  <c r="AN314" i="27" s="1"/>
  <c r="AO314" i="27" s="1"/>
  <c r="AK315" i="27" s="1"/>
  <c r="N321" i="27"/>
  <c r="P321" i="27" s="1"/>
  <c r="Q321" i="27" s="1"/>
  <c r="M322" i="27" s="1"/>
  <c r="N322" i="27" s="1"/>
  <c r="AV331" i="27"/>
  <c r="AW331" i="27" s="1"/>
  <c r="AS332" i="27" s="1"/>
  <c r="AT332" i="27" s="1"/>
  <c r="G311" i="27"/>
  <c r="H311" i="27" s="1"/>
  <c r="D312" i="27" s="1"/>
  <c r="E312" i="27" s="1"/>
  <c r="C447" i="27"/>
  <c r="A446" i="27"/>
  <c r="W314" i="27"/>
  <c r="V314" i="27"/>
  <c r="BD322" i="27"/>
  <c r="BE322" i="27" s="1"/>
  <c r="BA323" i="27" s="1"/>
  <c r="BL311" i="27" l="1"/>
  <c r="BM311" i="27" s="1"/>
  <c r="BI312" i="27" s="1"/>
  <c r="AF326" i="27"/>
  <c r="AG326" i="27" s="1"/>
  <c r="AC327" i="27" s="1"/>
  <c r="AD327" i="27" s="1"/>
  <c r="O322" i="27"/>
  <c r="P322" i="27" s="1"/>
  <c r="Q322" i="27" s="1"/>
  <c r="M323" i="27" s="1"/>
  <c r="N323" i="27" s="1"/>
  <c r="F312" i="27"/>
  <c r="G312" i="27" s="1"/>
  <c r="H312" i="27" s="1"/>
  <c r="D313" i="27" s="1"/>
  <c r="E313" i="27" s="1"/>
  <c r="I312" i="27"/>
  <c r="AU332" i="27"/>
  <c r="AV332" i="27" s="1"/>
  <c r="AW332" i="27" s="1"/>
  <c r="AS333" i="27" s="1"/>
  <c r="AM315" i="27"/>
  <c r="AL315" i="27"/>
  <c r="C448" i="27"/>
  <c r="A447" i="27"/>
  <c r="BB323" i="27"/>
  <c r="BC323" i="27"/>
  <c r="X314" i="27"/>
  <c r="Y314" i="27" s="1"/>
  <c r="U315" i="27" s="1"/>
  <c r="AE327" i="27" l="1"/>
  <c r="BK312" i="27"/>
  <c r="BJ312" i="27"/>
  <c r="BL312" i="27" s="1"/>
  <c r="BM312" i="27" s="1"/>
  <c r="BI313" i="27" s="1"/>
  <c r="AF327" i="27"/>
  <c r="AG327" i="27" s="1"/>
  <c r="AC328" i="27" s="1"/>
  <c r="AN315" i="27"/>
  <c r="AO315" i="27" s="1"/>
  <c r="AK316" i="27" s="1"/>
  <c r="AL316" i="27" s="1"/>
  <c r="F313" i="27"/>
  <c r="G313" i="27" s="1"/>
  <c r="H313" i="27" s="1"/>
  <c r="D314" i="27" s="1"/>
  <c r="F314" i="27" s="1"/>
  <c r="I313" i="27"/>
  <c r="O323" i="27"/>
  <c r="P323" i="27" s="1"/>
  <c r="Q323" i="27" s="1"/>
  <c r="M324" i="27" s="1"/>
  <c r="A448" i="27"/>
  <c r="C449" i="27"/>
  <c r="BD323" i="27"/>
  <c r="BE323" i="27" s="1"/>
  <c r="BA324" i="27" s="1"/>
  <c r="V315" i="27"/>
  <c r="W315" i="27"/>
  <c r="AU333" i="27"/>
  <c r="AT333" i="27"/>
  <c r="BJ313" i="27" l="1"/>
  <c r="BK313" i="27"/>
  <c r="AD328" i="27"/>
  <c r="AE328" i="27"/>
  <c r="AM316" i="27"/>
  <c r="AN316" i="27" s="1"/>
  <c r="AO316" i="27" s="1"/>
  <c r="AK317" i="27" s="1"/>
  <c r="I314" i="27"/>
  <c r="E314" i="27"/>
  <c r="G314" i="27" s="1"/>
  <c r="H314" i="27" s="1"/>
  <c r="D315" i="27" s="1"/>
  <c r="I315" i="27" s="1"/>
  <c r="X315" i="27"/>
  <c r="Y315" i="27" s="1"/>
  <c r="U316" i="27" s="1"/>
  <c r="V316" i="27" s="1"/>
  <c r="AV333" i="27"/>
  <c r="AW333" i="27" s="1"/>
  <c r="AS334" i="27" s="1"/>
  <c r="AU334" i="27" s="1"/>
  <c r="A449" i="27"/>
  <c r="C450" i="27"/>
  <c r="BB324" i="27"/>
  <c r="BC324" i="27"/>
  <c r="O324" i="27"/>
  <c r="N324" i="27"/>
  <c r="AF328" i="27" l="1"/>
  <c r="AG328" i="27" s="1"/>
  <c r="AC329" i="27" s="1"/>
  <c r="BL313" i="27"/>
  <c r="BM313" i="27" s="1"/>
  <c r="BI314" i="27" s="1"/>
  <c r="AD329" i="27"/>
  <c r="AE329" i="27"/>
  <c r="AT334" i="27"/>
  <c r="AV334" i="27" s="1"/>
  <c r="AW334" i="27" s="1"/>
  <c r="AS335" i="27" s="1"/>
  <c r="AT335" i="27" s="1"/>
  <c r="W316" i="27"/>
  <c r="X316" i="27" s="1"/>
  <c r="Y316" i="27" s="1"/>
  <c r="U317" i="27" s="1"/>
  <c r="F315" i="27"/>
  <c r="E315" i="27"/>
  <c r="AM317" i="27"/>
  <c r="AL317" i="27"/>
  <c r="BD324" i="27"/>
  <c r="BE324" i="27" s="1"/>
  <c r="BA325" i="27" s="1"/>
  <c r="BC325" i="27" s="1"/>
  <c r="C451" i="27"/>
  <c r="A450" i="27"/>
  <c r="P324" i="27"/>
  <c r="Q324" i="27" s="1"/>
  <c r="M325" i="27" s="1"/>
  <c r="G315" i="27" l="1"/>
  <c r="H315" i="27" s="1"/>
  <c r="D316" i="27" s="1"/>
  <c r="I316" i="27" s="1"/>
  <c r="BK314" i="27"/>
  <c r="BJ314" i="27"/>
  <c r="BL314" i="27" s="1"/>
  <c r="BM314" i="27" s="1"/>
  <c r="BI315" i="27" s="1"/>
  <c r="AF329" i="27"/>
  <c r="AG329" i="27" s="1"/>
  <c r="AC330" i="27" s="1"/>
  <c r="AN317" i="27"/>
  <c r="AO317" i="27" s="1"/>
  <c r="AK318" i="27" s="1"/>
  <c r="AM318" i="27" s="1"/>
  <c r="AU335" i="27"/>
  <c r="AV335" i="27" s="1"/>
  <c r="AW335" i="27" s="1"/>
  <c r="AS336" i="27" s="1"/>
  <c r="AT336" i="27" s="1"/>
  <c r="BB325" i="27"/>
  <c r="BD325" i="27" s="1"/>
  <c r="BE325" i="27" s="1"/>
  <c r="BA326" i="27" s="1"/>
  <c r="C452" i="27"/>
  <c r="A451" i="27"/>
  <c r="W317" i="27"/>
  <c r="V317" i="27"/>
  <c r="N325" i="27"/>
  <c r="O325" i="27"/>
  <c r="F316" i="27" l="1"/>
  <c r="E316" i="27"/>
  <c r="G316" i="27" s="1"/>
  <c r="H316" i="27" s="1"/>
  <c r="D317" i="27" s="1"/>
  <c r="F317" i="27" s="1"/>
  <c r="BK315" i="27"/>
  <c r="BJ315" i="27"/>
  <c r="AD330" i="27"/>
  <c r="AE330" i="27"/>
  <c r="AL318" i="27"/>
  <c r="AN318" i="27" s="1"/>
  <c r="AO318" i="27" s="1"/>
  <c r="AK319" i="27" s="1"/>
  <c r="AL319" i="27" s="1"/>
  <c r="X317" i="27"/>
  <c r="Y317" i="27" s="1"/>
  <c r="U318" i="27" s="1"/>
  <c r="W318" i="27" s="1"/>
  <c r="AU336" i="27"/>
  <c r="AV336" i="27" s="1"/>
  <c r="AW336" i="27" s="1"/>
  <c r="AS337" i="27" s="1"/>
  <c r="C453" i="27"/>
  <c r="A452" i="27"/>
  <c r="BC326" i="27"/>
  <c r="BB326" i="27"/>
  <c r="P325" i="27"/>
  <c r="Q325" i="27" s="1"/>
  <c r="M326" i="27" s="1"/>
  <c r="I317" i="27" l="1"/>
  <c r="E317" i="27"/>
  <c r="G317" i="27" s="1"/>
  <c r="H317" i="27" s="1"/>
  <c r="D318" i="27" s="1"/>
  <c r="I318" i="27" s="1"/>
  <c r="BL315" i="27"/>
  <c r="BM315" i="27" s="1"/>
  <c r="BI316" i="27" s="1"/>
  <c r="BK316" i="27" s="1"/>
  <c r="BJ316" i="27"/>
  <c r="AF330" i="27"/>
  <c r="AG330" i="27" s="1"/>
  <c r="AC331" i="27" s="1"/>
  <c r="AE331" i="27" s="1"/>
  <c r="V318" i="27"/>
  <c r="X318" i="27" s="1"/>
  <c r="Y318" i="27" s="1"/>
  <c r="U319" i="27" s="1"/>
  <c r="V319" i="27" s="1"/>
  <c r="AM319" i="27"/>
  <c r="AN319" i="27" s="1"/>
  <c r="AO319" i="27" s="1"/>
  <c r="AK320" i="27" s="1"/>
  <c r="BD326" i="27"/>
  <c r="BE326" i="27" s="1"/>
  <c r="BA327" i="27" s="1"/>
  <c r="BC327" i="27" s="1"/>
  <c r="C454" i="27"/>
  <c r="A453" i="27"/>
  <c r="N326" i="27"/>
  <c r="O326" i="27"/>
  <c r="AT337" i="27"/>
  <c r="AU337" i="27"/>
  <c r="BL316" i="27" l="1"/>
  <c r="BM316" i="27" s="1"/>
  <c r="BI317" i="27" s="1"/>
  <c r="BK317" i="27"/>
  <c r="BJ317" i="27"/>
  <c r="BL317" i="27" s="1"/>
  <c r="BM317" i="27" s="1"/>
  <c r="BI318" i="27" s="1"/>
  <c r="AD331" i="27"/>
  <c r="AF331" i="27" s="1"/>
  <c r="AG331" i="27" s="1"/>
  <c r="AC332" i="27" s="1"/>
  <c r="AL320" i="27"/>
  <c r="AM320" i="27"/>
  <c r="W319" i="27"/>
  <c r="X319" i="27" s="1"/>
  <c r="Y319" i="27" s="1"/>
  <c r="U320" i="27" s="1"/>
  <c r="F318" i="27"/>
  <c r="E318" i="27"/>
  <c r="BB327" i="27"/>
  <c r="BD327" i="27" s="1"/>
  <c r="BE327" i="27" s="1"/>
  <c r="BA328" i="27" s="1"/>
  <c r="C455" i="27"/>
  <c r="A454" i="27"/>
  <c r="P326" i="27"/>
  <c r="Q326" i="27" s="1"/>
  <c r="M327" i="27" s="1"/>
  <c r="AV337" i="27"/>
  <c r="AW337" i="27" s="1"/>
  <c r="AS338" i="27" s="1"/>
  <c r="G318" i="27" l="1"/>
  <c r="H318" i="27" s="1"/>
  <c r="D319" i="27" s="1"/>
  <c r="F319" i="27" s="1"/>
  <c r="BK318" i="27"/>
  <c r="BJ318" i="27"/>
  <c r="BL318" i="27" s="1"/>
  <c r="BM318" i="27" s="1"/>
  <c r="BI319" i="27" s="1"/>
  <c r="AN320" i="27"/>
  <c r="AO320" i="27" s="1"/>
  <c r="AK321" i="27" s="1"/>
  <c r="AL321" i="27" s="1"/>
  <c r="AE332" i="27"/>
  <c r="AD332" i="27"/>
  <c r="BC328" i="27"/>
  <c r="BB328" i="27"/>
  <c r="AM321" i="27"/>
  <c r="C456" i="27"/>
  <c r="A455" i="27"/>
  <c r="O327" i="27"/>
  <c r="N327" i="27"/>
  <c r="E319" i="27"/>
  <c r="AU338" i="27"/>
  <c r="AT338" i="27"/>
  <c r="W320" i="27"/>
  <c r="V320" i="27"/>
  <c r="I319" i="27" l="1"/>
  <c r="BJ319" i="27"/>
  <c r="BK319" i="27"/>
  <c r="BD328" i="27"/>
  <c r="BE328" i="27" s="1"/>
  <c r="BA329" i="27" s="1"/>
  <c r="AF332" i="27"/>
  <c r="AG332" i="27" s="1"/>
  <c r="AC333" i="27" s="1"/>
  <c r="AN321" i="27"/>
  <c r="AO321" i="27" s="1"/>
  <c r="AK322" i="27" s="1"/>
  <c r="AL322" i="27" s="1"/>
  <c r="P327" i="27"/>
  <c r="Q327" i="27" s="1"/>
  <c r="M328" i="27" s="1"/>
  <c r="N328" i="27" s="1"/>
  <c r="X320" i="27"/>
  <c r="Y320" i="27" s="1"/>
  <c r="U321" i="27" s="1"/>
  <c r="V321" i="27" s="1"/>
  <c r="C457" i="27"/>
  <c r="A456" i="27"/>
  <c r="G319" i="27"/>
  <c r="H319" i="27" s="1"/>
  <c r="D320" i="27" s="1"/>
  <c r="BB329" i="27"/>
  <c r="BC329" i="27"/>
  <c r="AV338" i="27"/>
  <c r="AW338" i="27" s="1"/>
  <c r="AS339" i="27" s="1"/>
  <c r="BL319" i="27" l="1"/>
  <c r="BM319" i="27" s="1"/>
  <c r="BI320" i="27" s="1"/>
  <c r="AE333" i="27"/>
  <c r="AD333" i="27"/>
  <c r="AM322" i="27"/>
  <c r="AN322" i="27" s="1"/>
  <c r="AO322" i="27" s="1"/>
  <c r="AK323" i="27" s="1"/>
  <c r="BD329" i="27"/>
  <c r="BE329" i="27" s="1"/>
  <c r="BA330" i="27" s="1"/>
  <c r="BC330" i="27" s="1"/>
  <c r="W321" i="27"/>
  <c r="X321" i="27" s="1"/>
  <c r="Y321" i="27" s="1"/>
  <c r="U322" i="27" s="1"/>
  <c r="O328" i="27"/>
  <c r="P328" i="27" s="1"/>
  <c r="Q328" i="27" s="1"/>
  <c r="M329" i="27" s="1"/>
  <c r="C458" i="27"/>
  <c r="A457" i="27"/>
  <c r="AT339" i="27"/>
  <c r="AU339" i="27"/>
  <c r="I320" i="27"/>
  <c r="F320" i="27"/>
  <c r="E320" i="27"/>
  <c r="BJ320" i="27" l="1"/>
  <c r="BK320" i="27"/>
  <c r="BL320" i="27" s="1"/>
  <c r="BM320" i="27" s="1"/>
  <c r="BI321" i="27" s="1"/>
  <c r="AF333" i="27"/>
  <c r="AG333" i="27" s="1"/>
  <c r="AC334" i="27" s="1"/>
  <c r="BB330" i="27"/>
  <c r="BD330" i="27" s="1"/>
  <c r="BE330" i="27" s="1"/>
  <c r="BA331" i="27" s="1"/>
  <c r="BC331" i="27" s="1"/>
  <c r="G320" i="27"/>
  <c r="H320" i="27" s="1"/>
  <c r="D321" i="27" s="1"/>
  <c r="I321" i="27" s="1"/>
  <c r="N329" i="27"/>
  <c r="O329" i="27"/>
  <c r="AM323" i="27"/>
  <c r="AL323" i="27"/>
  <c r="C459" i="27"/>
  <c r="A458" i="27"/>
  <c r="W322" i="27"/>
  <c r="V322" i="27"/>
  <c r="AV339" i="27"/>
  <c r="AW339" i="27" s="1"/>
  <c r="AS340" i="27" s="1"/>
  <c r="BK321" i="27" l="1"/>
  <c r="BJ321" i="27"/>
  <c r="AE334" i="27"/>
  <c r="AD334" i="27"/>
  <c r="AN323" i="27"/>
  <c r="AO323" i="27" s="1"/>
  <c r="AK324" i="27" s="1"/>
  <c r="AL324" i="27" s="1"/>
  <c r="X322" i="27"/>
  <c r="Y322" i="27" s="1"/>
  <c r="U323" i="27" s="1"/>
  <c r="V323" i="27" s="1"/>
  <c r="E321" i="27"/>
  <c r="F321" i="27"/>
  <c r="BB331" i="27"/>
  <c r="BD331" i="27" s="1"/>
  <c r="BE331" i="27" s="1"/>
  <c r="BA332" i="27" s="1"/>
  <c r="P329" i="27"/>
  <c r="Q329" i="27" s="1"/>
  <c r="M330" i="27" s="1"/>
  <c r="C460" i="27"/>
  <c r="A459" i="27"/>
  <c r="AU340" i="27"/>
  <c r="AT340" i="27"/>
  <c r="AF334" i="27" l="1"/>
  <c r="AG334" i="27" s="1"/>
  <c r="AC335" i="27" s="1"/>
  <c r="BL321" i="27"/>
  <c r="BM321" i="27" s="1"/>
  <c r="BI322" i="27" s="1"/>
  <c r="AD335" i="27"/>
  <c r="AE335" i="27"/>
  <c r="W323" i="27"/>
  <c r="X323" i="27" s="1"/>
  <c r="Y323" i="27" s="1"/>
  <c r="U324" i="27" s="1"/>
  <c r="AM324" i="27"/>
  <c r="AN324" i="27" s="1"/>
  <c r="AO324" i="27" s="1"/>
  <c r="AK325" i="27" s="1"/>
  <c r="G321" i="27"/>
  <c r="H321" i="27" s="1"/>
  <c r="D322" i="27" s="1"/>
  <c r="I322" i="27" s="1"/>
  <c r="O330" i="27"/>
  <c r="N330" i="27"/>
  <c r="AV340" i="27"/>
  <c r="AW340" i="27" s="1"/>
  <c r="AS341" i="27" s="1"/>
  <c r="AU341" i="27" s="1"/>
  <c r="A460" i="27"/>
  <c r="C461" i="27"/>
  <c r="BC332" i="27"/>
  <c r="BB332" i="27"/>
  <c r="BJ322" i="27" l="1"/>
  <c r="BK322" i="27"/>
  <c r="AF335" i="27"/>
  <c r="AG335" i="27" s="1"/>
  <c r="AC336" i="27" s="1"/>
  <c r="V324" i="27"/>
  <c r="W324" i="27"/>
  <c r="AL325" i="27"/>
  <c r="AM325" i="27"/>
  <c r="BD332" i="27"/>
  <c r="BE332" i="27" s="1"/>
  <c r="BA333" i="27" s="1"/>
  <c r="BB333" i="27" s="1"/>
  <c r="P330" i="27"/>
  <c r="Q330" i="27" s="1"/>
  <c r="M331" i="27" s="1"/>
  <c r="O331" i="27" s="1"/>
  <c r="F322" i="27"/>
  <c r="E322" i="27"/>
  <c r="AT341" i="27"/>
  <c r="AV341" i="27" s="1"/>
  <c r="AW341" i="27" s="1"/>
  <c r="AS342" i="27" s="1"/>
  <c r="AU342" i="27" s="1"/>
  <c r="C462" i="27"/>
  <c r="A461" i="27"/>
  <c r="BL322" i="27" l="1"/>
  <c r="BM322" i="27" s="1"/>
  <c r="BI323" i="27" s="1"/>
  <c r="X324" i="27"/>
  <c r="Y324" i="27" s="1"/>
  <c r="U325" i="27" s="1"/>
  <c r="V325" i="27" s="1"/>
  <c r="AE336" i="27"/>
  <c r="AD336" i="27"/>
  <c r="BC333" i="27"/>
  <c r="BD333" i="27" s="1"/>
  <c r="BE333" i="27" s="1"/>
  <c r="BA334" i="27" s="1"/>
  <c r="AN325" i="27"/>
  <c r="AO325" i="27" s="1"/>
  <c r="AK326" i="27" s="1"/>
  <c r="AL326" i="27" s="1"/>
  <c r="G322" i="27"/>
  <c r="H322" i="27" s="1"/>
  <c r="D323" i="27" s="1"/>
  <c r="I323" i="27" s="1"/>
  <c r="N331" i="27"/>
  <c r="P331" i="27" s="1"/>
  <c r="Q331" i="27" s="1"/>
  <c r="M332" i="27" s="1"/>
  <c r="N332" i="27" s="1"/>
  <c r="AT342" i="27"/>
  <c r="AV342" i="27" s="1"/>
  <c r="AW342" i="27" s="1"/>
  <c r="AS343" i="27" s="1"/>
  <c r="A462" i="27"/>
  <c r="C463" i="27"/>
  <c r="BK323" i="27" l="1"/>
  <c r="BJ323" i="27"/>
  <c r="BL323" i="27" s="1"/>
  <c r="BM323" i="27" s="1"/>
  <c r="BI324" i="27" s="1"/>
  <c r="W325" i="27"/>
  <c r="X325" i="27" s="1"/>
  <c r="Y325" i="27" s="1"/>
  <c r="U326" i="27" s="1"/>
  <c r="AF336" i="27"/>
  <c r="AG336" i="27" s="1"/>
  <c r="AC337" i="27" s="1"/>
  <c r="AE337" i="27" s="1"/>
  <c r="AM326" i="27"/>
  <c r="AN326" i="27" s="1"/>
  <c r="AO326" i="27" s="1"/>
  <c r="AK327" i="27" s="1"/>
  <c r="E323" i="27"/>
  <c r="F323" i="27"/>
  <c r="O332" i="27"/>
  <c r="P332" i="27" s="1"/>
  <c r="Q332" i="27" s="1"/>
  <c r="M333" i="27" s="1"/>
  <c r="O333" i="27" s="1"/>
  <c r="C464" i="27"/>
  <c r="A463" i="27"/>
  <c r="BB334" i="27"/>
  <c r="BC334" i="27"/>
  <c r="AT343" i="27"/>
  <c r="AU343" i="27"/>
  <c r="BJ324" i="27" l="1"/>
  <c r="BK324" i="27"/>
  <c r="G323" i="27"/>
  <c r="H323" i="27" s="1"/>
  <c r="D324" i="27" s="1"/>
  <c r="F324" i="27" s="1"/>
  <c r="AD337" i="27"/>
  <c r="AF337" i="27" s="1"/>
  <c r="AG337" i="27" s="1"/>
  <c r="AC338" i="27" s="1"/>
  <c r="AE338" i="27" s="1"/>
  <c r="AL327" i="27"/>
  <c r="AM327" i="27"/>
  <c r="E324" i="27"/>
  <c r="N333" i="27"/>
  <c r="P333" i="27" s="1"/>
  <c r="Q333" i="27" s="1"/>
  <c r="M334" i="27" s="1"/>
  <c r="O334" i="27" s="1"/>
  <c r="BD334" i="27"/>
  <c r="BE334" i="27" s="1"/>
  <c r="BA335" i="27" s="1"/>
  <c r="BB335" i="27" s="1"/>
  <c r="A464" i="27"/>
  <c r="C465" i="27"/>
  <c r="AV343" i="27"/>
  <c r="AW343" i="27" s="1"/>
  <c r="AS344" i="27" s="1"/>
  <c r="W326" i="27"/>
  <c r="V326" i="27"/>
  <c r="I324" i="27" l="1"/>
  <c r="BL324" i="27"/>
  <c r="BM324" i="27" s="1"/>
  <c r="BI325" i="27" s="1"/>
  <c r="AD338" i="27"/>
  <c r="AF338" i="27" s="1"/>
  <c r="AG338" i="27" s="1"/>
  <c r="AC339" i="27" s="1"/>
  <c r="AD339" i="27" s="1"/>
  <c r="G324" i="27"/>
  <c r="H324" i="27" s="1"/>
  <c r="D325" i="27" s="1"/>
  <c r="I325" i="27" s="1"/>
  <c r="AN327" i="27"/>
  <c r="AO327" i="27" s="1"/>
  <c r="AK328" i="27" s="1"/>
  <c r="AL328" i="27" s="1"/>
  <c r="N334" i="27"/>
  <c r="P334" i="27" s="1"/>
  <c r="Q334" i="27" s="1"/>
  <c r="M335" i="27" s="1"/>
  <c r="BC335" i="27"/>
  <c r="BD335" i="27" s="1"/>
  <c r="BE335" i="27" s="1"/>
  <c r="BA336" i="27" s="1"/>
  <c r="X326" i="27"/>
  <c r="Y326" i="27" s="1"/>
  <c r="U327" i="27" s="1"/>
  <c r="V327" i="27" s="1"/>
  <c r="C466" i="27"/>
  <c r="A465" i="27"/>
  <c r="AU344" i="27"/>
  <c r="AT344" i="27"/>
  <c r="E325" i="27" l="1"/>
  <c r="F325" i="27"/>
  <c r="AM328" i="27"/>
  <c r="AN328" i="27" s="1"/>
  <c r="AO328" i="27" s="1"/>
  <c r="AK329" i="27" s="1"/>
  <c r="AL329" i="27" s="1"/>
  <c r="BK325" i="27"/>
  <c r="BJ325" i="27"/>
  <c r="AE339" i="27"/>
  <c r="AF339" i="27" s="1"/>
  <c r="AG339" i="27" s="1"/>
  <c r="AC340" i="27" s="1"/>
  <c r="AE340" i="27" s="1"/>
  <c r="W327" i="27"/>
  <c r="X327" i="27" s="1"/>
  <c r="Y327" i="27" s="1"/>
  <c r="U328" i="27" s="1"/>
  <c r="W328" i="27" s="1"/>
  <c r="N335" i="27"/>
  <c r="O335" i="27"/>
  <c r="A466" i="27"/>
  <c r="C467" i="27"/>
  <c r="BB336" i="27"/>
  <c r="BC336" i="27"/>
  <c r="AV344" i="27"/>
  <c r="AW344" i="27" s="1"/>
  <c r="AS345" i="27" s="1"/>
  <c r="BL325" i="27" l="1"/>
  <c r="BM325" i="27" s="1"/>
  <c r="BI326" i="27" s="1"/>
  <c r="G325" i="27"/>
  <c r="H325" i="27" s="1"/>
  <c r="D326" i="27" s="1"/>
  <c r="F326" i="27" s="1"/>
  <c r="AM329" i="27"/>
  <c r="BJ326" i="27"/>
  <c r="BK326" i="27"/>
  <c r="AD340" i="27"/>
  <c r="AF340" i="27" s="1"/>
  <c r="AG340" i="27" s="1"/>
  <c r="AC341" i="27" s="1"/>
  <c r="AD341" i="27" s="1"/>
  <c r="AN329" i="27"/>
  <c r="AO329" i="27" s="1"/>
  <c r="AK330" i="27" s="1"/>
  <c r="AL330" i="27" s="1"/>
  <c r="P335" i="27"/>
  <c r="Q335" i="27" s="1"/>
  <c r="M336" i="27" s="1"/>
  <c r="V328" i="27"/>
  <c r="X328" i="27" s="1"/>
  <c r="Y328" i="27" s="1"/>
  <c r="U329" i="27" s="1"/>
  <c r="W329" i="27" s="1"/>
  <c r="C468" i="27"/>
  <c r="A467" i="27"/>
  <c r="BD336" i="27"/>
  <c r="BE336" i="27" s="1"/>
  <c r="BA337" i="27" s="1"/>
  <c r="AT345" i="27"/>
  <c r="AU345" i="27"/>
  <c r="I326" i="27" l="1"/>
  <c r="E326" i="27"/>
  <c r="G326" i="27" s="1"/>
  <c r="H326" i="27" s="1"/>
  <c r="D327" i="27" s="1"/>
  <c r="F327" i="27" s="1"/>
  <c r="BL326" i="27"/>
  <c r="BM326" i="27" s="1"/>
  <c r="BI327" i="27" s="1"/>
  <c r="AE341" i="27"/>
  <c r="AF341" i="27" s="1"/>
  <c r="AG341" i="27" s="1"/>
  <c r="AC342" i="27" s="1"/>
  <c r="AM330" i="27"/>
  <c r="AN330" i="27" s="1"/>
  <c r="AO330" i="27" s="1"/>
  <c r="AK331" i="27" s="1"/>
  <c r="AM331" i="27" s="1"/>
  <c r="V329" i="27"/>
  <c r="X329" i="27" s="1"/>
  <c r="Y329" i="27" s="1"/>
  <c r="U330" i="27" s="1"/>
  <c r="W330" i="27" s="1"/>
  <c r="O336" i="27"/>
  <c r="N336" i="27"/>
  <c r="P336" i="27" s="1"/>
  <c r="Q336" i="27" s="1"/>
  <c r="M337" i="27" s="1"/>
  <c r="A468" i="27"/>
  <c r="C469" i="27"/>
  <c r="AV345" i="27"/>
  <c r="AW345" i="27" s="1"/>
  <c r="AS346" i="27" s="1"/>
  <c r="BC337" i="27"/>
  <c r="BB337" i="27"/>
  <c r="E327" i="27" l="1"/>
  <c r="G327" i="27" s="1"/>
  <c r="H327" i="27" s="1"/>
  <c r="D328" i="27" s="1"/>
  <c r="F328" i="27" s="1"/>
  <c r="I327" i="27"/>
  <c r="BK327" i="27"/>
  <c r="BJ327" i="27"/>
  <c r="BL327" i="27" s="1"/>
  <c r="BM327" i="27" s="1"/>
  <c r="BI328" i="27" s="1"/>
  <c r="AE342" i="27"/>
  <c r="AD342" i="27"/>
  <c r="AF342" i="27" s="1"/>
  <c r="AG342" i="27" s="1"/>
  <c r="AC343" i="27" s="1"/>
  <c r="AL331" i="27"/>
  <c r="AN331" i="27" s="1"/>
  <c r="AO331" i="27" s="1"/>
  <c r="AK332" i="27" s="1"/>
  <c r="BD337" i="27"/>
  <c r="BE337" i="27" s="1"/>
  <c r="BA338" i="27" s="1"/>
  <c r="BC338" i="27" s="1"/>
  <c r="O337" i="27"/>
  <c r="N337" i="27"/>
  <c r="V330" i="27"/>
  <c r="X330" i="27" s="1"/>
  <c r="Y330" i="27" s="1"/>
  <c r="U331" i="27" s="1"/>
  <c r="A469" i="27"/>
  <c r="C470" i="27"/>
  <c r="AU346" i="27"/>
  <c r="AT346" i="27"/>
  <c r="I328" i="27" l="1"/>
  <c r="E328" i="27"/>
  <c r="G328" i="27" s="1"/>
  <c r="H328" i="27" s="1"/>
  <c r="D329" i="27" s="1"/>
  <c r="I329" i="27" s="1"/>
  <c r="BK328" i="27"/>
  <c r="BJ328" i="27"/>
  <c r="BL328" i="27" s="1"/>
  <c r="BM328" i="27" s="1"/>
  <c r="BI329" i="27" s="1"/>
  <c r="AE343" i="27"/>
  <c r="AD343" i="27"/>
  <c r="P337" i="27"/>
  <c r="Q337" i="27" s="1"/>
  <c r="M338" i="27" s="1"/>
  <c r="N338" i="27" s="1"/>
  <c r="BB338" i="27"/>
  <c r="BD338" i="27" s="1"/>
  <c r="BE338" i="27" s="1"/>
  <c r="BA339" i="27" s="1"/>
  <c r="BC339" i="27" s="1"/>
  <c r="AM332" i="27"/>
  <c r="AL332" i="27"/>
  <c r="A470" i="27"/>
  <c r="C471" i="27"/>
  <c r="V331" i="27"/>
  <c r="W331" i="27"/>
  <c r="AV346" i="27"/>
  <c r="AW346" i="27" s="1"/>
  <c r="AS347" i="27" s="1"/>
  <c r="E329" i="27" l="1"/>
  <c r="F329" i="27"/>
  <c r="BK329" i="27"/>
  <c r="BJ329" i="27"/>
  <c r="BL329" i="27" s="1"/>
  <c r="BM329" i="27" s="1"/>
  <c r="BI330" i="27" s="1"/>
  <c r="AF343" i="27"/>
  <c r="AG343" i="27" s="1"/>
  <c r="AC344" i="27" s="1"/>
  <c r="AE344" i="27" s="1"/>
  <c r="O338" i="27"/>
  <c r="P338" i="27" s="1"/>
  <c r="Q338" i="27" s="1"/>
  <c r="M339" i="27" s="1"/>
  <c r="O339" i="27" s="1"/>
  <c r="AN332" i="27"/>
  <c r="AO332" i="27" s="1"/>
  <c r="AK333" i="27" s="1"/>
  <c r="AL333" i="27" s="1"/>
  <c r="BB339" i="27"/>
  <c r="BD339" i="27" s="1"/>
  <c r="BE339" i="27" s="1"/>
  <c r="BA340" i="27" s="1"/>
  <c r="BC340" i="27" s="1"/>
  <c r="C472" i="27"/>
  <c r="A471" i="27"/>
  <c r="X331" i="27"/>
  <c r="Y331" i="27" s="1"/>
  <c r="U332" i="27" s="1"/>
  <c r="AU347" i="27"/>
  <c r="AT347" i="27"/>
  <c r="G329" i="27" l="1"/>
  <c r="H329" i="27" s="1"/>
  <c r="D330" i="27" s="1"/>
  <c r="E330" i="27" s="1"/>
  <c r="BJ330" i="27"/>
  <c r="BK330" i="27"/>
  <c r="AD344" i="27"/>
  <c r="AF344" i="27" s="1"/>
  <c r="AG344" i="27" s="1"/>
  <c r="AC345" i="27" s="1"/>
  <c r="AD345" i="27" s="1"/>
  <c r="AM333" i="27"/>
  <c r="AN333" i="27" s="1"/>
  <c r="AO333" i="27" s="1"/>
  <c r="AK334" i="27" s="1"/>
  <c r="AM334" i="27" s="1"/>
  <c r="BB340" i="27"/>
  <c r="BD340" i="27" s="1"/>
  <c r="BE340" i="27" s="1"/>
  <c r="BA341" i="27" s="1"/>
  <c r="BB341" i="27" s="1"/>
  <c r="N339" i="27"/>
  <c r="P339" i="27" s="1"/>
  <c r="Q339" i="27" s="1"/>
  <c r="M340" i="27" s="1"/>
  <c r="N340" i="27" s="1"/>
  <c r="AV347" i="27"/>
  <c r="AW347" i="27" s="1"/>
  <c r="AS348" i="27" s="1"/>
  <c r="AU348" i="27" s="1"/>
  <c r="A472" i="27"/>
  <c r="C473" i="27"/>
  <c r="W332" i="27"/>
  <c r="V332" i="27"/>
  <c r="I330" i="27" l="1"/>
  <c r="F330" i="27"/>
  <c r="G330" i="27" s="1"/>
  <c r="H330" i="27" s="1"/>
  <c r="D331" i="27" s="1"/>
  <c r="BL330" i="27"/>
  <c r="BM330" i="27" s="1"/>
  <c r="BI331" i="27" s="1"/>
  <c r="AE345" i="27"/>
  <c r="AF345" i="27" s="1"/>
  <c r="AG345" i="27" s="1"/>
  <c r="AC346" i="27" s="1"/>
  <c r="BC341" i="27"/>
  <c r="BD341" i="27" s="1"/>
  <c r="BE341" i="27" s="1"/>
  <c r="BA342" i="27" s="1"/>
  <c r="BC342" i="27" s="1"/>
  <c r="O340" i="27"/>
  <c r="P340" i="27" s="1"/>
  <c r="Q340" i="27" s="1"/>
  <c r="M341" i="27" s="1"/>
  <c r="AL334" i="27"/>
  <c r="AN334" i="27" s="1"/>
  <c r="AO334" i="27" s="1"/>
  <c r="AK335" i="27" s="1"/>
  <c r="AM335" i="27" s="1"/>
  <c r="AT348" i="27"/>
  <c r="AV348" i="27" s="1"/>
  <c r="AW348" i="27" s="1"/>
  <c r="AS349" i="27" s="1"/>
  <c r="AU349" i="27" s="1"/>
  <c r="C474" i="27"/>
  <c r="A473" i="27"/>
  <c r="X332" i="27"/>
  <c r="Y332" i="27" s="1"/>
  <c r="U333" i="27" s="1"/>
  <c r="E331" i="27" l="1"/>
  <c r="F331" i="27"/>
  <c r="I331" i="27"/>
  <c r="BK331" i="27"/>
  <c r="BJ331" i="27"/>
  <c r="BL331" i="27" s="1"/>
  <c r="BM331" i="27" s="1"/>
  <c r="BI332" i="27" s="1"/>
  <c r="AE346" i="27"/>
  <c r="AD346" i="27"/>
  <c r="AL335" i="27"/>
  <c r="AN335" i="27" s="1"/>
  <c r="AO335" i="27" s="1"/>
  <c r="AK336" i="27" s="1"/>
  <c r="BB342" i="27"/>
  <c r="BD342" i="27" s="1"/>
  <c r="BE342" i="27" s="1"/>
  <c r="BA343" i="27" s="1"/>
  <c r="BC343" i="27" s="1"/>
  <c r="AT349" i="27"/>
  <c r="AV349" i="27" s="1"/>
  <c r="AW349" i="27" s="1"/>
  <c r="AS350" i="27" s="1"/>
  <c r="N341" i="27"/>
  <c r="O341" i="27"/>
  <c r="A474" i="27"/>
  <c r="C475" i="27"/>
  <c r="W333" i="27"/>
  <c r="V333" i="27"/>
  <c r="G331" i="27" l="1"/>
  <c r="H331" i="27" s="1"/>
  <c r="D332" i="27" s="1"/>
  <c r="F332" i="27" s="1"/>
  <c r="BK332" i="27"/>
  <c r="BJ332" i="27"/>
  <c r="BL332" i="27" s="1"/>
  <c r="BM332" i="27" s="1"/>
  <c r="BI333" i="27" s="1"/>
  <c r="AF346" i="27"/>
  <c r="AG346" i="27" s="1"/>
  <c r="AC347" i="27" s="1"/>
  <c r="AE347" i="27" s="1"/>
  <c r="BB343" i="27"/>
  <c r="BD343" i="27" s="1"/>
  <c r="BE343" i="27" s="1"/>
  <c r="BA344" i="27" s="1"/>
  <c r="BC344" i="27" s="1"/>
  <c r="X333" i="27"/>
  <c r="Y333" i="27" s="1"/>
  <c r="U334" i="27" s="1"/>
  <c r="V334" i="27" s="1"/>
  <c r="AL336" i="27"/>
  <c r="AM336" i="27"/>
  <c r="P341" i="27"/>
  <c r="Q341" i="27" s="1"/>
  <c r="M342" i="27" s="1"/>
  <c r="O342" i="27" s="1"/>
  <c r="C476" i="27"/>
  <c r="A475" i="27"/>
  <c r="AU350" i="27"/>
  <c r="AT350" i="27"/>
  <c r="I332" i="27" l="1"/>
  <c r="E332" i="27"/>
  <c r="G332" i="27" s="1"/>
  <c r="H332" i="27" s="1"/>
  <c r="D333" i="27" s="1"/>
  <c r="F333" i="27" s="1"/>
  <c r="E333" i="27"/>
  <c r="BJ333" i="27"/>
  <c r="BK333" i="27"/>
  <c r="AD347" i="27"/>
  <c r="AF347" i="27" s="1"/>
  <c r="AG347" i="27" s="1"/>
  <c r="AC348" i="27" s="1"/>
  <c r="AE348" i="27" s="1"/>
  <c r="W334" i="27"/>
  <c r="X334" i="27" s="1"/>
  <c r="Y334" i="27" s="1"/>
  <c r="U335" i="27" s="1"/>
  <c r="V335" i="27" s="1"/>
  <c r="N342" i="27"/>
  <c r="P342" i="27" s="1"/>
  <c r="Q342" i="27" s="1"/>
  <c r="M343" i="27" s="1"/>
  <c r="O343" i="27" s="1"/>
  <c r="AN336" i="27"/>
  <c r="AO336" i="27" s="1"/>
  <c r="AK337" i="27" s="1"/>
  <c r="AV350" i="27"/>
  <c r="AW350" i="27" s="1"/>
  <c r="AS351" i="27" s="1"/>
  <c r="AU351" i="27" s="1"/>
  <c r="BB344" i="27"/>
  <c r="BD344" i="27" s="1"/>
  <c r="BE344" i="27" s="1"/>
  <c r="BA345" i="27" s="1"/>
  <c r="C477" i="27"/>
  <c r="A476" i="27"/>
  <c r="G333" i="27" l="1"/>
  <c r="H333" i="27" s="1"/>
  <c r="D334" i="27" s="1"/>
  <c r="I334" i="27" s="1"/>
  <c r="I333" i="27"/>
  <c r="BL333" i="27"/>
  <c r="BM333" i="27" s="1"/>
  <c r="BI334" i="27" s="1"/>
  <c r="AD348" i="27"/>
  <c r="AF348" i="27" s="1"/>
  <c r="AG348" i="27" s="1"/>
  <c r="AC349" i="27" s="1"/>
  <c r="AE349" i="27" s="1"/>
  <c r="AT351" i="27"/>
  <c r="AV351" i="27" s="1"/>
  <c r="AW351" i="27" s="1"/>
  <c r="AS352" i="27" s="1"/>
  <c r="AT352" i="27" s="1"/>
  <c r="N343" i="27"/>
  <c r="P343" i="27" s="1"/>
  <c r="Q343" i="27" s="1"/>
  <c r="M344" i="27" s="1"/>
  <c r="N344" i="27" s="1"/>
  <c r="AL337" i="27"/>
  <c r="AM337" i="27"/>
  <c r="W335" i="27"/>
  <c r="X335" i="27" s="1"/>
  <c r="Y335" i="27" s="1"/>
  <c r="U336" i="27" s="1"/>
  <c r="A477" i="27"/>
  <c r="C478" i="27"/>
  <c r="BB345" i="27"/>
  <c r="BC345" i="27"/>
  <c r="E334" i="27" l="1"/>
  <c r="G334" i="27" s="1"/>
  <c r="H334" i="27" s="1"/>
  <c r="D335" i="27" s="1"/>
  <c r="E335" i="27" s="1"/>
  <c r="F334" i="27"/>
  <c r="BK334" i="27"/>
  <c r="BJ334" i="27"/>
  <c r="BL334" i="27" s="1"/>
  <c r="BM334" i="27" s="1"/>
  <c r="BI335" i="27" s="1"/>
  <c r="AD349" i="27"/>
  <c r="AF349" i="27" s="1"/>
  <c r="AG349" i="27" s="1"/>
  <c r="AC350" i="27" s="1"/>
  <c r="AE350" i="27" s="1"/>
  <c r="O344" i="27"/>
  <c r="P344" i="27" s="1"/>
  <c r="Q344" i="27" s="1"/>
  <c r="M345" i="27" s="1"/>
  <c r="AN337" i="27"/>
  <c r="AO337" i="27" s="1"/>
  <c r="AK338" i="27" s="1"/>
  <c r="AU352" i="27"/>
  <c r="AV352" i="27" s="1"/>
  <c r="AW352" i="27" s="1"/>
  <c r="AS353" i="27" s="1"/>
  <c r="C479" i="27"/>
  <c r="A478" i="27"/>
  <c r="BD345" i="27"/>
  <c r="BE345" i="27" s="1"/>
  <c r="BA346" i="27" s="1"/>
  <c r="W336" i="27"/>
  <c r="V336" i="27"/>
  <c r="F335" i="27" l="1"/>
  <c r="G335" i="27" s="1"/>
  <c r="H335" i="27" s="1"/>
  <c r="D336" i="27" s="1"/>
  <c r="I335" i="27"/>
  <c r="BJ335" i="27"/>
  <c r="BK335" i="27"/>
  <c r="AD350" i="27"/>
  <c r="AF350" i="27" s="1"/>
  <c r="AG350" i="27" s="1"/>
  <c r="AC351" i="27" s="1"/>
  <c r="AD351" i="27" s="1"/>
  <c r="N345" i="27"/>
  <c r="O345" i="27"/>
  <c r="AM338" i="27"/>
  <c r="AL338" i="27"/>
  <c r="A479" i="27"/>
  <c r="C480" i="27"/>
  <c r="BC346" i="27"/>
  <c r="BB346" i="27"/>
  <c r="AU353" i="27"/>
  <c r="AT353" i="27"/>
  <c r="X336" i="27"/>
  <c r="Y336" i="27" s="1"/>
  <c r="U337" i="27" s="1"/>
  <c r="F336" i="27" l="1"/>
  <c r="I336" i="27"/>
  <c r="E336" i="27"/>
  <c r="G336" i="27" s="1"/>
  <c r="H336" i="27" s="1"/>
  <c r="D337" i="27" s="1"/>
  <c r="BL335" i="27"/>
  <c r="BM335" i="27" s="1"/>
  <c r="BI336" i="27" s="1"/>
  <c r="AE351" i="27"/>
  <c r="AF351" i="27" s="1"/>
  <c r="AG351" i="27" s="1"/>
  <c r="AC352" i="27" s="1"/>
  <c r="AE352" i="27" s="1"/>
  <c r="AN338" i="27"/>
  <c r="AO338" i="27" s="1"/>
  <c r="AK339" i="27" s="1"/>
  <c r="AM339" i="27" s="1"/>
  <c r="P345" i="27"/>
  <c r="Q345" i="27" s="1"/>
  <c r="M346" i="27" s="1"/>
  <c r="O346" i="27" s="1"/>
  <c r="AV353" i="27"/>
  <c r="AW353" i="27" s="1"/>
  <c r="AS354" i="27" s="1"/>
  <c r="AU354" i="27" s="1"/>
  <c r="BD346" i="27"/>
  <c r="BE346" i="27" s="1"/>
  <c r="BA347" i="27" s="1"/>
  <c r="BC347" i="27" s="1"/>
  <c r="C481" i="27"/>
  <c r="A480" i="27"/>
  <c r="E337" i="27"/>
  <c r="F337" i="27"/>
  <c r="I337" i="27"/>
  <c r="V337" i="27"/>
  <c r="W337" i="27"/>
  <c r="BK336" i="27" l="1"/>
  <c r="BJ336" i="27"/>
  <c r="BL336" i="27" s="1"/>
  <c r="BM336" i="27" s="1"/>
  <c r="BI337" i="27" s="1"/>
  <c r="AD352" i="27"/>
  <c r="AF352" i="27" s="1"/>
  <c r="AG352" i="27" s="1"/>
  <c r="AC353" i="27" s="1"/>
  <c r="AD353" i="27" s="1"/>
  <c r="N346" i="27"/>
  <c r="P346" i="27" s="1"/>
  <c r="Q346" i="27" s="1"/>
  <c r="M347" i="27" s="1"/>
  <c r="N347" i="27" s="1"/>
  <c r="AL339" i="27"/>
  <c r="AN339" i="27" s="1"/>
  <c r="AO339" i="27" s="1"/>
  <c r="AK340" i="27" s="1"/>
  <c r="AL340" i="27" s="1"/>
  <c r="AT354" i="27"/>
  <c r="AV354" i="27" s="1"/>
  <c r="AW354" i="27" s="1"/>
  <c r="AS355" i="27" s="1"/>
  <c r="AU355" i="27" s="1"/>
  <c r="BB347" i="27"/>
  <c r="BD347" i="27" s="1"/>
  <c r="BE347" i="27" s="1"/>
  <c r="BA348" i="27" s="1"/>
  <c r="BC348" i="27" s="1"/>
  <c r="G337" i="27"/>
  <c r="H337" i="27" s="1"/>
  <c r="D338" i="27" s="1"/>
  <c r="I338" i="27" s="1"/>
  <c r="X337" i="27"/>
  <c r="Y337" i="27" s="1"/>
  <c r="U338" i="27" s="1"/>
  <c r="V338" i="27" s="1"/>
  <c r="A481" i="27"/>
  <c r="C482" i="27"/>
  <c r="BK337" i="27" l="1"/>
  <c r="BJ337" i="27"/>
  <c r="BL337" i="27" s="1"/>
  <c r="BM337" i="27" s="1"/>
  <c r="BI338" i="27" s="1"/>
  <c r="AE353" i="27"/>
  <c r="AF353" i="27" s="1"/>
  <c r="AG353" i="27" s="1"/>
  <c r="AC354" i="27" s="1"/>
  <c r="AM340" i="27"/>
  <c r="AN340" i="27" s="1"/>
  <c r="AO340" i="27" s="1"/>
  <c r="AK341" i="27" s="1"/>
  <c r="BB348" i="27"/>
  <c r="BD348" i="27" s="1"/>
  <c r="BE348" i="27" s="1"/>
  <c r="BA349" i="27" s="1"/>
  <c r="BB349" i="27" s="1"/>
  <c r="O347" i="27"/>
  <c r="P347" i="27" s="1"/>
  <c r="Q347" i="27" s="1"/>
  <c r="M348" i="27" s="1"/>
  <c r="O348" i="27" s="1"/>
  <c r="AT355" i="27"/>
  <c r="AV355" i="27" s="1"/>
  <c r="AW355" i="27" s="1"/>
  <c r="AS356" i="27" s="1"/>
  <c r="AT356" i="27" s="1"/>
  <c r="F338" i="27"/>
  <c r="E338" i="27"/>
  <c r="W338" i="27"/>
  <c r="X338" i="27" s="1"/>
  <c r="Y338" i="27" s="1"/>
  <c r="U339" i="27" s="1"/>
  <c r="C483" i="27"/>
  <c r="A482" i="27"/>
  <c r="BJ338" i="27" l="1"/>
  <c r="BK338" i="27"/>
  <c r="AD354" i="27"/>
  <c r="AE354" i="27"/>
  <c r="G338" i="27"/>
  <c r="H338" i="27" s="1"/>
  <c r="D339" i="27" s="1"/>
  <c r="I339" i="27" s="1"/>
  <c r="BC349" i="27"/>
  <c r="BD349" i="27" s="1"/>
  <c r="BE349" i="27" s="1"/>
  <c r="BA350" i="27" s="1"/>
  <c r="AM341" i="27"/>
  <c r="AL341" i="27"/>
  <c r="N348" i="27"/>
  <c r="P348" i="27" s="1"/>
  <c r="Q348" i="27" s="1"/>
  <c r="M349" i="27" s="1"/>
  <c r="W339" i="27"/>
  <c r="V339" i="27"/>
  <c r="AU356" i="27"/>
  <c r="AV356" i="27" s="1"/>
  <c r="AW356" i="27" s="1"/>
  <c r="AS357" i="27" s="1"/>
  <c r="AT357" i="27" s="1"/>
  <c r="C484" i="27"/>
  <c r="A483" i="27"/>
  <c r="BL338" i="27" l="1"/>
  <c r="BM338" i="27" s="1"/>
  <c r="BI339" i="27" s="1"/>
  <c r="AF354" i="27"/>
  <c r="AG354" i="27" s="1"/>
  <c r="AC355" i="27" s="1"/>
  <c r="E339" i="27"/>
  <c r="X339" i="27"/>
  <c r="Y339" i="27" s="1"/>
  <c r="U340" i="27" s="1"/>
  <c r="V340" i="27" s="1"/>
  <c r="F339" i="27"/>
  <c r="AN341" i="27"/>
  <c r="AO341" i="27" s="1"/>
  <c r="AK342" i="27" s="1"/>
  <c r="AL342" i="27" s="1"/>
  <c r="N349" i="27"/>
  <c r="O349" i="27"/>
  <c r="AU357" i="27"/>
  <c r="AV357" i="27" s="1"/>
  <c r="AW357" i="27" s="1"/>
  <c r="AS358" i="27" s="1"/>
  <c r="C485" i="27"/>
  <c r="A484" i="27"/>
  <c r="BC350" i="27"/>
  <c r="BB350" i="27"/>
  <c r="BK339" i="27" l="1"/>
  <c r="BJ339" i="27"/>
  <c r="BL339" i="27" s="1"/>
  <c r="BM339" i="27" s="1"/>
  <c r="BI340" i="27" s="1"/>
  <c r="G339" i="27"/>
  <c r="H339" i="27" s="1"/>
  <c r="D340" i="27" s="1"/>
  <c r="E340" i="27" s="1"/>
  <c r="AD355" i="27"/>
  <c r="AE355" i="27"/>
  <c r="W340" i="27"/>
  <c r="X340" i="27" s="1"/>
  <c r="Y340" i="27" s="1"/>
  <c r="U341" i="27" s="1"/>
  <c r="W341" i="27" s="1"/>
  <c r="AM342" i="27"/>
  <c r="AN342" i="27" s="1"/>
  <c r="AO342" i="27" s="1"/>
  <c r="AK343" i="27" s="1"/>
  <c r="F340" i="27"/>
  <c r="P349" i="27"/>
  <c r="Q349" i="27" s="1"/>
  <c r="M350" i="27" s="1"/>
  <c r="AU358" i="27"/>
  <c r="AT358" i="27"/>
  <c r="BD350" i="27"/>
  <c r="BE350" i="27" s="1"/>
  <c r="BA351" i="27" s="1"/>
  <c r="BC351" i="27" s="1"/>
  <c r="C486" i="27"/>
  <c r="A485" i="27"/>
  <c r="G340" i="27" l="1"/>
  <c r="H340" i="27" s="1"/>
  <c r="D341" i="27" s="1"/>
  <c r="I341" i="27" s="1"/>
  <c r="I340" i="27"/>
  <c r="BJ340" i="27"/>
  <c r="BK340" i="27"/>
  <c r="V341" i="27"/>
  <c r="X341" i="27" s="1"/>
  <c r="Y341" i="27" s="1"/>
  <c r="U342" i="27" s="1"/>
  <c r="AF355" i="27"/>
  <c r="AG355" i="27" s="1"/>
  <c r="AC356" i="27" s="1"/>
  <c r="O350" i="27"/>
  <c r="N350" i="27"/>
  <c r="AL343" i="27"/>
  <c r="AM343" i="27"/>
  <c r="AV358" i="27"/>
  <c r="AW358" i="27" s="1"/>
  <c r="AS359" i="27" s="1"/>
  <c r="AU359" i="27" s="1"/>
  <c r="BB351" i="27"/>
  <c r="BD351" i="27" s="1"/>
  <c r="BE351" i="27" s="1"/>
  <c r="BA352" i="27" s="1"/>
  <c r="A486" i="27"/>
  <c r="C487" i="27"/>
  <c r="E341" i="27"/>
  <c r="F341" i="27" l="1"/>
  <c r="G341" i="27" s="1"/>
  <c r="H341" i="27" s="1"/>
  <c r="D342" i="27" s="1"/>
  <c r="BL340" i="27"/>
  <c r="BM340" i="27" s="1"/>
  <c r="BI341" i="27" s="1"/>
  <c r="AE356" i="27"/>
  <c r="AD356" i="27"/>
  <c r="P350" i="27"/>
  <c r="Q350" i="27" s="1"/>
  <c r="M351" i="27" s="1"/>
  <c r="N351" i="27" s="1"/>
  <c r="AT359" i="27"/>
  <c r="AV359" i="27" s="1"/>
  <c r="AW359" i="27" s="1"/>
  <c r="AS360" i="27" s="1"/>
  <c r="AU360" i="27" s="1"/>
  <c r="AN343" i="27"/>
  <c r="AO343" i="27" s="1"/>
  <c r="AK344" i="27" s="1"/>
  <c r="O351" i="27"/>
  <c r="A487" i="27"/>
  <c r="C488" i="27"/>
  <c r="BC352" i="27"/>
  <c r="BB352" i="27"/>
  <c r="V342" i="27"/>
  <c r="W342" i="27"/>
  <c r="BJ341" i="27" l="1"/>
  <c r="BK341" i="27"/>
  <c r="AF356" i="27"/>
  <c r="AG356" i="27" s="1"/>
  <c r="AC357" i="27" s="1"/>
  <c r="AD357" i="27" s="1"/>
  <c r="P351" i="27"/>
  <c r="Q351" i="27" s="1"/>
  <c r="M352" i="27" s="1"/>
  <c r="N352" i="27" s="1"/>
  <c r="BD352" i="27"/>
  <c r="BE352" i="27" s="1"/>
  <c r="BA353" i="27" s="1"/>
  <c r="BB353" i="27" s="1"/>
  <c r="AT360" i="27"/>
  <c r="AV360" i="27" s="1"/>
  <c r="AW360" i="27" s="1"/>
  <c r="AS361" i="27" s="1"/>
  <c r="AT361" i="27" s="1"/>
  <c r="AM344" i="27"/>
  <c r="AL344" i="27"/>
  <c r="C489" i="27"/>
  <c r="A488" i="27"/>
  <c r="X342" i="27"/>
  <c r="Y342" i="27" s="1"/>
  <c r="U343" i="27" s="1"/>
  <c r="E342" i="27"/>
  <c r="F342" i="27"/>
  <c r="I342" i="27"/>
  <c r="BL341" i="27" l="1"/>
  <c r="BM341" i="27" s="1"/>
  <c r="BI342" i="27" s="1"/>
  <c r="AE357" i="27"/>
  <c r="AF357" i="27" s="1"/>
  <c r="AG357" i="27" s="1"/>
  <c r="AC358" i="27" s="1"/>
  <c r="AE358" i="27" s="1"/>
  <c r="O352" i="27"/>
  <c r="P352" i="27" s="1"/>
  <c r="Q352" i="27" s="1"/>
  <c r="M353" i="27" s="1"/>
  <c r="O353" i="27" s="1"/>
  <c r="AN344" i="27"/>
  <c r="AO344" i="27" s="1"/>
  <c r="AK345" i="27" s="1"/>
  <c r="AL345" i="27" s="1"/>
  <c r="BC353" i="27"/>
  <c r="BD353" i="27" s="1"/>
  <c r="BE353" i="27" s="1"/>
  <c r="BA354" i="27" s="1"/>
  <c r="BB354" i="27" s="1"/>
  <c r="AU361" i="27"/>
  <c r="AV361" i="27" s="1"/>
  <c r="AW361" i="27" s="1"/>
  <c r="AS362" i="27" s="1"/>
  <c r="A489" i="27"/>
  <c r="C490" i="27"/>
  <c r="W343" i="27"/>
  <c r="V343" i="27"/>
  <c r="G342" i="27"/>
  <c r="H342" i="27" s="1"/>
  <c r="D343" i="27" s="1"/>
  <c r="BK342" i="27" l="1"/>
  <c r="BJ342" i="27"/>
  <c r="AD358" i="27"/>
  <c r="AF358" i="27" s="1"/>
  <c r="AG358" i="27" s="1"/>
  <c r="AC359" i="27" s="1"/>
  <c r="AD359" i="27" s="1"/>
  <c r="N353" i="27"/>
  <c r="P353" i="27" s="1"/>
  <c r="Q353" i="27" s="1"/>
  <c r="M354" i="27" s="1"/>
  <c r="N354" i="27" s="1"/>
  <c r="AM345" i="27"/>
  <c r="AN345" i="27" s="1"/>
  <c r="AO345" i="27" s="1"/>
  <c r="AK346" i="27" s="1"/>
  <c r="AM346" i="27" s="1"/>
  <c r="BC354" i="27"/>
  <c r="BD354" i="27" s="1"/>
  <c r="BE354" i="27" s="1"/>
  <c r="BA355" i="27" s="1"/>
  <c r="BB355" i="27" s="1"/>
  <c r="C491" i="27"/>
  <c r="A490" i="27"/>
  <c r="AT362" i="27"/>
  <c r="AU362" i="27"/>
  <c r="X343" i="27"/>
  <c r="Y343" i="27" s="1"/>
  <c r="U344" i="27" s="1"/>
  <c r="F343" i="27"/>
  <c r="E343" i="27"/>
  <c r="I343" i="27"/>
  <c r="BL342" i="27" l="1"/>
  <c r="BM342" i="27" s="1"/>
  <c r="BI343" i="27" s="1"/>
  <c r="BK343" i="27" s="1"/>
  <c r="BJ343" i="27"/>
  <c r="AE359" i="27"/>
  <c r="AF359" i="27" s="1"/>
  <c r="AG359" i="27" s="1"/>
  <c r="AC360" i="27" s="1"/>
  <c r="O354" i="27"/>
  <c r="P354" i="27" s="1"/>
  <c r="Q354" i="27" s="1"/>
  <c r="M355" i="27" s="1"/>
  <c r="O355" i="27" s="1"/>
  <c r="AL346" i="27"/>
  <c r="AN346" i="27" s="1"/>
  <c r="AO346" i="27" s="1"/>
  <c r="AK347" i="27" s="1"/>
  <c r="AL347" i="27" s="1"/>
  <c r="G343" i="27"/>
  <c r="H343" i="27" s="1"/>
  <c r="D344" i="27" s="1"/>
  <c r="E344" i="27" s="1"/>
  <c r="BC355" i="27"/>
  <c r="BD355" i="27" s="1"/>
  <c r="BE355" i="27" s="1"/>
  <c r="BA356" i="27" s="1"/>
  <c r="A491" i="27"/>
  <c r="C492" i="27"/>
  <c r="AV362" i="27"/>
  <c r="AW362" i="27" s="1"/>
  <c r="AS363" i="27" s="1"/>
  <c r="V344" i="27"/>
  <c r="W344" i="27"/>
  <c r="BL343" i="27" l="1"/>
  <c r="BM343" i="27" s="1"/>
  <c r="BI344" i="27" s="1"/>
  <c r="BK344" i="27" s="1"/>
  <c r="AE360" i="27"/>
  <c r="AD360" i="27"/>
  <c r="AF360" i="27" s="1"/>
  <c r="AG360" i="27" s="1"/>
  <c r="AC361" i="27" s="1"/>
  <c r="AE361" i="27" s="1"/>
  <c r="AM347" i="27"/>
  <c r="AN347" i="27" s="1"/>
  <c r="AO347" i="27" s="1"/>
  <c r="AK348" i="27" s="1"/>
  <c r="BC356" i="27"/>
  <c r="BB356" i="27"/>
  <c r="BD356" i="27" s="1"/>
  <c r="BE356" i="27" s="1"/>
  <c r="BA357" i="27" s="1"/>
  <c r="BB357" i="27" s="1"/>
  <c r="I344" i="27"/>
  <c r="F344" i="27"/>
  <c r="G344" i="27" s="1"/>
  <c r="H344" i="27" s="1"/>
  <c r="D345" i="27" s="1"/>
  <c r="N355" i="27"/>
  <c r="P355" i="27" s="1"/>
  <c r="Q355" i="27" s="1"/>
  <c r="M356" i="27" s="1"/>
  <c r="N356" i="27" s="1"/>
  <c r="A492" i="27"/>
  <c r="C33" i="60" s="1"/>
  <c r="AC12" i="56" s="1"/>
  <c r="X344" i="27"/>
  <c r="Y344" i="27" s="1"/>
  <c r="U345" i="27" s="1"/>
  <c r="V345" i="27" s="1"/>
  <c r="T35" i="60"/>
  <c r="AP34" i="60"/>
  <c r="AT363" i="27"/>
  <c r="AU363" i="27"/>
  <c r="BJ344" i="27" l="1"/>
  <c r="BL344" i="27" s="1"/>
  <c r="BM344" i="27" s="1"/>
  <c r="BI345" i="27" s="1"/>
  <c r="BK345" i="27" s="1"/>
  <c r="BJ345" i="27"/>
  <c r="AD361" i="27"/>
  <c r="AF361" i="27" s="1"/>
  <c r="AG361" i="27" s="1"/>
  <c r="AC362" i="27" s="1"/>
  <c r="AE362" i="27" s="1"/>
  <c r="I34" i="60"/>
  <c r="Z34" i="60"/>
  <c r="W34" i="60"/>
  <c r="Q34" i="60"/>
  <c r="L34" i="60"/>
  <c r="S35" i="60"/>
  <c r="AP35" i="60"/>
  <c r="BC357" i="27"/>
  <c r="BD357" i="27" s="1"/>
  <c r="BE357" i="27" s="1"/>
  <c r="BA358" i="27" s="1"/>
  <c r="BC358" i="27" s="1"/>
  <c r="Y33" i="60"/>
  <c r="V35" i="60"/>
  <c r="D33" i="60"/>
  <c r="P34" i="60"/>
  <c r="W35" i="60"/>
  <c r="V33" i="60"/>
  <c r="E33" i="60"/>
  <c r="S34" i="60"/>
  <c r="U35" i="60"/>
  <c r="Q35" i="60"/>
  <c r="Z35" i="60"/>
  <c r="O34" i="60"/>
  <c r="G34" i="60"/>
  <c r="U33" i="60"/>
  <c r="P35" i="60"/>
  <c r="G33" i="60"/>
  <c r="G35" i="60"/>
  <c r="S33" i="60"/>
  <c r="L35" i="60"/>
  <c r="M34" i="60"/>
  <c r="AB35" i="60"/>
  <c r="P33" i="60"/>
  <c r="M33" i="60"/>
  <c r="R33" i="60"/>
  <c r="T34" i="60"/>
  <c r="AA35" i="60"/>
  <c r="F34" i="60"/>
  <c r="K34" i="60"/>
  <c r="N34" i="60"/>
  <c r="N33" i="60"/>
  <c r="O33" i="60"/>
  <c r="X34" i="60"/>
  <c r="AP33" i="60"/>
  <c r="H35" i="60"/>
  <c r="K35" i="60"/>
  <c r="E34" i="60"/>
  <c r="M35" i="60"/>
  <c r="O35" i="60"/>
  <c r="T33" i="60"/>
  <c r="Y34" i="60"/>
  <c r="F35" i="60"/>
  <c r="C35" i="60"/>
  <c r="L33" i="60"/>
  <c r="I35" i="60"/>
  <c r="K33" i="60"/>
  <c r="I33" i="60"/>
  <c r="J34" i="60"/>
  <c r="Q33" i="60"/>
  <c r="W33" i="60"/>
  <c r="Z33" i="60"/>
  <c r="C34" i="60"/>
  <c r="D96" i="14" s="1"/>
  <c r="I537" i="73" s="1"/>
  <c r="AO537" i="73" s="1"/>
  <c r="AP537" i="73" s="1"/>
  <c r="D35" i="60"/>
  <c r="H33" i="60"/>
  <c r="AC35" i="60"/>
  <c r="F33" i="60"/>
  <c r="J33" i="60"/>
  <c r="N35" i="60"/>
  <c r="R34" i="60"/>
  <c r="Y35" i="60"/>
  <c r="X33" i="60"/>
  <c r="H34" i="60"/>
  <c r="E35" i="60"/>
  <c r="J35" i="60"/>
  <c r="R35" i="60"/>
  <c r="U34" i="60"/>
  <c r="V34" i="60"/>
  <c r="X35" i="60"/>
  <c r="D34" i="60"/>
  <c r="AL348" i="27"/>
  <c r="AM348" i="27"/>
  <c r="O356" i="27"/>
  <c r="P356" i="27" s="1"/>
  <c r="Q356" i="27" s="1"/>
  <c r="M357" i="27" s="1"/>
  <c r="W345" i="27"/>
  <c r="X345" i="27" s="1"/>
  <c r="Y345" i="27" s="1"/>
  <c r="U346" i="27" s="1"/>
  <c r="AV363" i="27"/>
  <c r="AW363" i="27" s="1"/>
  <c r="AS364" i="27" s="1"/>
  <c r="AT364" i="27" s="1"/>
  <c r="AF11" i="56"/>
  <c r="AF13" i="56" s="1"/>
  <c r="E345" i="27"/>
  <c r="F345" i="27"/>
  <c r="I345" i="27"/>
  <c r="AP36" i="60" l="1"/>
  <c r="AP38" i="60" s="1"/>
  <c r="Z36" i="60"/>
  <c r="Y36" i="60"/>
  <c r="Q36" i="60"/>
  <c r="L36" i="60"/>
  <c r="P36" i="60"/>
  <c r="AD362" i="27"/>
  <c r="AF362" i="27" s="1"/>
  <c r="AG362" i="27" s="1"/>
  <c r="AC363" i="27" s="1"/>
  <c r="AE363" i="27" s="1"/>
  <c r="BL345" i="27"/>
  <c r="BM345" i="27" s="1"/>
  <c r="BI346" i="27" s="1"/>
  <c r="T36" i="60"/>
  <c r="W36" i="60"/>
  <c r="K36" i="60"/>
  <c r="V36" i="60"/>
  <c r="D36" i="60"/>
  <c r="U36" i="60"/>
  <c r="D99" i="14"/>
  <c r="I540" i="73" s="1"/>
  <c r="AO540" i="73" s="1"/>
  <c r="AP540" i="73" s="1"/>
  <c r="C36" i="60"/>
  <c r="F36" i="60"/>
  <c r="E36" i="60"/>
  <c r="M36" i="60"/>
  <c r="X36" i="60"/>
  <c r="R36" i="60"/>
  <c r="I36" i="60"/>
  <c r="O36" i="60"/>
  <c r="N36" i="60"/>
  <c r="G36" i="60"/>
  <c r="S36" i="60"/>
  <c r="H36" i="60"/>
  <c r="J36" i="60"/>
  <c r="AN348" i="27"/>
  <c r="AO348" i="27" s="1"/>
  <c r="AK349" i="27" s="1"/>
  <c r="AU364" i="27"/>
  <c r="AV364" i="27" s="1"/>
  <c r="AW364" i="27" s="1"/>
  <c r="AS365" i="27" s="1"/>
  <c r="O357" i="27"/>
  <c r="N357" i="27"/>
  <c r="BB358" i="27"/>
  <c r="BD358" i="27" s="1"/>
  <c r="BE358" i="27" s="1"/>
  <c r="BA359" i="27" s="1"/>
  <c r="V346" i="27"/>
  <c r="W346" i="27"/>
  <c r="G345" i="27"/>
  <c r="H345" i="27" s="1"/>
  <c r="D346" i="27" s="1"/>
  <c r="AD363" i="27" l="1"/>
  <c r="AF363" i="27" s="1"/>
  <c r="AG363" i="27" s="1"/>
  <c r="AC364" i="27" s="1"/>
  <c r="AE364" i="27" s="1"/>
  <c r="BJ346" i="27"/>
  <c r="BK346" i="27"/>
  <c r="P357" i="27"/>
  <c r="Q357" i="27" s="1"/>
  <c r="M358" i="27" s="1"/>
  <c r="N358" i="27" s="1"/>
  <c r="BB359" i="27"/>
  <c r="BC359" i="27"/>
  <c r="AL349" i="27"/>
  <c r="AM349" i="27"/>
  <c r="X346" i="27"/>
  <c r="Y346" i="27" s="1"/>
  <c r="U347" i="27" s="1"/>
  <c r="I346" i="27"/>
  <c r="F346" i="27"/>
  <c r="E346" i="27"/>
  <c r="AU365" i="27"/>
  <c r="AT365" i="27"/>
  <c r="O358" i="27" l="1"/>
  <c r="BL346" i="27"/>
  <c r="BM346" i="27" s="1"/>
  <c r="BI347" i="27" s="1"/>
  <c r="AD364" i="27"/>
  <c r="AF364" i="27" s="1"/>
  <c r="AG364" i="27" s="1"/>
  <c r="AC365" i="27" s="1"/>
  <c r="AE365" i="27" s="1"/>
  <c r="P358" i="27"/>
  <c r="Q358" i="27" s="1"/>
  <c r="M359" i="27" s="1"/>
  <c r="O359" i="27" s="1"/>
  <c r="BD359" i="27"/>
  <c r="BE359" i="27" s="1"/>
  <c r="BA360" i="27" s="1"/>
  <c r="BC360" i="27" s="1"/>
  <c r="AN349" i="27"/>
  <c r="AO349" i="27" s="1"/>
  <c r="AK350" i="27" s="1"/>
  <c r="N359" i="27"/>
  <c r="P359" i="27" s="1"/>
  <c r="Q359" i="27" s="1"/>
  <c r="M360" i="27" s="1"/>
  <c r="V347" i="27"/>
  <c r="W347" i="27"/>
  <c r="G346" i="27"/>
  <c r="H346" i="27" s="1"/>
  <c r="D347" i="27" s="1"/>
  <c r="AV365" i="27"/>
  <c r="AW365" i="27" s="1"/>
  <c r="AS366" i="27" s="1"/>
  <c r="BJ347" i="27" l="1"/>
  <c r="BK347" i="27"/>
  <c r="BB360" i="27"/>
  <c r="BD360" i="27" s="1"/>
  <c r="BE360" i="27" s="1"/>
  <c r="BA361" i="27" s="1"/>
  <c r="BC361" i="27" s="1"/>
  <c r="AD365" i="27"/>
  <c r="AF365" i="27" s="1"/>
  <c r="AG365" i="27" s="1"/>
  <c r="AC366" i="27" s="1"/>
  <c r="AD366" i="27" s="1"/>
  <c r="AM350" i="27"/>
  <c r="AL350" i="27"/>
  <c r="O360" i="27"/>
  <c r="N360" i="27"/>
  <c r="AU366" i="27"/>
  <c r="AT366" i="27"/>
  <c r="X347" i="27"/>
  <c r="Y347" i="27" s="1"/>
  <c r="U348" i="27" s="1"/>
  <c r="I347" i="27"/>
  <c r="E347" i="27"/>
  <c r="F347" i="27"/>
  <c r="BB361" i="27" l="1"/>
  <c r="BL347" i="27"/>
  <c r="BM347" i="27" s="1"/>
  <c r="BI348" i="27" s="1"/>
  <c r="AE366" i="27"/>
  <c r="AF366" i="27" s="1"/>
  <c r="AG366" i="27" s="1"/>
  <c r="AC367" i="27" s="1"/>
  <c r="AE367" i="27" s="1"/>
  <c r="BD361" i="27"/>
  <c r="BE361" i="27" s="1"/>
  <c r="BA362" i="27" s="1"/>
  <c r="BB362" i="27" s="1"/>
  <c r="AN350" i="27"/>
  <c r="AO350" i="27" s="1"/>
  <c r="AK351" i="27" s="1"/>
  <c r="AV366" i="27"/>
  <c r="AW366" i="27" s="1"/>
  <c r="AS367" i="27" s="1"/>
  <c r="AT367" i="27" s="1"/>
  <c r="W348" i="27"/>
  <c r="V348" i="27"/>
  <c r="P360" i="27"/>
  <c r="Q360" i="27" s="1"/>
  <c r="M361" i="27" s="1"/>
  <c r="AD35" i="60"/>
  <c r="G347" i="27"/>
  <c r="H347" i="27" s="1"/>
  <c r="D348" i="27" s="1"/>
  <c r="AD367" i="27" l="1"/>
  <c r="BC362" i="27"/>
  <c r="BJ348" i="27"/>
  <c r="BK348" i="27"/>
  <c r="AM351" i="27"/>
  <c r="AL351" i="27"/>
  <c r="X348" i="27"/>
  <c r="Y348" i="27" s="1"/>
  <c r="U349" i="27" s="1"/>
  <c r="V349" i="27" s="1"/>
  <c r="AU367" i="27"/>
  <c r="AV367" i="27" s="1"/>
  <c r="AW367" i="27" s="1"/>
  <c r="AS368" i="27" s="1"/>
  <c r="O361" i="27"/>
  <c r="N361" i="27"/>
  <c r="F348" i="27"/>
  <c r="E348" i="27"/>
  <c r="I348" i="27"/>
  <c r="BD362" i="27"/>
  <c r="BE362" i="27" s="1"/>
  <c r="BA363" i="27" s="1"/>
  <c r="AF367" i="27"/>
  <c r="AG367" i="27" s="1"/>
  <c r="AC368" i="27" s="1"/>
  <c r="BL348" i="27" l="1"/>
  <c r="BM348" i="27" s="1"/>
  <c r="BI349" i="27" s="1"/>
  <c r="W349" i="27"/>
  <c r="X349" i="27" s="1"/>
  <c r="Y349" i="27" s="1"/>
  <c r="U350" i="27" s="1"/>
  <c r="AN351" i="27"/>
  <c r="AO351" i="27" s="1"/>
  <c r="AK352" i="27" s="1"/>
  <c r="AM352" i="27" s="1"/>
  <c r="G348" i="27"/>
  <c r="H348" i="27" s="1"/>
  <c r="D349" i="27" s="1"/>
  <c r="E349" i="27" s="1"/>
  <c r="AT368" i="27"/>
  <c r="AU368" i="27"/>
  <c r="P361" i="27"/>
  <c r="Q361" i="27" s="1"/>
  <c r="M362" i="27" s="1"/>
  <c r="AD368" i="27"/>
  <c r="AE368" i="27"/>
  <c r="BB363" i="27"/>
  <c r="BC363" i="27"/>
  <c r="BK349" i="27" l="1"/>
  <c r="BJ349" i="27"/>
  <c r="AL352" i="27"/>
  <c r="AN352" i="27" s="1"/>
  <c r="AO352" i="27" s="1"/>
  <c r="AK353" i="27" s="1"/>
  <c r="AV368" i="27"/>
  <c r="AW368" i="27" s="1"/>
  <c r="AS369" i="27" s="1"/>
  <c r="AU369" i="27" s="1"/>
  <c r="I349" i="27"/>
  <c r="F349" i="27"/>
  <c r="G349" i="27" s="1"/>
  <c r="H349" i="27" s="1"/>
  <c r="D350" i="27" s="1"/>
  <c r="BD363" i="27"/>
  <c r="BE363" i="27" s="1"/>
  <c r="BA364" i="27" s="1"/>
  <c r="BC364" i="27" s="1"/>
  <c r="AF368" i="27"/>
  <c r="AG368" i="27" s="1"/>
  <c r="AC369" i="27" s="1"/>
  <c r="AD369" i="27" s="1"/>
  <c r="W350" i="27"/>
  <c r="V350" i="27"/>
  <c r="O362" i="27"/>
  <c r="N362" i="27"/>
  <c r="BL349" i="27" l="1"/>
  <c r="BM349" i="27" s="1"/>
  <c r="BI350" i="27" s="1"/>
  <c r="BJ350" i="27" s="1"/>
  <c r="AT369" i="27"/>
  <c r="AV369" i="27" s="1"/>
  <c r="AW369" i="27" s="1"/>
  <c r="AS370" i="27" s="1"/>
  <c r="AT370" i="27" s="1"/>
  <c r="AL353" i="27"/>
  <c r="AM353" i="27"/>
  <c r="BB364" i="27"/>
  <c r="BD364" i="27" s="1"/>
  <c r="BE364" i="27" s="1"/>
  <c r="BA365" i="27" s="1"/>
  <c r="BB365" i="27" s="1"/>
  <c r="AE369" i="27"/>
  <c r="AF369" i="27" s="1"/>
  <c r="AG369" i="27" s="1"/>
  <c r="AC370" i="27" s="1"/>
  <c r="P362" i="27"/>
  <c r="Q362" i="27" s="1"/>
  <c r="M363" i="27" s="1"/>
  <c r="X350" i="27"/>
  <c r="Y350" i="27" s="1"/>
  <c r="U351" i="27" s="1"/>
  <c r="F350" i="27"/>
  <c r="E350" i="27"/>
  <c r="I350" i="27"/>
  <c r="BK350" i="27" l="1"/>
  <c r="BL350" i="27" s="1"/>
  <c r="BM350" i="27" s="1"/>
  <c r="BI351" i="27" s="1"/>
  <c r="AU370" i="27"/>
  <c r="BJ351" i="27"/>
  <c r="BK351" i="27"/>
  <c r="AN353" i="27"/>
  <c r="AO353" i="27" s="1"/>
  <c r="AK354" i="27" s="1"/>
  <c r="BC365" i="27"/>
  <c r="BD365" i="27" s="1"/>
  <c r="BE365" i="27" s="1"/>
  <c r="BA366" i="27" s="1"/>
  <c r="AV370" i="27"/>
  <c r="AW370" i="27" s="1"/>
  <c r="AS371" i="27" s="1"/>
  <c r="AU371" i="27" s="1"/>
  <c r="AE370" i="27"/>
  <c r="AD370" i="27"/>
  <c r="G350" i="27"/>
  <c r="H350" i="27" s="1"/>
  <c r="D351" i="27" s="1"/>
  <c r="N363" i="27"/>
  <c r="O363" i="27"/>
  <c r="W351" i="27"/>
  <c r="V351" i="27"/>
  <c r="BL351" i="27" l="1"/>
  <c r="BM351" i="27" s="1"/>
  <c r="BI352" i="27" s="1"/>
  <c r="AL354" i="27"/>
  <c r="AM354" i="27"/>
  <c r="AT371" i="27"/>
  <c r="AV371" i="27" s="1"/>
  <c r="AW371" i="27" s="1"/>
  <c r="AS372" i="27" s="1"/>
  <c r="AT372" i="27" s="1"/>
  <c r="P363" i="27"/>
  <c r="Q363" i="27" s="1"/>
  <c r="M364" i="27" s="1"/>
  <c r="BB366" i="27"/>
  <c r="BC366" i="27"/>
  <c r="I351" i="27"/>
  <c r="F351" i="27"/>
  <c r="E351" i="27"/>
  <c r="X351" i="27"/>
  <c r="Y351" i="27" s="1"/>
  <c r="U352" i="27" s="1"/>
  <c r="AF370" i="27"/>
  <c r="AG370" i="27" s="1"/>
  <c r="AC371" i="27" s="1"/>
  <c r="BK352" i="27" l="1"/>
  <c r="BJ352" i="27"/>
  <c r="BL352" i="27" s="1"/>
  <c r="BM352" i="27" s="1"/>
  <c r="BI353" i="27" s="1"/>
  <c r="AN354" i="27"/>
  <c r="AO354" i="27" s="1"/>
  <c r="AK355" i="27" s="1"/>
  <c r="AU372" i="27"/>
  <c r="AV372" i="27" s="1"/>
  <c r="AW372" i="27" s="1"/>
  <c r="AS373" i="27" s="1"/>
  <c r="BD366" i="27"/>
  <c r="BE366" i="27" s="1"/>
  <c r="BA367" i="27" s="1"/>
  <c r="AE371" i="27"/>
  <c r="AD371" i="27"/>
  <c r="W352" i="27"/>
  <c r="V352" i="27"/>
  <c r="G351" i="27"/>
  <c r="H351" i="27" s="1"/>
  <c r="D352" i="27" s="1"/>
  <c r="N364" i="27"/>
  <c r="O364" i="27"/>
  <c r="BJ353" i="27" l="1"/>
  <c r="BK353" i="27"/>
  <c r="AF371" i="27"/>
  <c r="AG371" i="27" s="1"/>
  <c r="AC372" i="27" s="1"/>
  <c r="AE372" i="27" s="1"/>
  <c r="AL355" i="27"/>
  <c r="AM355" i="27"/>
  <c r="X352" i="27"/>
  <c r="Y352" i="27" s="1"/>
  <c r="U353" i="27" s="1"/>
  <c r="V353" i="27" s="1"/>
  <c r="AT373" i="27"/>
  <c r="AU373" i="27"/>
  <c r="I352" i="27"/>
  <c r="F352" i="27"/>
  <c r="E352" i="27"/>
  <c r="P364" i="27"/>
  <c r="Q364" i="27" s="1"/>
  <c r="M365" i="27" s="1"/>
  <c r="BB367" i="27"/>
  <c r="BC367" i="27"/>
  <c r="AD372" i="27" l="1"/>
  <c r="BL353" i="27"/>
  <c r="BM353" i="27" s="1"/>
  <c r="BI354" i="27" s="1"/>
  <c r="BK354" i="27"/>
  <c r="BJ354" i="27"/>
  <c r="BL354" i="27" s="1"/>
  <c r="BM354" i="27" s="1"/>
  <c r="BI355" i="27" s="1"/>
  <c r="W353" i="27"/>
  <c r="X353" i="27" s="1"/>
  <c r="Y353" i="27" s="1"/>
  <c r="U354" i="27" s="1"/>
  <c r="V354" i="27" s="1"/>
  <c r="AF372" i="27"/>
  <c r="AG372" i="27" s="1"/>
  <c r="AC373" i="27" s="1"/>
  <c r="AD373" i="27" s="1"/>
  <c r="AN355" i="27"/>
  <c r="AO355" i="27" s="1"/>
  <c r="AK356" i="27" s="1"/>
  <c r="BD367" i="27"/>
  <c r="BE367" i="27" s="1"/>
  <c r="BA368" i="27" s="1"/>
  <c r="BC368" i="27" s="1"/>
  <c r="AV373" i="27"/>
  <c r="AW373" i="27" s="1"/>
  <c r="AS374" i="27" s="1"/>
  <c r="N365" i="27"/>
  <c r="O365" i="27"/>
  <c r="G352" i="27"/>
  <c r="H352" i="27" s="1"/>
  <c r="D353" i="27" s="1"/>
  <c r="BJ355" i="27" l="1"/>
  <c r="BK355" i="27"/>
  <c r="AE373" i="27"/>
  <c r="AL356" i="27"/>
  <c r="AM356" i="27"/>
  <c r="AF373" i="27"/>
  <c r="AG373" i="27" s="1"/>
  <c r="AC374" i="27" s="1"/>
  <c r="AE374" i="27" s="1"/>
  <c r="BB368" i="27"/>
  <c r="BD368" i="27" s="1"/>
  <c r="BE368" i="27" s="1"/>
  <c r="BA369" i="27" s="1"/>
  <c r="W354" i="27"/>
  <c r="X354" i="27" s="1"/>
  <c r="Y354" i="27" s="1"/>
  <c r="U355" i="27" s="1"/>
  <c r="P365" i="27"/>
  <c r="Q365" i="27" s="1"/>
  <c r="M366" i="27" s="1"/>
  <c r="O366" i="27" s="1"/>
  <c r="I353" i="27"/>
  <c r="E353" i="27"/>
  <c r="F353" i="27"/>
  <c r="AT374" i="27"/>
  <c r="AU374" i="27"/>
  <c r="BL355" i="27" l="1"/>
  <c r="BM355" i="27" s="1"/>
  <c r="BI356" i="27" s="1"/>
  <c r="AD374" i="27"/>
  <c r="AF374" i="27" s="1"/>
  <c r="AG374" i="27" s="1"/>
  <c r="AC375" i="27" s="1"/>
  <c r="AN356" i="27"/>
  <c r="AO356" i="27" s="1"/>
  <c r="AK357" i="27" s="1"/>
  <c r="AM357" i="27" s="1"/>
  <c r="BC369" i="27"/>
  <c r="BB369" i="27"/>
  <c r="N366" i="27"/>
  <c r="P366" i="27" s="1"/>
  <c r="Q366" i="27" s="1"/>
  <c r="M367" i="27" s="1"/>
  <c r="N367" i="27" s="1"/>
  <c r="V355" i="27"/>
  <c r="W355" i="27"/>
  <c r="AV374" i="27"/>
  <c r="AW374" i="27" s="1"/>
  <c r="AS375" i="27" s="1"/>
  <c r="G353" i="27"/>
  <c r="H353" i="27" s="1"/>
  <c r="D354" i="27" s="1"/>
  <c r="BJ356" i="27" l="1"/>
  <c r="BK356" i="27"/>
  <c r="AL357" i="27"/>
  <c r="AN357" i="27" s="1"/>
  <c r="AO357" i="27" s="1"/>
  <c r="AK358" i="27" s="1"/>
  <c r="BD369" i="27"/>
  <c r="BE369" i="27" s="1"/>
  <c r="BA370" i="27" s="1"/>
  <c r="BC370" i="27" s="1"/>
  <c r="O367" i="27"/>
  <c r="P367" i="27" s="1"/>
  <c r="Q367" i="27" s="1"/>
  <c r="M368" i="27" s="1"/>
  <c r="I354" i="27"/>
  <c r="F354" i="27"/>
  <c r="E354" i="27"/>
  <c r="AD375" i="27"/>
  <c r="AE375" i="27"/>
  <c r="AU375" i="27"/>
  <c r="AT375" i="27"/>
  <c r="X355" i="27"/>
  <c r="Y355" i="27" s="1"/>
  <c r="U356" i="27" s="1"/>
  <c r="BL356" i="27" l="1"/>
  <c r="BM356" i="27" s="1"/>
  <c r="BI357" i="27" s="1"/>
  <c r="BJ357" i="27" s="1"/>
  <c r="AM358" i="27"/>
  <c r="AL358" i="27"/>
  <c r="AN358" i="27" s="1"/>
  <c r="AO358" i="27" s="1"/>
  <c r="AK359" i="27" s="1"/>
  <c r="BB370" i="27"/>
  <c r="BD370" i="27" s="1"/>
  <c r="BE370" i="27" s="1"/>
  <c r="BA371" i="27" s="1"/>
  <c r="BB371" i="27" s="1"/>
  <c r="G354" i="27"/>
  <c r="H354" i="27" s="1"/>
  <c r="D355" i="27" s="1"/>
  <c r="F355" i="27" s="1"/>
  <c r="AV375" i="27"/>
  <c r="AW375" i="27" s="1"/>
  <c r="AS376" i="27" s="1"/>
  <c r="AU376" i="27" s="1"/>
  <c r="O368" i="27"/>
  <c r="N368" i="27"/>
  <c r="AF375" i="27"/>
  <c r="AG375" i="27" s="1"/>
  <c r="AC376" i="27" s="1"/>
  <c r="W356" i="27"/>
  <c r="V356" i="27"/>
  <c r="BK357" i="27" l="1"/>
  <c r="BL357" i="27" s="1"/>
  <c r="BM357" i="27" s="1"/>
  <c r="BI358" i="27" s="1"/>
  <c r="BC371" i="27"/>
  <c r="BD371" i="27" s="1"/>
  <c r="BE371" i="27" s="1"/>
  <c r="BA372" i="27" s="1"/>
  <c r="BC372" i="27" s="1"/>
  <c r="AM359" i="27"/>
  <c r="AL359" i="27"/>
  <c r="AN359" i="27" s="1"/>
  <c r="AO359" i="27" s="1"/>
  <c r="AK360" i="27" s="1"/>
  <c r="AL360" i="27" s="1"/>
  <c r="X356" i="27"/>
  <c r="Y356" i="27" s="1"/>
  <c r="U357" i="27" s="1"/>
  <c r="W357" i="27" s="1"/>
  <c r="AT376" i="27"/>
  <c r="AV376" i="27" s="1"/>
  <c r="AW376" i="27" s="1"/>
  <c r="AS377" i="27" s="1"/>
  <c r="I355" i="27"/>
  <c r="E355" i="27"/>
  <c r="G355" i="27" s="1"/>
  <c r="H355" i="27" s="1"/>
  <c r="D356" i="27" s="1"/>
  <c r="AE376" i="27"/>
  <c r="AD376" i="27"/>
  <c r="P368" i="27"/>
  <c r="Q368" i="27" s="1"/>
  <c r="M369" i="27" s="1"/>
  <c r="AF376" i="27" l="1"/>
  <c r="AG376" i="27" s="1"/>
  <c r="AC377" i="27" s="1"/>
  <c r="BJ358" i="27"/>
  <c r="BK358" i="27"/>
  <c r="AM360" i="27"/>
  <c r="AN360" i="27" s="1"/>
  <c r="AO360" i="27" s="1"/>
  <c r="AK361" i="27" s="1"/>
  <c r="V357" i="27"/>
  <c r="X357" i="27" s="1"/>
  <c r="Y357" i="27" s="1"/>
  <c r="U358" i="27" s="1"/>
  <c r="BB372" i="27"/>
  <c r="BD372" i="27" s="1"/>
  <c r="BE372" i="27" s="1"/>
  <c r="BA373" i="27" s="1"/>
  <c r="BB373" i="27" s="1"/>
  <c r="AE377" i="27"/>
  <c r="AD377" i="27"/>
  <c r="O369" i="27"/>
  <c r="N369" i="27"/>
  <c r="AU377" i="27"/>
  <c r="AT377" i="27"/>
  <c r="E356" i="27"/>
  <c r="F356" i="27"/>
  <c r="I356" i="27"/>
  <c r="BL358" i="27" l="1"/>
  <c r="BM358" i="27" s="1"/>
  <c r="BI359" i="27" s="1"/>
  <c r="AM361" i="27"/>
  <c r="AL361" i="27"/>
  <c r="AN361" i="27" s="1"/>
  <c r="AO361" i="27" s="1"/>
  <c r="AK362" i="27" s="1"/>
  <c r="AM362" i="27" s="1"/>
  <c r="V358" i="27"/>
  <c r="W358" i="27"/>
  <c r="BC373" i="27"/>
  <c r="BD373" i="27" s="1"/>
  <c r="BE373" i="27" s="1"/>
  <c r="BA374" i="27" s="1"/>
  <c r="P369" i="27"/>
  <c r="Q369" i="27" s="1"/>
  <c r="M370" i="27" s="1"/>
  <c r="O370" i="27" s="1"/>
  <c r="AF377" i="27"/>
  <c r="AG377" i="27" s="1"/>
  <c r="AC378" i="27" s="1"/>
  <c r="AD378" i="27" s="1"/>
  <c r="G356" i="27"/>
  <c r="H356" i="27" s="1"/>
  <c r="D357" i="27" s="1"/>
  <c r="AV377" i="27"/>
  <c r="AW377" i="27" s="1"/>
  <c r="AS378" i="27" s="1"/>
  <c r="BK359" i="27" l="1"/>
  <c r="BJ359" i="27"/>
  <c r="BL359" i="27" s="1"/>
  <c r="BM359" i="27" s="1"/>
  <c r="BI360" i="27" s="1"/>
  <c r="X358" i="27"/>
  <c r="Y358" i="27" s="1"/>
  <c r="U359" i="27" s="1"/>
  <c r="W359" i="27" s="1"/>
  <c r="AL362" i="27"/>
  <c r="AN362" i="27" s="1"/>
  <c r="AO362" i="27" s="1"/>
  <c r="AK363" i="27" s="1"/>
  <c r="AL363" i="27" s="1"/>
  <c r="N370" i="27"/>
  <c r="P370" i="27" s="1"/>
  <c r="Q370" i="27" s="1"/>
  <c r="M371" i="27" s="1"/>
  <c r="AE378" i="27"/>
  <c r="AF378" i="27" s="1"/>
  <c r="AG378" i="27" s="1"/>
  <c r="AC379" i="27" s="1"/>
  <c r="AD379" i="27" s="1"/>
  <c r="E357" i="27"/>
  <c r="F357" i="27"/>
  <c r="I357" i="27"/>
  <c r="AU378" i="27"/>
  <c r="AT378" i="27"/>
  <c r="BC374" i="27"/>
  <c r="BB374" i="27"/>
  <c r="BD374" i="27" l="1"/>
  <c r="BE374" i="27" s="1"/>
  <c r="BA375" i="27" s="1"/>
  <c r="BK360" i="27"/>
  <c r="BJ360" i="27"/>
  <c r="BL360" i="27" s="1"/>
  <c r="BM360" i="27" s="1"/>
  <c r="BI361" i="27" s="1"/>
  <c r="V359" i="27"/>
  <c r="X359" i="27" s="1"/>
  <c r="Y359" i="27" s="1"/>
  <c r="U360" i="27" s="1"/>
  <c r="W360" i="27" s="1"/>
  <c r="AM363" i="27"/>
  <c r="AE379" i="27"/>
  <c r="AF379" i="27" s="1"/>
  <c r="AG379" i="27" s="1"/>
  <c r="AC380" i="27" s="1"/>
  <c r="AN363" i="27"/>
  <c r="AO363" i="27" s="1"/>
  <c r="AK364" i="27" s="1"/>
  <c r="AL364" i="27" s="1"/>
  <c r="G357" i="27"/>
  <c r="H357" i="27" s="1"/>
  <c r="D358" i="27" s="1"/>
  <c r="I358" i="27" s="1"/>
  <c r="AV378" i="27"/>
  <c r="AW378" i="27" s="1"/>
  <c r="AS379" i="27" s="1"/>
  <c r="AU379" i="27" s="1"/>
  <c r="BC375" i="27"/>
  <c r="BB375" i="27"/>
  <c r="N371" i="27"/>
  <c r="O371" i="27"/>
  <c r="BJ361" i="27" l="1"/>
  <c r="BK361" i="27"/>
  <c r="AM364" i="27"/>
  <c r="AN364" i="27" s="1"/>
  <c r="AO364" i="27" s="1"/>
  <c r="AK365" i="27" s="1"/>
  <c r="AT379" i="27"/>
  <c r="AV379" i="27" s="1"/>
  <c r="AW379" i="27" s="1"/>
  <c r="AS380" i="27" s="1"/>
  <c r="E358" i="27"/>
  <c r="F358" i="27"/>
  <c r="V360" i="27"/>
  <c r="X360" i="27" s="1"/>
  <c r="Y360" i="27" s="1"/>
  <c r="U361" i="27" s="1"/>
  <c r="AE380" i="27"/>
  <c r="AD380" i="27"/>
  <c r="BD375" i="27"/>
  <c r="BE375" i="27" s="1"/>
  <c r="BA376" i="27" s="1"/>
  <c r="P371" i="27"/>
  <c r="Q371" i="27" s="1"/>
  <c r="M372" i="27" s="1"/>
  <c r="BL361" i="27" l="1"/>
  <c r="BM361" i="27" s="1"/>
  <c r="BI362" i="27" s="1"/>
  <c r="AF380" i="27"/>
  <c r="AG380" i="27" s="1"/>
  <c r="AC381" i="27" s="1"/>
  <c r="AE381" i="27" s="1"/>
  <c r="G358" i="27"/>
  <c r="H358" i="27" s="1"/>
  <c r="D359" i="27" s="1"/>
  <c r="E359" i="27" s="1"/>
  <c r="AM365" i="27"/>
  <c r="AL365" i="27"/>
  <c r="W361" i="27"/>
  <c r="V361" i="27"/>
  <c r="X361" i="27" s="1"/>
  <c r="Y361" i="27" s="1"/>
  <c r="U362" i="27" s="1"/>
  <c r="W362" i="27" s="1"/>
  <c r="AD381" i="27"/>
  <c r="AT380" i="27"/>
  <c r="AU380" i="27"/>
  <c r="O372" i="27"/>
  <c r="N372" i="27"/>
  <c r="BC376" i="27"/>
  <c r="BB376" i="27"/>
  <c r="BJ362" i="27" l="1"/>
  <c r="BK362" i="27"/>
  <c r="P372" i="27"/>
  <c r="Q372" i="27" s="1"/>
  <c r="M373" i="27" s="1"/>
  <c r="O373" i="27" s="1"/>
  <c r="AN365" i="27"/>
  <c r="AO365" i="27" s="1"/>
  <c r="AK366" i="27" s="1"/>
  <c r="AL366" i="27" s="1"/>
  <c r="F359" i="27"/>
  <c r="G359" i="27" s="1"/>
  <c r="H359" i="27" s="1"/>
  <c r="D360" i="27" s="1"/>
  <c r="E360" i="27" s="1"/>
  <c r="I359" i="27"/>
  <c r="V362" i="27"/>
  <c r="X362" i="27" s="1"/>
  <c r="Y362" i="27" s="1"/>
  <c r="U363" i="27" s="1"/>
  <c r="BD376" i="27"/>
  <c r="BE376" i="27" s="1"/>
  <c r="BA377" i="27" s="1"/>
  <c r="BC377" i="27" s="1"/>
  <c r="AF381" i="27"/>
  <c r="AG381" i="27" s="1"/>
  <c r="AC382" i="27" s="1"/>
  <c r="AE382" i="27" s="1"/>
  <c r="AV380" i="27"/>
  <c r="AW380" i="27" s="1"/>
  <c r="AS381" i="27" s="1"/>
  <c r="N373" i="27" l="1"/>
  <c r="BL362" i="27"/>
  <c r="BM362" i="27" s="1"/>
  <c r="BI363" i="27" s="1"/>
  <c r="AM366" i="27"/>
  <c r="AN366" i="27" s="1"/>
  <c r="AO366" i="27" s="1"/>
  <c r="AK367" i="27" s="1"/>
  <c r="BB377" i="27"/>
  <c r="BD377" i="27" s="1"/>
  <c r="BE377" i="27" s="1"/>
  <c r="BA378" i="27" s="1"/>
  <c r="BB378" i="27" s="1"/>
  <c r="AD382" i="27"/>
  <c r="AF382" i="27" s="1"/>
  <c r="AG382" i="27" s="1"/>
  <c r="AC383" i="27" s="1"/>
  <c r="AE383" i="27" s="1"/>
  <c r="I360" i="27"/>
  <c r="F360" i="27"/>
  <c r="G360" i="27" s="1"/>
  <c r="H360" i="27" s="1"/>
  <c r="D361" i="27" s="1"/>
  <c r="P373" i="27"/>
  <c r="Q373" i="27" s="1"/>
  <c r="M374" i="27" s="1"/>
  <c r="W363" i="27"/>
  <c r="V363" i="27"/>
  <c r="AT381" i="27"/>
  <c r="AU381" i="27"/>
  <c r="BJ363" i="27" l="1"/>
  <c r="BK363" i="27"/>
  <c r="BC378" i="27"/>
  <c r="BD378" i="27" s="1"/>
  <c r="BE378" i="27" s="1"/>
  <c r="BA379" i="27" s="1"/>
  <c r="AM367" i="27"/>
  <c r="AL367" i="27"/>
  <c r="I361" i="27"/>
  <c r="F361" i="27"/>
  <c r="E361" i="27"/>
  <c r="AD383" i="27"/>
  <c r="AF383" i="27" s="1"/>
  <c r="AG383" i="27" s="1"/>
  <c r="AC384" i="27" s="1"/>
  <c r="N374" i="27"/>
  <c r="O374" i="27"/>
  <c r="AV381" i="27"/>
  <c r="AW381" i="27" s="1"/>
  <c r="AS382" i="27" s="1"/>
  <c r="X363" i="27"/>
  <c r="Y363" i="27" s="1"/>
  <c r="U364" i="27" s="1"/>
  <c r="BL363" i="27" l="1"/>
  <c r="BM363" i="27" s="1"/>
  <c r="BI364" i="27" s="1"/>
  <c r="BJ364" i="27"/>
  <c r="BK364" i="27"/>
  <c r="BL364" i="27" s="1"/>
  <c r="BM364" i="27" s="1"/>
  <c r="BI365" i="27" s="1"/>
  <c r="AN367" i="27"/>
  <c r="AO367" i="27" s="1"/>
  <c r="AK368" i="27" s="1"/>
  <c r="AM368" i="27" s="1"/>
  <c r="G361" i="27"/>
  <c r="H361" i="27" s="1"/>
  <c r="D362" i="27" s="1"/>
  <c r="E362" i="27" s="1"/>
  <c r="AL368" i="27"/>
  <c r="AD384" i="27"/>
  <c r="AE384" i="27"/>
  <c r="V364" i="27"/>
  <c r="W364" i="27"/>
  <c r="P374" i="27"/>
  <c r="Q374" i="27" s="1"/>
  <c r="M375" i="27" s="1"/>
  <c r="BB379" i="27"/>
  <c r="BC379" i="27"/>
  <c r="AT382" i="27"/>
  <c r="AU382" i="27"/>
  <c r="BJ365" i="27" l="1"/>
  <c r="BK365" i="27"/>
  <c r="BL365" i="27" s="1"/>
  <c r="BM365" i="27" s="1"/>
  <c r="BI366" i="27" s="1"/>
  <c r="AN368" i="27"/>
  <c r="AO368" i="27" s="1"/>
  <c r="AK369" i="27" s="1"/>
  <c r="AL369" i="27" s="1"/>
  <c r="I362" i="27"/>
  <c r="F362" i="27"/>
  <c r="G362" i="27" s="1"/>
  <c r="H362" i="27" s="1"/>
  <c r="D363" i="27" s="1"/>
  <c r="AF384" i="27"/>
  <c r="AG384" i="27" s="1"/>
  <c r="AC385" i="27" s="1"/>
  <c r="AV382" i="27"/>
  <c r="AW382" i="27" s="1"/>
  <c r="AS383" i="27" s="1"/>
  <c r="AT383" i="27" s="1"/>
  <c r="X364" i="27"/>
  <c r="Y364" i="27" s="1"/>
  <c r="U365" i="27" s="1"/>
  <c r="W365" i="27" s="1"/>
  <c r="O375" i="27"/>
  <c r="N375" i="27"/>
  <c r="BD379" i="27"/>
  <c r="BE379" i="27" s="1"/>
  <c r="BA380" i="27" s="1"/>
  <c r="BK366" i="27" l="1"/>
  <c r="BJ366" i="27"/>
  <c r="BL366" i="27" s="1"/>
  <c r="BM366" i="27" s="1"/>
  <c r="BI367" i="27" s="1"/>
  <c r="AM369" i="27"/>
  <c r="AN369" i="27" s="1"/>
  <c r="AO369" i="27" s="1"/>
  <c r="AK370" i="27" s="1"/>
  <c r="AU383" i="27"/>
  <c r="AV383" i="27" s="1"/>
  <c r="AW383" i="27" s="1"/>
  <c r="AS384" i="27" s="1"/>
  <c r="V365" i="27"/>
  <c r="X365" i="27" s="1"/>
  <c r="Y365" i="27" s="1"/>
  <c r="U366" i="27" s="1"/>
  <c r="W366" i="27" s="1"/>
  <c r="AD385" i="27"/>
  <c r="AE385" i="27"/>
  <c r="P375" i="27"/>
  <c r="Q375" i="27" s="1"/>
  <c r="M376" i="27" s="1"/>
  <c r="I363" i="27"/>
  <c r="F363" i="27"/>
  <c r="E363" i="27"/>
  <c r="BB380" i="27"/>
  <c r="BC380" i="27"/>
  <c r="BJ367" i="27" l="1"/>
  <c r="BK367" i="27"/>
  <c r="V366" i="27"/>
  <c r="X366" i="27" s="1"/>
  <c r="Y366" i="27" s="1"/>
  <c r="U367" i="27" s="1"/>
  <c r="V367" i="27" s="1"/>
  <c r="AM370" i="27"/>
  <c r="AL370" i="27"/>
  <c r="AF385" i="27"/>
  <c r="AG385" i="27" s="1"/>
  <c r="AC386" i="27" s="1"/>
  <c r="BD380" i="27"/>
  <c r="BE380" i="27" s="1"/>
  <c r="BA381" i="27" s="1"/>
  <c r="BC381" i="27" s="1"/>
  <c r="N376" i="27"/>
  <c r="O376" i="27"/>
  <c r="AT384" i="27"/>
  <c r="AU384" i="27"/>
  <c r="G363" i="27"/>
  <c r="H363" i="27" s="1"/>
  <c r="D364" i="27" s="1"/>
  <c r="BL367" i="27" l="1"/>
  <c r="BM367" i="27" s="1"/>
  <c r="BI368" i="27" s="1"/>
  <c r="BJ368" i="27" s="1"/>
  <c r="BK368" i="27"/>
  <c r="AN370" i="27"/>
  <c r="AO370" i="27" s="1"/>
  <c r="AK371" i="27" s="1"/>
  <c r="AM371" i="27" s="1"/>
  <c r="BB381" i="27"/>
  <c r="BD381" i="27" s="1"/>
  <c r="BE381" i="27" s="1"/>
  <c r="BA382" i="27" s="1"/>
  <c r="W367" i="27"/>
  <c r="X367" i="27" s="1"/>
  <c r="Y367" i="27" s="1"/>
  <c r="U368" i="27" s="1"/>
  <c r="AD386" i="27"/>
  <c r="AE386" i="27"/>
  <c r="AV384" i="27"/>
  <c r="AW384" i="27" s="1"/>
  <c r="AS385" i="27" s="1"/>
  <c r="P376" i="27"/>
  <c r="Q376" i="27" s="1"/>
  <c r="M377" i="27" s="1"/>
  <c r="E364" i="27"/>
  <c r="F364" i="27"/>
  <c r="I364" i="27"/>
  <c r="BL368" i="27" l="1"/>
  <c r="BM368" i="27" s="1"/>
  <c r="BI369" i="27" s="1"/>
  <c r="AL371" i="27"/>
  <c r="AN371" i="27" s="1"/>
  <c r="AO371" i="27" s="1"/>
  <c r="AK372" i="27" s="1"/>
  <c r="AL372" i="27" s="1"/>
  <c r="BB382" i="27"/>
  <c r="BC382" i="27"/>
  <c r="AF386" i="27"/>
  <c r="AG386" i="27" s="1"/>
  <c r="AC387" i="27" s="1"/>
  <c r="G364" i="27"/>
  <c r="H364" i="27" s="1"/>
  <c r="D365" i="27" s="1"/>
  <c r="W368" i="27"/>
  <c r="V368" i="27"/>
  <c r="N377" i="27"/>
  <c r="O377" i="27"/>
  <c r="AU385" i="27"/>
  <c r="AT385" i="27"/>
  <c r="BJ369" i="27" l="1"/>
  <c r="BK369" i="27"/>
  <c r="AM372" i="27"/>
  <c r="AN372" i="27" s="1"/>
  <c r="AO372" i="27" s="1"/>
  <c r="AK373" i="27" s="1"/>
  <c r="BD382" i="27"/>
  <c r="BE382" i="27" s="1"/>
  <c r="BA383" i="27" s="1"/>
  <c r="BC383" i="27" s="1"/>
  <c r="AD387" i="27"/>
  <c r="AE387" i="27"/>
  <c r="X368" i="27"/>
  <c r="Y368" i="27" s="1"/>
  <c r="U369" i="27" s="1"/>
  <c r="W369" i="27" s="1"/>
  <c r="P377" i="27"/>
  <c r="Q377" i="27" s="1"/>
  <c r="M378" i="27" s="1"/>
  <c r="I365" i="27"/>
  <c r="E365" i="27"/>
  <c r="F365" i="27"/>
  <c r="AV385" i="27"/>
  <c r="AW385" i="27" s="1"/>
  <c r="AS386" i="27" s="1"/>
  <c r="BB383" i="27" l="1"/>
  <c r="BL369" i="27"/>
  <c r="BM369" i="27" s="1"/>
  <c r="BI370" i="27" s="1"/>
  <c r="V369" i="27"/>
  <c r="X369" i="27" s="1"/>
  <c r="Y369" i="27" s="1"/>
  <c r="U370" i="27" s="1"/>
  <c r="AL373" i="27"/>
  <c r="AM373" i="27"/>
  <c r="AF387" i="27"/>
  <c r="AG387" i="27" s="1"/>
  <c r="AC388" i="27" s="1"/>
  <c r="BD383" i="27"/>
  <c r="BE383" i="27" s="1"/>
  <c r="BA384" i="27" s="1"/>
  <c r="BB384" i="27" s="1"/>
  <c r="N378" i="27"/>
  <c r="O378" i="27"/>
  <c r="G365" i="27"/>
  <c r="H365" i="27" s="1"/>
  <c r="D366" i="27" s="1"/>
  <c r="AU386" i="27"/>
  <c r="AT386" i="27"/>
  <c r="BK370" i="27" l="1"/>
  <c r="BJ370" i="27"/>
  <c r="BL370" i="27" s="1"/>
  <c r="BM370" i="27" s="1"/>
  <c r="BI371" i="27" s="1"/>
  <c r="AV386" i="27"/>
  <c r="AW386" i="27" s="1"/>
  <c r="AS387" i="27" s="1"/>
  <c r="AT387" i="27" s="1"/>
  <c r="BC384" i="27"/>
  <c r="BD384" i="27" s="1"/>
  <c r="BE384" i="27" s="1"/>
  <c r="BA385" i="27" s="1"/>
  <c r="V370" i="27"/>
  <c r="W370" i="27"/>
  <c r="AN373" i="27"/>
  <c r="AO373" i="27" s="1"/>
  <c r="AK374" i="27" s="1"/>
  <c r="AD388" i="27"/>
  <c r="AE388" i="27"/>
  <c r="P378" i="27"/>
  <c r="Q378" i="27" s="1"/>
  <c r="M379" i="27" s="1"/>
  <c r="E366" i="27"/>
  <c r="F366" i="27"/>
  <c r="I366" i="27"/>
  <c r="BJ371" i="27" l="1"/>
  <c r="BK371" i="27"/>
  <c r="BL371" i="27" s="1"/>
  <c r="BM371" i="27" s="1"/>
  <c r="BI372" i="27" s="1"/>
  <c r="AU387" i="27"/>
  <c r="AV387" i="27" s="1"/>
  <c r="AW387" i="27" s="1"/>
  <c r="AS388" i="27" s="1"/>
  <c r="X370" i="27"/>
  <c r="Y370" i="27" s="1"/>
  <c r="U371" i="27" s="1"/>
  <c r="W371" i="27" s="1"/>
  <c r="AM374" i="27"/>
  <c r="AL374" i="27"/>
  <c r="AF388" i="27"/>
  <c r="AG388" i="27" s="1"/>
  <c r="AC389" i="27" s="1"/>
  <c r="N379" i="27"/>
  <c r="O379" i="27"/>
  <c r="G366" i="27"/>
  <c r="H366" i="27" s="1"/>
  <c r="D367" i="27" s="1"/>
  <c r="BC385" i="27"/>
  <c r="BB385" i="27"/>
  <c r="BD385" i="27" l="1"/>
  <c r="BE385" i="27" s="1"/>
  <c r="BA386" i="27" s="1"/>
  <c r="BK372" i="27"/>
  <c r="BJ372" i="27"/>
  <c r="BL372" i="27" s="1"/>
  <c r="BM372" i="27" s="1"/>
  <c r="BI373" i="27" s="1"/>
  <c r="V371" i="27"/>
  <c r="X371" i="27" s="1"/>
  <c r="Y371" i="27" s="1"/>
  <c r="U372" i="27" s="1"/>
  <c r="W372" i="27" s="1"/>
  <c r="AN374" i="27"/>
  <c r="AO374" i="27" s="1"/>
  <c r="AK375" i="27" s="1"/>
  <c r="AM375" i="27" s="1"/>
  <c r="AE389" i="27"/>
  <c r="AD389" i="27"/>
  <c r="P379" i="27"/>
  <c r="Q379" i="27" s="1"/>
  <c r="M380" i="27" s="1"/>
  <c r="N380" i="27" s="1"/>
  <c r="F367" i="27"/>
  <c r="E367" i="27"/>
  <c r="I367" i="27"/>
  <c r="BB386" i="27"/>
  <c r="BC386" i="27"/>
  <c r="AT388" i="27"/>
  <c r="AU388" i="27"/>
  <c r="AL375" i="27" l="1"/>
  <c r="AN375" i="27"/>
  <c r="AO375" i="27" s="1"/>
  <c r="AK376" i="27" s="1"/>
  <c r="BJ373" i="27"/>
  <c r="BK373" i="27"/>
  <c r="V372" i="27"/>
  <c r="X372" i="27" s="1"/>
  <c r="Y372" i="27" s="1"/>
  <c r="U373" i="27" s="1"/>
  <c r="W373" i="27" s="1"/>
  <c r="AF389" i="27"/>
  <c r="AG389" i="27" s="1"/>
  <c r="AC390" i="27" s="1"/>
  <c r="AD390" i="27" s="1"/>
  <c r="G367" i="27"/>
  <c r="H367" i="27" s="1"/>
  <c r="D368" i="27" s="1"/>
  <c r="E368" i="27" s="1"/>
  <c r="O380" i="27"/>
  <c r="P380" i="27" s="1"/>
  <c r="Q380" i="27" s="1"/>
  <c r="M381" i="27" s="1"/>
  <c r="N381" i="27" s="1"/>
  <c r="AM376" i="27"/>
  <c r="AL376" i="27"/>
  <c r="BD386" i="27"/>
  <c r="BE386" i="27" s="1"/>
  <c r="BA387" i="27" s="1"/>
  <c r="BB387" i="27" s="1"/>
  <c r="AV388" i="27"/>
  <c r="AW388" i="27" s="1"/>
  <c r="AS389" i="27" s="1"/>
  <c r="AT389" i="27" s="1"/>
  <c r="BL373" i="27" l="1"/>
  <c r="BM373" i="27" s="1"/>
  <c r="BI374" i="27" s="1"/>
  <c r="I368" i="27"/>
  <c r="F368" i="27"/>
  <c r="G368" i="27" s="1"/>
  <c r="H368" i="27" s="1"/>
  <c r="D369" i="27" s="1"/>
  <c r="I369" i="27" s="1"/>
  <c r="BK374" i="27"/>
  <c r="BJ374" i="27"/>
  <c r="BL374" i="27" s="1"/>
  <c r="BM374" i="27" s="1"/>
  <c r="BI375" i="27" s="1"/>
  <c r="AE390" i="27"/>
  <c r="AF390" i="27" s="1"/>
  <c r="AG390" i="27" s="1"/>
  <c r="AC391" i="27" s="1"/>
  <c r="AD391" i="27" s="1"/>
  <c r="AN376" i="27"/>
  <c r="AO376" i="27" s="1"/>
  <c r="AK377" i="27" s="1"/>
  <c r="AM377" i="27" s="1"/>
  <c r="BC387" i="27"/>
  <c r="BD387" i="27" s="1"/>
  <c r="BE387" i="27" s="1"/>
  <c r="BA388" i="27" s="1"/>
  <c r="V373" i="27"/>
  <c r="X373" i="27" s="1"/>
  <c r="Y373" i="27" s="1"/>
  <c r="U374" i="27" s="1"/>
  <c r="W374" i="27" s="1"/>
  <c r="O381" i="27"/>
  <c r="P381" i="27" s="1"/>
  <c r="Q381" i="27" s="1"/>
  <c r="M382" i="27" s="1"/>
  <c r="AU389" i="27"/>
  <c r="AV389" i="27" s="1"/>
  <c r="AW389" i="27" s="1"/>
  <c r="AS390" i="27" s="1"/>
  <c r="AL377" i="27" l="1"/>
  <c r="AN377" i="27" s="1"/>
  <c r="AO377" i="27" s="1"/>
  <c r="AK378" i="27" s="1"/>
  <c r="AL378" i="27" s="1"/>
  <c r="BK375" i="27"/>
  <c r="BJ375" i="27"/>
  <c r="AE391" i="27"/>
  <c r="AF391" i="27" s="1"/>
  <c r="AG391" i="27" s="1"/>
  <c r="AC392" i="27" s="1"/>
  <c r="E369" i="27"/>
  <c r="V374" i="27"/>
  <c r="X374" i="27" s="1"/>
  <c r="Y374" i="27" s="1"/>
  <c r="U375" i="27" s="1"/>
  <c r="F369" i="27"/>
  <c r="AU390" i="27"/>
  <c r="AT390" i="27"/>
  <c r="BC388" i="27"/>
  <c r="BB388" i="27"/>
  <c r="O382" i="27"/>
  <c r="N382" i="27"/>
  <c r="BL375" i="27" l="1"/>
  <c r="BM375" i="27" s="1"/>
  <c r="BI376" i="27" s="1"/>
  <c r="BJ376" i="27"/>
  <c r="BK376" i="27"/>
  <c r="AM378" i="27"/>
  <c r="AN378" i="27" s="1"/>
  <c r="AO378" i="27" s="1"/>
  <c r="AK379" i="27" s="1"/>
  <c r="AV390" i="27"/>
  <c r="AW390" i="27" s="1"/>
  <c r="AS391" i="27" s="1"/>
  <c r="AU391" i="27" s="1"/>
  <c r="G369" i="27"/>
  <c r="H369" i="27" s="1"/>
  <c r="D370" i="27" s="1"/>
  <c r="E370" i="27" s="1"/>
  <c r="AE392" i="27"/>
  <c r="AD392" i="27"/>
  <c r="P382" i="27"/>
  <c r="Q382" i="27" s="1"/>
  <c r="M383" i="27" s="1"/>
  <c r="N383" i="27" s="1"/>
  <c r="BD388" i="27"/>
  <c r="BE388" i="27" s="1"/>
  <c r="BA389" i="27" s="1"/>
  <c r="BB389" i="27" s="1"/>
  <c r="W375" i="27"/>
  <c r="V375" i="27"/>
  <c r="BL376" i="27" l="1"/>
  <c r="BM376" i="27" s="1"/>
  <c r="BI377" i="27" s="1"/>
  <c r="AT391" i="27"/>
  <c r="AV391" i="27" s="1"/>
  <c r="AW391" i="27" s="1"/>
  <c r="AS392" i="27" s="1"/>
  <c r="AT392" i="27" s="1"/>
  <c r="AF392" i="27"/>
  <c r="AG392" i="27" s="1"/>
  <c r="AC393" i="27" s="1"/>
  <c r="AD393" i="27" s="1"/>
  <c r="AM379" i="27"/>
  <c r="AL379" i="27"/>
  <c r="F370" i="27"/>
  <c r="G370" i="27" s="1"/>
  <c r="H370" i="27" s="1"/>
  <c r="D371" i="27" s="1"/>
  <c r="I371" i="27" s="1"/>
  <c r="I370" i="27"/>
  <c r="O383" i="27"/>
  <c r="P383" i="27" s="1"/>
  <c r="Q383" i="27" s="1"/>
  <c r="M384" i="27" s="1"/>
  <c r="BC389" i="27"/>
  <c r="BD389" i="27" s="1"/>
  <c r="BE389" i="27" s="1"/>
  <c r="BA390" i="27" s="1"/>
  <c r="X375" i="27"/>
  <c r="Y375" i="27" s="1"/>
  <c r="U376" i="27" s="1"/>
  <c r="W376" i="27" s="1"/>
  <c r="AU392" i="27" l="1"/>
  <c r="AE393" i="27"/>
  <c r="BK377" i="27"/>
  <c r="BJ377" i="27"/>
  <c r="AN379" i="27"/>
  <c r="AO379" i="27" s="1"/>
  <c r="AK380" i="27" s="1"/>
  <c r="N384" i="27"/>
  <c r="O384" i="27"/>
  <c r="E371" i="27"/>
  <c r="V376" i="27"/>
  <c r="X376" i="27" s="1"/>
  <c r="Y376" i="27" s="1"/>
  <c r="U377" i="27" s="1"/>
  <c r="W377" i="27" s="1"/>
  <c r="AF393" i="27"/>
  <c r="AG393" i="27" s="1"/>
  <c r="AC394" i="27" s="1"/>
  <c r="F371" i="27"/>
  <c r="AV392" i="27"/>
  <c r="AW392" i="27" s="1"/>
  <c r="AS393" i="27" s="1"/>
  <c r="AU393" i="27" s="1"/>
  <c r="BC390" i="27"/>
  <c r="BB390" i="27"/>
  <c r="BD390" i="27" s="1"/>
  <c r="BE390" i="27" s="1"/>
  <c r="BA391" i="27" s="1"/>
  <c r="BL377" i="27" l="1"/>
  <c r="BM377" i="27" s="1"/>
  <c r="BI378" i="27" s="1"/>
  <c r="BK378" i="27"/>
  <c r="BJ378" i="27"/>
  <c r="BL378" i="27" s="1"/>
  <c r="BM378" i="27" s="1"/>
  <c r="BI379" i="27" s="1"/>
  <c r="AM380" i="27"/>
  <c r="AL380" i="27"/>
  <c r="P384" i="27"/>
  <c r="Q384" i="27" s="1"/>
  <c r="M385" i="27" s="1"/>
  <c r="O385" i="27" s="1"/>
  <c r="G371" i="27"/>
  <c r="H371" i="27" s="1"/>
  <c r="D372" i="27" s="1"/>
  <c r="F372" i="27" s="1"/>
  <c r="AT393" i="27"/>
  <c r="AV393" i="27" s="1"/>
  <c r="AW393" i="27" s="1"/>
  <c r="AS394" i="27" s="1"/>
  <c r="AU394" i="27" s="1"/>
  <c r="AE394" i="27"/>
  <c r="AD394" i="27"/>
  <c r="V377" i="27"/>
  <c r="X377" i="27" s="1"/>
  <c r="Y377" i="27" s="1"/>
  <c r="U378" i="27" s="1"/>
  <c r="W378" i="27" s="1"/>
  <c r="BB391" i="27"/>
  <c r="BC391" i="27"/>
  <c r="BK379" i="27" l="1"/>
  <c r="BJ379" i="27"/>
  <c r="BL379" i="27" s="1"/>
  <c r="BM379" i="27" s="1"/>
  <c r="BI380" i="27" s="1"/>
  <c r="N385" i="27"/>
  <c r="P385" i="27" s="1"/>
  <c r="Q385" i="27" s="1"/>
  <c r="M386" i="27" s="1"/>
  <c r="AN380" i="27"/>
  <c r="AO380" i="27" s="1"/>
  <c r="AK381" i="27" s="1"/>
  <c r="AF394" i="27"/>
  <c r="AG394" i="27" s="1"/>
  <c r="AC395" i="27" s="1"/>
  <c r="AD395" i="27" s="1"/>
  <c r="I372" i="27"/>
  <c r="E372" i="27"/>
  <c r="G372" i="27" s="1"/>
  <c r="H372" i="27" s="1"/>
  <c r="D373" i="27" s="1"/>
  <c r="F373" i="27" s="1"/>
  <c r="AT394" i="27"/>
  <c r="AV394" i="27" s="1"/>
  <c r="AW394" i="27" s="1"/>
  <c r="AS395" i="27" s="1"/>
  <c r="AT395" i="27" s="1"/>
  <c r="V378" i="27"/>
  <c r="X378" i="27" s="1"/>
  <c r="Y378" i="27" s="1"/>
  <c r="U379" i="27" s="1"/>
  <c r="W379" i="27" s="1"/>
  <c r="BD391" i="27"/>
  <c r="BE391" i="27" s="1"/>
  <c r="BA392" i="27" s="1"/>
  <c r="BC392" i="27" s="1"/>
  <c r="BK380" i="27" l="1"/>
  <c r="BJ380" i="27"/>
  <c r="BL380" i="27" s="1"/>
  <c r="BM380" i="27" s="1"/>
  <c r="BI381" i="27" s="1"/>
  <c r="AE395" i="27"/>
  <c r="AF395" i="27" s="1"/>
  <c r="AG395" i="27" s="1"/>
  <c r="AC396" i="27" s="1"/>
  <c r="AM381" i="27"/>
  <c r="AL381" i="27"/>
  <c r="E373" i="27"/>
  <c r="G373" i="27" s="1"/>
  <c r="H373" i="27" s="1"/>
  <c r="D374" i="27" s="1"/>
  <c r="I373" i="27"/>
  <c r="V379" i="27"/>
  <c r="X379" i="27" s="1"/>
  <c r="Y379" i="27" s="1"/>
  <c r="U380" i="27" s="1"/>
  <c r="BB392" i="27"/>
  <c r="BD392" i="27" s="1"/>
  <c r="BE392" i="27" s="1"/>
  <c r="BA393" i="27" s="1"/>
  <c r="AU395" i="27"/>
  <c r="AV395" i="27" s="1"/>
  <c r="AW395" i="27" s="1"/>
  <c r="AS396" i="27" s="1"/>
  <c r="O386" i="27"/>
  <c r="N386" i="27"/>
  <c r="BK381" i="27" l="1"/>
  <c r="BJ381" i="27"/>
  <c r="BL381" i="27" s="1"/>
  <c r="BM381" i="27" s="1"/>
  <c r="BI382" i="27" s="1"/>
  <c r="AN381" i="27"/>
  <c r="AO381" i="27" s="1"/>
  <c r="AK382" i="27" s="1"/>
  <c r="BC393" i="27"/>
  <c r="BB393" i="27"/>
  <c r="AD396" i="27"/>
  <c r="AE396" i="27"/>
  <c r="P386" i="27"/>
  <c r="Q386" i="27" s="1"/>
  <c r="M387" i="27" s="1"/>
  <c r="AT396" i="27"/>
  <c r="AU396" i="27"/>
  <c r="E374" i="27"/>
  <c r="F374" i="27"/>
  <c r="I374" i="27"/>
  <c r="V380" i="27"/>
  <c r="W380" i="27"/>
  <c r="BK382" i="27" l="1"/>
  <c r="BJ382" i="27"/>
  <c r="BL382" i="27" s="1"/>
  <c r="BM382" i="27" s="1"/>
  <c r="BI383" i="27" s="1"/>
  <c r="AL382" i="27"/>
  <c r="AM382" i="27"/>
  <c r="BD393" i="27"/>
  <c r="BE393" i="27" s="1"/>
  <c r="BA394" i="27" s="1"/>
  <c r="BC394" i="27" s="1"/>
  <c r="AF396" i="27"/>
  <c r="AG396" i="27" s="1"/>
  <c r="AC397" i="27" s="1"/>
  <c r="X380" i="27"/>
  <c r="Y380" i="27" s="1"/>
  <c r="U381" i="27" s="1"/>
  <c r="V381" i="27" s="1"/>
  <c r="G374" i="27"/>
  <c r="H374" i="27" s="1"/>
  <c r="D375" i="27" s="1"/>
  <c r="N387" i="27"/>
  <c r="O387" i="27"/>
  <c r="AV396" i="27"/>
  <c r="AW396" i="27" s="1"/>
  <c r="AS397" i="27" s="1"/>
  <c r="BB394" i="27" l="1"/>
  <c r="BD394" i="27" s="1"/>
  <c r="BE394" i="27" s="1"/>
  <c r="BA395" i="27" s="1"/>
  <c r="BC395" i="27" s="1"/>
  <c r="BJ383" i="27"/>
  <c r="BK383" i="27"/>
  <c r="AN382" i="27"/>
  <c r="AO382" i="27" s="1"/>
  <c r="AK383" i="27" s="1"/>
  <c r="AL383" i="27" s="1"/>
  <c r="BB395" i="27"/>
  <c r="BD395" i="27" s="1"/>
  <c r="BE395" i="27" s="1"/>
  <c r="BA396" i="27" s="1"/>
  <c r="BC396" i="27" s="1"/>
  <c r="W381" i="27"/>
  <c r="X381" i="27" s="1"/>
  <c r="Y381" i="27" s="1"/>
  <c r="U382" i="27" s="1"/>
  <c r="AD397" i="27"/>
  <c r="AE397" i="27"/>
  <c r="AT397" i="27"/>
  <c r="AU397" i="27"/>
  <c r="F375" i="27"/>
  <c r="E375" i="27"/>
  <c r="I375" i="27"/>
  <c r="P387" i="27"/>
  <c r="Q387" i="27" s="1"/>
  <c r="M388" i="27" s="1"/>
  <c r="AM383" i="27" l="1"/>
  <c r="BL383" i="27"/>
  <c r="BM383" i="27" s="1"/>
  <c r="BI384" i="27" s="1"/>
  <c r="BJ384" i="27" s="1"/>
  <c r="AN383" i="27"/>
  <c r="AO383" i="27" s="1"/>
  <c r="AK384" i="27" s="1"/>
  <c r="AM384" i="27" s="1"/>
  <c r="BB396" i="27"/>
  <c r="BD396" i="27" s="1"/>
  <c r="BE396" i="27" s="1"/>
  <c r="BA397" i="27" s="1"/>
  <c r="BC397" i="27" s="1"/>
  <c r="AF397" i="27"/>
  <c r="AG397" i="27" s="1"/>
  <c r="AC398" i="27" s="1"/>
  <c r="AD398" i="27" s="1"/>
  <c r="AV397" i="27"/>
  <c r="AW397" i="27" s="1"/>
  <c r="AS398" i="27" s="1"/>
  <c r="AT398" i="27" s="1"/>
  <c r="G375" i="27"/>
  <c r="H375" i="27" s="1"/>
  <c r="D376" i="27" s="1"/>
  <c r="W382" i="27"/>
  <c r="V382" i="27"/>
  <c r="N388" i="27"/>
  <c r="O388" i="27"/>
  <c r="BK384" i="27" l="1"/>
  <c r="AL384" i="27"/>
  <c r="AN384" i="27" s="1"/>
  <c r="AO384" i="27" s="1"/>
  <c r="AK385" i="27" s="1"/>
  <c r="BL384" i="27"/>
  <c r="BM384" i="27" s="1"/>
  <c r="BI385" i="27" s="1"/>
  <c r="BB397" i="27"/>
  <c r="BD397" i="27" s="1"/>
  <c r="BE397" i="27" s="1"/>
  <c r="BA398" i="27" s="1"/>
  <c r="AE398" i="27"/>
  <c r="AF398" i="27" s="1"/>
  <c r="AG398" i="27" s="1"/>
  <c r="AC399" i="27" s="1"/>
  <c r="AU398" i="27"/>
  <c r="AV398" i="27" s="1"/>
  <c r="AW398" i="27" s="1"/>
  <c r="AS399" i="27" s="1"/>
  <c r="E376" i="27"/>
  <c r="F376" i="27"/>
  <c r="I376" i="27"/>
  <c r="P388" i="27"/>
  <c r="Q388" i="27" s="1"/>
  <c r="M389" i="27" s="1"/>
  <c r="X382" i="27"/>
  <c r="Y382" i="27" s="1"/>
  <c r="U383" i="27" s="1"/>
  <c r="BJ385" i="27" l="1"/>
  <c r="BK385" i="27"/>
  <c r="AL385" i="27"/>
  <c r="AM385" i="27"/>
  <c r="AD399" i="27"/>
  <c r="AE399" i="27"/>
  <c r="BC398" i="27"/>
  <c r="BB398" i="27"/>
  <c r="N389" i="27"/>
  <c r="O389" i="27"/>
  <c r="W383" i="27"/>
  <c r="V383" i="27"/>
  <c r="AT399" i="27"/>
  <c r="AU399" i="27"/>
  <c r="G376" i="27"/>
  <c r="H376" i="27" s="1"/>
  <c r="D377" i="27" s="1"/>
  <c r="BL385" i="27" l="1"/>
  <c r="BM385" i="27" s="1"/>
  <c r="BI386" i="27" s="1"/>
  <c r="X383" i="27"/>
  <c r="Y383" i="27" s="1"/>
  <c r="U384" i="27" s="1"/>
  <c r="W384" i="27" s="1"/>
  <c r="AN385" i="27"/>
  <c r="AO385" i="27" s="1"/>
  <c r="AK386" i="27" s="1"/>
  <c r="AM386" i="27" s="1"/>
  <c r="AF399" i="27"/>
  <c r="AG399" i="27" s="1"/>
  <c r="AC400" i="27" s="1"/>
  <c r="BD398" i="27"/>
  <c r="BE398" i="27" s="1"/>
  <c r="BA399" i="27" s="1"/>
  <c r="BC399" i="27" s="1"/>
  <c r="AV399" i="27"/>
  <c r="AW399" i="27" s="1"/>
  <c r="AS400" i="27" s="1"/>
  <c r="AU400" i="27" s="1"/>
  <c r="I377" i="27"/>
  <c r="F377" i="27"/>
  <c r="E377" i="27"/>
  <c r="P389" i="27"/>
  <c r="Q389" i="27" s="1"/>
  <c r="M390" i="27" s="1"/>
  <c r="BK386" i="27" l="1"/>
  <c r="BJ386" i="27"/>
  <c r="BL386" i="27" s="1"/>
  <c r="BM386" i="27" s="1"/>
  <c r="BI387" i="27" s="1"/>
  <c r="V384" i="27"/>
  <c r="X384" i="27" s="1"/>
  <c r="Y384" i="27" s="1"/>
  <c r="U385" i="27" s="1"/>
  <c r="V385" i="27" s="1"/>
  <c r="AL386" i="27"/>
  <c r="AN386" i="27" s="1"/>
  <c r="AO386" i="27" s="1"/>
  <c r="AK387" i="27" s="1"/>
  <c r="AL387" i="27" s="1"/>
  <c r="BB399" i="27"/>
  <c r="BD399" i="27" s="1"/>
  <c r="BE399" i="27" s="1"/>
  <c r="BA400" i="27" s="1"/>
  <c r="AT400" i="27"/>
  <c r="AV400" i="27" s="1"/>
  <c r="AW400" i="27" s="1"/>
  <c r="AS401" i="27" s="1"/>
  <c r="AT401" i="27" s="1"/>
  <c r="AD400" i="27"/>
  <c r="AE400" i="27"/>
  <c r="G377" i="27"/>
  <c r="H377" i="27" s="1"/>
  <c r="D378" i="27" s="1"/>
  <c r="F378" i="27" s="1"/>
  <c r="O390" i="27"/>
  <c r="N390" i="27"/>
  <c r="BJ387" i="27" l="1"/>
  <c r="BK387" i="27"/>
  <c r="AM387" i="27"/>
  <c r="AN387" i="27" s="1"/>
  <c r="AO387" i="27" s="1"/>
  <c r="AK388" i="27" s="1"/>
  <c r="BC400" i="27"/>
  <c r="BB400" i="27"/>
  <c r="AU401" i="27"/>
  <c r="AV401" i="27" s="1"/>
  <c r="AW401" i="27" s="1"/>
  <c r="AS402" i="27" s="1"/>
  <c r="AU402" i="27" s="1"/>
  <c r="E378" i="27"/>
  <c r="G378" i="27" s="1"/>
  <c r="H378" i="27" s="1"/>
  <c r="D379" i="27" s="1"/>
  <c r="I378" i="27"/>
  <c r="AF400" i="27"/>
  <c r="AG400" i="27" s="1"/>
  <c r="AC401" i="27" s="1"/>
  <c r="W385" i="27"/>
  <c r="X385" i="27" s="1"/>
  <c r="Y385" i="27" s="1"/>
  <c r="U386" i="27" s="1"/>
  <c r="V386" i="27" s="1"/>
  <c r="P390" i="27"/>
  <c r="Q390" i="27" s="1"/>
  <c r="M391" i="27" s="1"/>
  <c r="O391" i="27" s="1"/>
  <c r="BL387" i="27" l="1"/>
  <c r="BM387" i="27" s="1"/>
  <c r="BI388" i="27" s="1"/>
  <c r="AL388" i="27"/>
  <c r="AM388" i="27"/>
  <c r="BD400" i="27"/>
  <c r="BE400" i="27" s="1"/>
  <c r="BA401" i="27" s="1"/>
  <c r="BC401" i="27" s="1"/>
  <c r="N391" i="27"/>
  <c r="P391" i="27" s="1"/>
  <c r="Q391" i="27" s="1"/>
  <c r="M392" i="27" s="1"/>
  <c r="AD401" i="27"/>
  <c r="AE401" i="27"/>
  <c r="W386" i="27"/>
  <c r="X386" i="27" s="1"/>
  <c r="Y386" i="27" s="1"/>
  <c r="U387" i="27" s="1"/>
  <c r="AT402" i="27"/>
  <c r="AV402" i="27" s="1"/>
  <c r="AW402" i="27" s="1"/>
  <c r="AS403" i="27" s="1"/>
  <c r="I379" i="27"/>
  <c r="F379" i="27"/>
  <c r="E379" i="27"/>
  <c r="BK388" i="27" l="1"/>
  <c r="BJ388" i="27"/>
  <c r="AN388" i="27"/>
  <c r="AO388" i="27" s="1"/>
  <c r="AK389" i="27" s="1"/>
  <c r="BB401" i="27"/>
  <c r="BD401" i="27" s="1"/>
  <c r="BE401" i="27" s="1"/>
  <c r="BA402" i="27" s="1"/>
  <c r="BB402" i="27" s="1"/>
  <c r="G379" i="27"/>
  <c r="H379" i="27" s="1"/>
  <c r="D380" i="27" s="1"/>
  <c r="I380" i="27" s="1"/>
  <c r="AF401" i="27"/>
  <c r="AG401" i="27" s="1"/>
  <c r="AC402" i="27" s="1"/>
  <c r="W387" i="27"/>
  <c r="V387" i="27"/>
  <c r="AT403" i="27"/>
  <c r="AU403" i="27"/>
  <c r="O392" i="27"/>
  <c r="N392" i="27"/>
  <c r="BL388" i="27" l="1"/>
  <c r="BM388" i="27" s="1"/>
  <c r="BI389" i="27" s="1"/>
  <c r="BJ389" i="27"/>
  <c r="BK389" i="27"/>
  <c r="BC402" i="27"/>
  <c r="BD402" i="27" s="1"/>
  <c r="BE402" i="27" s="1"/>
  <c r="BA403" i="27" s="1"/>
  <c r="BC403" i="27" s="1"/>
  <c r="AM389" i="27"/>
  <c r="AL389" i="27"/>
  <c r="X387" i="27"/>
  <c r="Y387" i="27" s="1"/>
  <c r="U388" i="27" s="1"/>
  <c r="W388" i="27" s="1"/>
  <c r="E380" i="27"/>
  <c r="F380" i="27"/>
  <c r="AE402" i="27"/>
  <c r="AD402" i="27"/>
  <c r="AF402" i="27" s="1"/>
  <c r="AG402" i="27" s="1"/>
  <c r="AC403" i="27" s="1"/>
  <c r="P392" i="27"/>
  <c r="Q392" i="27" s="1"/>
  <c r="M393" i="27" s="1"/>
  <c r="O393" i="27" s="1"/>
  <c r="AV403" i="27"/>
  <c r="AW403" i="27" s="1"/>
  <c r="AS404" i="27" s="1"/>
  <c r="AU404" i="27" s="1"/>
  <c r="BB403" i="27"/>
  <c r="AN389" i="27" l="1"/>
  <c r="AO389" i="27" s="1"/>
  <c r="AK390" i="27" s="1"/>
  <c r="BL389" i="27"/>
  <c r="BM389" i="27" s="1"/>
  <c r="BI390" i="27" s="1"/>
  <c r="BJ390" i="27" s="1"/>
  <c r="BK390" i="27"/>
  <c r="V388" i="27"/>
  <c r="X388" i="27" s="1"/>
  <c r="Y388" i="27" s="1"/>
  <c r="U389" i="27" s="1"/>
  <c r="AM390" i="27"/>
  <c r="AL390" i="27"/>
  <c r="G380" i="27"/>
  <c r="H380" i="27" s="1"/>
  <c r="D381" i="27" s="1"/>
  <c r="F381" i="27" s="1"/>
  <c r="N393" i="27"/>
  <c r="P393" i="27" s="1"/>
  <c r="Q393" i="27" s="1"/>
  <c r="M394" i="27" s="1"/>
  <c r="O394" i="27" s="1"/>
  <c r="AE403" i="27"/>
  <c r="AD403" i="27"/>
  <c r="AT404" i="27"/>
  <c r="AV404" i="27" s="1"/>
  <c r="AW404" i="27" s="1"/>
  <c r="AS405" i="27" s="1"/>
  <c r="BD403" i="27"/>
  <c r="BE403" i="27" s="1"/>
  <c r="BA404" i="27" s="1"/>
  <c r="BC404" i="27" s="1"/>
  <c r="AN390" i="27" l="1"/>
  <c r="AO390" i="27" s="1"/>
  <c r="AK391" i="27" s="1"/>
  <c r="BL390" i="27"/>
  <c r="BM390" i="27" s="1"/>
  <c r="BI391" i="27" s="1"/>
  <c r="BJ391" i="27" s="1"/>
  <c r="AM391" i="27"/>
  <c r="AL391" i="27"/>
  <c r="AN391" i="27" s="1"/>
  <c r="AO391" i="27" s="1"/>
  <c r="AK392" i="27" s="1"/>
  <c r="AF403" i="27"/>
  <c r="AG403" i="27" s="1"/>
  <c r="AC404" i="27" s="1"/>
  <c r="AE404" i="27" s="1"/>
  <c r="BB404" i="27"/>
  <c r="BD404" i="27" s="1"/>
  <c r="BE404" i="27" s="1"/>
  <c r="BA405" i="27" s="1"/>
  <c r="BC405" i="27" s="1"/>
  <c r="E381" i="27"/>
  <c r="G381" i="27" s="1"/>
  <c r="H381" i="27" s="1"/>
  <c r="D382" i="27" s="1"/>
  <c r="I382" i="27" s="1"/>
  <c r="I381" i="27"/>
  <c r="N394" i="27"/>
  <c r="P394" i="27" s="1"/>
  <c r="Q394" i="27" s="1"/>
  <c r="M395" i="27" s="1"/>
  <c r="W389" i="27"/>
  <c r="V389" i="27"/>
  <c r="AT405" i="27"/>
  <c r="AU405" i="27"/>
  <c r="BK391" i="27" l="1"/>
  <c r="BL391" i="27" s="1"/>
  <c r="BM391" i="27" s="1"/>
  <c r="BI392" i="27" s="1"/>
  <c r="BK392" i="27" s="1"/>
  <c r="AL392" i="27"/>
  <c r="AM392" i="27"/>
  <c r="AD404" i="27"/>
  <c r="AF404" i="27" s="1"/>
  <c r="AG404" i="27" s="1"/>
  <c r="AC405" i="27" s="1"/>
  <c r="AE405" i="27" s="1"/>
  <c r="X389" i="27"/>
  <c r="Y389" i="27" s="1"/>
  <c r="U390" i="27" s="1"/>
  <c r="W390" i="27" s="1"/>
  <c r="BB405" i="27"/>
  <c r="BD405" i="27" s="1"/>
  <c r="BE405" i="27" s="1"/>
  <c r="BA406" i="27" s="1"/>
  <c r="F382" i="27"/>
  <c r="E382" i="27"/>
  <c r="O395" i="27"/>
  <c r="N395" i="27"/>
  <c r="AV405" i="27"/>
  <c r="AW405" i="27" s="1"/>
  <c r="AS406" i="27" s="1"/>
  <c r="BJ392" i="27" l="1"/>
  <c r="BL392" i="27" s="1"/>
  <c r="BM392" i="27" s="1"/>
  <c r="BI393" i="27" s="1"/>
  <c r="V390" i="27"/>
  <c r="AN392" i="27"/>
  <c r="AO392" i="27" s="1"/>
  <c r="AK393" i="27" s="1"/>
  <c r="P395" i="27"/>
  <c r="Q395" i="27" s="1"/>
  <c r="M396" i="27" s="1"/>
  <c r="N396" i="27" s="1"/>
  <c r="AD405" i="27"/>
  <c r="AF405" i="27" s="1"/>
  <c r="AG405" i="27" s="1"/>
  <c r="AC406" i="27" s="1"/>
  <c r="AD406" i="27" s="1"/>
  <c r="BC406" i="27"/>
  <c r="BB406" i="27"/>
  <c r="G382" i="27"/>
  <c r="H382" i="27" s="1"/>
  <c r="D383" i="27" s="1"/>
  <c r="E383" i="27" s="1"/>
  <c r="X390" i="27"/>
  <c r="Y390" i="27" s="1"/>
  <c r="U391" i="27" s="1"/>
  <c r="V391" i="27" s="1"/>
  <c r="AU406" i="27"/>
  <c r="AT406" i="27"/>
  <c r="BJ393" i="27" l="1"/>
  <c r="BK393" i="27"/>
  <c r="BL393" i="27" s="1"/>
  <c r="BM393" i="27" s="1"/>
  <c r="BI394" i="27" s="1"/>
  <c r="O396" i="27"/>
  <c r="P396" i="27" s="1"/>
  <c r="Q396" i="27" s="1"/>
  <c r="M397" i="27" s="1"/>
  <c r="O397" i="27" s="1"/>
  <c r="AM393" i="27"/>
  <c r="AL393" i="27"/>
  <c r="AN393" i="27" s="1"/>
  <c r="AO393" i="27" s="1"/>
  <c r="AK394" i="27" s="1"/>
  <c r="BD406" i="27"/>
  <c r="BE406" i="27" s="1"/>
  <c r="BA407" i="27" s="1"/>
  <c r="BB407" i="27" s="1"/>
  <c r="I383" i="27"/>
  <c r="F383" i="27"/>
  <c r="G383" i="27" s="1"/>
  <c r="H383" i="27" s="1"/>
  <c r="D384" i="27" s="1"/>
  <c r="E384" i="27" s="1"/>
  <c r="AE406" i="27"/>
  <c r="AF406" i="27" s="1"/>
  <c r="AG406" i="27" s="1"/>
  <c r="AC407" i="27" s="1"/>
  <c r="W391" i="27"/>
  <c r="X391" i="27" s="1"/>
  <c r="Y391" i="27" s="1"/>
  <c r="U392" i="27" s="1"/>
  <c r="V392" i="27" s="1"/>
  <c r="AV406" i="27"/>
  <c r="AW406" i="27" s="1"/>
  <c r="AS407" i="27" s="1"/>
  <c r="AT407" i="27" s="1"/>
  <c r="BJ394" i="27" l="1"/>
  <c r="BK394" i="27"/>
  <c r="N397" i="27"/>
  <c r="P397" i="27" s="1"/>
  <c r="Q397" i="27" s="1"/>
  <c r="M398" i="27" s="1"/>
  <c r="BL394" i="27"/>
  <c r="BM394" i="27" s="1"/>
  <c r="BI395" i="27" s="1"/>
  <c r="BJ395" i="27" s="1"/>
  <c r="BK395" i="27"/>
  <c r="BC407" i="27"/>
  <c r="BD407" i="27" s="1"/>
  <c r="BE407" i="27" s="1"/>
  <c r="BA408" i="27" s="1"/>
  <c r="BC408" i="27" s="1"/>
  <c r="AM394" i="27"/>
  <c r="AL394" i="27"/>
  <c r="AN394" i="27" s="1"/>
  <c r="AO394" i="27" s="1"/>
  <c r="AK395" i="27" s="1"/>
  <c r="I384" i="27"/>
  <c r="F384" i="27"/>
  <c r="G384" i="27" s="1"/>
  <c r="H384" i="27" s="1"/>
  <c r="D385" i="27" s="1"/>
  <c r="I385" i="27" s="1"/>
  <c r="W392" i="27"/>
  <c r="X392" i="27" s="1"/>
  <c r="Y392" i="27" s="1"/>
  <c r="U393" i="27" s="1"/>
  <c r="W393" i="27" s="1"/>
  <c r="AU407" i="27"/>
  <c r="AV407" i="27" s="1"/>
  <c r="AW407" i="27" s="1"/>
  <c r="AS408" i="27" s="1"/>
  <c r="AD407" i="27"/>
  <c r="AE407" i="27"/>
  <c r="N398" i="27" l="1"/>
  <c r="O398" i="27"/>
  <c r="P398" i="27" s="1"/>
  <c r="Q398" i="27" s="1"/>
  <c r="M399" i="27" s="1"/>
  <c r="BL395" i="27"/>
  <c r="BM395" i="27" s="1"/>
  <c r="BI396" i="27" s="1"/>
  <c r="BB408" i="27"/>
  <c r="BD408" i="27" s="1"/>
  <c r="BE408" i="27" s="1"/>
  <c r="BA409" i="27" s="1"/>
  <c r="BK396" i="27"/>
  <c r="BJ396" i="27"/>
  <c r="BL396" i="27" s="1"/>
  <c r="BM396" i="27" s="1"/>
  <c r="BI397" i="27" s="1"/>
  <c r="AM395" i="27"/>
  <c r="AL395" i="27"/>
  <c r="F385" i="27"/>
  <c r="E385" i="27"/>
  <c r="AF407" i="27"/>
  <c r="AG407" i="27" s="1"/>
  <c r="AC408" i="27" s="1"/>
  <c r="V393" i="27"/>
  <c r="X393" i="27" s="1"/>
  <c r="Y393" i="27" s="1"/>
  <c r="U394" i="27" s="1"/>
  <c r="V394" i="27" s="1"/>
  <c r="AU408" i="27"/>
  <c r="AT408" i="27"/>
  <c r="BJ397" i="27" l="1"/>
  <c r="BK397" i="27"/>
  <c r="AN395" i="27"/>
  <c r="AO395" i="27" s="1"/>
  <c r="AK396" i="27" s="1"/>
  <c r="AL396" i="27" s="1"/>
  <c r="G385" i="27"/>
  <c r="H385" i="27" s="1"/>
  <c r="D386" i="27" s="1"/>
  <c r="F386" i="27" s="1"/>
  <c r="AV408" i="27"/>
  <c r="AW408" i="27" s="1"/>
  <c r="AS409" i="27" s="1"/>
  <c r="AT409" i="27" s="1"/>
  <c r="AD408" i="27"/>
  <c r="AE408" i="27"/>
  <c r="W394" i="27"/>
  <c r="X394" i="27" s="1"/>
  <c r="Y394" i="27" s="1"/>
  <c r="U395" i="27" s="1"/>
  <c r="N399" i="27"/>
  <c r="O399" i="27"/>
  <c r="BB409" i="27"/>
  <c r="BC409" i="27"/>
  <c r="AM396" i="27" l="1"/>
  <c r="E386" i="27"/>
  <c r="G386" i="27" s="1"/>
  <c r="H386" i="27" s="1"/>
  <c r="D387" i="27" s="1"/>
  <c r="BL397" i="27"/>
  <c r="BM397" i="27" s="1"/>
  <c r="BI398" i="27" s="1"/>
  <c r="I386" i="27"/>
  <c r="AN396" i="27"/>
  <c r="AO396" i="27" s="1"/>
  <c r="AK397" i="27" s="1"/>
  <c r="AM397" i="27" s="1"/>
  <c r="AU409" i="27"/>
  <c r="AV409" i="27" s="1"/>
  <c r="AW409" i="27" s="1"/>
  <c r="AS410" i="27" s="1"/>
  <c r="AU410" i="27" s="1"/>
  <c r="AF408" i="27"/>
  <c r="AG408" i="27" s="1"/>
  <c r="AC409" i="27" s="1"/>
  <c r="BD409" i="27"/>
  <c r="BE409" i="27" s="1"/>
  <c r="BA410" i="27" s="1"/>
  <c r="BB410" i="27" s="1"/>
  <c r="P399" i="27"/>
  <c r="Q399" i="27" s="1"/>
  <c r="M400" i="27" s="1"/>
  <c r="W395" i="27"/>
  <c r="V395" i="27"/>
  <c r="BJ398" i="27" l="1"/>
  <c r="BK398" i="27"/>
  <c r="X395" i="27"/>
  <c r="Y395" i="27" s="1"/>
  <c r="U396" i="27" s="1"/>
  <c r="W396" i="27" s="1"/>
  <c r="AT410" i="27"/>
  <c r="AV410" i="27" s="1"/>
  <c r="AW410" i="27" s="1"/>
  <c r="AS411" i="27" s="1"/>
  <c r="AL397" i="27"/>
  <c r="AN397" i="27" s="1"/>
  <c r="AO397" i="27" s="1"/>
  <c r="AK398" i="27" s="1"/>
  <c r="AE409" i="27"/>
  <c r="AD409" i="27"/>
  <c r="BC410" i="27"/>
  <c r="BD410" i="27" s="1"/>
  <c r="BE410" i="27" s="1"/>
  <c r="BA411" i="27" s="1"/>
  <c r="F387" i="27"/>
  <c r="E387" i="27"/>
  <c r="I387" i="27"/>
  <c r="N400" i="27"/>
  <c r="O400" i="27"/>
  <c r="BL398" i="27" l="1"/>
  <c r="BM398" i="27" s="1"/>
  <c r="BI399" i="27" s="1"/>
  <c r="V396" i="27"/>
  <c r="X396" i="27" s="1"/>
  <c r="Y396" i="27" s="1"/>
  <c r="U397" i="27" s="1"/>
  <c r="V397" i="27" s="1"/>
  <c r="AM398" i="27"/>
  <c r="AL398" i="27"/>
  <c r="AF409" i="27"/>
  <c r="AG409" i="27" s="1"/>
  <c r="AC410" i="27" s="1"/>
  <c r="AE410" i="27" s="1"/>
  <c r="P400" i="27"/>
  <c r="Q400" i="27" s="1"/>
  <c r="M401" i="27" s="1"/>
  <c r="AT411" i="27"/>
  <c r="AU411" i="27"/>
  <c r="BB411" i="27"/>
  <c r="BC411" i="27"/>
  <c r="G387" i="27"/>
  <c r="H387" i="27" s="1"/>
  <c r="D388" i="27" s="1"/>
  <c r="BK399" i="27" l="1"/>
  <c r="BJ399" i="27"/>
  <c r="BL399" i="27" s="1"/>
  <c r="BM399" i="27" s="1"/>
  <c r="BI400" i="27" s="1"/>
  <c r="W397" i="27"/>
  <c r="X397" i="27" s="1"/>
  <c r="Y397" i="27" s="1"/>
  <c r="U398" i="27" s="1"/>
  <c r="AD410" i="27"/>
  <c r="AF410" i="27" s="1"/>
  <c r="AG410" i="27" s="1"/>
  <c r="AC411" i="27" s="1"/>
  <c r="AN398" i="27"/>
  <c r="AO398" i="27" s="1"/>
  <c r="AK399" i="27" s="1"/>
  <c r="E388" i="27"/>
  <c r="F388" i="27"/>
  <c r="I388" i="27"/>
  <c r="AV411" i="27"/>
  <c r="AW411" i="27" s="1"/>
  <c r="AS412" i="27" s="1"/>
  <c r="O401" i="27"/>
  <c r="N401" i="27"/>
  <c r="BD411" i="27"/>
  <c r="BE411" i="27" s="1"/>
  <c r="BA412" i="27" s="1"/>
  <c r="BJ400" i="27" l="1"/>
  <c r="BK400" i="27"/>
  <c r="BL400" i="27" s="1"/>
  <c r="BM400" i="27" s="1"/>
  <c r="BI401" i="27" s="1"/>
  <c r="W398" i="27"/>
  <c r="V398" i="27"/>
  <c r="X398" i="27" s="1"/>
  <c r="Y398" i="27" s="1"/>
  <c r="U399" i="27" s="1"/>
  <c r="W399" i="27" s="1"/>
  <c r="AL399" i="27"/>
  <c r="AM399" i="27"/>
  <c r="P401" i="27"/>
  <c r="Q401" i="27" s="1"/>
  <c r="M402" i="27" s="1"/>
  <c r="N402" i="27" s="1"/>
  <c r="AE411" i="27"/>
  <c r="AD411" i="27"/>
  <c r="G388" i="27"/>
  <c r="H388" i="27" s="1"/>
  <c r="D389" i="27" s="1"/>
  <c r="BC412" i="27"/>
  <c r="BB412" i="27"/>
  <c r="BD412" i="27" s="1"/>
  <c r="BE412" i="27" s="1"/>
  <c r="BA413" i="27" s="1"/>
  <c r="AT412" i="27"/>
  <c r="AU412" i="27"/>
  <c r="BK401" i="27" l="1"/>
  <c r="BJ401" i="27"/>
  <c r="BL401" i="27" s="1"/>
  <c r="BM401" i="27" s="1"/>
  <c r="BI402" i="27" s="1"/>
  <c r="V399" i="27"/>
  <c r="X399" i="27" s="1"/>
  <c r="Y399" i="27" s="1"/>
  <c r="U400" i="27" s="1"/>
  <c r="W400" i="27" s="1"/>
  <c r="O402" i="27"/>
  <c r="P402" i="27" s="1"/>
  <c r="Q402" i="27" s="1"/>
  <c r="M403" i="27" s="1"/>
  <c r="AN399" i="27"/>
  <c r="AO399" i="27" s="1"/>
  <c r="AK400" i="27" s="1"/>
  <c r="AF411" i="27"/>
  <c r="AG411" i="27" s="1"/>
  <c r="AC412" i="27" s="1"/>
  <c r="AE412" i="27" s="1"/>
  <c r="BC413" i="27"/>
  <c r="BB413" i="27"/>
  <c r="AV412" i="27"/>
  <c r="AW412" i="27" s="1"/>
  <c r="AS413" i="27" s="1"/>
  <c r="E389" i="27"/>
  <c r="F389" i="27"/>
  <c r="I389" i="27"/>
  <c r="BJ402" i="27" l="1"/>
  <c r="BK402" i="27"/>
  <c r="AD412" i="27"/>
  <c r="AF412" i="27" s="1"/>
  <c r="AG412" i="27" s="1"/>
  <c r="AC413" i="27" s="1"/>
  <c r="AL400" i="27"/>
  <c r="AM400" i="27"/>
  <c r="V400" i="27"/>
  <c r="X400" i="27" s="1"/>
  <c r="Y400" i="27" s="1"/>
  <c r="U401" i="27" s="1"/>
  <c r="W401" i="27" s="1"/>
  <c r="N403" i="27"/>
  <c r="O403" i="27"/>
  <c r="AT413" i="27"/>
  <c r="AU413" i="27"/>
  <c r="G389" i="27"/>
  <c r="H389" i="27" s="1"/>
  <c r="D390" i="27" s="1"/>
  <c r="BD413" i="27"/>
  <c r="BE413" i="27" s="1"/>
  <c r="BA414" i="27" s="1"/>
  <c r="BL402" i="27" l="1"/>
  <c r="BM402" i="27" s="1"/>
  <c r="BI403" i="27" s="1"/>
  <c r="BJ403" i="27" s="1"/>
  <c r="BK403" i="27"/>
  <c r="AN400" i="27"/>
  <c r="AO400" i="27" s="1"/>
  <c r="AK401" i="27" s="1"/>
  <c r="V401" i="27"/>
  <c r="X401" i="27" s="1"/>
  <c r="Y401" i="27" s="1"/>
  <c r="U402" i="27" s="1"/>
  <c r="V402" i="27" s="1"/>
  <c r="P403" i="27"/>
  <c r="Q403" i="27" s="1"/>
  <c r="M404" i="27" s="1"/>
  <c r="O404" i="27" s="1"/>
  <c r="AD413" i="27"/>
  <c r="AE413" i="27"/>
  <c r="I390" i="27"/>
  <c r="E390" i="27"/>
  <c r="F390" i="27"/>
  <c r="AV413" i="27"/>
  <c r="AW413" i="27" s="1"/>
  <c r="AS414" i="27" s="1"/>
  <c r="BC414" i="27"/>
  <c r="BB414" i="27"/>
  <c r="BL403" i="27" l="1"/>
  <c r="BM403" i="27" s="1"/>
  <c r="BI404" i="27" s="1"/>
  <c r="AM401" i="27"/>
  <c r="AL401" i="27"/>
  <c r="AN401" i="27" s="1"/>
  <c r="AO401" i="27" s="1"/>
  <c r="AK402" i="27" s="1"/>
  <c r="N404" i="27"/>
  <c r="P404" i="27" s="1"/>
  <c r="Q404" i="27" s="1"/>
  <c r="M405" i="27" s="1"/>
  <c r="W402" i="27"/>
  <c r="X402" i="27" s="1"/>
  <c r="Y402" i="27" s="1"/>
  <c r="U403" i="27" s="1"/>
  <c r="AF413" i="27"/>
  <c r="AG413" i="27" s="1"/>
  <c r="AC414" i="27" s="1"/>
  <c r="BD414" i="27"/>
  <c r="BE414" i="27" s="1"/>
  <c r="BA415" i="27" s="1"/>
  <c r="BC415" i="27" s="1"/>
  <c r="G390" i="27"/>
  <c r="H390" i="27" s="1"/>
  <c r="D391" i="27" s="1"/>
  <c r="F391" i="27" s="1"/>
  <c r="AU414" i="27"/>
  <c r="AT414" i="27"/>
  <c r="BJ404" i="27" l="1"/>
  <c r="BK404" i="27"/>
  <c r="AL402" i="27"/>
  <c r="AM402" i="27"/>
  <c r="AV414" i="27"/>
  <c r="AW414" i="27" s="1"/>
  <c r="AS415" i="27" s="1"/>
  <c r="AT415" i="27" s="1"/>
  <c r="BB415" i="27"/>
  <c r="BD415" i="27" s="1"/>
  <c r="BE415" i="27" s="1"/>
  <c r="BA416" i="27" s="1"/>
  <c r="BB416" i="27" s="1"/>
  <c r="E391" i="27"/>
  <c r="G391" i="27" s="1"/>
  <c r="H391" i="27" s="1"/>
  <c r="D392" i="27" s="1"/>
  <c r="I391" i="27"/>
  <c r="AD414" i="27"/>
  <c r="AE414" i="27"/>
  <c r="N405" i="27"/>
  <c r="O405" i="27"/>
  <c r="W403" i="27"/>
  <c r="V403" i="27"/>
  <c r="BL404" i="27" l="1"/>
  <c r="BM404" i="27" s="1"/>
  <c r="BI405" i="27" s="1"/>
  <c r="BK405" i="27"/>
  <c r="BJ405" i="27"/>
  <c r="BL405" i="27" s="1"/>
  <c r="BM405" i="27" s="1"/>
  <c r="BI406" i="27" s="1"/>
  <c r="AU415" i="27"/>
  <c r="AV415" i="27" s="1"/>
  <c r="AW415" i="27" s="1"/>
  <c r="AS416" i="27" s="1"/>
  <c r="AT416" i="27" s="1"/>
  <c r="AN402" i="27"/>
  <c r="AO402" i="27" s="1"/>
  <c r="AK403" i="27" s="1"/>
  <c r="BC416" i="27"/>
  <c r="BD416" i="27" s="1"/>
  <c r="BE416" i="27" s="1"/>
  <c r="BA417" i="27" s="1"/>
  <c r="BC417" i="27" s="1"/>
  <c r="AF414" i="27"/>
  <c r="AG414" i="27" s="1"/>
  <c r="AC415" i="27" s="1"/>
  <c r="X403" i="27"/>
  <c r="Y403" i="27" s="1"/>
  <c r="U404" i="27" s="1"/>
  <c r="V404" i="27" s="1"/>
  <c r="P405" i="27"/>
  <c r="Q405" i="27" s="1"/>
  <c r="M406" i="27" s="1"/>
  <c r="N406" i="27" s="1"/>
  <c r="F392" i="27"/>
  <c r="E392" i="27"/>
  <c r="I392" i="27"/>
  <c r="BK406" i="27" l="1"/>
  <c r="BJ406" i="27"/>
  <c r="BL406" i="27" s="1"/>
  <c r="BM406" i="27" s="1"/>
  <c r="BI407" i="27" s="1"/>
  <c r="AL403" i="27"/>
  <c r="AM403" i="27"/>
  <c r="O406" i="27"/>
  <c r="P406" i="27" s="1"/>
  <c r="Q406" i="27" s="1"/>
  <c r="M407" i="27" s="1"/>
  <c r="O407" i="27" s="1"/>
  <c r="G392" i="27"/>
  <c r="H392" i="27" s="1"/>
  <c r="D393" i="27" s="1"/>
  <c r="F393" i="27" s="1"/>
  <c r="BB417" i="27"/>
  <c r="BD417" i="27" s="1"/>
  <c r="BE417" i="27" s="1"/>
  <c r="BA418" i="27" s="1"/>
  <c r="AE415" i="27"/>
  <c r="AD415" i="27"/>
  <c r="AU416" i="27"/>
  <c r="AV416" i="27" s="1"/>
  <c r="AW416" i="27" s="1"/>
  <c r="AS417" i="27" s="1"/>
  <c r="W404" i="27"/>
  <c r="X404" i="27" s="1"/>
  <c r="Y404" i="27" s="1"/>
  <c r="U405" i="27" s="1"/>
  <c r="BK407" i="27" l="1"/>
  <c r="BJ407" i="27"/>
  <c r="BL407" i="27" s="1"/>
  <c r="BM407" i="27" s="1"/>
  <c r="BI408" i="27" s="1"/>
  <c r="I393" i="27"/>
  <c r="E393" i="27"/>
  <c r="G393" i="27" s="1"/>
  <c r="H393" i="27" s="1"/>
  <c r="D394" i="27" s="1"/>
  <c r="E394" i="27" s="1"/>
  <c r="AF415" i="27"/>
  <c r="AG415" i="27" s="1"/>
  <c r="AC416" i="27" s="1"/>
  <c r="AE416" i="27" s="1"/>
  <c r="AN403" i="27"/>
  <c r="AO403" i="27" s="1"/>
  <c r="AK404" i="27" s="1"/>
  <c r="N407" i="27"/>
  <c r="P407" i="27" s="1"/>
  <c r="Q407" i="27" s="1"/>
  <c r="M408" i="27" s="1"/>
  <c r="O408" i="27" s="1"/>
  <c r="BB418" i="27"/>
  <c r="BC418" i="27"/>
  <c r="AT417" i="27"/>
  <c r="AU417" i="27"/>
  <c r="W405" i="27"/>
  <c r="V405" i="27"/>
  <c r="AD416" i="27" l="1"/>
  <c r="BK408" i="27"/>
  <c r="BJ408" i="27"/>
  <c r="BL408" i="27" s="1"/>
  <c r="BM408" i="27" s="1"/>
  <c r="BI409" i="27" s="1"/>
  <c r="AF416" i="27"/>
  <c r="AG416" i="27" s="1"/>
  <c r="AC417" i="27" s="1"/>
  <c r="AD417" i="27" s="1"/>
  <c r="X405" i="27"/>
  <c r="Y405" i="27" s="1"/>
  <c r="U406" i="27" s="1"/>
  <c r="V406" i="27" s="1"/>
  <c r="AM404" i="27"/>
  <c r="AL404" i="27"/>
  <c r="I394" i="27"/>
  <c r="F394" i="27"/>
  <c r="G394" i="27" s="1"/>
  <c r="H394" i="27" s="1"/>
  <c r="D395" i="27" s="1"/>
  <c r="N408" i="27"/>
  <c r="P408" i="27" s="1"/>
  <c r="Q408" i="27" s="1"/>
  <c r="M409" i="27" s="1"/>
  <c r="N409" i="27" s="1"/>
  <c r="AV417" i="27"/>
  <c r="AW417" i="27" s="1"/>
  <c r="AS418" i="27" s="1"/>
  <c r="BD418" i="27"/>
  <c r="BE418" i="27" s="1"/>
  <c r="BA419" i="27" s="1"/>
  <c r="AN404" i="27" l="1"/>
  <c r="AO404" i="27" s="1"/>
  <c r="AK405" i="27" s="1"/>
  <c r="AE417" i="27"/>
  <c r="BJ409" i="27"/>
  <c r="BK409" i="27"/>
  <c r="W406" i="27"/>
  <c r="X406" i="27" s="1"/>
  <c r="Y406" i="27" s="1"/>
  <c r="U407" i="27" s="1"/>
  <c r="V407" i="27" s="1"/>
  <c r="AM405" i="27"/>
  <c r="AL405" i="27"/>
  <c r="AN405" i="27" s="1"/>
  <c r="AO405" i="27" s="1"/>
  <c r="AK406" i="27" s="1"/>
  <c r="O409" i="27"/>
  <c r="P409" i="27" s="1"/>
  <c r="Q409" i="27" s="1"/>
  <c r="M410" i="27" s="1"/>
  <c r="AF417" i="27"/>
  <c r="AG417" i="27" s="1"/>
  <c r="AC418" i="27" s="1"/>
  <c r="BB419" i="27"/>
  <c r="BC419" i="27"/>
  <c r="AT418" i="27"/>
  <c r="AU418" i="27"/>
  <c r="I395" i="27"/>
  <c r="E395" i="27"/>
  <c r="F395" i="27"/>
  <c r="BL409" i="27" l="1"/>
  <c r="BM409" i="27" s="1"/>
  <c r="BI410" i="27" s="1"/>
  <c r="BK410" i="27" s="1"/>
  <c r="BJ410" i="27"/>
  <c r="AM406" i="27"/>
  <c r="AL406" i="27"/>
  <c r="AN406" i="27" s="1"/>
  <c r="AO406" i="27" s="1"/>
  <c r="AK407" i="27" s="1"/>
  <c r="W407" i="27"/>
  <c r="X407" i="27" s="1"/>
  <c r="Y407" i="27" s="1"/>
  <c r="U408" i="27" s="1"/>
  <c r="AD418" i="27"/>
  <c r="AE418" i="27"/>
  <c r="G395" i="27"/>
  <c r="H395" i="27" s="1"/>
  <c r="D396" i="27" s="1"/>
  <c r="E396" i="27" s="1"/>
  <c r="BD419" i="27"/>
  <c r="BE419" i="27" s="1"/>
  <c r="BA420" i="27" s="1"/>
  <c r="AV418" i="27"/>
  <c r="AW418" i="27" s="1"/>
  <c r="AS419" i="27" s="1"/>
  <c r="N410" i="27"/>
  <c r="O410" i="27"/>
  <c r="BL410" i="27" l="1"/>
  <c r="BM410" i="27" s="1"/>
  <c r="BI411" i="27" s="1"/>
  <c r="BJ411" i="27"/>
  <c r="BK411" i="27"/>
  <c r="AL407" i="27"/>
  <c r="AM407" i="27"/>
  <c r="I396" i="27"/>
  <c r="F396" i="27"/>
  <c r="G396" i="27" s="1"/>
  <c r="H396" i="27" s="1"/>
  <c r="D397" i="27" s="1"/>
  <c r="AF418" i="27"/>
  <c r="AG418" i="27" s="1"/>
  <c r="AC419" i="27" s="1"/>
  <c r="AU419" i="27"/>
  <c r="AT419" i="27"/>
  <c r="BC420" i="27"/>
  <c r="BB420" i="27"/>
  <c r="V408" i="27"/>
  <c r="W408" i="27"/>
  <c r="P410" i="27"/>
  <c r="Q410" i="27" s="1"/>
  <c r="M411" i="27" s="1"/>
  <c r="BL411" i="27" l="1"/>
  <c r="BM411" i="27" s="1"/>
  <c r="BI412" i="27" s="1"/>
  <c r="AN407" i="27"/>
  <c r="AO407" i="27" s="1"/>
  <c r="AK408" i="27" s="1"/>
  <c r="AL408" i="27" s="1"/>
  <c r="BD420" i="27"/>
  <c r="BE420" i="27" s="1"/>
  <c r="BA421" i="27" s="1"/>
  <c r="BB421" i="27" s="1"/>
  <c r="F397" i="27"/>
  <c r="I397" i="27"/>
  <c r="E397" i="27"/>
  <c r="AE419" i="27"/>
  <c r="AD419" i="27"/>
  <c r="X408" i="27"/>
  <c r="Y408" i="27" s="1"/>
  <c r="U409" i="27" s="1"/>
  <c r="V409" i="27" s="1"/>
  <c r="AV419" i="27"/>
  <c r="AW419" i="27" s="1"/>
  <c r="AS420" i="27" s="1"/>
  <c r="AT420" i="27" s="1"/>
  <c r="O411" i="27"/>
  <c r="N411" i="27"/>
  <c r="AM408" i="27" l="1"/>
  <c r="BC421" i="27"/>
  <c r="BK412" i="27"/>
  <c r="BJ412" i="27"/>
  <c r="BL412" i="27" s="1"/>
  <c r="BM412" i="27" s="1"/>
  <c r="BI413" i="27" s="1"/>
  <c r="AF419" i="27"/>
  <c r="AG419" i="27" s="1"/>
  <c r="AC420" i="27" s="1"/>
  <c r="AE420" i="27" s="1"/>
  <c r="AN408" i="27"/>
  <c r="AO408" i="27" s="1"/>
  <c r="AK409" i="27" s="1"/>
  <c r="G397" i="27"/>
  <c r="H397" i="27" s="1"/>
  <c r="D398" i="27" s="1"/>
  <c r="E398" i="27" s="1"/>
  <c r="W409" i="27"/>
  <c r="X409" i="27" s="1"/>
  <c r="Y409" i="27" s="1"/>
  <c r="U410" i="27" s="1"/>
  <c r="AU420" i="27"/>
  <c r="AV420" i="27" s="1"/>
  <c r="AW420" i="27" s="1"/>
  <c r="AS421" i="27" s="1"/>
  <c r="AU421" i="27" s="1"/>
  <c r="BD421" i="27"/>
  <c r="BE421" i="27" s="1"/>
  <c r="BA422" i="27" s="1"/>
  <c r="BB422" i="27" s="1"/>
  <c r="P411" i="27"/>
  <c r="Q411" i="27" s="1"/>
  <c r="M412" i="27" s="1"/>
  <c r="BK413" i="27" l="1"/>
  <c r="BJ413" i="27"/>
  <c r="BL413" i="27" s="1"/>
  <c r="BM413" i="27" s="1"/>
  <c r="BI414" i="27" s="1"/>
  <c r="AD420" i="27"/>
  <c r="AF420" i="27" s="1"/>
  <c r="AG420" i="27" s="1"/>
  <c r="AC421" i="27" s="1"/>
  <c r="AE421" i="27" s="1"/>
  <c r="AM409" i="27"/>
  <c r="AL409" i="27"/>
  <c r="BC422" i="27"/>
  <c r="BD422" i="27" s="1"/>
  <c r="BE422" i="27" s="1"/>
  <c r="BA423" i="27" s="1"/>
  <c r="F398" i="27"/>
  <c r="G398" i="27" s="1"/>
  <c r="H398" i="27" s="1"/>
  <c r="D399" i="27" s="1"/>
  <c r="I398" i="27"/>
  <c r="AT421" i="27"/>
  <c r="AV421" i="27" s="1"/>
  <c r="AW421" i="27" s="1"/>
  <c r="AS422" i="27" s="1"/>
  <c r="V410" i="27"/>
  <c r="W410" i="27"/>
  <c r="O412" i="27"/>
  <c r="N412" i="27"/>
  <c r="BK414" i="27" l="1"/>
  <c r="BJ414" i="27"/>
  <c r="BL414" i="27" s="1"/>
  <c r="BM414" i="27" s="1"/>
  <c r="BI415" i="27" s="1"/>
  <c r="AN409" i="27"/>
  <c r="AO409" i="27" s="1"/>
  <c r="AK410" i="27" s="1"/>
  <c r="AD421" i="27"/>
  <c r="AF421" i="27" s="1"/>
  <c r="AG421" i="27" s="1"/>
  <c r="AC422" i="27" s="1"/>
  <c r="AD422" i="27" s="1"/>
  <c r="BB423" i="27"/>
  <c r="BC423" i="27"/>
  <c r="P412" i="27"/>
  <c r="Q412" i="27" s="1"/>
  <c r="M413" i="27" s="1"/>
  <c r="I399" i="27"/>
  <c r="E399" i="27"/>
  <c r="F399" i="27"/>
  <c r="AT422" i="27"/>
  <c r="AU422" i="27"/>
  <c r="X410" i="27"/>
  <c r="Y410" i="27" s="1"/>
  <c r="U411" i="27" s="1"/>
  <c r="BJ415" i="27" l="1"/>
  <c r="BK415" i="27"/>
  <c r="AE422" i="27"/>
  <c r="AF422" i="27" s="1"/>
  <c r="AG422" i="27" s="1"/>
  <c r="AC423" i="27" s="1"/>
  <c r="AM410" i="27"/>
  <c r="AL410" i="27"/>
  <c r="AV422" i="27"/>
  <c r="AW422" i="27" s="1"/>
  <c r="AS423" i="27" s="1"/>
  <c r="AU423" i="27" s="1"/>
  <c r="BD423" i="27"/>
  <c r="BE423" i="27" s="1"/>
  <c r="BA424" i="27" s="1"/>
  <c r="G399" i="27"/>
  <c r="H399" i="27" s="1"/>
  <c r="D400" i="27" s="1"/>
  <c r="V411" i="27"/>
  <c r="W411" i="27"/>
  <c r="O413" i="27"/>
  <c r="N413" i="27"/>
  <c r="BL415" i="27" l="1"/>
  <c r="BM415" i="27" s="1"/>
  <c r="BI416" i="27" s="1"/>
  <c r="AN410" i="27"/>
  <c r="AO410" i="27" s="1"/>
  <c r="AK411" i="27" s="1"/>
  <c r="AD423" i="27"/>
  <c r="AE423" i="27"/>
  <c r="AT423" i="27"/>
  <c r="AV423" i="27" s="1"/>
  <c r="AW423" i="27" s="1"/>
  <c r="AS424" i="27" s="1"/>
  <c r="P413" i="27"/>
  <c r="Q413" i="27" s="1"/>
  <c r="M414" i="27" s="1"/>
  <c r="O414" i="27" s="1"/>
  <c r="I400" i="27"/>
  <c r="E400" i="27"/>
  <c r="F400" i="27"/>
  <c r="X411" i="27"/>
  <c r="Y411" i="27" s="1"/>
  <c r="U412" i="27" s="1"/>
  <c r="BC424" i="27"/>
  <c r="BB424" i="27"/>
  <c r="BK416" i="27" l="1"/>
  <c r="BJ416" i="27"/>
  <c r="BL416" i="27" s="1"/>
  <c r="BM416" i="27" s="1"/>
  <c r="BI417" i="27" s="1"/>
  <c r="AL411" i="27"/>
  <c r="AM411" i="27"/>
  <c r="AT424" i="27"/>
  <c r="AU424" i="27"/>
  <c r="BD424" i="27"/>
  <c r="BE424" i="27" s="1"/>
  <c r="BA425" i="27" s="1"/>
  <c r="BC425" i="27" s="1"/>
  <c r="AF423" i="27"/>
  <c r="AG423" i="27" s="1"/>
  <c r="AC424" i="27" s="1"/>
  <c r="N414" i="27"/>
  <c r="P414" i="27" s="1"/>
  <c r="Q414" i="27" s="1"/>
  <c r="M415" i="27" s="1"/>
  <c r="G400" i="27"/>
  <c r="H400" i="27" s="1"/>
  <c r="D401" i="27" s="1"/>
  <c r="W412" i="27"/>
  <c r="V412" i="27"/>
  <c r="BK417" i="27" l="1"/>
  <c r="BJ417" i="27"/>
  <c r="BL417" i="27" s="1"/>
  <c r="BM417" i="27" s="1"/>
  <c r="BI418" i="27" s="1"/>
  <c r="AN411" i="27"/>
  <c r="AO411" i="27" s="1"/>
  <c r="AK412" i="27" s="1"/>
  <c r="BB425" i="27"/>
  <c r="BD425" i="27" s="1"/>
  <c r="BE425" i="27" s="1"/>
  <c r="BA426" i="27" s="1"/>
  <c r="O415" i="27"/>
  <c r="N415" i="27"/>
  <c r="AD424" i="27"/>
  <c r="AE424" i="27"/>
  <c r="AV424" i="27"/>
  <c r="AW424" i="27" s="1"/>
  <c r="AS425" i="27" s="1"/>
  <c r="X412" i="27"/>
  <c r="Y412" i="27" s="1"/>
  <c r="U413" i="27" s="1"/>
  <c r="W413" i="27" s="1"/>
  <c r="E401" i="27"/>
  <c r="I401" i="27"/>
  <c r="F401" i="27"/>
  <c r="BK418" i="27" l="1"/>
  <c r="BJ418" i="27"/>
  <c r="BL418" i="27" s="1"/>
  <c r="BM418" i="27" s="1"/>
  <c r="BI419" i="27" s="1"/>
  <c r="AM412" i="27"/>
  <c r="AL412" i="27"/>
  <c r="AN412" i="27" s="1"/>
  <c r="AO412" i="27" s="1"/>
  <c r="AK413" i="27" s="1"/>
  <c r="P415" i="27"/>
  <c r="Q415" i="27" s="1"/>
  <c r="M416" i="27" s="1"/>
  <c r="N416" i="27" s="1"/>
  <c r="AT425" i="27"/>
  <c r="AU425" i="27"/>
  <c r="AF424" i="27"/>
  <c r="AG424" i="27" s="1"/>
  <c r="AC425" i="27" s="1"/>
  <c r="V413" i="27"/>
  <c r="X413" i="27" s="1"/>
  <c r="Y413" i="27" s="1"/>
  <c r="U414" i="27" s="1"/>
  <c r="V414" i="27" s="1"/>
  <c r="BC426" i="27"/>
  <c r="BB426" i="27"/>
  <c r="G401" i="27"/>
  <c r="H401" i="27" s="1"/>
  <c r="D402" i="27" s="1"/>
  <c r="BK419" i="27" l="1"/>
  <c r="BJ419" i="27"/>
  <c r="BL419" i="27" s="1"/>
  <c r="BM419" i="27" s="1"/>
  <c r="BI420" i="27" s="1"/>
  <c r="O416" i="27"/>
  <c r="AL413" i="27"/>
  <c r="AM413" i="27"/>
  <c r="W414" i="27"/>
  <c r="X414" i="27" s="1"/>
  <c r="Y414" i="27" s="1"/>
  <c r="U415" i="27" s="1"/>
  <c r="AD425" i="27"/>
  <c r="AE425" i="27"/>
  <c r="AV425" i="27"/>
  <c r="AW425" i="27" s="1"/>
  <c r="AS426" i="27" s="1"/>
  <c r="BD426" i="27"/>
  <c r="BE426" i="27" s="1"/>
  <c r="BA427" i="27" s="1"/>
  <c r="BB427" i="27" s="1"/>
  <c r="P416" i="27"/>
  <c r="Q416" i="27" s="1"/>
  <c r="M417" i="27" s="1"/>
  <c r="N417" i="27" s="1"/>
  <c r="F402" i="27"/>
  <c r="E402" i="27"/>
  <c r="I402" i="27"/>
  <c r="BK420" i="27" l="1"/>
  <c r="BJ420" i="27"/>
  <c r="BL420" i="27" s="1"/>
  <c r="BM420" i="27" s="1"/>
  <c r="BI421" i="27" s="1"/>
  <c r="AN413" i="27"/>
  <c r="AO413" i="27" s="1"/>
  <c r="AK414" i="27" s="1"/>
  <c r="BC427" i="27"/>
  <c r="BD427" i="27" s="1"/>
  <c r="BE427" i="27" s="1"/>
  <c r="BA428" i="27" s="1"/>
  <c r="O417" i="27"/>
  <c r="P417" i="27" s="1"/>
  <c r="Q417" i="27" s="1"/>
  <c r="M418" i="27" s="1"/>
  <c r="AT426" i="27"/>
  <c r="AU426" i="27"/>
  <c r="AF425" i="27"/>
  <c r="AG425" i="27" s="1"/>
  <c r="AC426" i="27" s="1"/>
  <c r="V415" i="27"/>
  <c r="W415" i="27"/>
  <c r="G402" i="27"/>
  <c r="H402" i="27" s="1"/>
  <c r="D403" i="27" s="1"/>
  <c r="BK421" i="27" l="1"/>
  <c r="BJ421" i="27"/>
  <c r="BL421" i="27" s="1"/>
  <c r="BM421" i="27" s="1"/>
  <c r="BI422" i="27" s="1"/>
  <c r="AL414" i="27"/>
  <c r="AM414" i="27"/>
  <c r="BC428" i="27"/>
  <c r="BB428" i="27"/>
  <c r="BD428" i="27" s="1"/>
  <c r="BE428" i="27" s="1"/>
  <c r="BA429" i="27" s="1"/>
  <c r="BB429" i="27" s="1"/>
  <c r="O418" i="27"/>
  <c r="N418" i="27"/>
  <c r="AD426" i="27"/>
  <c r="AE426" i="27"/>
  <c r="AV426" i="27"/>
  <c r="AW426" i="27" s="1"/>
  <c r="AS427" i="27" s="1"/>
  <c r="X415" i="27"/>
  <c r="Y415" i="27" s="1"/>
  <c r="U416" i="27" s="1"/>
  <c r="W416" i="27" s="1"/>
  <c r="I403" i="27"/>
  <c r="F403" i="27"/>
  <c r="E403" i="27"/>
  <c r="BJ422" i="27" l="1"/>
  <c r="BK422" i="27"/>
  <c r="AN414" i="27"/>
  <c r="AO414" i="27" s="1"/>
  <c r="AK415" i="27" s="1"/>
  <c r="AM415" i="27" s="1"/>
  <c r="P418" i="27"/>
  <c r="Q418" i="27" s="1"/>
  <c r="M419" i="27" s="1"/>
  <c r="O419" i="27" s="1"/>
  <c r="AF426" i="27"/>
  <c r="AG426" i="27" s="1"/>
  <c r="AC427" i="27" s="1"/>
  <c r="AD427" i="27" s="1"/>
  <c r="N419" i="27"/>
  <c r="P419" i="27" s="1"/>
  <c r="Q419" i="27" s="1"/>
  <c r="M420" i="27" s="1"/>
  <c r="N420" i="27" s="1"/>
  <c r="AT427" i="27"/>
  <c r="AU427" i="27"/>
  <c r="BC429" i="27"/>
  <c r="BD429" i="27" s="1"/>
  <c r="BE429" i="27" s="1"/>
  <c r="BA430" i="27" s="1"/>
  <c r="V416" i="27"/>
  <c r="X416" i="27" s="1"/>
  <c r="Y416" i="27" s="1"/>
  <c r="U417" i="27" s="1"/>
  <c r="W417" i="27" s="1"/>
  <c r="G403" i="27"/>
  <c r="H403" i="27" s="1"/>
  <c r="D404" i="27" s="1"/>
  <c r="AL415" i="27" l="1"/>
  <c r="AN415" i="27"/>
  <c r="AO415" i="27" s="1"/>
  <c r="AK416" i="27" s="1"/>
  <c r="AM416" i="27" s="1"/>
  <c r="BL422" i="27"/>
  <c r="BM422" i="27" s="1"/>
  <c r="BI423" i="27" s="1"/>
  <c r="AL416" i="27"/>
  <c r="AE427" i="27"/>
  <c r="AF427" i="27" s="1"/>
  <c r="AG427" i="27" s="1"/>
  <c r="AC428" i="27" s="1"/>
  <c r="O420" i="27"/>
  <c r="P420" i="27" s="1"/>
  <c r="Q420" i="27" s="1"/>
  <c r="M421" i="27" s="1"/>
  <c r="AV427" i="27"/>
  <c r="AW427" i="27" s="1"/>
  <c r="AS428" i="27" s="1"/>
  <c r="AT428" i="27" s="1"/>
  <c r="V417" i="27"/>
  <c r="X417" i="27" s="1"/>
  <c r="Y417" i="27" s="1"/>
  <c r="U418" i="27" s="1"/>
  <c r="BB430" i="27"/>
  <c r="BC430" i="27"/>
  <c r="E404" i="27"/>
  <c r="F404" i="27"/>
  <c r="I404" i="27"/>
  <c r="AN416" i="27" l="1"/>
  <c r="AO416" i="27" s="1"/>
  <c r="AK417" i="27" s="1"/>
  <c r="BJ423" i="27"/>
  <c r="BK423" i="27"/>
  <c r="AM417" i="27"/>
  <c r="AL417" i="27"/>
  <c r="AU428" i="27"/>
  <c r="AV428" i="27" s="1"/>
  <c r="AW428" i="27" s="1"/>
  <c r="AS429" i="27" s="1"/>
  <c r="AD428" i="27"/>
  <c r="AE428" i="27"/>
  <c r="W418" i="27"/>
  <c r="V418" i="27"/>
  <c r="BD430" i="27"/>
  <c r="BE430" i="27" s="1"/>
  <c r="BA431" i="27" s="1"/>
  <c r="N421" i="27"/>
  <c r="O421" i="27"/>
  <c r="G404" i="27"/>
  <c r="H404" i="27" s="1"/>
  <c r="D405" i="27" s="1"/>
  <c r="BL423" i="27" l="1"/>
  <c r="BM423" i="27" s="1"/>
  <c r="BI424" i="27" s="1"/>
  <c r="AN417" i="27"/>
  <c r="AO417" i="27" s="1"/>
  <c r="AK418" i="27" s="1"/>
  <c r="AM418" i="27" s="1"/>
  <c r="AT429" i="27"/>
  <c r="AU429" i="27"/>
  <c r="AF428" i="27"/>
  <c r="AG428" i="27" s="1"/>
  <c r="AC429" i="27" s="1"/>
  <c r="X418" i="27"/>
  <c r="Y418" i="27" s="1"/>
  <c r="U419" i="27" s="1"/>
  <c r="V419" i="27" s="1"/>
  <c r="BC431" i="27"/>
  <c r="BB431" i="27"/>
  <c r="E405" i="27"/>
  <c r="I405" i="27"/>
  <c r="F405" i="27"/>
  <c r="P421" i="27"/>
  <c r="Q421" i="27" s="1"/>
  <c r="M422" i="27" s="1"/>
  <c r="AL418" i="27" l="1"/>
  <c r="AN418" i="27" s="1"/>
  <c r="AO418" i="27" s="1"/>
  <c r="AK419" i="27" s="1"/>
  <c r="AM419" i="27" s="1"/>
  <c r="BD431" i="27"/>
  <c r="BE431" i="27" s="1"/>
  <c r="BA432" i="27" s="1"/>
  <c r="BB432" i="27" s="1"/>
  <c r="BK424" i="27"/>
  <c r="BJ424" i="27"/>
  <c r="BL424" i="27" s="1"/>
  <c r="BM424" i="27" s="1"/>
  <c r="BI425" i="27" s="1"/>
  <c r="AV429" i="27"/>
  <c r="AW429" i="27" s="1"/>
  <c r="AS430" i="27" s="1"/>
  <c r="AT430" i="27" s="1"/>
  <c r="AE429" i="27"/>
  <c r="AD429" i="27"/>
  <c r="AF429" i="27" s="1"/>
  <c r="AG429" i="27" s="1"/>
  <c r="AC430" i="27" s="1"/>
  <c r="AD430" i="27" s="1"/>
  <c r="W419" i="27"/>
  <c r="X419" i="27" s="1"/>
  <c r="Y419" i="27" s="1"/>
  <c r="U420" i="27" s="1"/>
  <c r="N422" i="27"/>
  <c r="O422" i="27"/>
  <c r="G405" i="27"/>
  <c r="H405" i="27" s="1"/>
  <c r="D406" i="27" s="1"/>
  <c r="BC432" i="27" l="1"/>
  <c r="AL419" i="27"/>
  <c r="AN419" i="27" s="1"/>
  <c r="AO419" i="27" s="1"/>
  <c r="AK420" i="27" s="1"/>
  <c r="BJ425" i="27"/>
  <c r="BK425" i="27"/>
  <c r="AU430" i="27"/>
  <c r="AV430" i="27" s="1"/>
  <c r="AW430" i="27" s="1"/>
  <c r="AS431" i="27" s="1"/>
  <c r="AU431" i="27" s="1"/>
  <c r="AE430" i="27"/>
  <c r="AF430" i="27" s="1"/>
  <c r="AG430" i="27" s="1"/>
  <c r="AC431" i="27" s="1"/>
  <c r="AD431" i="27" s="1"/>
  <c r="BD432" i="27"/>
  <c r="BE432" i="27" s="1"/>
  <c r="BA433" i="27" s="1"/>
  <c r="BB433" i="27" s="1"/>
  <c r="P422" i="27"/>
  <c r="Q422" i="27" s="1"/>
  <c r="M423" i="27" s="1"/>
  <c r="V420" i="27"/>
  <c r="W420" i="27"/>
  <c r="I406" i="27"/>
  <c r="F406" i="27"/>
  <c r="E406" i="27"/>
  <c r="AM420" i="27" l="1"/>
  <c r="AL420" i="27"/>
  <c r="AN420" i="27" s="1"/>
  <c r="AO420" i="27" s="1"/>
  <c r="AK421" i="27" s="1"/>
  <c r="AL421" i="27" s="1"/>
  <c r="BL425" i="27"/>
  <c r="BM425" i="27" s="1"/>
  <c r="BI426" i="27" s="1"/>
  <c r="BK426" i="27" s="1"/>
  <c r="AT431" i="27"/>
  <c r="AV431" i="27" s="1"/>
  <c r="AW431" i="27" s="1"/>
  <c r="AS432" i="27" s="1"/>
  <c r="AU432" i="27" s="1"/>
  <c r="AM421" i="27"/>
  <c r="G406" i="27"/>
  <c r="H406" i="27" s="1"/>
  <c r="D407" i="27" s="1"/>
  <c r="I407" i="27" s="1"/>
  <c r="AE431" i="27"/>
  <c r="AF431" i="27" s="1"/>
  <c r="AG431" i="27" s="1"/>
  <c r="AC432" i="27" s="1"/>
  <c r="BC433" i="27"/>
  <c r="BD433" i="27" s="1"/>
  <c r="BE433" i="27" s="1"/>
  <c r="BA434" i="27" s="1"/>
  <c r="X420" i="27"/>
  <c r="Y420" i="27" s="1"/>
  <c r="U421" i="27" s="1"/>
  <c r="W421" i="27" s="1"/>
  <c r="O423" i="27"/>
  <c r="N423" i="27"/>
  <c r="AN421" i="27" l="1"/>
  <c r="AO421" i="27" s="1"/>
  <c r="AK422" i="27" s="1"/>
  <c r="BJ426" i="27"/>
  <c r="AT432" i="27"/>
  <c r="AV432" i="27" s="1"/>
  <c r="AW432" i="27" s="1"/>
  <c r="AS433" i="27" s="1"/>
  <c r="BL426" i="27"/>
  <c r="BM426" i="27" s="1"/>
  <c r="BI427" i="27" s="1"/>
  <c r="BK427" i="27" s="1"/>
  <c r="F407" i="27"/>
  <c r="E407" i="27"/>
  <c r="G407" i="27" s="1"/>
  <c r="H407" i="27" s="1"/>
  <c r="D408" i="27" s="1"/>
  <c r="AL422" i="27"/>
  <c r="AM422" i="27"/>
  <c r="AE432" i="27"/>
  <c r="AD432" i="27"/>
  <c r="AF432" i="27" s="1"/>
  <c r="AG432" i="27" s="1"/>
  <c r="AC433" i="27" s="1"/>
  <c r="V421" i="27"/>
  <c r="X421" i="27" s="1"/>
  <c r="Y421" i="27" s="1"/>
  <c r="U422" i="27" s="1"/>
  <c r="W422" i="27" s="1"/>
  <c r="P423" i="27"/>
  <c r="Q423" i="27" s="1"/>
  <c r="M424" i="27" s="1"/>
  <c r="BB434" i="27"/>
  <c r="BC434" i="27"/>
  <c r="BJ427" i="27" l="1"/>
  <c r="BL427" i="27"/>
  <c r="BM427" i="27" s="1"/>
  <c r="BI428" i="27" s="1"/>
  <c r="BJ428" i="27" s="1"/>
  <c r="AN422" i="27"/>
  <c r="AO422" i="27" s="1"/>
  <c r="AK423" i="27" s="1"/>
  <c r="V422" i="27"/>
  <c r="X422" i="27" s="1"/>
  <c r="Y422" i="27" s="1"/>
  <c r="U423" i="27" s="1"/>
  <c r="W423" i="27" s="1"/>
  <c r="AE433" i="27"/>
  <c r="AD433" i="27"/>
  <c r="O424" i="27"/>
  <c r="N424" i="27"/>
  <c r="AU433" i="27"/>
  <c r="AT433" i="27"/>
  <c r="AV433" i="27" s="1"/>
  <c r="AW433" i="27" s="1"/>
  <c r="AS434" i="27" s="1"/>
  <c r="F408" i="27"/>
  <c r="E408" i="27"/>
  <c r="I408" i="27"/>
  <c r="BD434" i="27"/>
  <c r="BE434" i="27" s="1"/>
  <c r="BA435" i="27" s="1"/>
  <c r="BK428" i="27" l="1"/>
  <c r="BL428" i="27"/>
  <c r="BM428" i="27" s="1"/>
  <c r="BI429" i="27" s="1"/>
  <c r="AF433" i="27"/>
  <c r="AG433" i="27" s="1"/>
  <c r="AC434" i="27" s="1"/>
  <c r="AD434" i="27" s="1"/>
  <c r="V423" i="27"/>
  <c r="X423" i="27" s="1"/>
  <c r="Y423" i="27" s="1"/>
  <c r="U424" i="27" s="1"/>
  <c r="W424" i="27" s="1"/>
  <c r="AL423" i="27"/>
  <c r="AM423" i="27"/>
  <c r="AE434" i="27"/>
  <c r="G408" i="27"/>
  <c r="H408" i="27" s="1"/>
  <c r="D409" i="27" s="1"/>
  <c r="E409" i="27" s="1"/>
  <c r="P424" i="27"/>
  <c r="Q424" i="27" s="1"/>
  <c r="M425" i="27" s="1"/>
  <c r="AT434" i="27"/>
  <c r="AU434" i="27"/>
  <c r="BB435" i="27"/>
  <c r="BC435" i="27"/>
  <c r="BK429" i="27" l="1"/>
  <c r="BJ429" i="27"/>
  <c r="AN423" i="27"/>
  <c r="AO423" i="27" s="1"/>
  <c r="AK424" i="27" s="1"/>
  <c r="AL424" i="27" s="1"/>
  <c r="V424" i="27"/>
  <c r="X424" i="27" s="1"/>
  <c r="Y424" i="27" s="1"/>
  <c r="U425" i="27" s="1"/>
  <c r="W425" i="27" s="1"/>
  <c r="F409" i="27"/>
  <c r="G409" i="27" s="1"/>
  <c r="H409" i="27" s="1"/>
  <c r="D410" i="27" s="1"/>
  <c r="I409" i="27"/>
  <c r="AF434" i="27"/>
  <c r="AG434" i="27" s="1"/>
  <c r="AC435" i="27" s="1"/>
  <c r="AV434" i="27"/>
  <c r="AW434" i="27" s="1"/>
  <c r="AS435" i="27" s="1"/>
  <c r="AT435" i="27" s="1"/>
  <c r="BD435" i="27"/>
  <c r="BE435" i="27" s="1"/>
  <c r="BA436" i="27" s="1"/>
  <c r="N425" i="27"/>
  <c r="O425" i="27"/>
  <c r="BL429" i="27" l="1"/>
  <c r="BM429" i="27" s="1"/>
  <c r="BI430" i="27" s="1"/>
  <c r="BJ430" i="27" s="1"/>
  <c r="BK430" i="27"/>
  <c r="AM424" i="27"/>
  <c r="AN424" i="27" s="1"/>
  <c r="AO424" i="27" s="1"/>
  <c r="AK425" i="27" s="1"/>
  <c r="AU435" i="27"/>
  <c r="AV435" i="27" s="1"/>
  <c r="AW435" i="27" s="1"/>
  <c r="AS436" i="27" s="1"/>
  <c r="AE435" i="27"/>
  <c r="AD435" i="27"/>
  <c r="P425" i="27"/>
  <c r="Q425" i="27" s="1"/>
  <c r="M426" i="27" s="1"/>
  <c r="N426" i="27" s="1"/>
  <c r="V425" i="27"/>
  <c r="X425" i="27" s="1"/>
  <c r="Y425" i="27" s="1"/>
  <c r="U426" i="27" s="1"/>
  <c r="I410" i="27"/>
  <c r="E410" i="27"/>
  <c r="F410" i="27"/>
  <c r="BB436" i="27"/>
  <c r="BC436" i="27"/>
  <c r="BL430" i="27" l="1"/>
  <c r="BM430" i="27" s="1"/>
  <c r="BI431" i="27" s="1"/>
  <c r="BK431" i="27"/>
  <c r="BJ431" i="27"/>
  <c r="BL431" i="27" s="1"/>
  <c r="BM431" i="27" s="1"/>
  <c r="BI432" i="27" s="1"/>
  <c r="AL425" i="27"/>
  <c r="AM425" i="27"/>
  <c r="AF435" i="27"/>
  <c r="AG435" i="27" s="1"/>
  <c r="AC436" i="27" s="1"/>
  <c r="AE436" i="27" s="1"/>
  <c r="BD436" i="27"/>
  <c r="BE436" i="27" s="1"/>
  <c r="BA437" i="27" s="1"/>
  <c r="BC437" i="27" s="1"/>
  <c r="O426" i="27"/>
  <c r="P426" i="27" s="1"/>
  <c r="Q426" i="27" s="1"/>
  <c r="M427" i="27" s="1"/>
  <c r="AU436" i="27"/>
  <c r="AT436" i="27"/>
  <c r="V426" i="27"/>
  <c r="W426" i="27"/>
  <c r="G410" i="27"/>
  <c r="H410" i="27" s="1"/>
  <c r="D411" i="27" s="1"/>
  <c r="AN425" i="27" l="1"/>
  <c r="AO425" i="27" s="1"/>
  <c r="AK426" i="27" s="1"/>
  <c r="BK432" i="27"/>
  <c r="BJ432" i="27"/>
  <c r="BL432" i="27" s="1"/>
  <c r="BM432" i="27" s="1"/>
  <c r="BI433" i="27" s="1"/>
  <c r="BB437" i="27"/>
  <c r="AD436" i="27"/>
  <c r="AF436" i="27" s="1"/>
  <c r="AG436" i="27" s="1"/>
  <c r="AC437" i="27" s="1"/>
  <c r="AE437" i="27" s="1"/>
  <c r="AV436" i="27"/>
  <c r="AW436" i="27" s="1"/>
  <c r="AS437" i="27" s="1"/>
  <c r="AT437" i="27" s="1"/>
  <c r="BD437" i="27"/>
  <c r="BE437" i="27" s="1"/>
  <c r="BA438" i="27" s="1"/>
  <c r="BB438" i="27" s="1"/>
  <c r="AL426" i="27"/>
  <c r="AM426" i="27"/>
  <c r="X426" i="27"/>
  <c r="Y426" i="27" s="1"/>
  <c r="U427" i="27" s="1"/>
  <c r="W427" i="27" s="1"/>
  <c r="N427" i="27"/>
  <c r="O427" i="27"/>
  <c r="E411" i="27"/>
  <c r="F411" i="27"/>
  <c r="I411" i="27"/>
  <c r="BJ433" i="27" l="1"/>
  <c r="BK433" i="27"/>
  <c r="AU437" i="27"/>
  <c r="AV437" i="27" s="1"/>
  <c r="AW437" i="27" s="1"/>
  <c r="AS438" i="27" s="1"/>
  <c r="BC438" i="27"/>
  <c r="BD438" i="27" s="1"/>
  <c r="BE438" i="27" s="1"/>
  <c r="BA439" i="27" s="1"/>
  <c r="AD437" i="27"/>
  <c r="AF437" i="27" s="1"/>
  <c r="AG437" i="27" s="1"/>
  <c r="AC438" i="27" s="1"/>
  <c r="AN426" i="27"/>
  <c r="AO426" i="27" s="1"/>
  <c r="AK427" i="27" s="1"/>
  <c r="V427" i="27"/>
  <c r="X427" i="27" s="1"/>
  <c r="Y427" i="27" s="1"/>
  <c r="U428" i="27" s="1"/>
  <c r="W428" i="27" s="1"/>
  <c r="G411" i="27"/>
  <c r="H411" i="27" s="1"/>
  <c r="D412" i="27" s="1"/>
  <c r="P427" i="27"/>
  <c r="Q427" i="27" s="1"/>
  <c r="M428" i="27" s="1"/>
  <c r="BL433" i="27" l="1"/>
  <c r="BM433" i="27" s="1"/>
  <c r="BI434" i="27" s="1"/>
  <c r="AE438" i="27"/>
  <c r="AD438" i="27"/>
  <c r="AF438" i="27" s="1"/>
  <c r="AG438" i="27" s="1"/>
  <c r="AC439" i="27" s="1"/>
  <c r="AM427" i="27"/>
  <c r="AL427" i="27"/>
  <c r="AN427" i="27" s="1"/>
  <c r="AO427" i="27" s="1"/>
  <c r="AK428" i="27" s="1"/>
  <c r="V428" i="27"/>
  <c r="X428" i="27" s="1"/>
  <c r="Y428" i="27" s="1"/>
  <c r="U429" i="27" s="1"/>
  <c r="I412" i="27"/>
  <c r="E412" i="27"/>
  <c r="F412" i="27"/>
  <c r="BC439" i="27"/>
  <c r="BB439" i="27"/>
  <c r="N428" i="27"/>
  <c r="O428" i="27"/>
  <c r="AT438" i="27"/>
  <c r="AU438" i="27"/>
  <c r="BK434" i="27" l="1"/>
  <c r="BJ434" i="27"/>
  <c r="BL434" i="27" s="1"/>
  <c r="BM434" i="27" s="1"/>
  <c r="BI435" i="27" s="1"/>
  <c r="BD439" i="27"/>
  <c r="BE439" i="27" s="1"/>
  <c r="BA440" i="27" s="1"/>
  <c r="BB440" i="27" s="1"/>
  <c r="AL428" i="27"/>
  <c r="AM428" i="27"/>
  <c r="AD439" i="27"/>
  <c r="AE439" i="27"/>
  <c r="V429" i="27"/>
  <c r="W429" i="27"/>
  <c r="AV438" i="27"/>
  <c r="AW438" i="27" s="1"/>
  <c r="AS439" i="27" s="1"/>
  <c r="AT439" i="27" s="1"/>
  <c r="G412" i="27"/>
  <c r="H412" i="27" s="1"/>
  <c r="D413" i="27" s="1"/>
  <c r="P428" i="27"/>
  <c r="Q428" i="27" s="1"/>
  <c r="M429" i="27" s="1"/>
  <c r="BC440" i="27" l="1"/>
  <c r="BJ435" i="27"/>
  <c r="BK435" i="27"/>
  <c r="AN428" i="27"/>
  <c r="AO428" i="27" s="1"/>
  <c r="AK429" i="27" s="1"/>
  <c r="AU439" i="27"/>
  <c r="AV439" i="27" s="1"/>
  <c r="AW439" i="27" s="1"/>
  <c r="AS440" i="27" s="1"/>
  <c r="AU440" i="27" s="1"/>
  <c r="AF439" i="27"/>
  <c r="AG439" i="27" s="1"/>
  <c r="AC440" i="27" s="1"/>
  <c r="X429" i="27"/>
  <c r="Y429" i="27" s="1"/>
  <c r="U430" i="27" s="1"/>
  <c r="E413" i="27"/>
  <c r="F413" i="27"/>
  <c r="I413" i="27"/>
  <c r="O429" i="27"/>
  <c r="N429" i="27"/>
  <c r="BD440" i="27"/>
  <c r="BE440" i="27" s="1"/>
  <c r="BA441" i="27" s="1"/>
  <c r="BL435" i="27" l="1"/>
  <c r="BM435" i="27" s="1"/>
  <c r="BI436" i="27" s="1"/>
  <c r="P429" i="27"/>
  <c r="Q429" i="27" s="1"/>
  <c r="M430" i="27" s="1"/>
  <c r="O430" i="27" s="1"/>
  <c r="AM429" i="27"/>
  <c r="AL429" i="27"/>
  <c r="AT440" i="27"/>
  <c r="AV440" i="27" s="1"/>
  <c r="AW440" i="27" s="1"/>
  <c r="AS441" i="27" s="1"/>
  <c r="AU441" i="27" s="1"/>
  <c r="AD440" i="27"/>
  <c r="AE440" i="27"/>
  <c r="V430" i="27"/>
  <c r="W430" i="27"/>
  <c r="N430" i="27"/>
  <c r="G413" i="27"/>
  <c r="H413" i="27" s="1"/>
  <c r="D414" i="27" s="1"/>
  <c r="BB441" i="27"/>
  <c r="BC441" i="27"/>
  <c r="BJ436" i="27" l="1"/>
  <c r="BK436" i="27"/>
  <c r="AN429" i="27"/>
  <c r="AO429" i="27" s="1"/>
  <c r="AK430" i="27" s="1"/>
  <c r="AM430" i="27" s="1"/>
  <c r="AT441" i="27"/>
  <c r="AV441" i="27" s="1"/>
  <c r="AW441" i="27" s="1"/>
  <c r="AS442" i="27" s="1"/>
  <c r="AU442" i="27" s="1"/>
  <c r="P430" i="27"/>
  <c r="Q430" i="27" s="1"/>
  <c r="M431" i="27" s="1"/>
  <c r="N431" i="27" s="1"/>
  <c r="AF440" i="27"/>
  <c r="AG440" i="27" s="1"/>
  <c r="AC441" i="27" s="1"/>
  <c r="X430" i="27"/>
  <c r="Y430" i="27" s="1"/>
  <c r="U431" i="27" s="1"/>
  <c r="BD441" i="27"/>
  <c r="BE441" i="27" s="1"/>
  <c r="BA442" i="27" s="1"/>
  <c r="BB442" i="27" s="1"/>
  <c r="I414" i="27"/>
  <c r="E414" i="27"/>
  <c r="F414" i="27"/>
  <c r="BL436" i="27" l="1"/>
  <c r="BM436" i="27" s="1"/>
  <c r="BI437" i="27" s="1"/>
  <c r="AL430" i="27"/>
  <c r="AN430" i="27" s="1"/>
  <c r="AO430" i="27" s="1"/>
  <c r="AK431" i="27" s="1"/>
  <c r="O431" i="27"/>
  <c r="AT442" i="27"/>
  <c r="AV442" i="27" s="1"/>
  <c r="AW442" i="27" s="1"/>
  <c r="AS443" i="27" s="1"/>
  <c r="P431" i="27"/>
  <c r="Q431" i="27" s="1"/>
  <c r="M432" i="27" s="1"/>
  <c r="N432" i="27" s="1"/>
  <c r="BC442" i="27"/>
  <c r="BD442" i="27" s="1"/>
  <c r="BE442" i="27" s="1"/>
  <c r="BA443" i="27" s="1"/>
  <c r="AD441" i="27"/>
  <c r="AE441" i="27"/>
  <c r="V431" i="27"/>
  <c r="W431" i="27"/>
  <c r="G414" i="27"/>
  <c r="H414" i="27" s="1"/>
  <c r="D415" i="27" s="1"/>
  <c r="BK437" i="27" l="1"/>
  <c r="BJ437" i="27"/>
  <c r="BL437" i="27" s="1"/>
  <c r="BM437" i="27" s="1"/>
  <c r="BI438" i="27" s="1"/>
  <c r="AL431" i="27"/>
  <c r="AM431" i="27"/>
  <c r="O432" i="27"/>
  <c r="AF441" i="27"/>
  <c r="AG441" i="27" s="1"/>
  <c r="AC442" i="27" s="1"/>
  <c r="X431" i="27"/>
  <c r="Y431" i="27" s="1"/>
  <c r="U432" i="27" s="1"/>
  <c r="P432" i="27"/>
  <c r="Q432" i="27" s="1"/>
  <c r="M433" i="27" s="1"/>
  <c r="O433" i="27" s="1"/>
  <c r="AT443" i="27"/>
  <c r="AU443" i="27"/>
  <c r="F415" i="27"/>
  <c r="E415" i="27"/>
  <c r="I415" i="27"/>
  <c r="BC443" i="27"/>
  <c r="BB443" i="27"/>
  <c r="BJ438" i="27" l="1"/>
  <c r="BK438" i="27"/>
  <c r="AN431" i="27"/>
  <c r="AO431" i="27" s="1"/>
  <c r="AK432" i="27" s="1"/>
  <c r="BD443" i="27"/>
  <c r="BE443" i="27" s="1"/>
  <c r="BA444" i="27" s="1"/>
  <c r="BC444" i="27" s="1"/>
  <c r="AL432" i="27"/>
  <c r="AM432" i="27"/>
  <c r="AD442" i="27"/>
  <c r="AE442" i="27"/>
  <c r="N433" i="27"/>
  <c r="P433" i="27" s="1"/>
  <c r="Q433" i="27" s="1"/>
  <c r="M434" i="27" s="1"/>
  <c r="W432" i="27"/>
  <c r="V432" i="27"/>
  <c r="AV443" i="27"/>
  <c r="AW443" i="27" s="1"/>
  <c r="AS444" i="27" s="1"/>
  <c r="G415" i="27"/>
  <c r="H415" i="27" s="1"/>
  <c r="D416" i="27" s="1"/>
  <c r="BL438" i="27" l="1"/>
  <c r="BM438" i="27" s="1"/>
  <c r="BI439" i="27" s="1"/>
  <c r="BB444" i="27"/>
  <c r="BD444" i="27" s="1"/>
  <c r="BE444" i="27" s="1"/>
  <c r="BA445" i="27" s="1"/>
  <c r="BB445" i="27" s="1"/>
  <c r="X432" i="27"/>
  <c r="Y432" i="27" s="1"/>
  <c r="U433" i="27" s="1"/>
  <c r="V433" i="27" s="1"/>
  <c r="AN432" i="27"/>
  <c r="AO432" i="27" s="1"/>
  <c r="AK433" i="27" s="1"/>
  <c r="AF442" i="27"/>
  <c r="AG442" i="27" s="1"/>
  <c r="AC443" i="27" s="1"/>
  <c r="N434" i="27"/>
  <c r="O434" i="27"/>
  <c r="I416" i="27"/>
  <c r="E416" i="27"/>
  <c r="F416" i="27"/>
  <c r="AT444" i="27"/>
  <c r="AU444" i="27"/>
  <c r="BK439" i="27" l="1"/>
  <c r="BJ439" i="27"/>
  <c r="BL439" i="27" s="1"/>
  <c r="BM439" i="27" s="1"/>
  <c r="BI440" i="27" s="1"/>
  <c r="W433" i="27"/>
  <c r="X433" i="27" s="1"/>
  <c r="Y433" i="27" s="1"/>
  <c r="U434" i="27" s="1"/>
  <c r="W434" i="27" s="1"/>
  <c r="BC445" i="27"/>
  <c r="BD445" i="27" s="1"/>
  <c r="BE445" i="27" s="1"/>
  <c r="BA446" i="27" s="1"/>
  <c r="BB446" i="27" s="1"/>
  <c r="AL433" i="27"/>
  <c r="AM433" i="27"/>
  <c r="AD443" i="27"/>
  <c r="AE443" i="27"/>
  <c r="P434" i="27"/>
  <c r="Q434" i="27" s="1"/>
  <c r="M435" i="27" s="1"/>
  <c r="AV444" i="27"/>
  <c r="AW444" i="27" s="1"/>
  <c r="AS445" i="27" s="1"/>
  <c r="G416" i="27"/>
  <c r="H416" i="27" s="1"/>
  <c r="D417" i="27" s="1"/>
  <c r="BJ440" i="27" l="1"/>
  <c r="BK440" i="27"/>
  <c r="V434" i="27"/>
  <c r="X434" i="27" s="1"/>
  <c r="Y434" i="27" s="1"/>
  <c r="U435" i="27" s="1"/>
  <c r="BC446" i="27"/>
  <c r="AN433" i="27"/>
  <c r="AO433" i="27" s="1"/>
  <c r="AK434" i="27" s="1"/>
  <c r="AF443" i="27"/>
  <c r="AG443" i="27" s="1"/>
  <c r="AC444" i="27" s="1"/>
  <c r="BD446" i="27"/>
  <c r="BE446" i="27" s="1"/>
  <c r="BA447" i="27" s="1"/>
  <c r="BC447" i="27" s="1"/>
  <c r="I417" i="27"/>
  <c r="E417" i="27"/>
  <c r="F417" i="27"/>
  <c r="N435" i="27"/>
  <c r="O435" i="27"/>
  <c r="AT445" i="27"/>
  <c r="AU445" i="27"/>
  <c r="BL440" i="27" l="1"/>
  <c r="BM440" i="27" s="1"/>
  <c r="BI441" i="27" s="1"/>
  <c r="V435" i="27"/>
  <c r="W435" i="27"/>
  <c r="AM434" i="27"/>
  <c r="AL434" i="27"/>
  <c r="AE444" i="27"/>
  <c r="AD444" i="27"/>
  <c r="BB447" i="27"/>
  <c r="BD447" i="27" s="1"/>
  <c r="BE447" i="27" s="1"/>
  <c r="BA448" i="27" s="1"/>
  <c r="G417" i="27"/>
  <c r="H417" i="27" s="1"/>
  <c r="D418" i="27" s="1"/>
  <c r="F418" i="27" s="1"/>
  <c r="P435" i="27"/>
  <c r="Q435" i="27" s="1"/>
  <c r="M436" i="27" s="1"/>
  <c r="AV445" i="27"/>
  <c r="AW445" i="27" s="1"/>
  <c r="AS446" i="27" s="1"/>
  <c r="BJ441" i="27" l="1"/>
  <c r="BK441" i="27"/>
  <c r="X435" i="27"/>
  <c r="Y435" i="27" s="1"/>
  <c r="U436" i="27" s="1"/>
  <c r="W436" i="27" s="1"/>
  <c r="AF444" i="27"/>
  <c r="AG444" i="27" s="1"/>
  <c r="AC445" i="27" s="1"/>
  <c r="AE445" i="27" s="1"/>
  <c r="AN434" i="27"/>
  <c r="AO434" i="27" s="1"/>
  <c r="AK435" i="27" s="1"/>
  <c r="AM435" i="27" s="1"/>
  <c r="E418" i="27"/>
  <c r="G418" i="27" s="1"/>
  <c r="H418" i="27" s="1"/>
  <c r="D419" i="27" s="1"/>
  <c r="F419" i="27" s="1"/>
  <c r="I418" i="27"/>
  <c r="AT446" i="27"/>
  <c r="AU446" i="27"/>
  <c r="BB448" i="27"/>
  <c r="BC448" i="27"/>
  <c r="O436" i="27"/>
  <c r="N436" i="27"/>
  <c r="AL435" i="27" l="1"/>
  <c r="BL441" i="27"/>
  <c r="BM441" i="27" s="1"/>
  <c r="BI442" i="27" s="1"/>
  <c r="V436" i="27"/>
  <c r="X436" i="27" s="1"/>
  <c r="Y436" i="27" s="1"/>
  <c r="U437" i="27" s="1"/>
  <c r="AD445" i="27"/>
  <c r="AF445" i="27" s="1"/>
  <c r="AG445" i="27" s="1"/>
  <c r="AC446" i="27" s="1"/>
  <c r="AN435" i="27"/>
  <c r="AO435" i="27" s="1"/>
  <c r="AK436" i="27" s="1"/>
  <c r="AL436" i="27" s="1"/>
  <c r="E419" i="27"/>
  <c r="G419" i="27" s="1"/>
  <c r="H419" i="27" s="1"/>
  <c r="D420" i="27" s="1"/>
  <c r="I419" i="27"/>
  <c r="AV446" i="27"/>
  <c r="AW446" i="27" s="1"/>
  <c r="AS447" i="27" s="1"/>
  <c r="AU447" i="27" s="1"/>
  <c r="BD448" i="27"/>
  <c r="BE448" i="27" s="1"/>
  <c r="BA449" i="27" s="1"/>
  <c r="P436" i="27"/>
  <c r="Q436" i="27" s="1"/>
  <c r="M437" i="27" s="1"/>
  <c r="BK442" i="27" l="1"/>
  <c r="BJ442" i="27"/>
  <c r="BL442" i="27" s="1"/>
  <c r="BM442" i="27" s="1"/>
  <c r="BI443" i="27" s="1"/>
  <c r="AM436" i="27"/>
  <c r="AN436" i="27" s="1"/>
  <c r="AO436" i="27" s="1"/>
  <c r="AK437" i="27" s="1"/>
  <c r="AE446" i="27"/>
  <c r="AD446" i="27"/>
  <c r="AT447" i="27"/>
  <c r="AV447" i="27" s="1"/>
  <c r="AW447" i="27" s="1"/>
  <c r="AS448" i="27" s="1"/>
  <c r="AT448" i="27" s="1"/>
  <c r="W437" i="27"/>
  <c r="V437" i="27"/>
  <c r="BB449" i="27"/>
  <c r="BC449" i="27"/>
  <c r="N437" i="27"/>
  <c r="O437" i="27"/>
  <c r="E420" i="27"/>
  <c r="F420" i="27"/>
  <c r="I420" i="27"/>
  <c r="BJ443" i="27" l="1"/>
  <c r="BK443" i="27"/>
  <c r="AF446" i="27"/>
  <c r="AG446" i="27" s="1"/>
  <c r="AC447" i="27" s="1"/>
  <c r="AD447" i="27" s="1"/>
  <c r="X437" i="27"/>
  <c r="Y437" i="27" s="1"/>
  <c r="U438" i="27" s="1"/>
  <c r="V438" i="27" s="1"/>
  <c r="AM437" i="27"/>
  <c r="AL437" i="27"/>
  <c r="AU448" i="27"/>
  <c r="AV448" i="27" s="1"/>
  <c r="AW448" i="27" s="1"/>
  <c r="AS449" i="27" s="1"/>
  <c r="BD449" i="27"/>
  <c r="BE449" i="27" s="1"/>
  <c r="BA450" i="27" s="1"/>
  <c r="BC450" i="27" s="1"/>
  <c r="P437" i="27"/>
  <c r="Q437" i="27" s="1"/>
  <c r="M438" i="27" s="1"/>
  <c r="G420" i="27"/>
  <c r="H420" i="27" s="1"/>
  <c r="D421" i="27" s="1"/>
  <c r="BL443" i="27" l="1"/>
  <c r="BM443" i="27" s="1"/>
  <c r="BI444" i="27" s="1"/>
  <c r="AE447" i="27"/>
  <c r="AF447" i="27" s="1"/>
  <c r="AG447" i="27" s="1"/>
  <c r="AC448" i="27" s="1"/>
  <c r="AN437" i="27"/>
  <c r="AO437" i="27" s="1"/>
  <c r="AK438" i="27" s="1"/>
  <c r="AM438" i="27" s="1"/>
  <c r="W438" i="27"/>
  <c r="X438" i="27" s="1"/>
  <c r="Y438" i="27" s="1"/>
  <c r="U439" i="27" s="1"/>
  <c r="V439" i="27" s="1"/>
  <c r="AT449" i="27"/>
  <c r="AU449" i="27"/>
  <c r="BB450" i="27"/>
  <c r="BD450" i="27" s="1"/>
  <c r="BE450" i="27" s="1"/>
  <c r="BA451" i="27" s="1"/>
  <c r="BC451" i="27" s="1"/>
  <c r="O438" i="27"/>
  <c r="N438" i="27"/>
  <c r="F421" i="27"/>
  <c r="I421" i="27"/>
  <c r="E421" i="27"/>
  <c r="AL438" i="27" l="1"/>
  <c r="BK444" i="27"/>
  <c r="BJ444" i="27"/>
  <c r="BL444" i="27" s="1"/>
  <c r="BM444" i="27" s="1"/>
  <c r="BI445" i="27" s="1"/>
  <c r="AN438" i="27"/>
  <c r="AO438" i="27" s="1"/>
  <c r="AK439" i="27" s="1"/>
  <c r="AL439" i="27" s="1"/>
  <c r="W439" i="27"/>
  <c r="X439" i="27" s="1"/>
  <c r="Y439" i="27" s="1"/>
  <c r="U440" i="27" s="1"/>
  <c r="V440" i="27" s="1"/>
  <c r="BB451" i="27"/>
  <c r="BD451" i="27" s="1"/>
  <c r="BE451" i="27" s="1"/>
  <c r="BA452" i="27" s="1"/>
  <c r="AE448" i="27"/>
  <c r="AD448" i="27"/>
  <c r="AV449" i="27"/>
  <c r="AW449" i="27" s="1"/>
  <c r="AS450" i="27" s="1"/>
  <c r="P438" i="27"/>
  <c r="Q438" i="27" s="1"/>
  <c r="M439" i="27" s="1"/>
  <c r="N439" i="27" s="1"/>
  <c r="G421" i="27"/>
  <c r="H421" i="27" s="1"/>
  <c r="D422" i="27" s="1"/>
  <c r="BJ445" i="27" l="1"/>
  <c r="BK445" i="27"/>
  <c r="AM439" i="27"/>
  <c r="AN439" i="27" s="1"/>
  <c r="AO439" i="27" s="1"/>
  <c r="AK440" i="27" s="1"/>
  <c r="AF448" i="27"/>
  <c r="AG448" i="27" s="1"/>
  <c r="AC449" i="27" s="1"/>
  <c r="AD449" i="27" s="1"/>
  <c r="W440" i="27"/>
  <c r="X440" i="27" s="1"/>
  <c r="Y440" i="27" s="1"/>
  <c r="U441" i="27" s="1"/>
  <c r="AU450" i="27"/>
  <c r="AT450" i="27"/>
  <c r="O439" i="27"/>
  <c r="P439" i="27" s="1"/>
  <c r="Q439" i="27" s="1"/>
  <c r="M440" i="27" s="1"/>
  <c r="O440" i="27" s="1"/>
  <c r="BB452" i="27"/>
  <c r="BC452" i="27"/>
  <c r="F422" i="27"/>
  <c r="I422" i="27"/>
  <c r="E422" i="27"/>
  <c r="BL445" i="27" l="1"/>
  <c r="BM445" i="27" s="1"/>
  <c r="BI446" i="27" s="1"/>
  <c r="AL440" i="27"/>
  <c r="AM440" i="27"/>
  <c r="AE449" i="27"/>
  <c r="AF449" i="27" s="1"/>
  <c r="AG449" i="27" s="1"/>
  <c r="AC450" i="27" s="1"/>
  <c r="AV450" i="27"/>
  <c r="AW450" i="27" s="1"/>
  <c r="AS451" i="27" s="1"/>
  <c r="AU451" i="27" s="1"/>
  <c r="W441" i="27"/>
  <c r="V441" i="27"/>
  <c r="X441" i="27" s="1"/>
  <c r="Y441" i="27" s="1"/>
  <c r="U442" i="27" s="1"/>
  <c r="V442" i="27" s="1"/>
  <c r="N440" i="27"/>
  <c r="P440" i="27" s="1"/>
  <c r="Q440" i="27" s="1"/>
  <c r="M441" i="27" s="1"/>
  <c r="BD452" i="27"/>
  <c r="BE452" i="27" s="1"/>
  <c r="BA453" i="27" s="1"/>
  <c r="G422" i="27"/>
  <c r="H422" i="27" s="1"/>
  <c r="D423" i="27" s="1"/>
  <c r="AN440" i="27" l="1"/>
  <c r="AO440" i="27" s="1"/>
  <c r="AK441" i="27" s="1"/>
  <c r="BK446" i="27"/>
  <c r="BJ446" i="27"/>
  <c r="BL446" i="27" s="1"/>
  <c r="BM446" i="27" s="1"/>
  <c r="BI447" i="27" s="1"/>
  <c r="AT451" i="27"/>
  <c r="AV451" i="27" s="1"/>
  <c r="AW451" i="27" s="1"/>
  <c r="AS452" i="27" s="1"/>
  <c r="W442" i="27"/>
  <c r="X442" i="27" s="1"/>
  <c r="Y442" i="27" s="1"/>
  <c r="U443" i="27" s="1"/>
  <c r="BK447" i="27"/>
  <c r="BJ447" i="27"/>
  <c r="AM441" i="27"/>
  <c r="AL441" i="27"/>
  <c r="AE450" i="27"/>
  <c r="AD450" i="27"/>
  <c r="BC453" i="27"/>
  <c r="BB453" i="27"/>
  <c r="I423" i="27"/>
  <c r="F423" i="27"/>
  <c r="E423" i="27"/>
  <c r="N441" i="27"/>
  <c r="O441" i="27"/>
  <c r="BD453" i="27" l="1"/>
  <c r="BE453" i="27" s="1"/>
  <c r="BA454" i="27" s="1"/>
  <c r="AN441" i="27"/>
  <c r="AO441" i="27" s="1"/>
  <c r="AK442" i="27" s="1"/>
  <c r="AF450" i="27"/>
  <c r="AG450" i="27" s="1"/>
  <c r="AC451" i="27" s="1"/>
  <c r="AD451" i="27" s="1"/>
  <c r="BL447" i="27"/>
  <c r="BM447" i="27" s="1"/>
  <c r="BI448" i="27" s="1"/>
  <c r="AM442" i="27"/>
  <c r="AL442" i="27"/>
  <c r="AN442" i="27" s="1"/>
  <c r="AO442" i="27" s="1"/>
  <c r="AK443" i="27" s="1"/>
  <c r="AT452" i="27"/>
  <c r="AU452" i="27"/>
  <c r="V443" i="27"/>
  <c r="W443" i="27"/>
  <c r="BB454" i="27"/>
  <c r="BC454" i="27"/>
  <c r="G423" i="27"/>
  <c r="H423" i="27" s="1"/>
  <c r="D424" i="27" s="1"/>
  <c r="P441" i="27"/>
  <c r="Q441" i="27" s="1"/>
  <c r="M442" i="27" s="1"/>
  <c r="AE451" i="27" l="1"/>
  <c r="AF451" i="27" s="1"/>
  <c r="AG451" i="27" s="1"/>
  <c r="AC452" i="27" s="1"/>
  <c r="BJ448" i="27"/>
  <c r="BK448" i="27"/>
  <c r="AM443" i="27"/>
  <c r="AL443" i="27"/>
  <c r="AN443" i="27" s="1"/>
  <c r="AO443" i="27" s="1"/>
  <c r="AK444" i="27" s="1"/>
  <c r="AV452" i="27"/>
  <c r="AW452" i="27" s="1"/>
  <c r="AS453" i="27" s="1"/>
  <c r="X443" i="27"/>
  <c r="Y443" i="27" s="1"/>
  <c r="U444" i="27" s="1"/>
  <c r="F424" i="27"/>
  <c r="E424" i="27"/>
  <c r="I424" i="27"/>
  <c r="O442" i="27"/>
  <c r="N442" i="27"/>
  <c r="BD454" i="27"/>
  <c r="BE454" i="27" s="1"/>
  <c r="BA455" i="27" s="1"/>
  <c r="BL448" i="27" l="1"/>
  <c r="BM448" i="27" s="1"/>
  <c r="BI449" i="27" s="1"/>
  <c r="AM444" i="27"/>
  <c r="AL444" i="27"/>
  <c r="AD452" i="27"/>
  <c r="AE452" i="27"/>
  <c r="AT453" i="27"/>
  <c r="AU453" i="27"/>
  <c r="W444" i="27"/>
  <c r="V444" i="27"/>
  <c r="BC455" i="27"/>
  <c r="BB455" i="27"/>
  <c r="BD455" i="27" s="1"/>
  <c r="BE455" i="27" s="1"/>
  <c r="BA456" i="27" s="1"/>
  <c r="G424" i="27"/>
  <c r="H424" i="27" s="1"/>
  <c r="D425" i="27" s="1"/>
  <c r="P442" i="27"/>
  <c r="Q442" i="27" s="1"/>
  <c r="M443" i="27" s="1"/>
  <c r="AN444" i="27" l="1"/>
  <c r="AO444" i="27" s="1"/>
  <c r="AK445" i="27" s="1"/>
  <c r="AM445" i="27" s="1"/>
  <c r="BK449" i="27"/>
  <c r="BJ449" i="27"/>
  <c r="X444" i="27"/>
  <c r="Y444" i="27" s="1"/>
  <c r="U445" i="27" s="1"/>
  <c r="W445" i="27" s="1"/>
  <c r="AV453" i="27"/>
  <c r="AW453" i="27" s="1"/>
  <c r="AS454" i="27" s="1"/>
  <c r="AU454" i="27" s="1"/>
  <c r="AF452" i="27"/>
  <c r="AG452" i="27" s="1"/>
  <c r="AC453" i="27" s="1"/>
  <c r="BB456" i="27"/>
  <c r="BC456" i="27"/>
  <c r="I425" i="27"/>
  <c r="F425" i="27"/>
  <c r="E425" i="27"/>
  <c r="O443" i="27"/>
  <c r="N443" i="27"/>
  <c r="BL449" i="27" l="1"/>
  <c r="BM449" i="27" s="1"/>
  <c r="BI450" i="27" s="1"/>
  <c r="AL445" i="27"/>
  <c r="AN445" i="27" s="1"/>
  <c r="AO445" i="27" s="1"/>
  <c r="AK446" i="27" s="1"/>
  <c r="BK450" i="27"/>
  <c r="BJ450" i="27"/>
  <c r="AT454" i="27"/>
  <c r="AV454" i="27" s="1"/>
  <c r="AW454" i="27" s="1"/>
  <c r="AS455" i="27" s="1"/>
  <c r="AU455" i="27" s="1"/>
  <c r="V445" i="27"/>
  <c r="X445" i="27" s="1"/>
  <c r="Y445" i="27" s="1"/>
  <c r="U446" i="27" s="1"/>
  <c r="G425" i="27"/>
  <c r="H425" i="27" s="1"/>
  <c r="D426" i="27" s="1"/>
  <c r="E426" i="27" s="1"/>
  <c r="AE453" i="27"/>
  <c r="AD453" i="27"/>
  <c r="BD456" i="27"/>
  <c r="BE456" i="27" s="1"/>
  <c r="BA457" i="27" s="1"/>
  <c r="P443" i="27"/>
  <c r="Q443" i="27" s="1"/>
  <c r="M444" i="27" s="1"/>
  <c r="AM446" i="27" l="1"/>
  <c r="AL446" i="27"/>
  <c r="AN446" i="27" s="1"/>
  <c r="AO446" i="27" s="1"/>
  <c r="AK447" i="27" s="1"/>
  <c r="AM447" i="27" s="1"/>
  <c r="AF453" i="27"/>
  <c r="AG453" i="27" s="1"/>
  <c r="AC454" i="27" s="1"/>
  <c r="AD454" i="27" s="1"/>
  <c r="BL450" i="27"/>
  <c r="BM450" i="27" s="1"/>
  <c r="BI451" i="27" s="1"/>
  <c r="AT455" i="27"/>
  <c r="AV455" i="27" s="1"/>
  <c r="AW455" i="27" s="1"/>
  <c r="AS456" i="27" s="1"/>
  <c r="AT456" i="27" s="1"/>
  <c r="I426" i="27"/>
  <c r="F426" i="27"/>
  <c r="G426" i="27" s="1"/>
  <c r="H426" i="27" s="1"/>
  <c r="D427" i="27" s="1"/>
  <c r="F427" i="27" s="1"/>
  <c r="V446" i="27"/>
  <c r="W446" i="27"/>
  <c r="O444" i="27"/>
  <c r="N444" i="27"/>
  <c r="BB457" i="27"/>
  <c r="BC457" i="27"/>
  <c r="AL447" i="27" l="1"/>
  <c r="AN447" i="27" s="1"/>
  <c r="AO447" i="27" s="1"/>
  <c r="AK448" i="27" s="1"/>
  <c r="AE454" i="27"/>
  <c r="AF454" i="27" s="1"/>
  <c r="AG454" i="27" s="1"/>
  <c r="AC455" i="27" s="1"/>
  <c r="AE455" i="27" s="1"/>
  <c r="AU456" i="27"/>
  <c r="AV456" i="27" s="1"/>
  <c r="AW456" i="27" s="1"/>
  <c r="AS457" i="27" s="1"/>
  <c r="BK451" i="27"/>
  <c r="BJ451" i="27"/>
  <c r="AL448" i="27"/>
  <c r="AM448" i="27"/>
  <c r="X446" i="27"/>
  <c r="Y446" i="27" s="1"/>
  <c r="U447" i="27" s="1"/>
  <c r="W447" i="27" s="1"/>
  <c r="I427" i="27"/>
  <c r="E427" i="27"/>
  <c r="G427" i="27" s="1"/>
  <c r="H427" i="27" s="1"/>
  <c r="D428" i="27" s="1"/>
  <c r="E428" i="27" s="1"/>
  <c r="P444" i="27"/>
  <c r="Q444" i="27" s="1"/>
  <c r="M445" i="27" s="1"/>
  <c r="O445" i="27" s="1"/>
  <c r="BD457" i="27"/>
  <c r="BE457" i="27" s="1"/>
  <c r="BA458" i="27" s="1"/>
  <c r="AD455" i="27" l="1"/>
  <c r="AF455" i="27" s="1"/>
  <c r="AG455" i="27" s="1"/>
  <c r="AC456" i="27" s="1"/>
  <c r="AD456" i="27" s="1"/>
  <c r="BL451" i="27"/>
  <c r="BM451" i="27" s="1"/>
  <c r="BI452" i="27" s="1"/>
  <c r="V447" i="27"/>
  <c r="X447" i="27" s="1"/>
  <c r="Y447" i="27" s="1"/>
  <c r="U448" i="27" s="1"/>
  <c r="W448" i="27" s="1"/>
  <c r="AN448" i="27"/>
  <c r="AO448" i="27" s="1"/>
  <c r="AK449" i="27" s="1"/>
  <c r="AU457" i="27"/>
  <c r="AT457" i="27"/>
  <c r="I428" i="27"/>
  <c r="F428" i="27"/>
  <c r="G428" i="27" s="1"/>
  <c r="H428" i="27" s="1"/>
  <c r="D429" i="27" s="1"/>
  <c r="N445" i="27"/>
  <c r="P445" i="27" s="1"/>
  <c r="Q445" i="27" s="1"/>
  <c r="M446" i="27" s="1"/>
  <c r="BC458" i="27"/>
  <c r="BB458" i="27"/>
  <c r="AE456" i="27" l="1"/>
  <c r="BJ452" i="27"/>
  <c r="BK452" i="27"/>
  <c r="AM449" i="27"/>
  <c r="AL449" i="27"/>
  <c r="AV457" i="27"/>
  <c r="AW457" i="27" s="1"/>
  <c r="AS458" i="27" s="1"/>
  <c r="AU458" i="27" s="1"/>
  <c r="V448" i="27"/>
  <c r="X448" i="27" s="1"/>
  <c r="Y448" i="27" s="1"/>
  <c r="U449" i="27" s="1"/>
  <c r="W449" i="27" s="1"/>
  <c r="AF456" i="27"/>
  <c r="AG456" i="27" s="1"/>
  <c r="AC457" i="27" s="1"/>
  <c r="N446" i="27"/>
  <c r="O446" i="27"/>
  <c r="BD458" i="27"/>
  <c r="BE458" i="27" s="1"/>
  <c r="BA459" i="27" s="1"/>
  <c r="F429" i="27"/>
  <c r="I429" i="27"/>
  <c r="E429" i="27"/>
  <c r="AN449" i="27" l="1"/>
  <c r="AO449" i="27" s="1"/>
  <c r="AK450" i="27" s="1"/>
  <c r="BL452" i="27"/>
  <c r="BM452" i="27" s="1"/>
  <c r="BI453" i="27" s="1"/>
  <c r="AT458" i="27"/>
  <c r="AV458" i="27" s="1"/>
  <c r="AW458" i="27" s="1"/>
  <c r="AS459" i="27" s="1"/>
  <c r="BK453" i="27"/>
  <c r="BJ453" i="27"/>
  <c r="V449" i="27"/>
  <c r="X449" i="27" s="1"/>
  <c r="Y449" i="27" s="1"/>
  <c r="U450" i="27" s="1"/>
  <c r="V450" i="27" s="1"/>
  <c r="AM450" i="27"/>
  <c r="AL450" i="27"/>
  <c r="AD457" i="27"/>
  <c r="AE457" i="27"/>
  <c r="G429" i="27"/>
  <c r="H429" i="27" s="1"/>
  <c r="D430" i="27" s="1"/>
  <c r="E430" i="27" s="1"/>
  <c r="P446" i="27"/>
  <c r="Q446" i="27" s="1"/>
  <c r="M447" i="27" s="1"/>
  <c r="BB459" i="27"/>
  <c r="BC459" i="27"/>
  <c r="AN450" i="27" l="1"/>
  <c r="AO450" i="27" s="1"/>
  <c r="AK451" i="27" s="1"/>
  <c r="BL453" i="27"/>
  <c r="BM453" i="27" s="1"/>
  <c r="BI454" i="27" s="1"/>
  <c r="AM451" i="27"/>
  <c r="AL451" i="27"/>
  <c r="W450" i="27"/>
  <c r="X450" i="27" s="1"/>
  <c r="Y450" i="27" s="1"/>
  <c r="U451" i="27" s="1"/>
  <c r="W451" i="27" s="1"/>
  <c r="I430" i="27"/>
  <c r="AF457" i="27"/>
  <c r="AG457" i="27" s="1"/>
  <c r="AC458" i="27" s="1"/>
  <c r="AT459" i="27"/>
  <c r="AU459" i="27"/>
  <c r="F430" i="27"/>
  <c r="G430" i="27" s="1"/>
  <c r="H430" i="27" s="1"/>
  <c r="D431" i="27" s="1"/>
  <c r="BD459" i="27"/>
  <c r="BE459" i="27" s="1"/>
  <c r="BA460" i="27" s="1"/>
  <c r="BB460" i="27" s="1"/>
  <c r="N447" i="27"/>
  <c r="O447" i="27"/>
  <c r="BC460" i="27" l="1"/>
  <c r="BJ454" i="27"/>
  <c r="BK454" i="27"/>
  <c r="AN451" i="27"/>
  <c r="AO451" i="27" s="1"/>
  <c r="AK452" i="27" s="1"/>
  <c r="AL452" i="27" s="1"/>
  <c r="AV459" i="27"/>
  <c r="AW459" i="27" s="1"/>
  <c r="AS460" i="27" s="1"/>
  <c r="AU460" i="27" s="1"/>
  <c r="V451" i="27"/>
  <c r="X451" i="27" s="1"/>
  <c r="Y451" i="27" s="1"/>
  <c r="U452" i="27" s="1"/>
  <c r="AE458" i="27"/>
  <c r="AD458" i="27"/>
  <c r="BD460" i="27"/>
  <c r="BE460" i="27" s="1"/>
  <c r="BA461" i="27" s="1"/>
  <c r="BB461" i="27" s="1"/>
  <c r="P447" i="27"/>
  <c r="Q447" i="27" s="1"/>
  <c r="M448" i="27" s="1"/>
  <c r="I431" i="27"/>
  <c r="F431" i="27"/>
  <c r="E431" i="27"/>
  <c r="AM452" i="27" l="1"/>
  <c r="AN452" i="27" s="1"/>
  <c r="AO452" i="27" s="1"/>
  <c r="AK453" i="27" s="1"/>
  <c r="AM453" i="27" s="1"/>
  <c r="BL454" i="27"/>
  <c r="BM454" i="27" s="1"/>
  <c r="BI455" i="27" s="1"/>
  <c r="AT460" i="27"/>
  <c r="AV460" i="27" s="1"/>
  <c r="AW460" i="27" s="1"/>
  <c r="AS461" i="27" s="1"/>
  <c r="AT461" i="27" s="1"/>
  <c r="BJ455" i="27"/>
  <c r="BK455" i="27"/>
  <c r="BC461" i="27"/>
  <c r="BD461" i="27" s="1"/>
  <c r="BE461" i="27" s="1"/>
  <c r="BA462" i="27" s="1"/>
  <c r="BC462" i="27" s="1"/>
  <c r="W452" i="27"/>
  <c r="V452" i="27"/>
  <c r="AF458" i="27"/>
  <c r="AG458" i="27" s="1"/>
  <c r="AC459" i="27" s="1"/>
  <c r="AD459" i="27" s="1"/>
  <c r="G431" i="27"/>
  <c r="H431" i="27" s="1"/>
  <c r="D432" i="27" s="1"/>
  <c r="E432" i="27" s="1"/>
  <c r="O448" i="27"/>
  <c r="N448" i="27"/>
  <c r="BL455" i="27" l="1"/>
  <c r="BM455" i="27" s="1"/>
  <c r="BI456" i="27" s="1"/>
  <c r="BK456" i="27" s="1"/>
  <c r="X452" i="27"/>
  <c r="Y452" i="27" s="1"/>
  <c r="U453" i="27" s="1"/>
  <c r="V453" i="27" s="1"/>
  <c r="BJ456" i="27"/>
  <c r="BB462" i="27"/>
  <c r="BD462" i="27" s="1"/>
  <c r="BE462" i="27" s="1"/>
  <c r="BA463" i="27" s="1"/>
  <c r="BB463" i="27" s="1"/>
  <c r="AL453" i="27"/>
  <c r="AN453" i="27" s="1"/>
  <c r="AO453" i="27" s="1"/>
  <c r="AK454" i="27" s="1"/>
  <c r="AL454" i="27" s="1"/>
  <c r="AE459" i="27"/>
  <c r="AF459" i="27" s="1"/>
  <c r="AG459" i="27" s="1"/>
  <c r="AC460" i="27" s="1"/>
  <c r="AE460" i="27" s="1"/>
  <c r="AU461" i="27"/>
  <c r="AV461" i="27" s="1"/>
  <c r="AW461" i="27" s="1"/>
  <c r="AS462" i="27" s="1"/>
  <c r="I432" i="27"/>
  <c r="F432" i="27"/>
  <c r="G432" i="27" s="1"/>
  <c r="H432" i="27" s="1"/>
  <c r="D433" i="27" s="1"/>
  <c r="P448" i="27"/>
  <c r="Q448" i="27" s="1"/>
  <c r="M449" i="27" s="1"/>
  <c r="W453" i="27" l="1"/>
  <c r="X453" i="27" s="1"/>
  <c r="Y453" i="27" s="1"/>
  <c r="U454" i="27" s="1"/>
  <c r="W454" i="27" s="1"/>
  <c r="AM454" i="27"/>
  <c r="AN454" i="27" s="1"/>
  <c r="AO454" i="27" s="1"/>
  <c r="AK455" i="27" s="1"/>
  <c r="AL455" i="27" s="1"/>
  <c r="BL456" i="27"/>
  <c r="BM456" i="27" s="1"/>
  <c r="BI457" i="27" s="1"/>
  <c r="BC463" i="27"/>
  <c r="BD463" i="27" s="1"/>
  <c r="BE463" i="27" s="1"/>
  <c r="BA464" i="27" s="1"/>
  <c r="AD460" i="27"/>
  <c r="AF460" i="27" s="1"/>
  <c r="AG460" i="27" s="1"/>
  <c r="AC461" i="27" s="1"/>
  <c r="AD461" i="27" s="1"/>
  <c r="AU462" i="27"/>
  <c r="AT462" i="27"/>
  <c r="O449" i="27"/>
  <c r="N449" i="27"/>
  <c r="I433" i="27"/>
  <c r="F433" i="27"/>
  <c r="E433" i="27"/>
  <c r="V454" i="27" l="1"/>
  <c r="X454" i="27" s="1"/>
  <c r="Y454" i="27" s="1"/>
  <c r="U455" i="27" s="1"/>
  <c r="W455" i="27" s="1"/>
  <c r="AM455" i="27"/>
  <c r="AN455" i="27" s="1"/>
  <c r="AO455" i="27" s="1"/>
  <c r="AK456" i="27" s="1"/>
  <c r="AE461" i="27"/>
  <c r="AF461" i="27" s="1"/>
  <c r="AG461" i="27" s="1"/>
  <c r="AC462" i="27" s="1"/>
  <c r="BJ457" i="27"/>
  <c r="BK457" i="27"/>
  <c r="BC464" i="27"/>
  <c r="BB464" i="27"/>
  <c r="BD464" i="27" s="1"/>
  <c r="BE464" i="27" s="1"/>
  <c r="BA465" i="27" s="1"/>
  <c r="BB465" i="27" s="1"/>
  <c r="AV462" i="27"/>
  <c r="AW462" i="27" s="1"/>
  <c r="AS463" i="27" s="1"/>
  <c r="AU463" i="27" s="1"/>
  <c r="P449" i="27"/>
  <c r="Q449" i="27" s="1"/>
  <c r="M450" i="27" s="1"/>
  <c r="N450" i="27" s="1"/>
  <c r="G433" i="27"/>
  <c r="H433" i="27" s="1"/>
  <c r="D434" i="27" s="1"/>
  <c r="V455" i="27" l="1"/>
  <c r="X455" i="27" s="1"/>
  <c r="Y455" i="27" s="1"/>
  <c r="U456" i="27" s="1"/>
  <c r="W456" i="27" s="1"/>
  <c r="BL457" i="27"/>
  <c r="BM457" i="27" s="1"/>
  <c r="BI458" i="27" s="1"/>
  <c r="AT463" i="27"/>
  <c r="AV463" i="27" s="1"/>
  <c r="AW463" i="27" s="1"/>
  <c r="AS464" i="27" s="1"/>
  <c r="AU464" i="27" s="1"/>
  <c r="AL456" i="27"/>
  <c r="AM456" i="27"/>
  <c r="BK458" i="27"/>
  <c r="BJ458" i="27"/>
  <c r="BC465" i="27"/>
  <c r="BD465" i="27" s="1"/>
  <c r="BE465" i="27" s="1"/>
  <c r="BA466" i="27" s="1"/>
  <c r="O450" i="27"/>
  <c r="P450" i="27" s="1"/>
  <c r="Q450" i="27" s="1"/>
  <c r="M451" i="27" s="1"/>
  <c r="N451" i="27" s="1"/>
  <c r="AD462" i="27"/>
  <c r="AE462" i="27"/>
  <c r="F434" i="27"/>
  <c r="I434" i="27"/>
  <c r="E434" i="27"/>
  <c r="V456" i="27" l="1"/>
  <c r="X456" i="27" s="1"/>
  <c r="Y456" i="27" s="1"/>
  <c r="U457" i="27" s="1"/>
  <c r="W457" i="27" s="1"/>
  <c r="AN456" i="27"/>
  <c r="AO456" i="27" s="1"/>
  <c r="AK457" i="27" s="1"/>
  <c r="AL457" i="27" s="1"/>
  <c r="AT464" i="27"/>
  <c r="AV464" i="27" s="1"/>
  <c r="AW464" i="27" s="1"/>
  <c r="AS465" i="27" s="1"/>
  <c r="AU465" i="27" s="1"/>
  <c r="BL458" i="27"/>
  <c r="BM458" i="27" s="1"/>
  <c r="BI459" i="27" s="1"/>
  <c r="O451" i="27"/>
  <c r="P451" i="27" s="1"/>
  <c r="Q451" i="27" s="1"/>
  <c r="M452" i="27" s="1"/>
  <c r="AF462" i="27"/>
  <c r="AG462" i="27" s="1"/>
  <c r="AC463" i="27" s="1"/>
  <c r="BC466" i="27"/>
  <c r="BB466" i="27"/>
  <c r="G434" i="27"/>
  <c r="H434" i="27" s="1"/>
  <c r="D435" i="27" s="1"/>
  <c r="V457" i="27" l="1"/>
  <c r="X457" i="27" s="1"/>
  <c r="Y457" i="27" s="1"/>
  <c r="U458" i="27" s="1"/>
  <c r="V458" i="27" s="1"/>
  <c r="AT465" i="27"/>
  <c r="AM457" i="27"/>
  <c r="AN457" i="27" s="1"/>
  <c r="AO457" i="27" s="1"/>
  <c r="AK458" i="27" s="1"/>
  <c r="AM458" i="27" s="1"/>
  <c r="BD466" i="27"/>
  <c r="BE466" i="27" s="1"/>
  <c r="BA467" i="27" s="1"/>
  <c r="BB467" i="27" s="1"/>
  <c r="AV465" i="27"/>
  <c r="AW465" i="27" s="1"/>
  <c r="AS466" i="27" s="1"/>
  <c r="AU466" i="27" s="1"/>
  <c r="BJ459" i="27"/>
  <c r="BK459" i="27"/>
  <c r="AE463" i="27"/>
  <c r="AD463" i="27"/>
  <c r="E435" i="27"/>
  <c r="F435" i="27"/>
  <c r="I435" i="27"/>
  <c r="N452" i="27"/>
  <c r="O452" i="27"/>
  <c r="BC467" i="27" l="1"/>
  <c r="AT466" i="27"/>
  <c r="AV466" i="27" s="1"/>
  <c r="AW466" i="27" s="1"/>
  <c r="AS467" i="27" s="1"/>
  <c r="AT467" i="27" s="1"/>
  <c r="AF463" i="27"/>
  <c r="AG463" i="27" s="1"/>
  <c r="AC464" i="27" s="1"/>
  <c r="AE464" i="27" s="1"/>
  <c r="AL458" i="27"/>
  <c r="AN458" i="27" s="1"/>
  <c r="AO458" i="27" s="1"/>
  <c r="AK459" i="27" s="1"/>
  <c r="BL459" i="27"/>
  <c r="BM459" i="27" s="1"/>
  <c r="BI460" i="27" s="1"/>
  <c r="BD467" i="27"/>
  <c r="BE467" i="27" s="1"/>
  <c r="BA468" i="27" s="1"/>
  <c r="BC468" i="27" s="1"/>
  <c r="P452" i="27"/>
  <c r="Q452" i="27" s="1"/>
  <c r="M453" i="27" s="1"/>
  <c r="N453" i="27" s="1"/>
  <c r="W458" i="27"/>
  <c r="X458" i="27" s="1"/>
  <c r="Y458" i="27" s="1"/>
  <c r="U459" i="27" s="1"/>
  <c r="G435" i="27"/>
  <c r="H435" i="27" s="1"/>
  <c r="D436" i="27" s="1"/>
  <c r="AU467" i="27" l="1"/>
  <c r="AV467" i="27" s="1"/>
  <c r="AW467" i="27" s="1"/>
  <c r="AS468" i="27" s="1"/>
  <c r="AU468" i="27" s="1"/>
  <c r="AD464" i="27"/>
  <c r="AF464" i="27" s="1"/>
  <c r="AG464" i="27" s="1"/>
  <c r="AC465" i="27" s="1"/>
  <c r="AM459" i="27"/>
  <c r="AL459" i="27"/>
  <c r="AN459" i="27" s="1"/>
  <c r="AO459" i="27" s="1"/>
  <c r="AK460" i="27" s="1"/>
  <c r="AM460" i="27" s="1"/>
  <c r="BJ460" i="27"/>
  <c r="BK460" i="27"/>
  <c r="BB468" i="27"/>
  <c r="BD468" i="27" s="1"/>
  <c r="BE468" i="27" s="1"/>
  <c r="BA469" i="27" s="1"/>
  <c r="O453" i="27"/>
  <c r="P453" i="27" s="1"/>
  <c r="Q453" i="27" s="1"/>
  <c r="M454" i="27" s="1"/>
  <c r="N454" i="27" s="1"/>
  <c r="V459" i="27"/>
  <c r="W459" i="27"/>
  <c r="F436" i="27"/>
  <c r="E436" i="27"/>
  <c r="I436" i="27"/>
  <c r="AE465" i="27" l="1"/>
  <c r="AD465" i="27"/>
  <c r="AT468" i="27"/>
  <c r="AV468" i="27" s="1"/>
  <c r="AW468" i="27" s="1"/>
  <c r="AS469" i="27" s="1"/>
  <c r="AT469" i="27" s="1"/>
  <c r="AL460" i="27"/>
  <c r="AN460" i="27" s="1"/>
  <c r="AO460" i="27" s="1"/>
  <c r="AK461" i="27" s="1"/>
  <c r="BL460" i="27"/>
  <c r="BM460" i="27" s="1"/>
  <c r="BI461" i="27" s="1"/>
  <c r="BK461" i="27" s="1"/>
  <c r="X459" i="27"/>
  <c r="Y459" i="27" s="1"/>
  <c r="U460" i="27" s="1"/>
  <c r="W460" i="27" s="1"/>
  <c r="O454" i="27"/>
  <c r="P454" i="27" s="1"/>
  <c r="Q454" i="27" s="1"/>
  <c r="M455" i="27" s="1"/>
  <c r="BB469" i="27"/>
  <c r="BC469" i="27"/>
  <c r="G436" i="27"/>
  <c r="H436" i="27" s="1"/>
  <c r="D437" i="27" s="1"/>
  <c r="AF465" i="27" l="1"/>
  <c r="AG465" i="27" s="1"/>
  <c r="AC466" i="27" s="1"/>
  <c r="AD466" i="27" s="1"/>
  <c r="BJ461" i="27"/>
  <c r="BL461" i="27" s="1"/>
  <c r="BM461" i="27" s="1"/>
  <c r="BI462" i="27" s="1"/>
  <c r="AE466" i="27"/>
  <c r="AF466" i="27" s="1"/>
  <c r="AG466" i="27" s="1"/>
  <c r="AC467" i="27" s="1"/>
  <c r="V460" i="27"/>
  <c r="X460" i="27" s="1"/>
  <c r="Y460" i="27" s="1"/>
  <c r="U461" i="27" s="1"/>
  <c r="W461" i="27" s="1"/>
  <c r="AL461" i="27"/>
  <c r="AM461" i="27"/>
  <c r="AU469" i="27"/>
  <c r="AV469" i="27" s="1"/>
  <c r="AW469" i="27" s="1"/>
  <c r="AS470" i="27" s="1"/>
  <c r="BD469" i="27"/>
  <c r="BE469" i="27" s="1"/>
  <c r="BA470" i="27" s="1"/>
  <c r="BC470" i="27" s="1"/>
  <c r="N455" i="27"/>
  <c r="O455" i="27"/>
  <c r="F437" i="27"/>
  <c r="E437" i="27"/>
  <c r="I437" i="27"/>
  <c r="AE467" i="27" l="1"/>
  <c r="AD467" i="27"/>
  <c r="V461" i="27"/>
  <c r="X461" i="27" s="1"/>
  <c r="Y461" i="27" s="1"/>
  <c r="U462" i="27" s="1"/>
  <c r="W462" i="27" s="1"/>
  <c r="BJ462" i="27"/>
  <c r="BK462" i="27"/>
  <c r="AN461" i="27"/>
  <c r="AO461" i="27" s="1"/>
  <c r="AK462" i="27" s="1"/>
  <c r="BB470" i="27"/>
  <c r="BD470" i="27" s="1"/>
  <c r="BE470" i="27" s="1"/>
  <c r="BA471" i="27" s="1"/>
  <c r="BB471" i="27" s="1"/>
  <c r="AT470" i="27"/>
  <c r="AU470" i="27"/>
  <c r="G437" i="27"/>
  <c r="H437" i="27" s="1"/>
  <c r="D438" i="27" s="1"/>
  <c r="P455" i="27"/>
  <c r="Q455" i="27" s="1"/>
  <c r="M456" i="27" s="1"/>
  <c r="AF467" i="27" l="1"/>
  <c r="AG467" i="27" s="1"/>
  <c r="AC468" i="27" s="1"/>
  <c r="AD468" i="27" s="1"/>
  <c r="V462" i="27"/>
  <c r="X462" i="27" s="1"/>
  <c r="Y462" i="27" s="1"/>
  <c r="U463" i="27" s="1"/>
  <c r="BL462" i="27"/>
  <c r="BM462" i="27" s="1"/>
  <c r="BI463" i="27" s="1"/>
  <c r="BK463" i="27" s="1"/>
  <c r="AL462" i="27"/>
  <c r="AM462" i="27"/>
  <c r="AV470" i="27"/>
  <c r="AW470" i="27" s="1"/>
  <c r="AS471" i="27" s="1"/>
  <c r="AT471" i="27" s="1"/>
  <c r="BC471" i="27"/>
  <c r="BD471" i="27" s="1"/>
  <c r="BE471" i="27" s="1"/>
  <c r="BA472" i="27" s="1"/>
  <c r="I438" i="27"/>
  <c r="F438" i="27"/>
  <c r="E438" i="27"/>
  <c r="N456" i="27"/>
  <c r="O456" i="27"/>
  <c r="AE468" i="27" l="1"/>
  <c r="BJ463" i="27"/>
  <c r="BL463" i="27" s="1"/>
  <c r="BM463" i="27" s="1"/>
  <c r="BI464" i="27" s="1"/>
  <c r="AU471" i="27"/>
  <c r="AV471" i="27" s="1"/>
  <c r="AW471" i="27" s="1"/>
  <c r="AS472" i="27" s="1"/>
  <c r="AT472" i="27" s="1"/>
  <c r="AN462" i="27"/>
  <c r="AO462" i="27" s="1"/>
  <c r="AK463" i="27" s="1"/>
  <c r="AF468" i="27"/>
  <c r="AG468" i="27" s="1"/>
  <c r="AC469" i="27" s="1"/>
  <c r="BB472" i="27"/>
  <c r="BC472" i="27"/>
  <c r="P456" i="27"/>
  <c r="Q456" i="27" s="1"/>
  <c r="M457" i="27" s="1"/>
  <c r="V463" i="27"/>
  <c r="W463" i="27"/>
  <c r="G438" i="27"/>
  <c r="H438" i="27" s="1"/>
  <c r="D439" i="27" s="1"/>
  <c r="AU472" i="27" l="1"/>
  <c r="BJ464" i="27"/>
  <c r="BK464" i="27"/>
  <c r="AM463" i="27"/>
  <c r="AL463" i="27"/>
  <c r="AN463" i="27" s="1"/>
  <c r="AO463" i="27" s="1"/>
  <c r="AK464" i="27" s="1"/>
  <c r="AE469" i="27"/>
  <c r="AD469" i="27"/>
  <c r="AF469" i="27" s="1"/>
  <c r="AG469" i="27" s="1"/>
  <c r="AC470" i="27" s="1"/>
  <c r="AV472" i="27"/>
  <c r="AW472" i="27" s="1"/>
  <c r="AS473" i="27" s="1"/>
  <c r="AT473" i="27" s="1"/>
  <c r="N457" i="27"/>
  <c r="O457" i="27"/>
  <c r="BD472" i="27"/>
  <c r="BE472" i="27" s="1"/>
  <c r="BA473" i="27" s="1"/>
  <c r="I439" i="27"/>
  <c r="E439" i="27"/>
  <c r="F439" i="27"/>
  <c r="X463" i="27"/>
  <c r="Y463" i="27" s="1"/>
  <c r="U464" i="27" s="1"/>
  <c r="BL464" i="27" l="1"/>
  <c r="BM464" i="27" s="1"/>
  <c r="BI465" i="27" s="1"/>
  <c r="BK465" i="27" s="1"/>
  <c r="AL464" i="27"/>
  <c r="AM464" i="27"/>
  <c r="AU473" i="27"/>
  <c r="AV473" i="27" s="1"/>
  <c r="AW473" i="27" s="1"/>
  <c r="AS474" i="27" s="1"/>
  <c r="AD470" i="27"/>
  <c r="AE470" i="27"/>
  <c r="V464" i="27"/>
  <c r="W464" i="27"/>
  <c r="G439" i="27"/>
  <c r="H439" i="27" s="1"/>
  <c r="D440" i="27" s="1"/>
  <c r="BC473" i="27"/>
  <c r="BB473" i="27"/>
  <c r="P457" i="27"/>
  <c r="Q457" i="27" s="1"/>
  <c r="M458" i="27" s="1"/>
  <c r="BJ465" i="27" l="1"/>
  <c r="BD473" i="27"/>
  <c r="BE473" i="27" s="1"/>
  <c r="BA474" i="27" s="1"/>
  <c r="BL465" i="27"/>
  <c r="BM465" i="27" s="1"/>
  <c r="BI466" i="27" s="1"/>
  <c r="AN464" i="27"/>
  <c r="AO464" i="27" s="1"/>
  <c r="AK465" i="27" s="1"/>
  <c r="AF470" i="27"/>
  <c r="AG470" i="27" s="1"/>
  <c r="AC471" i="27" s="1"/>
  <c r="X464" i="27"/>
  <c r="Y464" i="27" s="1"/>
  <c r="U465" i="27" s="1"/>
  <c r="W465" i="27" s="1"/>
  <c r="BC474" i="27"/>
  <c r="BB474" i="27"/>
  <c r="BD474" i="27" s="1"/>
  <c r="BE474" i="27" s="1"/>
  <c r="BA475" i="27" s="1"/>
  <c r="AT474" i="27"/>
  <c r="AU474" i="27"/>
  <c r="O458" i="27"/>
  <c r="N458" i="27"/>
  <c r="F440" i="27"/>
  <c r="E440" i="27"/>
  <c r="I440" i="27"/>
  <c r="BK466" i="27" l="1"/>
  <c r="BJ466" i="27"/>
  <c r="G440" i="27"/>
  <c r="H440" i="27" s="1"/>
  <c r="D441" i="27" s="1"/>
  <c r="F441" i="27" s="1"/>
  <c r="AL465" i="27"/>
  <c r="AM465" i="27"/>
  <c r="AD471" i="27"/>
  <c r="AE471" i="27"/>
  <c r="V465" i="27"/>
  <c r="X465" i="27" s="1"/>
  <c r="Y465" i="27" s="1"/>
  <c r="U466" i="27" s="1"/>
  <c r="W466" i="27" s="1"/>
  <c r="BC475" i="27"/>
  <c r="BB475" i="27"/>
  <c r="AV474" i="27"/>
  <c r="AW474" i="27" s="1"/>
  <c r="AS475" i="27" s="1"/>
  <c r="P458" i="27"/>
  <c r="Q458" i="27" s="1"/>
  <c r="M459" i="27" s="1"/>
  <c r="BL466" i="27" l="1"/>
  <c r="BM466" i="27" s="1"/>
  <c r="BI467" i="27" s="1"/>
  <c r="BJ467" i="27"/>
  <c r="BK467" i="27"/>
  <c r="I441" i="27"/>
  <c r="E441" i="27"/>
  <c r="G441" i="27" s="1"/>
  <c r="H441" i="27" s="1"/>
  <c r="D442" i="27" s="1"/>
  <c r="E442" i="27" s="1"/>
  <c r="AN465" i="27"/>
  <c r="AO465" i="27" s="1"/>
  <c r="AK466" i="27" s="1"/>
  <c r="V466" i="27"/>
  <c r="X466" i="27" s="1"/>
  <c r="Y466" i="27" s="1"/>
  <c r="U467" i="27" s="1"/>
  <c r="V467" i="27" s="1"/>
  <c r="AF471" i="27"/>
  <c r="AG471" i="27" s="1"/>
  <c r="AC472" i="27" s="1"/>
  <c r="N459" i="27"/>
  <c r="O459" i="27"/>
  <c r="AU475" i="27"/>
  <c r="AT475" i="27"/>
  <c r="BD475" i="27"/>
  <c r="BE475" i="27" s="1"/>
  <c r="BA476" i="27" s="1"/>
  <c r="BL467" i="27" l="1"/>
  <c r="BM467" i="27" s="1"/>
  <c r="BI468" i="27" s="1"/>
  <c r="BK468" i="27" s="1"/>
  <c r="I442" i="27"/>
  <c r="F442" i="27"/>
  <c r="G442" i="27" s="1"/>
  <c r="H442" i="27" s="1"/>
  <c r="D443" i="27" s="1"/>
  <c r="I443" i="27" s="1"/>
  <c r="AM466" i="27"/>
  <c r="AL466" i="27"/>
  <c r="W467" i="27"/>
  <c r="X467" i="27" s="1"/>
  <c r="Y467" i="27" s="1"/>
  <c r="U468" i="27" s="1"/>
  <c r="AV475" i="27"/>
  <c r="AW475" i="27" s="1"/>
  <c r="AS476" i="27" s="1"/>
  <c r="AU476" i="27" s="1"/>
  <c r="AD472" i="27"/>
  <c r="AE472" i="27"/>
  <c r="BB476" i="27"/>
  <c r="BC476" i="27"/>
  <c r="P459" i="27"/>
  <c r="Q459" i="27" s="1"/>
  <c r="M460" i="27" s="1"/>
  <c r="BJ468" i="27" l="1"/>
  <c r="BL468" i="27" s="1"/>
  <c r="BM468" i="27" s="1"/>
  <c r="BI469" i="27" s="1"/>
  <c r="BK469" i="27" s="1"/>
  <c r="AN466" i="27"/>
  <c r="AO466" i="27" s="1"/>
  <c r="AK467" i="27" s="1"/>
  <c r="AL467" i="27" s="1"/>
  <c r="F443" i="27"/>
  <c r="E443" i="27"/>
  <c r="AT476" i="27"/>
  <c r="AV476" i="27" s="1"/>
  <c r="AW476" i="27" s="1"/>
  <c r="AS477" i="27" s="1"/>
  <c r="AU477" i="27" s="1"/>
  <c r="AF472" i="27"/>
  <c r="AG472" i="27" s="1"/>
  <c r="AC473" i="27" s="1"/>
  <c r="W468" i="27"/>
  <c r="V468" i="27"/>
  <c r="N460" i="27"/>
  <c r="O460" i="27"/>
  <c r="BD476" i="27"/>
  <c r="BE476" i="27" s="1"/>
  <c r="BA477" i="27" s="1"/>
  <c r="AM467" i="27" l="1"/>
  <c r="BJ469" i="27"/>
  <c r="BL469" i="27" s="1"/>
  <c r="BM469" i="27" s="1"/>
  <c r="BI470" i="27" s="1"/>
  <c r="X468" i="27"/>
  <c r="Y468" i="27" s="1"/>
  <c r="U469" i="27" s="1"/>
  <c r="W469" i="27" s="1"/>
  <c r="AN467" i="27"/>
  <c r="AO467" i="27" s="1"/>
  <c r="AK468" i="27" s="1"/>
  <c r="AL468" i="27" s="1"/>
  <c r="G443" i="27"/>
  <c r="H443" i="27" s="1"/>
  <c r="D444" i="27" s="1"/>
  <c r="E444" i="27" s="1"/>
  <c r="AT477" i="27"/>
  <c r="AV477" i="27" s="1"/>
  <c r="AW477" i="27" s="1"/>
  <c r="AS478" i="27" s="1"/>
  <c r="AT478" i="27" s="1"/>
  <c r="AD473" i="27"/>
  <c r="AE473" i="27"/>
  <c r="BC477" i="27"/>
  <c r="BB477" i="27"/>
  <c r="BD477" i="27" s="1"/>
  <c r="BE477" i="27" s="1"/>
  <c r="BA478" i="27" s="1"/>
  <c r="P460" i="27"/>
  <c r="Q460" i="27" s="1"/>
  <c r="M461" i="27" s="1"/>
  <c r="AM468" i="27" l="1"/>
  <c r="V469" i="27"/>
  <c r="BK470" i="27"/>
  <c r="BJ470" i="27"/>
  <c r="I444" i="27"/>
  <c r="F444" i="27"/>
  <c r="G444" i="27" s="1"/>
  <c r="H444" i="27" s="1"/>
  <c r="D445" i="27" s="1"/>
  <c r="E445" i="27" s="1"/>
  <c r="AN468" i="27"/>
  <c r="AO468" i="27" s="1"/>
  <c r="AK469" i="27" s="1"/>
  <c r="X469" i="27"/>
  <c r="Y469" i="27" s="1"/>
  <c r="U470" i="27" s="1"/>
  <c r="V470" i="27" s="1"/>
  <c r="AU478" i="27"/>
  <c r="AV478" i="27" s="1"/>
  <c r="AW478" i="27" s="1"/>
  <c r="AS479" i="27" s="1"/>
  <c r="AT479" i="27" s="1"/>
  <c r="AF473" i="27"/>
  <c r="AG473" i="27" s="1"/>
  <c r="AC474" i="27" s="1"/>
  <c r="BC478" i="27"/>
  <c r="BB478" i="27"/>
  <c r="O461" i="27"/>
  <c r="N461" i="27"/>
  <c r="W470" i="27" l="1"/>
  <c r="X470" i="27" s="1"/>
  <c r="Y470" i="27" s="1"/>
  <c r="U471" i="27" s="1"/>
  <c r="BL470" i="27"/>
  <c r="BM470" i="27" s="1"/>
  <c r="BI471" i="27" s="1"/>
  <c r="F445" i="27"/>
  <c r="G445" i="27" s="1"/>
  <c r="H445" i="27" s="1"/>
  <c r="D446" i="27" s="1"/>
  <c r="I445" i="27"/>
  <c r="AL469" i="27"/>
  <c r="AM469" i="27"/>
  <c r="AD474" i="27"/>
  <c r="AE474" i="27"/>
  <c r="AU479" i="27"/>
  <c r="AV479" i="27" s="1"/>
  <c r="AW479" i="27" s="1"/>
  <c r="AS480" i="27" s="1"/>
  <c r="P461" i="27"/>
  <c r="Q461" i="27" s="1"/>
  <c r="M462" i="27" s="1"/>
  <c r="O462" i="27" s="1"/>
  <c r="BD478" i="27"/>
  <c r="BE478" i="27" s="1"/>
  <c r="BA479" i="27" s="1"/>
  <c r="BK471" i="27" l="1"/>
  <c r="BJ471" i="27"/>
  <c r="N462" i="27"/>
  <c r="P462" i="27" s="1"/>
  <c r="Q462" i="27" s="1"/>
  <c r="M463" i="27" s="1"/>
  <c r="N463" i="27" s="1"/>
  <c r="AN469" i="27"/>
  <c r="AO469" i="27" s="1"/>
  <c r="AK470" i="27" s="1"/>
  <c r="AF474" i="27"/>
  <c r="AG474" i="27" s="1"/>
  <c r="AC475" i="27" s="1"/>
  <c r="AT480" i="27"/>
  <c r="AU480" i="27"/>
  <c r="I446" i="27"/>
  <c r="F446" i="27"/>
  <c r="E446" i="27"/>
  <c r="V471" i="27"/>
  <c r="W471" i="27"/>
  <c r="BC479" i="27"/>
  <c r="BB479" i="27"/>
  <c r="BD479" i="27" l="1"/>
  <c r="BE479" i="27" s="1"/>
  <c r="BA480" i="27" s="1"/>
  <c r="BL471" i="27"/>
  <c r="BM471" i="27" s="1"/>
  <c r="BI472" i="27" s="1"/>
  <c r="O463" i="27"/>
  <c r="P463" i="27" s="1"/>
  <c r="Q463" i="27" s="1"/>
  <c r="M464" i="27" s="1"/>
  <c r="AL470" i="27"/>
  <c r="AM470" i="27"/>
  <c r="AE475" i="27"/>
  <c r="AD475" i="27"/>
  <c r="AV480" i="27"/>
  <c r="AW480" i="27" s="1"/>
  <c r="AS481" i="27" s="1"/>
  <c r="AT481" i="27" s="1"/>
  <c r="BC480" i="27"/>
  <c r="BB480" i="27"/>
  <c r="G446" i="27"/>
  <c r="H446" i="27" s="1"/>
  <c r="D447" i="27" s="1"/>
  <c r="X471" i="27"/>
  <c r="Y471" i="27" s="1"/>
  <c r="U472" i="27" s="1"/>
  <c r="AF475" i="27" l="1"/>
  <c r="AG475" i="27" s="1"/>
  <c r="AC476" i="27" s="1"/>
  <c r="AD476" i="27" s="1"/>
  <c r="BD480" i="27"/>
  <c r="BE480" i="27" s="1"/>
  <c r="BA481" i="27" s="1"/>
  <c r="BC481" i="27" s="1"/>
  <c r="BJ472" i="27"/>
  <c r="BK472" i="27"/>
  <c r="AU481" i="27"/>
  <c r="AV481" i="27" s="1"/>
  <c r="AW481" i="27" s="1"/>
  <c r="AS482" i="27" s="1"/>
  <c r="N464" i="27"/>
  <c r="O464" i="27"/>
  <c r="AN470" i="27"/>
  <c r="AO470" i="27" s="1"/>
  <c r="AK471" i="27" s="1"/>
  <c r="V472" i="27"/>
  <c r="W472" i="27"/>
  <c r="I447" i="27"/>
  <c r="E447" i="27"/>
  <c r="F447" i="27"/>
  <c r="BB481" i="27" l="1"/>
  <c r="AE476" i="27"/>
  <c r="P464" i="27"/>
  <c r="Q464" i="27" s="1"/>
  <c r="M465" i="27" s="1"/>
  <c r="N465" i="27" s="1"/>
  <c r="AF476" i="27"/>
  <c r="AG476" i="27" s="1"/>
  <c r="AC477" i="27" s="1"/>
  <c r="AE477" i="27" s="1"/>
  <c r="BL472" i="27"/>
  <c r="BM472" i="27" s="1"/>
  <c r="BI473" i="27" s="1"/>
  <c r="BK473" i="27" s="1"/>
  <c r="AT482" i="27"/>
  <c r="AU482" i="27"/>
  <c r="O465" i="27"/>
  <c r="P465" i="27" s="1"/>
  <c r="Q465" i="27" s="1"/>
  <c r="M466" i="27" s="1"/>
  <c r="O466" i="27" s="1"/>
  <c r="AM471" i="27"/>
  <c r="AL471" i="27"/>
  <c r="X472" i="27"/>
  <c r="Y472" i="27" s="1"/>
  <c r="U473" i="27" s="1"/>
  <c r="G447" i="27"/>
  <c r="H447" i="27" s="1"/>
  <c r="D448" i="27" s="1"/>
  <c r="BD481" i="27"/>
  <c r="BE481" i="27" s="1"/>
  <c r="BA482" i="27" s="1"/>
  <c r="BJ473" i="27" l="1"/>
  <c r="BL473" i="27" s="1"/>
  <c r="BM473" i="27" s="1"/>
  <c r="BI474" i="27" s="1"/>
  <c r="AD477" i="27"/>
  <c r="AF477" i="27" s="1"/>
  <c r="AG477" i="27" s="1"/>
  <c r="AC478" i="27" s="1"/>
  <c r="AV482" i="27"/>
  <c r="AW482" i="27" s="1"/>
  <c r="AS483" i="27" s="1"/>
  <c r="AU483" i="27" s="1"/>
  <c r="AN471" i="27"/>
  <c r="AO471" i="27" s="1"/>
  <c r="AK472" i="27" s="1"/>
  <c r="AM472" i="27" s="1"/>
  <c r="N466" i="27"/>
  <c r="P466" i="27" s="1"/>
  <c r="Q466" i="27" s="1"/>
  <c r="M467" i="27" s="1"/>
  <c r="W473" i="27"/>
  <c r="V473" i="27"/>
  <c r="BC482" i="27"/>
  <c r="BB482" i="27"/>
  <c r="F448" i="27"/>
  <c r="E448" i="27"/>
  <c r="I448" i="27"/>
  <c r="BK474" i="27" l="1"/>
  <c r="BJ474" i="27"/>
  <c r="BL474" i="27" s="1"/>
  <c r="BM474" i="27" s="1"/>
  <c r="BI475" i="27" s="1"/>
  <c r="BK475" i="27" s="1"/>
  <c r="AT483" i="27"/>
  <c r="AD478" i="27"/>
  <c r="AE478" i="27"/>
  <c r="AV483" i="27"/>
  <c r="AW483" i="27" s="1"/>
  <c r="AS484" i="27" s="1"/>
  <c r="AT484" i="27" s="1"/>
  <c r="AL472" i="27"/>
  <c r="AN472" i="27" s="1"/>
  <c r="AO472" i="27" s="1"/>
  <c r="AK473" i="27" s="1"/>
  <c r="X473" i="27"/>
  <c r="Y473" i="27" s="1"/>
  <c r="U474" i="27" s="1"/>
  <c r="W474" i="27" s="1"/>
  <c r="O467" i="27"/>
  <c r="N467" i="27"/>
  <c r="BD482" i="27"/>
  <c r="BE482" i="27" s="1"/>
  <c r="BA483" i="27" s="1"/>
  <c r="BB483" i="27" s="1"/>
  <c r="G448" i="27"/>
  <c r="H448" i="27" s="1"/>
  <c r="D449" i="27" s="1"/>
  <c r="AF478" i="27" l="1"/>
  <c r="AG478" i="27" s="1"/>
  <c r="AC479" i="27" s="1"/>
  <c r="AD479" i="27" s="1"/>
  <c r="BJ475" i="27"/>
  <c r="BL475" i="27" s="1"/>
  <c r="BM475" i="27" s="1"/>
  <c r="BI476" i="27" s="1"/>
  <c r="AU484" i="27"/>
  <c r="AV484" i="27" s="1"/>
  <c r="AW484" i="27" s="1"/>
  <c r="AS485" i="27" s="1"/>
  <c r="AU485" i="27" s="1"/>
  <c r="P467" i="27"/>
  <c r="Q467" i="27" s="1"/>
  <c r="M468" i="27" s="1"/>
  <c r="V474" i="27"/>
  <c r="X474" i="27" s="1"/>
  <c r="Y474" i="27" s="1"/>
  <c r="U475" i="27" s="1"/>
  <c r="V475" i="27" s="1"/>
  <c r="BC483" i="27"/>
  <c r="BD483" i="27" s="1"/>
  <c r="BE483" i="27" s="1"/>
  <c r="BA484" i="27" s="1"/>
  <c r="AM473" i="27"/>
  <c r="AL473" i="27"/>
  <c r="E449" i="27"/>
  <c r="F449" i="27"/>
  <c r="I449" i="27"/>
  <c r="O468" i="27"/>
  <c r="N468" i="27"/>
  <c r="AE479" i="27" l="1"/>
  <c r="AT485" i="27"/>
  <c r="AV485" i="27" s="1"/>
  <c r="AW485" i="27" s="1"/>
  <c r="AS486" i="27" s="1"/>
  <c r="AU486" i="27" s="1"/>
  <c r="AN473" i="27"/>
  <c r="AO473" i="27" s="1"/>
  <c r="AK474" i="27" s="1"/>
  <c r="W475" i="27"/>
  <c r="X475" i="27" s="1"/>
  <c r="Y475" i="27" s="1"/>
  <c r="U476" i="27" s="1"/>
  <c r="V476" i="27" s="1"/>
  <c r="BK476" i="27"/>
  <c r="BJ476" i="27"/>
  <c r="BL476" i="27" s="1"/>
  <c r="BM476" i="27" s="1"/>
  <c r="BI477" i="27" s="1"/>
  <c r="AL474" i="27"/>
  <c r="AM474" i="27"/>
  <c r="P468" i="27"/>
  <c r="Q468" i="27" s="1"/>
  <c r="M469" i="27" s="1"/>
  <c r="N469" i="27" s="1"/>
  <c r="AF479" i="27"/>
  <c r="AG479" i="27" s="1"/>
  <c r="AC480" i="27" s="1"/>
  <c r="BC484" i="27"/>
  <c r="BB484" i="27"/>
  <c r="G449" i="27"/>
  <c r="H449" i="27" s="1"/>
  <c r="D450" i="27" s="1"/>
  <c r="AT486" i="27" l="1"/>
  <c r="AV486" i="27" s="1"/>
  <c r="AW486" i="27" s="1"/>
  <c r="AS487" i="27" s="1"/>
  <c r="AT487" i="27" s="1"/>
  <c r="W476" i="27"/>
  <c r="X476" i="27" s="1"/>
  <c r="Y476" i="27" s="1"/>
  <c r="U477" i="27" s="1"/>
  <c r="BK477" i="27"/>
  <c r="BJ477" i="27"/>
  <c r="O469" i="27"/>
  <c r="P469" i="27" s="1"/>
  <c r="Q469" i="27" s="1"/>
  <c r="M470" i="27" s="1"/>
  <c r="AU487" i="27"/>
  <c r="AV487" i="27" s="1"/>
  <c r="AW487" i="27" s="1"/>
  <c r="AS488" i="27" s="1"/>
  <c r="AU488" i="27" s="1"/>
  <c r="AN474" i="27"/>
  <c r="AO474" i="27" s="1"/>
  <c r="AK475" i="27" s="1"/>
  <c r="AD480" i="27"/>
  <c r="AE480" i="27"/>
  <c r="BD484" i="27"/>
  <c r="BE484" i="27" s="1"/>
  <c r="BA485" i="27" s="1"/>
  <c r="BB485" i="27" s="1"/>
  <c r="I450" i="27"/>
  <c r="E450" i="27"/>
  <c r="F450" i="27"/>
  <c r="BL477" i="27" l="1"/>
  <c r="BM477" i="27" s="1"/>
  <c r="BI478" i="27" s="1"/>
  <c r="BJ478" i="27" s="1"/>
  <c r="AL475" i="27"/>
  <c r="AM475" i="27"/>
  <c r="BC485" i="27"/>
  <c r="BD485" i="27" s="1"/>
  <c r="BE485" i="27" s="1"/>
  <c r="BA486" i="27" s="1"/>
  <c r="AF480" i="27"/>
  <c r="AG480" i="27" s="1"/>
  <c r="AC481" i="27" s="1"/>
  <c r="AT488" i="27"/>
  <c r="AV488" i="27" s="1"/>
  <c r="AW488" i="27" s="1"/>
  <c r="AS489" i="27" s="1"/>
  <c r="G450" i="27"/>
  <c r="H450" i="27" s="1"/>
  <c r="D451" i="27" s="1"/>
  <c r="I451" i="27" s="1"/>
  <c r="V477" i="27"/>
  <c r="W477" i="27"/>
  <c r="O470" i="27"/>
  <c r="N470" i="27"/>
  <c r="BK478" i="27" l="1"/>
  <c r="BL478" i="27"/>
  <c r="BM478" i="27" s="1"/>
  <c r="BI479" i="27" s="1"/>
  <c r="AN475" i="27"/>
  <c r="AO475" i="27" s="1"/>
  <c r="AK476" i="27" s="1"/>
  <c r="E451" i="27"/>
  <c r="F451" i="27"/>
  <c r="X477" i="27"/>
  <c r="Y477" i="27" s="1"/>
  <c r="U478" i="27" s="1"/>
  <c r="W478" i="27" s="1"/>
  <c r="AE481" i="27"/>
  <c r="AD481" i="27"/>
  <c r="AU489" i="27"/>
  <c r="AT489" i="27"/>
  <c r="BC486" i="27"/>
  <c r="BB486" i="27"/>
  <c r="P470" i="27"/>
  <c r="Q470" i="27" s="1"/>
  <c r="M471" i="27" s="1"/>
  <c r="AF481" i="27" l="1"/>
  <c r="AG481" i="27" s="1"/>
  <c r="AC482" i="27" s="1"/>
  <c r="AE482" i="27" s="1"/>
  <c r="BD486" i="27"/>
  <c r="BE486" i="27" s="1"/>
  <c r="BA487" i="27" s="1"/>
  <c r="BB487" i="27" s="1"/>
  <c r="AV489" i="27"/>
  <c r="AW489" i="27" s="1"/>
  <c r="AS490" i="27" s="1"/>
  <c r="AT490" i="27" s="1"/>
  <c r="BJ479" i="27"/>
  <c r="BK479" i="27"/>
  <c r="G451" i="27"/>
  <c r="H451" i="27" s="1"/>
  <c r="D452" i="27" s="1"/>
  <c r="E452" i="27" s="1"/>
  <c r="AM476" i="27"/>
  <c r="AL476" i="27"/>
  <c r="V478" i="27"/>
  <c r="X478" i="27" s="1"/>
  <c r="Y478" i="27" s="1"/>
  <c r="U479" i="27" s="1"/>
  <c r="V479" i="27" s="1"/>
  <c r="N471" i="27"/>
  <c r="O471" i="27"/>
  <c r="BC487" i="27" l="1"/>
  <c r="BD487" i="27" s="1"/>
  <c r="BE487" i="27" s="1"/>
  <c r="BA488" i="27" s="1"/>
  <c r="BB488" i="27" s="1"/>
  <c r="AU490" i="27"/>
  <c r="AN476" i="27"/>
  <c r="AO476" i="27" s="1"/>
  <c r="AK477" i="27" s="1"/>
  <c r="AM477" i="27" s="1"/>
  <c r="AD482" i="27"/>
  <c r="AF482" i="27" s="1"/>
  <c r="AG482" i="27" s="1"/>
  <c r="AC483" i="27" s="1"/>
  <c r="AE483" i="27" s="1"/>
  <c r="F452" i="27"/>
  <c r="G452" i="27" s="1"/>
  <c r="H452" i="27" s="1"/>
  <c r="D453" i="27" s="1"/>
  <c r="I453" i="27" s="1"/>
  <c r="I452" i="27"/>
  <c r="BL479" i="27"/>
  <c r="BM479" i="27" s="1"/>
  <c r="BI480" i="27" s="1"/>
  <c r="W479" i="27"/>
  <c r="X479" i="27" s="1"/>
  <c r="Y479" i="27" s="1"/>
  <c r="U480" i="27" s="1"/>
  <c r="W480" i="27" s="1"/>
  <c r="P471" i="27"/>
  <c r="Q471" i="27" s="1"/>
  <c r="M472" i="27" s="1"/>
  <c r="AV490" i="27"/>
  <c r="AW490" i="27" s="1"/>
  <c r="AS491" i="27" s="1"/>
  <c r="AL477" i="27" l="1"/>
  <c r="AN477" i="27" s="1"/>
  <c r="AO477" i="27" s="1"/>
  <c r="AK478" i="27" s="1"/>
  <c r="BC488" i="27"/>
  <c r="BD488" i="27" s="1"/>
  <c r="BE488" i="27" s="1"/>
  <c r="BA489" i="27" s="1"/>
  <c r="AD483" i="27"/>
  <c r="AF483" i="27" s="1"/>
  <c r="AG483" i="27" s="1"/>
  <c r="AC484" i="27" s="1"/>
  <c r="AD484" i="27" s="1"/>
  <c r="BK480" i="27"/>
  <c r="BJ480" i="27"/>
  <c r="BL480" i="27" s="1"/>
  <c r="BM480" i="27" s="1"/>
  <c r="BI481" i="27" s="1"/>
  <c r="V480" i="27"/>
  <c r="X480" i="27" s="1"/>
  <c r="Y480" i="27" s="1"/>
  <c r="U481" i="27" s="1"/>
  <c r="W481" i="27" s="1"/>
  <c r="E453" i="27"/>
  <c r="F453" i="27"/>
  <c r="AT491" i="27"/>
  <c r="AU491" i="27"/>
  <c r="N472" i="27"/>
  <c r="O472" i="27"/>
  <c r="BJ481" i="27" l="1"/>
  <c r="BK481" i="27"/>
  <c r="AE484" i="27"/>
  <c r="AF484" i="27" s="1"/>
  <c r="AG484" i="27" s="1"/>
  <c r="AC485" i="27" s="1"/>
  <c r="G453" i="27"/>
  <c r="H453" i="27" s="1"/>
  <c r="D454" i="27" s="1"/>
  <c r="I454" i="27" s="1"/>
  <c r="AM478" i="27"/>
  <c r="AL478" i="27"/>
  <c r="V481" i="27"/>
  <c r="X481" i="27" s="1"/>
  <c r="Y481" i="27" s="1"/>
  <c r="U482" i="27" s="1"/>
  <c r="W482" i="27" s="1"/>
  <c r="P472" i="27"/>
  <c r="Q472" i="27" s="1"/>
  <c r="M473" i="27" s="1"/>
  <c r="AV491" i="27"/>
  <c r="AW491" i="27" s="1"/>
  <c r="AS492" i="27" s="1"/>
  <c r="BC489" i="27"/>
  <c r="BB489" i="27"/>
  <c r="AN478" i="27" l="1"/>
  <c r="AO478" i="27" s="1"/>
  <c r="AK479" i="27" s="1"/>
  <c r="AM479" i="27" s="1"/>
  <c r="BL481" i="27"/>
  <c r="BM481" i="27" s="1"/>
  <c r="BI482" i="27" s="1"/>
  <c r="F454" i="27"/>
  <c r="E454" i="27"/>
  <c r="V482" i="27"/>
  <c r="X482" i="27" s="1"/>
  <c r="Y482" i="27" s="1"/>
  <c r="U483" i="27" s="1"/>
  <c r="W483" i="27" s="1"/>
  <c r="AE485" i="27"/>
  <c r="AD485" i="27"/>
  <c r="BD489" i="27"/>
  <c r="BE489" i="27" s="1"/>
  <c r="BA490" i="27" s="1"/>
  <c r="BC490" i="27" s="1"/>
  <c r="O473" i="27"/>
  <c r="N473" i="27"/>
  <c r="AT492" i="27"/>
  <c r="AU492" i="27"/>
  <c r="AL479" i="27" l="1"/>
  <c r="AN479" i="27" s="1"/>
  <c r="AO479" i="27" s="1"/>
  <c r="AK480" i="27" s="1"/>
  <c r="AM480" i="27" s="1"/>
  <c r="G454" i="27"/>
  <c r="H454" i="27" s="1"/>
  <c r="D455" i="27" s="1"/>
  <c r="I455" i="27" s="1"/>
  <c r="BB490" i="27"/>
  <c r="BD490" i="27" s="1"/>
  <c r="BE490" i="27" s="1"/>
  <c r="BA491" i="27" s="1"/>
  <c r="BJ482" i="27"/>
  <c r="BK482" i="27"/>
  <c r="V483" i="27"/>
  <c r="X483" i="27" s="1"/>
  <c r="Y483" i="27" s="1"/>
  <c r="U484" i="27" s="1"/>
  <c r="AF485" i="27"/>
  <c r="AG485" i="27" s="1"/>
  <c r="AC486" i="27" s="1"/>
  <c r="AD486" i="27" s="1"/>
  <c r="P473" i="27"/>
  <c r="Q473" i="27" s="1"/>
  <c r="M474" i="27" s="1"/>
  <c r="N474" i="27" s="1"/>
  <c r="AV492" i="27"/>
  <c r="AW492" i="27" s="1"/>
  <c r="E455" i="27" l="1"/>
  <c r="F455" i="27"/>
  <c r="AL480" i="27"/>
  <c r="AN480" i="27" s="1"/>
  <c r="AO480" i="27" s="1"/>
  <c r="AK481" i="27" s="1"/>
  <c r="BC491" i="27"/>
  <c r="BB491" i="27"/>
  <c r="BL482" i="27"/>
  <c r="BM482" i="27" s="1"/>
  <c r="BI483" i="27" s="1"/>
  <c r="AE486" i="27"/>
  <c r="AF486" i="27" s="1"/>
  <c r="AG486" i="27" s="1"/>
  <c r="AC487" i="27" s="1"/>
  <c r="O474" i="27"/>
  <c r="P474" i="27" s="1"/>
  <c r="Q474" i="27" s="1"/>
  <c r="M475" i="27" s="1"/>
  <c r="V484" i="27"/>
  <c r="W484" i="27"/>
  <c r="G455" i="27" l="1"/>
  <c r="H455" i="27" s="1"/>
  <c r="D456" i="27" s="1"/>
  <c r="I456" i="27" s="1"/>
  <c r="AL481" i="27"/>
  <c r="AM481" i="27"/>
  <c r="BD491" i="27"/>
  <c r="BE491" i="27" s="1"/>
  <c r="BA492" i="27" s="1"/>
  <c r="BB492" i="27" s="1"/>
  <c r="BK483" i="27"/>
  <c r="BJ483" i="27"/>
  <c r="BL483" i="27" s="1"/>
  <c r="BM483" i="27" s="1"/>
  <c r="BI484" i="27" s="1"/>
  <c r="AD487" i="27"/>
  <c r="AE487" i="27"/>
  <c r="O475" i="27"/>
  <c r="N475" i="27"/>
  <c r="X484" i="27"/>
  <c r="Y484" i="27" s="1"/>
  <c r="U485" i="27" s="1"/>
  <c r="F456" i="27" l="1"/>
  <c r="E456" i="27"/>
  <c r="BC492" i="27"/>
  <c r="AN481" i="27"/>
  <c r="AO481" i="27" s="1"/>
  <c r="AK482" i="27" s="1"/>
  <c r="AL482" i="27" s="1"/>
  <c r="G456" i="27"/>
  <c r="H456" i="27" s="1"/>
  <c r="D457" i="27" s="1"/>
  <c r="BJ484" i="27"/>
  <c r="BK484" i="27"/>
  <c r="AF487" i="27"/>
  <c r="AG487" i="27" s="1"/>
  <c r="AC488" i="27" s="1"/>
  <c r="BD492" i="27"/>
  <c r="BE492" i="27" s="1"/>
  <c r="W485" i="27"/>
  <c r="V485" i="27"/>
  <c r="P475" i="27"/>
  <c r="Q475" i="27" s="1"/>
  <c r="M476" i="27" s="1"/>
  <c r="AM482" i="27" l="1"/>
  <c r="AN482" i="27"/>
  <c r="AO482" i="27" s="1"/>
  <c r="AK483" i="27" s="1"/>
  <c r="AL483" i="27" s="1"/>
  <c r="E457" i="27"/>
  <c r="F457" i="27"/>
  <c r="I457" i="27"/>
  <c r="X485" i="27"/>
  <c r="Y485" i="27" s="1"/>
  <c r="U486" i="27" s="1"/>
  <c r="V486" i="27" s="1"/>
  <c r="BL484" i="27"/>
  <c r="BM484" i="27" s="1"/>
  <c r="BI485" i="27" s="1"/>
  <c r="BK485" i="27" s="1"/>
  <c r="AM483" i="27"/>
  <c r="AD488" i="27"/>
  <c r="AE488" i="27"/>
  <c r="O476" i="27"/>
  <c r="N476" i="27"/>
  <c r="W486" i="27" l="1"/>
  <c r="X486" i="27" s="1"/>
  <c r="Y486" i="27" s="1"/>
  <c r="U487" i="27" s="1"/>
  <c r="AN483" i="27"/>
  <c r="AO483" i="27" s="1"/>
  <c r="AK484" i="27" s="1"/>
  <c r="AM484" i="27" s="1"/>
  <c r="G457" i="27"/>
  <c r="H457" i="27" s="1"/>
  <c r="D458" i="27" s="1"/>
  <c r="BJ485" i="27"/>
  <c r="BL485" i="27" s="1"/>
  <c r="BM485" i="27" s="1"/>
  <c r="BI486" i="27" s="1"/>
  <c r="AF488" i="27"/>
  <c r="AG488" i="27" s="1"/>
  <c r="AC489" i="27" s="1"/>
  <c r="P476" i="27"/>
  <c r="Q476" i="27" s="1"/>
  <c r="M477" i="27" s="1"/>
  <c r="N477" i="27" s="1"/>
  <c r="AL484" i="27" l="1"/>
  <c r="AN484" i="27" s="1"/>
  <c r="AO484" i="27" s="1"/>
  <c r="AK485" i="27" s="1"/>
  <c r="F458" i="27"/>
  <c r="I458" i="27"/>
  <c r="E458" i="27"/>
  <c r="BK486" i="27"/>
  <c r="BJ486" i="27"/>
  <c r="AM485" i="27"/>
  <c r="AL485" i="27"/>
  <c r="AE489" i="27"/>
  <c r="AD489" i="27"/>
  <c r="O477" i="27"/>
  <c r="P477" i="27" s="1"/>
  <c r="Q477" i="27" s="1"/>
  <c r="M478" i="27" s="1"/>
  <c r="W487" i="27"/>
  <c r="V487" i="27"/>
  <c r="G458" i="27" l="1"/>
  <c r="H458" i="27" s="1"/>
  <c r="D459" i="27" s="1"/>
  <c r="I459" i="27" s="1"/>
  <c r="X487" i="27"/>
  <c r="Y487" i="27" s="1"/>
  <c r="U488" i="27" s="1"/>
  <c r="W488" i="27" s="1"/>
  <c r="AF489" i="27"/>
  <c r="AG489" i="27" s="1"/>
  <c r="AC490" i="27" s="1"/>
  <c r="AD490" i="27" s="1"/>
  <c r="AN485" i="27"/>
  <c r="AO485" i="27" s="1"/>
  <c r="AK486" i="27" s="1"/>
  <c r="AL486" i="27" s="1"/>
  <c r="BL486" i="27"/>
  <c r="BM486" i="27" s="1"/>
  <c r="BI487" i="27" s="1"/>
  <c r="N478" i="27"/>
  <c r="O478" i="27"/>
  <c r="F459" i="27" l="1"/>
  <c r="E459" i="27"/>
  <c r="AE490" i="27"/>
  <c r="AF490" i="27" s="1"/>
  <c r="AG490" i="27" s="1"/>
  <c r="AC491" i="27" s="1"/>
  <c r="AM486" i="27"/>
  <c r="AN486" i="27" s="1"/>
  <c r="AO486" i="27" s="1"/>
  <c r="AK487" i="27" s="1"/>
  <c r="V488" i="27"/>
  <c r="X488" i="27" s="1"/>
  <c r="Y488" i="27" s="1"/>
  <c r="U489" i="27" s="1"/>
  <c r="BJ487" i="27"/>
  <c r="BK487" i="27"/>
  <c r="P478" i="27"/>
  <c r="Q478" i="27" s="1"/>
  <c r="M479" i="27" s="1"/>
  <c r="O479" i="27" s="1"/>
  <c r="G459" i="27" l="1"/>
  <c r="H459" i="27" s="1"/>
  <c r="D460" i="27" s="1"/>
  <c r="E460" i="27"/>
  <c r="G460" i="27" s="1"/>
  <c r="H460" i="27" s="1"/>
  <c r="D461" i="27" s="1"/>
  <c r="F460" i="27"/>
  <c r="I460" i="27"/>
  <c r="AD491" i="27"/>
  <c r="AE491" i="27"/>
  <c r="AF491" i="27" s="1"/>
  <c r="AG491" i="27" s="1"/>
  <c r="AC492" i="27" s="1"/>
  <c r="BL487" i="27"/>
  <c r="BM487" i="27" s="1"/>
  <c r="BI488" i="27" s="1"/>
  <c r="BK488" i="27" s="1"/>
  <c r="AL487" i="27"/>
  <c r="AM487" i="27"/>
  <c r="N479" i="27"/>
  <c r="P479" i="27" s="1"/>
  <c r="Q479" i="27" s="1"/>
  <c r="M480" i="27" s="1"/>
  <c r="W489" i="27"/>
  <c r="V489" i="27"/>
  <c r="BJ488" i="27" l="1"/>
  <c r="BL488" i="27" s="1"/>
  <c r="BM488" i="27" s="1"/>
  <c r="BI489" i="27" s="1"/>
  <c r="BK489" i="27" s="1"/>
  <c r="O480" i="27"/>
  <c r="N480" i="27"/>
  <c r="AN487" i="27"/>
  <c r="AO487" i="27" s="1"/>
  <c r="AK488" i="27" s="1"/>
  <c r="AE492" i="27"/>
  <c r="AD492" i="27"/>
  <c r="X489" i="27"/>
  <c r="Y489" i="27" s="1"/>
  <c r="U490" i="27" s="1"/>
  <c r="W490" i="27" s="1"/>
  <c r="F461" i="27"/>
  <c r="E461" i="27"/>
  <c r="I461" i="27"/>
  <c r="AF492" i="27" l="1"/>
  <c r="AG492" i="27" s="1"/>
  <c r="BJ489" i="27"/>
  <c r="BL489" i="27" s="1"/>
  <c r="BM489" i="27" s="1"/>
  <c r="BI490" i="27" s="1"/>
  <c r="P480" i="27"/>
  <c r="Q480" i="27" s="1"/>
  <c r="M481" i="27" s="1"/>
  <c r="O481" i="27" s="1"/>
  <c r="AL488" i="27"/>
  <c r="AM488" i="27"/>
  <c r="V490" i="27"/>
  <c r="X490" i="27" s="1"/>
  <c r="Y490" i="27" s="1"/>
  <c r="U491" i="27" s="1"/>
  <c r="G461" i="27"/>
  <c r="H461" i="27" s="1"/>
  <c r="D462" i="27" s="1"/>
  <c r="F462" i="27" s="1"/>
  <c r="N481" i="27" l="1"/>
  <c r="P481" i="27" s="1"/>
  <c r="Q481" i="27" s="1"/>
  <c r="M482" i="27" s="1"/>
  <c r="AN488" i="27"/>
  <c r="AO488" i="27" s="1"/>
  <c r="AK489" i="27" s="1"/>
  <c r="AM489" i="27" s="1"/>
  <c r="BJ490" i="27"/>
  <c r="BK490" i="27"/>
  <c r="E462" i="27"/>
  <c r="G462" i="27" s="1"/>
  <c r="H462" i="27" s="1"/>
  <c r="D463" i="27" s="1"/>
  <c r="F463" i="27" s="1"/>
  <c r="I462" i="27"/>
  <c r="W491" i="27"/>
  <c r="V491" i="27"/>
  <c r="N482" i="27"/>
  <c r="O482" i="27"/>
  <c r="AL489" i="27" l="1"/>
  <c r="AN489" i="27" s="1"/>
  <c r="AO489" i="27" s="1"/>
  <c r="AK490" i="27" s="1"/>
  <c r="BL490" i="27"/>
  <c r="BM490" i="27" s="1"/>
  <c r="BI491" i="27" s="1"/>
  <c r="BJ491" i="27" s="1"/>
  <c r="E463" i="27"/>
  <c r="G463" i="27" s="1"/>
  <c r="H463" i="27" s="1"/>
  <c r="D464" i="27" s="1"/>
  <c r="F464" i="27" s="1"/>
  <c r="I463" i="27"/>
  <c r="X491" i="27"/>
  <c r="Y491" i="27" s="1"/>
  <c r="U492" i="27" s="1"/>
  <c r="W492" i="27" s="1"/>
  <c r="P482" i="27"/>
  <c r="Q482" i="27" s="1"/>
  <c r="M483" i="27" s="1"/>
  <c r="AM490" i="27" l="1"/>
  <c r="AL490" i="27"/>
  <c r="AN490" i="27" s="1"/>
  <c r="AO490" i="27" s="1"/>
  <c r="AK491" i="27" s="1"/>
  <c r="AL491" i="27" s="1"/>
  <c r="BK491" i="27"/>
  <c r="BL491" i="27" s="1"/>
  <c r="BM491" i="27" s="1"/>
  <c r="BI492" i="27" s="1"/>
  <c r="E464" i="27"/>
  <c r="G464" i="27" s="1"/>
  <c r="H464" i="27" s="1"/>
  <c r="D465" i="27" s="1"/>
  <c r="I465" i="27" s="1"/>
  <c r="I464" i="27"/>
  <c r="V492" i="27"/>
  <c r="X492" i="27" s="1"/>
  <c r="Y492" i="27" s="1"/>
  <c r="O483" i="27"/>
  <c r="N483" i="27"/>
  <c r="AM491" i="27" l="1"/>
  <c r="BK492" i="27"/>
  <c r="BJ492" i="27"/>
  <c r="AN491" i="27"/>
  <c r="AO491" i="27" s="1"/>
  <c r="AK492" i="27" s="1"/>
  <c r="AL492" i="27" s="1"/>
  <c r="F465" i="27"/>
  <c r="E465" i="27"/>
  <c r="P483" i="27"/>
  <c r="Q483" i="27" s="1"/>
  <c r="M484" i="27" s="1"/>
  <c r="G465" i="27" l="1"/>
  <c r="H465" i="27" s="1"/>
  <c r="D466" i="27" s="1"/>
  <c r="E466" i="27" s="1"/>
  <c r="BL492" i="27"/>
  <c r="BM492" i="27" s="1"/>
  <c r="AM492" i="27"/>
  <c r="AN492" i="27" s="1"/>
  <c r="AO492" i="27" s="1"/>
  <c r="N484" i="27"/>
  <c r="O484" i="27"/>
  <c r="I466" i="27" l="1"/>
  <c r="F466" i="27"/>
  <c r="G466" i="27" s="1"/>
  <c r="H466" i="27" s="1"/>
  <c r="D467" i="27" s="1"/>
  <c r="E467" i="27" s="1"/>
  <c r="P484" i="27"/>
  <c r="Q484" i="27" s="1"/>
  <c r="M485" i="27" s="1"/>
  <c r="I467" i="27" l="1"/>
  <c r="F467" i="27"/>
  <c r="G467" i="27" s="1"/>
  <c r="H467" i="27" s="1"/>
  <c r="D468" i="27" s="1"/>
  <c r="O485" i="27"/>
  <c r="N485" i="27"/>
  <c r="P485" i="27" l="1"/>
  <c r="Q485" i="27" s="1"/>
  <c r="M486" i="27" s="1"/>
  <c r="E468" i="27"/>
  <c r="I468" i="27"/>
  <c r="F468" i="27"/>
  <c r="G468" i="27" l="1"/>
  <c r="H468" i="27" s="1"/>
  <c r="D469" i="27" s="1"/>
  <c r="I469" i="27" s="1"/>
  <c r="O486" i="27"/>
  <c r="N486" i="27"/>
  <c r="P486" i="27" s="1"/>
  <c r="Q486" i="27" s="1"/>
  <c r="M487" i="27" s="1"/>
  <c r="E469" i="27" l="1"/>
  <c r="F469" i="27"/>
  <c r="O487" i="27"/>
  <c r="N487" i="27"/>
  <c r="P487" i="27" l="1"/>
  <c r="Q487" i="27" s="1"/>
  <c r="M488" i="27" s="1"/>
  <c r="G469" i="27"/>
  <c r="H469" i="27" s="1"/>
  <c r="D470" i="27" s="1"/>
  <c r="I470" i="27" s="1"/>
  <c r="O488" i="27"/>
  <c r="N488" i="27"/>
  <c r="P488" i="27" s="1"/>
  <c r="Q488" i="27" s="1"/>
  <c r="M489" i="27" s="1"/>
  <c r="E470" i="27" l="1"/>
  <c r="F470" i="27"/>
  <c r="O489" i="27"/>
  <c r="N489" i="27"/>
  <c r="P489" i="27" s="1"/>
  <c r="Q489" i="27" s="1"/>
  <c r="M490" i="27" s="1"/>
  <c r="G470" i="27" l="1"/>
  <c r="H470" i="27" s="1"/>
  <c r="D471" i="27" s="1"/>
  <c r="I471" i="27" s="1"/>
  <c r="N490" i="27"/>
  <c r="O490" i="27"/>
  <c r="F471" i="27" l="1"/>
  <c r="E471" i="27"/>
  <c r="P490" i="27"/>
  <c r="Q490" i="27" s="1"/>
  <c r="M491" i="27" s="1"/>
  <c r="G471" i="27" l="1"/>
  <c r="H471" i="27" s="1"/>
  <c r="D472" i="27" s="1"/>
  <c r="E472" i="27" s="1"/>
  <c r="O491" i="27"/>
  <c r="N491" i="27"/>
  <c r="I472" i="27" l="1"/>
  <c r="F472" i="27"/>
  <c r="G472" i="27" s="1"/>
  <c r="H472" i="27" s="1"/>
  <c r="D473" i="27" s="1"/>
  <c r="P491" i="27"/>
  <c r="Q491" i="27" s="1"/>
  <c r="M492" i="27" s="1"/>
  <c r="O492" i="27" s="1"/>
  <c r="N492" i="27" l="1"/>
  <c r="P492" i="27" s="1"/>
  <c r="Q492" i="27" s="1"/>
  <c r="AE35" i="60"/>
  <c r="AF35" i="60"/>
  <c r="AG35" i="60"/>
  <c r="AH35" i="60"/>
  <c r="AI35" i="60"/>
  <c r="AJ35" i="60"/>
  <c r="AK35" i="60"/>
  <c r="AL35" i="60"/>
  <c r="AM35" i="60"/>
  <c r="AN35" i="60"/>
  <c r="AO35" i="60"/>
  <c r="E473" i="27"/>
  <c r="F473" i="27"/>
  <c r="I473" i="27"/>
  <c r="G473" i="27" l="1"/>
  <c r="H473" i="27" s="1"/>
  <c r="D474" i="27" s="1"/>
  <c r="I474" i="27" l="1"/>
  <c r="E474" i="27"/>
  <c r="F474" i="27"/>
  <c r="G474" i="27" l="1"/>
  <c r="H474" i="27" s="1"/>
  <c r="D475" i="27" s="1"/>
  <c r="I475" i="27" l="1"/>
  <c r="E475" i="27"/>
  <c r="F475" i="27"/>
  <c r="G475" i="27" l="1"/>
  <c r="H475" i="27" s="1"/>
  <c r="D476" i="27" s="1"/>
  <c r="E476" i="27" s="1"/>
  <c r="I476" i="27" l="1"/>
  <c r="F476" i="27"/>
  <c r="G476" i="27" s="1"/>
  <c r="H476" i="27" s="1"/>
  <c r="D477" i="27" s="1"/>
  <c r="E477" i="27" s="1"/>
  <c r="I477" i="27" l="1"/>
  <c r="F477" i="27"/>
  <c r="G477" i="27" s="1"/>
  <c r="H477" i="27" s="1"/>
  <c r="D478" i="27" s="1"/>
  <c r="I478" i="27" l="1"/>
  <c r="F478" i="27"/>
  <c r="E478" i="27"/>
  <c r="G478" i="27" l="1"/>
  <c r="H478" i="27" s="1"/>
  <c r="D479" i="27" s="1"/>
  <c r="E479" i="27" s="1"/>
  <c r="F479" i="27" l="1"/>
  <c r="G479" i="27" s="1"/>
  <c r="H479" i="27" s="1"/>
  <c r="D480" i="27" s="1"/>
  <c r="I479" i="27"/>
  <c r="E480" i="27" l="1"/>
  <c r="F480" i="27"/>
  <c r="I480" i="27"/>
  <c r="G480" i="27" l="1"/>
  <c r="H480" i="27" s="1"/>
  <c r="D481" i="27" s="1"/>
  <c r="E481" i="27" l="1"/>
  <c r="F481" i="27"/>
  <c r="I481" i="27"/>
  <c r="G481" i="27" l="1"/>
  <c r="H481" i="27" s="1"/>
  <c r="D482" i="27" s="1"/>
  <c r="I482" i="27" l="1"/>
  <c r="F482" i="27"/>
  <c r="E482" i="27"/>
  <c r="G482" i="27" l="1"/>
  <c r="H482" i="27" s="1"/>
  <c r="D483" i="27" s="1"/>
  <c r="I483" i="27" l="1"/>
  <c r="F483" i="27"/>
  <c r="E483" i="27"/>
  <c r="G483" i="27" l="1"/>
  <c r="H483" i="27" s="1"/>
  <c r="D484" i="27" s="1"/>
  <c r="F484" i="27" l="1"/>
  <c r="E484" i="27"/>
  <c r="I484" i="27"/>
  <c r="G484" i="27" l="1"/>
  <c r="H484" i="27" s="1"/>
  <c r="D485" i="27" s="1"/>
  <c r="F485" i="27" l="1"/>
  <c r="E485" i="27"/>
  <c r="I485" i="27"/>
  <c r="G485" i="27" l="1"/>
  <c r="H485" i="27" s="1"/>
  <c r="D486" i="27" s="1"/>
  <c r="I486" i="27" s="1"/>
  <c r="E486" i="27" l="1"/>
  <c r="F486" i="27"/>
  <c r="G486" i="27" l="1"/>
  <c r="H486" i="27" s="1"/>
  <c r="D487" i="27" s="1"/>
  <c r="E487" i="27" s="1"/>
  <c r="F487" i="27" l="1"/>
  <c r="G487" i="27" s="1"/>
  <c r="H487" i="27" s="1"/>
  <c r="D488" i="27" s="1"/>
  <c r="I487" i="27"/>
  <c r="E488" i="27" l="1"/>
  <c r="I488" i="27"/>
  <c r="F488" i="27"/>
  <c r="G488" i="27" l="1"/>
  <c r="H488" i="27" s="1"/>
  <c r="D489" i="27" s="1"/>
  <c r="F489" i="27" s="1"/>
  <c r="I489" i="27" l="1"/>
  <c r="E489" i="27"/>
  <c r="G489" i="27" s="1"/>
  <c r="H489" i="27" s="1"/>
  <c r="D490" i="27" s="1"/>
  <c r="I490" i="27" s="1"/>
  <c r="F490" i="27" l="1"/>
  <c r="E490" i="27"/>
  <c r="G490" i="27" s="1"/>
  <c r="H490" i="27" s="1"/>
  <c r="D491" i="27" s="1"/>
  <c r="E491" i="27" s="1"/>
  <c r="I491" i="27" l="1"/>
  <c r="F491" i="27"/>
  <c r="G491" i="27" s="1"/>
  <c r="H491" i="27" s="1"/>
  <c r="D492" i="27" s="1"/>
  <c r="F492" i="27" l="1"/>
  <c r="E492" i="27"/>
  <c r="I492" i="27"/>
  <c r="AA33" i="60"/>
  <c r="AB33" i="60"/>
  <c r="AA34" i="60"/>
  <c r="AB34" i="60"/>
  <c r="AC34" i="60"/>
  <c r="AD34" i="60"/>
  <c r="AE34" i="60"/>
  <c r="AF34" i="60"/>
  <c r="AG34" i="60"/>
  <c r="AH34" i="60"/>
  <c r="AI34" i="60"/>
  <c r="AJ34" i="60"/>
  <c r="AK34" i="60"/>
  <c r="AL34" i="60"/>
  <c r="AM34" i="60"/>
  <c r="AN34" i="60"/>
  <c r="AO34" i="60"/>
  <c r="G492" i="27"/>
  <c r="H492" i="27" s="1"/>
  <c r="AC33" i="60"/>
  <c r="AD33" i="60"/>
  <c r="AE33" i="60"/>
  <c r="AF33" i="60"/>
  <c r="AG33" i="60"/>
  <c r="AH33" i="60"/>
  <c r="AI33" i="60"/>
  <c r="AJ33" i="60"/>
  <c r="AK33" i="60"/>
  <c r="AL33" i="60"/>
  <c r="AM33" i="60"/>
  <c r="AN33" i="60"/>
  <c r="AO33" i="60"/>
  <c r="AI36" i="60" l="1"/>
  <c r="AA36" i="60"/>
  <c r="AF36" i="60"/>
  <c r="AB36" i="60"/>
  <c r="AD36" i="60"/>
  <c r="AK36" i="60"/>
  <c r="AN36" i="60"/>
  <c r="AL36" i="60"/>
  <c r="AO36" i="60"/>
  <c r="AO38" i="60" s="1"/>
  <c r="AC36" i="60"/>
  <c r="AH36" i="60"/>
  <c r="AG36" i="60"/>
  <c r="AM36" i="60"/>
  <c r="AE36" i="60"/>
  <c r="AJ36" i="60"/>
  <c r="V15" i="9" l="1"/>
  <c r="V38" i="9" s="1"/>
  <c r="X15" i="9"/>
  <c r="Z15" i="9"/>
  <c r="F38" i="9"/>
  <c r="L38" i="9"/>
  <c r="M38" i="9"/>
  <c r="N38" i="9"/>
  <c r="R38" i="9"/>
  <c r="S38" i="9"/>
  <c r="F92" i="56"/>
  <c r="F127" i="56" s="1"/>
  <c r="F150" i="56" s="1"/>
  <c r="H52" i="56" l="1"/>
  <c r="E52" i="56"/>
  <c r="I520" i="73"/>
  <c r="AO520" i="73" s="1"/>
  <c r="AP520" i="73" s="1"/>
  <c r="C23" i="60"/>
  <c r="B19" i="63"/>
  <c r="F19" i="63" s="1"/>
  <c r="C64" i="3"/>
  <c r="C44" i="3"/>
  <c r="AC14" i="56"/>
  <c r="D12" i="14"/>
  <c r="E76" i="14" s="1"/>
  <c r="K76" i="14" s="1"/>
  <c r="E44" i="56"/>
  <c r="E54" i="56"/>
  <c r="E40" i="56"/>
  <c r="E61" i="56"/>
  <c r="E42" i="56"/>
  <c r="E43" i="56"/>
  <c r="E69" i="56"/>
  <c r="E77" i="56"/>
  <c r="E45" i="56"/>
  <c r="E55" i="56"/>
  <c r="E63" i="56"/>
  <c r="E70" i="56"/>
  <c r="E68" i="56"/>
  <c r="E46" i="56"/>
  <c r="E56" i="56"/>
  <c r="E72" i="56"/>
  <c r="E49" i="56"/>
  <c r="E50" i="56"/>
  <c r="E38" i="56"/>
  <c r="E71" i="56"/>
  <c r="E39" i="56"/>
  <c r="E47" i="56"/>
  <c r="E58" i="56"/>
  <c r="E48" i="56"/>
  <c r="E73" i="56"/>
  <c r="E41" i="56"/>
  <c r="E74" i="56"/>
  <c r="E75" i="56"/>
  <c r="E51" i="56"/>
  <c r="E62" i="56"/>
  <c r="E60" i="56"/>
  <c r="E59" i="56"/>
  <c r="H63" i="56"/>
  <c r="H62" i="56"/>
  <c r="H56" i="56"/>
  <c r="H61" i="56"/>
  <c r="H60" i="56"/>
  <c r="H59" i="56"/>
  <c r="H58" i="56"/>
  <c r="B16" i="63"/>
  <c r="K15" i="23"/>
  <c r="E19" i="23"/>
  <c r="E21" i="23"/>
  <c r="E16" i="23"/>
  <c r="E20" i="23"/>
  <c r="E15" i="23"/>
  <c r="E17" i="23"/>
  <c r="K19" i="23"/>
  <c r="E18" i="23"/>
  <c r="K17" i="23"/>
  <c r="K20" i="23"/>
  <c r="K21" i="23"/>
  <c r="E21" i="14"/>
  <c r="I21" i="14" s="1"/>
  <c r="K16" i="23"/>
  <c r="B24" i="63"/>
  <c r="F24" i="63" s="1"/>
  <c r="E8" i="14"/>
  <c r="D8" i="63"/>
  <c r="F8" i="63" s="1"/>
  <c r="H74" i="56"/>
  <c r="H72" i="56"/>
  <c r="H71" i="56"/>
  <c r="H69" i="56"/>
  <c r="H75" i="56"/>
  <c r="H68" i="56"/>
  <c r="H73" i="56"/>
  <c r="H55" i="56"/>
  <c r="H70" i="56"/>
  <c r="H54" i="56"/>
  <c r="H51" i="56"/>
  <c r="H50" i="56"/>
  <c r="H49" i="56"/>
  <c r="H48" i="56"/>
  <c r="H47" i="56"/>
  <c r="H44" i="56"/>
  <c r="H41" i="56"/>
  <c r="H40" i="56"/>
  <c r="H45" i="56"/>
  <c r="H38" i="56"/>
  <c r="H42" i="56"/>
  <c r="H28" i="56"/>
  <c r="E28" i="56"/>
  <c r="E27" i="56"/>
  <c r="E25" i="56"/>
  <c r="H43" i="56"/>
  <c r="H39" i="56"/>
  <c r="E23" i="56"/>
  <c r="H22" i="56"/>
  <c r="E22" i="56"/>
  <c r="H21" i="56"/>
  <c r="E21" i="56"/>
  <c r="E20" i="56"/>
  <c r="E19" i="56"/>
  <c r="H18" i="56"/>
  <c r="E18" i="56"/>
  <c r="E17" i="56"/>
  <c r="E15" i="56"/>
  <c r="H14" i="56"/>
  <c r="E14" i="56"/>
  <c r="E13" i="56"/>
  <c r="H12" i="56"/>
  <c r="E12" i="56"/>
  <c r="H11" i="56"/>
  <c r="E11" i="56"/>
  <c r="H10" i="56"/>
  <c r="E10" i="56"/>
  <c r="E9" i="56"/>
  <c r="E36" i="23"/>
  <c r="K34" i="23"/>
  <c r="E33" i="23"/>
  <c r="E32" i="23"/>
  <c r="E27" i="23"/>
  <c r="E35" i="23"/>
  <c r="E34" i="23"/>
  <c r="E26" i="23"/>
  <c r="E25" i="23"/>
  <c r="E29" i="23"/>
  <c r="K14" i="23"/>
  <c r="E14" i="23"/>
  <c r="K13" i="23"/>
  <c r="E13" i="23"/>
  <c r="K12" i="23"/>
  <c r="E12" i="23"/>
  <c r="K11" i="23"/>
  <c r="E11" i="23"/>
  <c r="E9" i="23"/>
  <c r="K8" i="23"/>
  <c r="E8" i="23"/>
  <c r="K7" i="23"/>
  <c r="G96" i="14"/>
  <c r="G95" i="14"/>
  <c r="G84" i="14"/>
  <c r="E83" i="14"/>
  <c r="I83" i="14" s="1"/>
  <c r="E80" i="14"/>
  <c r="I80" i="14" s="1"/>
  <c r="G78" i="14"/>
  <c r="E77" i="14"/>
  <c r="K77" i="14" s="1"/>
  <c r="G76" i="14"/>
  <c r="K9" i="23"/>
  <c r="G89" i="14"/>
  <c r="E72" i="14"/>
  <c r="I72" i="14" s="1"/>
  <c r="G71" i="14"/>
  <c r="K10" i="23"/>
  <c r="G99" i="14"/>
  <c r="G82" i="14"/>
  <c r="E69" i="14"/>
  <c r="K69" i="14" s="1"/>
  <c r="E10" i="23"/>
  <c r="G97" i="14"/>
  <c r="E82" i="14"/>
  <c r="I82" i="14" s="1"/>
  <c r="G68" i="14"/>
  <c r="E87" i="14"/>
  <c r="I87" i="14" s="1"/>
  <c r="E78" i="14"/>
  <c r="I78" i="14" s="1"/>
  <c r="G65" i="14"/>
  <c r="G77" i="14"/>
  <c r="E65" i="14"/>
  <c r="I65" i="14" s="1"/>
  <c r="E89" i="14"/>
  <c r="K89" i="14" s="1"/>
  <c r="G81" i="14"/>
  <c r="E61" i="14"/>
  <c r="I61" i="14" s="1"/>
  <c r="G87" i="14"/>
  <c r="E81" i="14"/>
  <c r="I81" i="14" s="1"/>
  <c r="G72" i="14"/>
  <c r="G60" i="14"/>
  <c r="G56" i="14"/>
  <c r="G70" i="14"/>
  <c r="E56" i="14"/>
  <c r="I56" i="14" s="1"/>
  <c r="G98" i="14"/>
  <c r="G85" i="14"/>
  <c r="G80" i="14"/>
  <c r="G73" i="14"/>
  <c r="E68" i="14"/>
  <c r="I68" i="14" s="1"/>
  <c r="G51" i="14"/>
  <c r="E73" i="14"/>
  <c r="I73" i="14" s="1"/>
  <c r="G67" i="14"/>
  <c r="E51" i="14"/>
  <c r="K51" i="14" s="1"/>
  <c r="G91" i="14"/>
  <c r="G83" i="14"/>
  <c r="G79" i="14"/>
  <c r="G74" i="14"/>
  <c r="E70" i="14"/>
  <c r="I70" i="14" s="1"/>
  <c r="G64" i="14"/>
  <c r="G45" i="14"/>
  <c r="E79" i="14"/>
  <c r="K79" i="14" s="1"/>
  <c r="G69" i="14"/>
  <c r="E64" i="14"/>
  <c r="I64" i="14" s="1"/>
  <c r="E45" i="14"/>
  <c r="I45" i="14" s="1"/>
  <c r="E71" i="14"/>
  <c r="I71" i="14" s="1"/>
  <c r="E67" i="14"/>
  <c r="I67" i="14" s="1"/>
  <c r="E60" i="14"/>
  <c r="I60" i="14" s="1"/>
  <c r="E41" i="14"/>
  <c r="I41" i="14" s="1"/>
  <c r="E66" i="14"/>
  <c r="I66" i="14" s="1"/>
  <c r="G59" i="14"/>
  <c r="G39" i="14"/>
  <c r="E62" i="14"/>
  <c r="I62" i="14" s="1"/>
  <c r="G55" i="14"/>
  <c r="E36" i="14"/>
  <c r="I36" i="14" s="1"/>
  <c r="G61" i="14"/>
  <c r="E55" i="14"/>
  <c r="I55" i="14" s="1"/>
  <c r="G35" i="14"/>
  <c r="G63" i="14"/>
  <c r="G57" i="14"/>
  <c r="G50" i="14"/>
  <c r="G32" i="14"/>
  <c r="E63" i="14"/>
  <c r="I63" i="14" s="1"/>
  <c r="E57" i="14"/>
  <c r="I57" i="14" s="1"/>
  <c r="E50" i="14"/>
  <c r="I50" i="14" s="1"/>
  <c r="E32" i="14"/>
  <c r="I32" i="14" s="1"/>
  <c r="E59" i="14"/>
  <c r="I59" i="14" s="1"/>
  <c r="G52" i="14"/>
  <c r="E43" i="14"/>
  <c r="I43" i="14" s="1"/>
  <c r="G29" i="14"/>
  <c r="G66" i="14"/>
  <c r="G62" i="14"/>
  <c r="E58" i="14"/>
  <c r="I58" i="14" s="1"/>
  <c r="E52" i="14"/>
  <c r="I52" i="14" s="1"/>
  <c r="G42" i="14"/>
  <c r="E29" i="14"/>
  <c r="K29" i="14" s="1"/>
  <c r="G58" i="14"/>
  <c r="G54" i="14"/>
  <c r="E47" i="14"/>
  <c r="K47" i="14" s="1"/>
  <c r="E37" i="14"/>
  <c r="I37" i="14" s="1"/>
  <c r="E27" i="14"/>
  <c r="I27" i="14" s="1"/>
  <c r="E54" i="14"/>
  <c r="I54" i="14" s="1"/>
  <c r="G46" i="14"/>
  <c r="G36" i="14"/>
  <c r="G26" i="14"/>
  <c r="E49" i="14"/>
  <c r="K49" i="14" s="1"/>
  <c r="E42" i="14"/>
  <c r="K42" i="14" s="1"/>
  <c r="E35" i="14"/>
  <c r="I35" i="14" s="1"/>
  <c r="E25" i="14"/>
  <c r="I25" i="14" s="1"/>
  <c r="E53" i="14"/>
  <c r="K53" i="14" s="1"/>
  <c r="G47" i="14"/>
  <c r="G41" i="14"/>
  <c r="G34" i="14"/>
  <c r="E24" i="14"/>
  <c r="I24" i="14" s="1"/>
  <c r="G31" i="14"/>
  <c r="G23" i="14"/>
  <c r="E31" i="14"/>
  <c r="I31" i="14" s="1"/>
  <c r="E23" i="14"/>
  <c r="I23" i="14" s="1"/>
  <c r="G44" i="14"/>
  <c r="G38" i="14"/>
  <c r="G33" i="14"/>
  <c r="G28" i="14"/>
  <c r="G22" i="14"/>
  <c r="G53" i="14"/>
  <c r="G49" i="14"/>
  <c r="E44" i="14"/>
  <c r="K44" i="14" s="1"/>
  <c r="G37" i="14"/>
  <c r="E33" i="14"/>
  <c r="I33" i="14" s="1"/>
  <c r="G27" i="14"/>
  <c r="E22" i="14"/>
  <c r="I22" i="14" s="1"/>
  <c r="G30" i="14"/>
  <c r="E26" i="14"/>
  <c r="I26" i="14" s="1"/>
  <c r="G21" i="14"/>
  <c r="G43" i="14"/>
  <c r="E38" i="14"/>
  <c r="I38" i="14" s="1"/>
  <c r="E34" i="14"/>
  <c r="I34" i="14" s="1"/>
  <c r="E30" i="14"/>
  <c r="K30" i="14" s="1"/>
  <c r="G25" i="14"/>
  <c r="G20" i="14"/>
  <c r="D108" i="9"/>
  <c r="AO425" i="73" s="1"/>
  <c r="D107" i="9"/>
  <c r="G24" i="14"/>
  <c r="E20" i="14"/>
  <c r="I20" i="14" s="1"/>
  <c r="G17" i="14"/>
  <c r="G16" i="14"/>
  <c r="E16" i="14"/>
  <c r="I16" i="14" s="1"/>
  <c r="G15" i="14"/>
  <c r="E15" i="14"/>
  <c r="K15" i="14" s="1"/>
  <c r="G14" i="14"/>
  <c r="G13" i="14"/>
  <c r="E13" i="14"/>
  <c r="I13" i="14" s="1"/>
  <c r="G12" i="14"/>
  <c r="G8" i="14"/>
  <c r="M45" i="9"/>
  <c r="X38" i="9"/>
  <c r="M47" i="9"/>
  <c r="AB15" i="9"/>
  <c r="AG15" i="9"/>
  <c r="AG38" i="9" s="1"/>
  <c r="AE43" i="9" s="1"/>
  <c r="Z38" i="9"/>
  <c r="F115" i="56"/>
  <c r="G9" i="56"/>
  <c r="H9" i="56" s="1"/>
  <c r="D14" i="14"/>
  <c r="D26" i="57"/>
  <c r="D43" i="57"/>
  <c r="D42" i="57"/>
  <c r="D40" i="57"/>
  <c r="D39" i="57"/>
  <c r="D23" i="60" l="1"/>
  <c r="E23" i="60" s="1"/>
  <c r="F23" i="60" s="1"/>
  <c r="G23" i="60" s="1"/>
  <c r="H23" i="60" s="1"/>
  <c r="I23" i="60" s="1"/>
  <c r="J23" i="60" s="1"/>
  <c r="K23" i="60" s="1"/>
  <c r="L23" i="60" s="1"/>
  <c r="M23" i="60" s="1"/>
  <c r="N23" i="60" s="1"/>
  <c r="O23" i="60" s="1"/>
  <c r="P23" i="60" s="1"/>
  <c r="Q23" i="60" s="1"/>
  <c r="R23" i="60" s="1"/>
  <c r="S23" i="60" s="1"/>
  <c r="T23" i="60" s="1"/>
  <c r="U23" i="60" s="1"/>
  <c r="V23" i="60" s="1"/>
  <c r="W23" i="60" s="1"/>
  <c r="X23" i="60" s="1"/>
  <c r="Y23" i="60" s="1"/>
  <c r="Z23" i="60" s="1"/>
  <c r="AA23" i="60" s="1"/>
  <c r="AB23" i="60" s="1"/>
  <c r="AC23" i="60" s="1"/>
  <c r="AD23" i="60" s="1"/>
  <c r="AE23" i="60" s="1"/>
  <c r="AF23" i="60" s="1"/>
  <c r="AG23" i="60" s="1"/>
  <c r="AH23" i="60" s="1"/>
  <c r="AI23" i="60" s="1"/>
  <c r="AJ23" i="60" s="1"/>
  <c r="AK23" i="60" s="1"/>
  <c r="AL23" i="60" s="1"/>
  <c r="AM23" i="60" s="1"/>
  <c r="AN23" i="60" s="1"/>
  <c r="AO23" i="60" s="1"/>
  <c r="AP23" i="60" s="1"/>
  <c r="I512" i="73"/>
  <c r="AO512" i="73" s="1"/>
  <c r="AP501" i="73" s="1"/>
  <c r="D74" i="14"/>
  <c r="K32" i="14"/>
  <c r="E104" i="9"/>
  <c r="E105" i="9"/>
  <c r="J105" i="9"/>
  <c r="J104" i="9"/>
  <c r="H105" i="9"/>
  <c r="I105" i="9"/>
  <c r="H104" i="9"/>
  <c r="I104" i="9"/>
  <c r="K52" i="14"/>
  <c r="K23" i="14"/>
  <c r="I77" i="14"/>
  <c r="K54" i="14"/>
  <c r="I44" i="14"/>
  <c r="K66" i="14"/>
  <c r="I53" i="14"/>
  <c r="K78" i="14"/>
  <c r="K72" i="14"/>
  <c r="D28" i="63"/>
  <c r="F28" i="63" s="1"/>
  <c r="E12" i="14"/>
  <c r="I12" i="14" s="1"/>
  <c r="T22" i="56"/>
  <c r="F80" i="22"/>
  <c r="C83" i="22"/>
  <c r="K35" i="14"/>
  <c r="K57" i="14"/>
  <c r="K60" i="14"/>
  <c r="K80" i="14"/>
  <c r="I76" i="14"/>
  <c r="K22" i="14"/>
  <c r="K37" i="14"/>
  <c r="K26" i="14"/>
  <c r="K56" i="14"/>
  <c r="K34" i="14"/>
  <c r="I69" i="14"/>
  <c r="I29" i="14"/>
  <c r="K64" i="14"/>
  <c r="K33" i="14"/>
  <c r="E22" i="23"/>
  <c r="E37" i="23"/>
  <c r="K83" i="14"/>
  <c r="K50" i="14"/>
  <c r="G92" i="14"/>
  <c r="K65" i="14"/>
  <c r="K24" i="14"/>
  <c r="K71" i="14"/>
  <c r="I42" i="14"/>
  <c r="I49" i="14"/>
  <c r="I89" i="14"/>
  <c r="K70" i="14"/>
  <c r="K67" i="14"/>
  <c r="K27" i="14"/>
  <c r="K58" i="14"/>
  <c r="K25" i="14"/>
  <c r="K61" i="14"/>
  <c r="K87" i="14"/>
  <c r="K41" i="14"/>
  <c r="I79" i="14"/>
  <c r="K55" i="14"/>
  <c r="I51" i="14"/>
  <c r="K73" i="14"/>
  <c r="K20" i="14"/>
  <c r="K38" i="14"/>
  <c r="K59" i="14"/>
  <c r="K81" i="14"/>
  <c r="K36" i="14"/>
  <c r="K82" i="14"/>
  <c r="I47" i="14"/>
  <c r="K63" i="14"/>
  <c r="K62" i="14"/>
  <c r="K43" i="14"/>
  <c r="K45" i="14"/>
  <c r="K68" i="14"/>
  <c r="K31" i="14"/>
  <c r="I15" i="14"/>
  <c r="K16" i="14"/>
  <c r="I30" i="14"/>
  <c r="G108" i="9"/>
  <c r="AR425" i="73" s="1"/>
  <c r="I425" i="73"/>
  <c r="E54" i="23"/>
  <c r="AO424" i="73"/>
  <c r="E53" i="23"/>
  <c r="I424" i="73"/>
  <c r="G107" i="9"/>
  <c r="K21" i="14"/>
  <c r="K13" i="14"/>
  <c r="M48" i="9"/>
  <c r="D111" i="9"/>
  <c r="C114" i="9" s="1"/>
  <c r="E14" i="14"/>
  <c r="I14" i="14" s="1"/>
  <c r="I451" i="73"/>
  <c r="AO451" i="73" s="1"/>
  <c r="D20" i="63"/>
  <c r="F20" i="63" s="1"/>
  <c r="I449" i="73"/>
  <c r="F9" i="56"/>
  <c r="G13" i="56"/>
  <c r="D17" i="14"/>
  <c r="D76" i="56" l="1"/>
  <c r="J18" i="23"/>
  <c r="I514" i="73"/>
  <c r="C21" i="60"/>
  <c r="G19" i="56"/>
  <c r="E74" i="14"/>
  <c r="K12" i="14"/>
  <c r="N421" i="73"/>
  <c r="AT421" i="73"/>
  <c r="M421" i="73"/>
  <c r="AS421" i="73"/>
  <c r="N422" i="73"/>
  <c r="AT422" i="73"/>
  <c r="M422" i="73"/>
  <c r="AS422" i="73"/>
  <c r="AU421" i="73"/>
  <c r="O421" i="73"/>
  <c r="AU422" i="73"/>
  <c r="O422" i="73"/>
  <c r="AP422" i="73"/>
  <c r="J422" i="73"/>
  <c r="AP421" i="73"/>
  <c r="J421" i="73"/>
  <c r="F105" i="9"/>
  <c r="G105" i="9"/>
  <c r="F104" i="9"/>
  <c r="G104" i="9"/>
  <c r="F83" i="22"/>
  <c r="C89" i="22"/>
  <c r="B6" i="61"/>
  <c r="K80" i="22"/>
  <c r="K83" i="22" s="1"/>
  <c r="K89" i="22" s="1"/>
  <c r="K90" i="22" s="1"/>
  <c r="H660" i="73"/>
  <c r="C102" i="20"/>
  <c r="D16" i="63"/>
  <c r="F16" i="63" s="1"/>
  <c r="I517" i="73"/>
  <c r="AO517" i="73" s="1"/>
  <c r="AP517" i="73" s="1"/>
  <c r="C22" i="60"/>
  <c r="B18" i="63"/>
  <c r="F18" i="63" s="1"/>
  <c r="D85" i="14"/>
  <c r="E85" i="14" s="1"/>
  <c r="L425" i="73"/>
  <c r="AR424" i="73"/>
  <c r="L424" i="73"/>
  <c r="K14" i="14"/>
  <c r="AO449" i="73"/>
  <c r="AO514" i="73"/>
  <c r="AP514" i="73" s="1"/>
  <c r="E57" i="23"/>
  <c r="F48" i="23" s="1"/>
  <c r="E114" i="22"/>
  <c r="E111" i="22"/>
  <c r="AO428" i="73"/>
  <c r="F25" i="63"/>
  <c r="I428" i="73"/>
  <c r="D28" i="57"/>
  <c r="D28" i="14"/>
  <c r="I466" i="73" s="1"/>
  <c r="AO466" i="73" s="1"/>
  <c r="AP466" i="73" s="1"/>
  <c r="I454" i="73"/>
  <c r="AO454" i="73" s="1"/>
  <c r="E17" i="14"/>
  <c r="K17" i="14" s="1"/>
  <c r="F13" i="56"/>
  <c r="H13" i="56"/>
  <c r="G15" i="56"/>
  <c r="G76" i="56" l="1"/>
  <c r="J22" i="23"/>
  <c r="K18" i="23"/>
  <c r="D78" i="56"/>
  <c r="E76" i="56"/>
  <c r="E78" i="56" s="1"/>
  <c r="K74" i="14"/>
  <c r="I74" i="14"/>
  <c r="F19" i="56"/>
  <c r="H19" i="56"/>
  <c r="D21" i="60"/>
  <c r="E21" i="60" s="1"/>
  <c r="F21" i="60" s="1"/>
  <c r="G21" i="60" s="1"/>
  <c r="H21" i="60" s="1"/>
  <c r="I21" i="60" s="1"/>
  <c r="J21" i="60" s="1"/>
  <c r="K21" i="60" s="1"/>
  <c r="L21" i="60" s="1"/>
  <c r="M21" i="60" s="1"/>
  <c r="N21" i="60" s="1"/>
  <c r="O21" i="60" s="1"/>
  <c r="P21" i="60" s="1"/>
  <c r="Q21" i="60" s="1"/>
  <c r="R21" i="60" s="1"/>
  <c r="S21" i="60" s="1"/>
  <c r="T21" i="60" s="1"/>
  <c r="U21" i="60" s="1"/>
  <c r="V21" i="60" s="1"/>
  <c r="W21" i="60" s="1"/>
  <c r="X21" i="60" s="1"/>
  <c r="Y21" i="60" s="1"/>
  <c r="Z21" i="60" s="1"/>
  <c r="AA21" i="60" s="1"/>
  <c r="AB21" i="60" s="1"/>
  <c r="AC21" i="60" s="1"/>
  <c r="AD21" i="60" s="1"/>
  <c r="AE21" i="60" s="1"/>
  <c r="AF21" i="60" s="1"/>
  <c r="AG21" i="60" s="1"/>
  <c r="AH21" i="60" s="1"/>
  <c r="AI21" i="60" s="1"/>
  <c r="AJ21" i="60" s="1"/>
  <c r="AK21" i="60" s="1"/>
  <c r="AL21" i="60" s="1"/>
  <c r="AM21" i="60" s="1"/>
  <c r="AN21" i="60" s="1"/>
  <c r="AO21" i="60" s="1"/>
  <c r="AP21" i="60" s="1"/>
  <c r="L421" i="73"/>
  <c r="AR421" i="73"/>
  <c r="AQ421" i="73"/>
  <c r="K421" i="73"/>
  <c r="L422" i="73"/>
  <c r="AR422" i="73"/>
  <c r="AQ422" i="73"/>
  <c r="K422" i="73"/>
  <c r="I85" i="14"/>
  <c r="K85" i="14"/>
  <c r="AN660" i="73"/>
  <c r="I664" i="73"/>
  <c r="BE664" i="73" s="1"/>
  <c r="D102" i="20"/>
  <c r="D109" i="20" s="1"/>
  <c r="AJ102" i="20"/>
  <c r="C109" i="20"/>
  <c r="AJ109" i="20" s="1"/>
  <c r="C24" i="60"/>
  <c r="G20" i="56"/>
  <c r="I526" i="73"/>
  <c r="AO526" i="73" s="1"/>
  <c r="AP526" i="73" s="1"/>
  <c r="D22" i="60"/>
  <c r="E22" i="60" s="1"/>
  <c r="F22" i="60" s="1"/>
  <c r="G22" i="60" s="1"/>
  <c r="H22" i="60" s="1"/>
  <c r="I22" i="60" s="1"/>
  <c r="J22" i="60" s="1"/>
  <c r="K22" i="60" s="1"/>
  <c r="L22" i="60" s="1"/>
  <c r="M22" i="60" s="1"/>
  <c r="N22" i="60" s="1"/>
  <c r="O22" i="60" s="1"/>
  <c r="P22" i="60" s="1"/>
  <c r="Q22" i="60" s="1"/>
  <c r="R22" i="60" s="1"/>
  <c r="S22" i="60" s="1"/>
  <c r="T22" i="60" s="1"/>
  <c r="U22" i="60" s="1"/>
  <c r="V22" i="60" s="1"/>
  <c r="W22" i="60" s="1"/>
  <c r="X22" i="60" s="1"/>
  <c r="Y22" i="60" s="1"/>
  <c r="Z22" i="60" s="1"/>
  <c r="AA22" i="60" s="1"/>
  <c r="AB22" i="60" s="1"/>
  <c r="AC22" i="60" s="1"/>
  <c r="AD22" i="60" s="1"/>
  <c r="AE22" i="60" s="1"/>
  <c r="AF22" i="60" s="1"/>
  <c r="AG22" i="60" s="1"/>
  <c r="AH22" i="60" s="1"/>
  <c r="AI22" i="60" s="1"/>
  <c r="AJ22" i="60" s="1"/>
  <c r="AK22" i="60" s="1"/>
  <c r="AL22" i="60" s="1"/>
  <c r="AM22" i="60" s="1"/>
  <c r="AN22" i="60" s="1"/>
  <c r="AO22" i="60" s="1"/>
  <c r="AP22" i="60" s="1"/>
  <c r="L76" i="56"/>
  <c r="F76" i="56"/>
  <c r="H76" i="56"/>
  <c r="B10" i="61"/>
  <c r="B8" i="61"/>
  <c r="D103" i="23"/>
  <c r="C90" i="22"/>
  <c r="F90" i="22" s="1"/>
  <c r="F89" i="22"/>
  <c r="H670" i="73" s="1"/>
  <c r="G79" i="22"/>
  <c r="D49" i="57"/>
  <c r="G81" i="22"/>
  <c r="G78" i="56"/>
  <c r="H664" i="73"/>
  <c r="G82" i="22"/>
  <c r="G77" i="22"/>
  <c r="G80" i="22"/>
  <c r="G78" i="22"/>
  <c r="G83" i="22"/>
  <c r="C98" i="22"/>
  <c r="C100" i="22" s="1"/>
  <c r="E100" i="22" s="1"/>
  <c r="D37" i="57" s="1"/>
  <c r="E117" i="22"/>
  <c r="B11" i="63" s="1"/>
  <c r="B86" i="22" s="1"/>
  <c r="B107" i="20" s="1"/>
  <c r="D39" i="14"/>
  <c r="I477" i="73" s="1"/>
  <c r="AO477" i="73" s="1"/>
  <c r="AP477" i="73" s="1"/>
  <c r="G111" i="9"/>
  <c r="E28" i="14"/>
  <c r="K28" i="14" s="1"/>
  <c r="F111" i="9"/>
  <c r="F15" i="56"/>
  <c r="H15" i="56"/>
  <c r="J32" i="23" l="1"/>
  <c r="K32" i="23" s="1"/>
  <c r="D102" i="23"/>
  <c r="K22" i="23"/>
  <c r="AN664" i="73"/>
  <c r="BD664" i="73"/>
  <c r="G66" i="3"/>
  <c r="L20" i="23" s="1"/>
  <c r="B11" i="61"/>
  <c r="B12" i="61" s="1"/>
  <c r="C115" i="9"/>
  <c r="C14" i="17" s="1"/>
  <c r="F78" i="56"/>
  <c r="BD670" i="73"/>
  <c r="AN670" i="73"/>
  <c r="H16" i="66"/>
  <c r="H22" i="66" s="1"/>
  <c r="H23" i="66" s="1"/>
  <c r="D45" i="57"/>
  <c r="D36" i="57"/>
  <c r="F46" i="5"/>
  <c r="H671" i="73"/>
  <c r="BD671" i="73" s="1"/>
  <c r="F20" i="56"/>
  <c r="H20" i="56"/>
  <c r="D24" i="60"/>
  <c r="E24" i="60" s="1"/>
  <c r="F24" i="60" s="1"/>
  <c r="G24" i="60" s="1"/>
  <c r="H24" i="60" s="1"/>
  <c r="I24" i="60" s="1"/>
  <c r="J24" i="60" s="1"/>
  <c r="K24" i="60" s="1"/>
  <c r="L24" i="60" s="1"/>
  <c r="M24" i="60" s="1"/>
  <c r="N24" i="60" s="1"/>
  <c r="O24" i="60" s="1"/>
  <c r="P24" i="60" s="1"/>
  <c r="Q24" i="60" s="1"/>
  <c r="R24" i="60" s="1"/>
  <c r="S24" i="60" s="1"/>
  <c r="T24" i="60" s="1"/>
  <c r="U24" i="60" s="1"/>
  <c r="V24" i="60" s="1"/>
  <c r="W24" i="60" s="1"/>
  <c r="X24" i="60" s="1"/>
  <c r="Y24" i="60" s="1"/>
  <c r="Z24" i="60" s="1"/>
  <c r="AA24" i="60" s="1"/>
  <c r="AB24" i="60" s="1"/>
  <c r="AC24" i="60" s="1"/>
  <c r="AD24" i="60" s="1"/>
  <c r="AE24" i="60" s="1"/>
  <c r="AF24" i="60" s="1"/>
  <c r="AG24" i="60" s="1"/>
  <c r="AH24" i="60" s="1"/>
  <c r="AI24" i="60" s="1"/>
  <c r="AJ24" i="60" s="1"/>
  <c r="AK24" i="60" s="1"/>
  <c r="AL24" i="60" s="1"/>
  <c r="AM24" i="60" s="1"/>
  <c r="AN24" i="60" s="1"/>
  <c r="AO24" i="60" s="1"/>
  <c r="AP24" i="60" s="1"/>
  <c r="D123" i="22"/>
  <c r="D124" i="22" s="1"/>
  <c r="L77" i="56"/>
  <c r="F77" i="56"/>
  <c r="H77" i="56"/>
  <c r="H78" i="56" s="1"/>
  <c r="F11" i="63"/>
  <c r="E39" i="14"/>
  <c r="I39" i="14" s="1"/>
  <c r="I28" i="14"/>
  <c r="D91" i="14"/>
  <c r="I532" i="73" s="1"/>
  <c r="AO532" i="73" s="1"/>
  <c r="AP532" i="73" s="1"/>
  <c r="C18" i="60"/>
  <c r="G17" i="56"/>
  <c r="G23" i="56" s="1"/>
  <c r="AQ428" i="73"/>
  <c r="E97" i="14"/>
  <c r="K97" i="14" s="1"/>
  <c r="E95" i="14"/>
  <c r="K95" i="14" s="1"/>
  <c r="E98" i="14"/>
  <c r="K98" i="14" s="1"/>
  <c r="K428" i="73"/>
  <c r="E96" i="14"/>
  <c r="K96" i="14" s="1"/>
  <c r="E99" i="14"/>
  <c r="K99" i="14" s="1"/>
  <c r="AR428" i="73"/>
  <c r="L428" i="73"/>
  <c r="C6" i="61" l="1"/>
  <c r="L22" i="23"/>
  <c r="L16" i="23"/>
  <c r="F16" i="23"/>
  <c r="F15" i="23"/>
  <c r="L17" i="23"/>
  <c r="L21" i="23"/>
  <c r="F19" i="23"/>
  <c r="L15" i="23"/>
  <c r="F21" i="23"/>
  <c r="L19" i="23"/>
  <c r="F20" i="23"/>
  <c r="L18" i="23"/>
  <c r="F18" i="23"/>
  <c r="F17" i="23"/>
  <c r="AN671" i="73"/>
  <c r="G27" i="66"/>
  <c r="G45" i="66"/>
  <c r="G35" i="66"/>
  <c r="G37" i="66"/>
  <c r="G29" i="66"/>
  <c r="G26" i="66"/>
  <c r="H47" i="66" s="1"/>
  <c r="H49" i="66" s="1"/>
  <c r="H62" i="66" s="1"/>
  <c r="H64" i="66" s="1"/>
  <c r="G41" i="66"/>
  <c r="G43" i="66"/>
  <c r="G31" i="66"/>
  <c r="G42" i="66"/>
  <c r="G44" i="66"/>
  <c r="G33" i="66"/>
  <c r="G32" i="66"/>
  <c r="G34" i="66"/>
  <c r="G40" i="66"/>
  <c r="G39" i="66"/>
  <c r="G28" i="66"/>
  <c r="G36" i="66"/>
  <c r="G38" i="66"/>
  <c r="G30" i="66"/>
  <c r="C10" i="61"/>
  <c r="C8" i="61"/>
  <c r="L78" i="56"/>
  <c r="K39" i="14"/>
  <c r="E91" i="14"/>
  <c r="D29" i="57" s="1"/>
  <c r="C27" i="60"/>
  <c r="J35" i="23" s="1"/>
  <c r="D18" i="60"/>
  <c r="E18" i="60" s="1"/>
  <c r="F17" i="56"/>
  <c r="B17" i="63"/>
  <c r="F17" i="63" s="1"/>
  <c r="D92" i="14"/>
  <c r="B79" i="22"/>
  <c r="B101" i="20" s="1"/>
  <c r="H17" i="56"/>
  <c r="D14" i="17"/>
  <c r="F14" i="17" s="1"/>
  <c r="F15" i="17" s="1"/>
  <c r="E14" i="17"/>
  <c r="E15" i="17" s="1"/>
  <c r="E17" i="17" s="1"/>
  <c r="E19" i="17" s="1"/>
  <c r="E21" i="17" s="1"/>
  <c r="E24" i="17" s="1"/>
  <c r="G14" i="17"/>
  <c r="G15" i="17" s="1"/>
  <c r="G17" i="17" s="1"/>
  <c r="G19" i="17" s="1"/>
  <c r="G21" i="17" s="1"/>
  <c r="G24" i="17" s="1"/>
  <c r="C15" i="17"/>
  <c r="C17" i="17" s="1"/>
  <c r="C19" i="17" s="1"/>
  <c r="C21" i="17" s="1"/>
  <c r="C24" i="17" s="1"/>
  <c r="D41" i="57"/>
  <c r="L11" i="23"/>
  <c r="F14" i="23"/>
  <c r="L14" i="23"/>
  <c r="F34" i="23"/>
  <c r="F33" i="23"/>
  <c r="L12" i="23"/>
  <c r="F27" i="23"/>
  <c r="F13" i="23"/>
  <c r="F26" i="23"/>
  <c r="F9" i="23"/>
  <c r="F12" i="23"/>
  <c r="G68" i="3"/>
  <c r="F29" i="23"/>
  <c r="L7" i="23"/>
  <c r="F10" i="23"/>
  <c r="L34" i="23"/>
  <c r="F8" i="23"/>
  <c r="F32" i="23"/>
  <c r="L8" i="23"/>
  <c r="L13" i="23"/>
  <c r="F25" i="23"/>
  <c r="F35" i="23"/>
  <c r="L9" i="23"/>
  <c r="F11" i="23"/>
  <c r="L10" i="23"/>
  <c r="F36" i="23"/>
  <c r="L32" i="23"/>
  <c r="G25" i="56"/>
  <c r="F23" i="56"/>
  <c r="H23" i="56"/>
  <c r="D15" i="17" l="1"/>
  <c r="D17" i="17" s="1"/>
  <c r="D19" i="17" s="1"/>
  <c r="C27" i="5" s="1"/>
  <c r="F17" i="17"/>
  <c r="F19" i="17" s="1"/>
  <c r="G69" i="3"/>
  <c r="G70" i="3"/>
  <c r="C11" i="61"/>
  <c r="E92" i="14"/>
  <c r="K92" i="14" s="1"/>
  <c r="D23" i="63"/>
  <c r="F23" i="63" s="1"/>
  <c r="I533" i="73"/>
  <c r="AO533" i="73" s="1"/>
  <c r="AP533" i="73" s="1"/>
  <c r="D101" i="14"/>
  <c r="I542" i="73" s="1"/>
  <c r="AO542" i="73" s="1"/>
  <c r="AP542" i="73" s="1"/>
  <c r="C30" i="60"/>
  <c r="AC11" i="56"/>
  <c r="AC13" i="56" s="1"/>
  <c r="AC15" i="56" s="1"/>
  <c r="AC16" i="56" s="1"/>
  <c r="I91" i="14"/>
  <c r="K91" i="14"/>
  <c r="D27" i="60"/>
  <c r="D30" i="60" s="1"/>
  <c r="F37" i="23"/>
  <c r="F22" i="23"/>
  <c r="K35" i="23"/>
  <c r="L35" i="23"/>
  <c r="E27" i="60"/>
  <c r="E30" i="60" s="1"/>
  <c r="F18" i="60"/>
  <c r="G27" i="56"/>
  <c r="J4" i="5" s="1"/>
  <c r="H25" i="56"/>
  <c r="F25" i="56"/>
  <c r="D21" i="17" l="1"/>
  <c r="D24" i="17" s="1"/>
  <c r="D105" i="3" s="1"/>
  <c r="C28" i="17"/>
  <c r="AN104" i="73" s="1"/>
  <c r="D28" i="17"/>
  <c r="D29" i="17" s="1"/>
  <c r="D38" i="57"/>
  <c r="C40" i="17"/>
  <c r="C41" i="17" s="1"/>
  <c r="D40" i="17"/>
  <c r="D41" i="17" s="1"/>
  <c r="F21" i="17"/>
  <c r="F24" i="17" s="1"/>
  <c r="C12" i="61"/>
  <c r="D6" i="61"/>
  <c r="D37" i="60"/>
  <c r="D46" i="60" s="1"/>
  <c r="D38" i="60"/>
  <c r="I4" i="5"/>
  <c r="C38" i="60"/>
  <c r="E37" i="60"/>
  <c r="E44" i="60" s="1"/>
  <c r="E38" i="60"/>
  <c r="C37" i="60"/>
  <c r="C42" i="60" s="1"/>
  <c r="T15" i="56"/>
  <c r="AF14" i="56" s="1"/>
  <c r="AF15" i="56" s="1"/>
  <c r="D45" i="23"/>
  <c r="G18" i="60"/>
  <c r="F27" i="60"/>
  <c r="F30" i="60" s="1"/>
  <c r="G29" i="56"/>
  <c r="F27" i="56"/>
  <c r="H27" i="56"/>
  <c r="F27" i="5" l="1"/>
  <c r="E561" i="73" s="1"/>
  <c r="F31" i="5"/>
  <c r="D28" i="23" s="1"/>
  <c r="C28" i="20" s="1"/>
  <c r="C29" i="17"/>
  <c r="B69" i="22" s="1"/>
  <c r="D45" i="60"/>
  <c r="D43" i="60"/>
  <c r="D10" i="61"/>
  <c r="D8" i="61"/>
  <c r="D44" i="60"/>
  <c r="O9" i="5"/>
  <c r="O11" i="5" s="1"/>
  <c r="O14" i="5" s="1"/>
  <c r="E43" i="60"/>
  <c r="E46" i="60"/>
  <c r="E45" i="60"/>
  <c r="D41" i="60"/>
  <c r="E42" i="60"/>
  <c r="E41" i="60"/>
  <c r="D42" i="60"/>
  <c r="C46" i="60"/>
  <c r="C41" i="60"/>
  <c r="T13" i="56"/>
  <c r="D35" i="63"/>
  <c r="F35" i="63" s="1"/>
  <c r="F37" i="60"/>
  <c r="F45" i="60" s="1"/>
  <c r="F38" i="60"/>
  <c r="C44" i="60"/>
  <c r="C43" i="60"/>
  <c r="C45" i="60"/>
  <c r="F29" i="56"/>
  <c r="G27" i="60"/>
  <c r="G30" i="60" s="1"/>
  <c r="H18" i="60"/>
  <c r="B14" i="63" l="1"/>
  <c r="F14" i="63" s="1"/>
  <c r="B12" i="63"/>
  <c r="F12" i="63" s="1"/>
  <c r="AJ28" i="20"/>
  <c r="D28" i="20"/>
  <c r="G57" i="56"/>
  <c r="E28" i="23"/>
  <c r="D57" i="56"/>
  <c r="E57" i="56" s="1"/>
  <c r="F28" i="23"/>
  <c r="I23" i="33"/>
  <c r="J28" i="33" s="1"/>
  <c r="J30" i="33" s="1"/>
  <c r="I37" i="33" s="1"/>
  <c r="D53" i="56"/>
  <c r="E53" i="56" s="1"/>
  <c r="H561" i="73"/>
  <c r="D24" i="23"/>
  <c r="G53" i="56" s="1"/>
  <c r="F33" i="5"/>
  <c r="F45" i="5" s="1"/>
  <c r="D33" i="57"/>
  <c r="D48" i="60"/>
  <c r="D49" i="60" s="1"/>
  <c r="D11" i="61"/>
  <c r="D12" i="61" s="1"/>
  <c r="F46" i="60"/>
  <c r="E48" i="60"/>
  <c r="E49" i="60" s="1"/>
  <c r="F42" i="60"/>
  <c r="F41" i="60"/>
  <c r="F44" i="60"/>
  <c r="F43" i="60"/>
  <c r="G37" i="60"/>
  <c r="G46" i="60" s="1"/>
  <c r="G38" i="60"/>
  <c r="L46" i="56"/>
  <c r="F46" i="56"/>
  <c r="C48" i="60"/>
  <c r="C49" i="60" s="1"/>
  <c r="H46" i="56"/>
  <c r="B92" i="20"/>
  <c r="G648" i="73"/>
  <c r="I18" i="60"/>
  <c r="H27" i="60"/>
  <c r="H30" i="60" s="1"/>
  <c r="G64" i="56" l="1"/>
  <c r="E64" i="56"/>
  <c r="I5" i="5"/>
  <c r="I6" i="5"/>
  <c r="E6" i="61"/>
  <c r="E10" i="61" s="1"/>
  <c r="C25" i="20"/>
  <c r="D25" i="20" s="1"/>
  <c r="D30" i="23"/>
  <c r="D39" i="23" s="1"/>
  <c r="F39" i="23" s="1"/>
  <c r="E20" i="34"/>
  <c r="E15" i="34"/>
  <c r="D64" i="56"/>
  <c r="M561" i="73"/>
  <c r="P561" i="73" s="1"/>
  <c r="AM561" i="73"/>
  <c r="F57" i="56"/>
  <c r="H57" i="56"/>
  <c r="D95" i="23"/>
  <c r="F24" i="23"/>
  <c r="F30" i="23" s="1"/>
  <c r="E24" i="23"/>
  <c r="E30" i="23" s="1"/>
  <c r="G45" i="60"/>
  <c r="L53" i="56"/>
  <c r="F53" i="56"/>
  <c r="H53" i="56"/>
  <c r="G42" i="60"/>
  <c r="G44" i="60"/>
  <c r="G43" i="60"/>
  <c r="G41" i="60"/>
  <c r="F48" i="60"/>
  <c r="F49" i="60" s="1"/>
  <c r="H37" i="60"/>
  <c r="H46" i="60" s="1"/>
  <c r="H38" i="60"/>
  <c r="I38" i="33"/>
  <c r="J41" i="33"/>
  <c r="J61" i="33" s="1"/>
  <c r="D16" i="34" s="1"/>
  <c r="I27" i="60"/>
  <c r="I30" i="60" s="1"/>
  <c r="J18" i="60"/>
  <c r="L64" i="56" l="1"/>
  <c r="E8" i="61"/>
  <c r="C36" i="20"/>
  <c r="AJ36" i="20" s="1"/>
  <c r="AJ38" i="20" s="1"/>
  <c r="H64" i="56"/>
  <c r="J39" i="23"/>
  <c r="H2" i="23" s="1"/>
  <c r="E39" i="23"/>
  <c r="F64" i="56"/>
  <c r="AJ25" i="20"/>
  <c r="AN561" i="73"/>
  <c r="AQ561" i="73"/>
  <c r="E11" i="61"/>
  <c r="F6" i="61" s="1"/>
  <c r="H44" i="60"/>
  <c r="G48" i="60"/>
  <c r="G49" i="60" s="1"/>
  <c r="H45" i="60"/>
  <c r="H42" i="60"/>
  <c r="H41" i="60"/>
  <c r="H43" i="60"/>
  <c r="I37" i="60"/>
  <c r="I42" i="60" s="1"/>
  <c r="I38" i="60"/>
  <c r="J27" i="60"/>
  <c r="J30" i="60" s="1"/>
  <c r="K18" i="60"/>
  <c r="H39" i="23" l="1"/>
  <c r="D36" i="20"/>
  <c r="D38" i="20" s="1"/>
  <c r="C38" i="20"/>
  <c r="K39" i="23"/>
  <c r="L39" i="23"/>
  <c r="E12" i="61"/>
  <c r="I41" i="60"/>
  <c r="I46" i="60"/>
  <c r="I45" i="60"/>
  <c r="I44" i="60"/>
  <c r="F10" i="61"/>
  <c r="F8" i="61"/>
  <c r="I43" i="60"/>
  <c r="H48" i="60"/>
  <c r="H49" i="60" s="1"/>
  <c r="J37" i="60"/>
  <c r="J43" i="60" s="1"/>
  <c r="J38" i="60"/>
  <c r="K27" i="60"/>
  <c r="K30" i="60" s="1"/>
  <c r="L18" i="60"/>
  <c r="F11" i="61" l="1"/>
  <c r="G6" i="61" s="1"/>
  <c r="I48" i="60"/>
  <c r="I49" i="60" s="1"/>
  <c r="J42" i="60"/>
  <c r="J41" i="60"/>
  <c r="J45" i="60"/>
  <c r="K37" i="60"/>
  <c r="K43" i="60" s="1"/>
  <c r="K38" i="60"/>
  <c r="J44" i="60"/>
  <c r="J46" i="60"/>
  <c r="L27" i="60"/>
  <c r="L30" i="60" s="1"/>
  <c r="M18" i="60"/>
  <c r="F12" i="61" l="1"/>
  <c r="K42" i="60"/>
  <c r="K41" i="60"/>
  <c r="K46" i="60"/>
  <c r="G10" i="61"/>
  <c r="G8" i="61"/>
  <c r="K45" i="60"/>
  <c r="J48" i="60"/>
  <c r="J49" i="60" s="1"/>
  <c r="K44" i="60"/>
  <c r="L37" i="60"/>
  <c r="L44" i="60" s="1"/>
  <c r="L38" i="60"/>
  <c r="M27" i="60"/>
  <c r="M30" i="60" s="1"/>
  <c r="N18" i="60"/>
  <c r="G11" i="61" l="1"/>
  <c r="G12" i="61" s="1"/>
  <c r="K48" i="60"/>
  <c r="K49" i="60" s="1"/>
  <c r="L42" i="60"/>
  <c r="L46" i="60"/>
  <c r="L41" i="60"/>
  <c r="L43" i="60"/>
  <c r="L45" i="60"/>
  <c r="M37" i="60"/>
  <c r="M45" i="60" s="1"/>
  <c r="M38" i="60"/>
  <c r="N27" i="60"/>
  <c r="N30" i="60" s="1"/>
  <c r="O18" i="60"/>
  <c r="H6" i="61" l="1"/>
  <c r="H8" i="61" s="1"/>
  <c r="L48" i="60"/>
  <c r="L49" i="60" s="1"/>
  <c r="M43" i="60"/>
  <c r="M41" i="60"/>
  <c r="M46" i="60"/>
  <c r="M42" i="60"/>
  <c r="M44" i="60"/>
  <c r="N37" i="60"/>
  <c r="N42" i="60" s="1"/>
  <c r="N38" i="60"/>
  <c r="O27" i="60"/>
  <c r="O30" i="60" s="1"/>
  <c r="P18" i="60"/>
  <c r="H10" i="61" l="1"/>
  <c r="N41" i="60"/>
  <c r="N43" i="60"/>
  <c r="H11" i="61"/>
  <c r="N46" i="60"/>
  <c r="N45" i="60"/>
  <c r="N44" i="60"/>
  <c r="M48" i="60"/>
  <c r="M49" i="60" s="1"/>
  <c r="O37" i="60"/>
  <c r="O46" i="60" s="1"/>
  <c r="O38" i="60"/>
  <c r="Q18" i="60"/>
  <c r="P27" i="60"/>
  <c r="P30" i="60" s="1"/>
  <c r="N48" i="60" l="1"/>
  <c r="N49" i="60" s="1"/>
  <c r="I6" i="61"/>
  <c r="H12" i="61"/>
  <c r="O45" i="60"/>
  <c r="O44" i="60"/>
  <c r="O43" i="60"/>
  <c r="O42" i="60"/>
  <c r="O41" i="60"/>
  <c r="P37" i="60"/>
  <c r="P41" i="60" s="1"/>
  <c r="P38" i="60"/>
  <c r="Q27" i="60"/>
  <c r="Q30" i="60" s="1"/>
  <c r="R18" i="60"/>
  <c r="I10" i="61" l="1"/>
  <c r="I8" i="61"/>
  <c r="P44" i="60"/>
  <c r="P46" i="60"/>
  <c r="P45" i="60"/>
  <c r="P43" i="60"/>
  <c r="P42" i="60"/>
  <c r="O48" i="60"/>
  <c r="O49" i="60" s="1"/>
  <c r="K4" i="5"/>
  <c r="L4" i="5" s="1"/>
  <c r="Q38" i="60"/>
  <c r="S18" i="60"/>
  <c r="R27" i="60"/>
  <c r="R30" i="60" s="1"/>
  <c r="Q37" i="60"/>
  <c r="I11" i="61" l="1"/>
  <c r="P48" i="60"/>
  <c r="P49" i="60" s="1"/>
  <c r="J6" i="61"/>
  <c r="I12" i="61"/>
  <c r="R37" i="60"/>
  <c r="R43" i="60" s="1"/>
  <c r="R38" i="60"/>
  <c r="D36" i="63"/>
  <c r="F36" i="63" s="1"/>
  <c r="T14" i="56"/>
  <c r="Q41" i="60"/>
  <c r="Q42" i="60"/>
  <c r="Q43" i="60"/>
  <c r="Q44" i="60"/>
  <c r="Q45" i="60"/>
  <c r="Q46" i="60"/>
  <c r="S27" i="60"/>
  <c r="S30" i="60" s="1"/>
  <c r="T18" i="60"/>
  <c r="R45" i="60" l="1"/>
  <c r="R41" i="60"/>
  <c r="R46" i="60"/>
  <c r="R42" i="60"/>
  <c r="R44" i="60"/>
  <c r="J10" i="61"/>
  <c r="J8" i="61"/>
  <c r="S37" i="60"/>
  <c r="S46" i="60" s="1"/>
  <c r="S38" i="60"/>
  <c r="Q48" i="60"/>
  <c r="Q49" i="60" s="1"/>
  <c r="T27" i="60"/>
  <c r="T30" i="60" s="1"/>
  <c r="U18" i="60"/>
  <c r="J11" i="61" l="1"/>
  <c r="K6" i="61" s="1"/>
  <c r="R48" i="60"/>
  <c r="R49" i="60" s="1"/>
  <c r="S45" i="60"/>
  <c r="S43" i="60"/>
  <c r="S41" i="60"/>
  <c r="S44" i="60"/>
  <c r="S42" i="60"/>
  <c r="T37" i="60"/>
  <c r="T41" i="60" s="1"/>
  <c r="T38" i="60"/>
  <c r="U27" i="60"/>
  <c r="U30" i="60" s="1"/>
  <c r="V18" i="60"/>
  <c r="J12" i="61" l="1"/>
  <c r="K8" i="61"/>
  <c r="K10" i="61"/>
  <c r="T43" i="60"/>
  <c r="T45" i="60"/>
  <c r="T44" i="60"/>
  <c r="S48" i="60"/>
  <c r="S49" i="60" s="1"/>
  <c r="T42" i="60"/>
  <c r="T46" i="60"/>
  <c r="U37" i="60"/>
  <c r="U41" i="60" s="1"/>
  <c r="U38" i="60"/>
  <c r="V27" i="60"/>
  <c r="V30" i="60" s="1"/>
  <c r="W18" i="60"/>
  <c r="K11" i="61" l="1"/>
  <c r="T48" i="60"/>
  <c r="T49" i="60" s="1"/>
  <c r="U45" i="60"/>
  <c r="U46" i="60"/>
  <c r="U44" i="60"/>
  <c r="U43" i="60"/>
  <c r="U42" i="60"/>
  <c r="V37" i="60"/>
  <c r="V46" i="60" s="1"/>
  <c r="V38" i="60"/>
  <c r="X18" i="60"/>
  <c r="W27" i="60"/>
  <c r="W30" i="60" s="1"/>
  <c r="B18" i="61" l="1"/>
  <c r="K12" i="61"/>
  <c r="U48" i="60"/>
  <c r="U49" i="60" s="1"/>
  <c r="V45" i="60"/>
  <c r="V43" i="60"/>
  <c r="V44" i="60"/>
  <c r="V42" i="60"/>
  <c r="V41" i="60"/>
  <c r="W37" i="60"/>
  <c r="W44" i="60" s="1"/>
  <c r="W38" i="60"/>
  <c r="Y18" i="60"/>
  <c r="X27" i="60"/>
  <c r="X30" i="60" s="1"/>
  <c r="W43" i="60" l="1"/>
  <c r="W45" i="60"/>
  <c r="W42" i="60"/>
  <c r="B22" i="61"/>
  <c r="B20" i="61"/>
  <c r="V48" i="60"/>
  <c r="V49" i="60" s="1"/>
  <c r="X37" i="60"/>
  <c r="X43" i="60" s="1"/>
  <c r="X38" i="60"/>
  <c r="W41" i="60"/>
  <c r="W46" i="60"/>
  <c r="Z18" i="60"/>
  <c r="Y27" i="60"/>
  <c r="Y30" i="60" s="1"/>
  <c r="B23" i="61" l="1"/>
  <c r="X42" i="60"/>
  <c r="X41" i="60"/>
  <c r="X46" i="60"/>
  <c r="X44" i="60"/>
  <c r="X45" i="60"/>
  <c r="B24" i="61"/>
  <c r="C18" i="61"/>
  <c r="W48" i="60"/>
  <c r="W49" i="60" s="1"/>
  <c r="Y37" i="60"/>
  <c r="Y43" i="60" s="1"/>
  <c r="Y38" i="60"/>
  <c r="Z27" i="60"/>
  <c r="Z30" i="60" s="1"/>
  <c r="AA18" i="60"/>
  <c r="X48" i="60" l="1"/>
  <c r="X49" i="60" s="1"/>
  <c r="C20" i="61"/>
  <c r="C22" i="61"/>
  <c r="Y42" i="60"/>
  <c r="Y41" i="60"/>
  <c r="Y46" i="60"/>
  <c r="Y45" i="60"/>
  <c r="Y44" i="60"/>
  <c r="Z37" i="60"/>
  <c r="Z41" i="60" s="1"/>
  <c r="Z38" i="60"/>
  <c r="AA27" i="60"/>
  <c r="AA30" i="60" s="1"/>
  <c r="AB18" i="60"/>
  <c r="Z46" i="60" l="1"/>
  <c r="Z45" i="60"/>
  <c r="Z44" i="60"/>
  <c r="C23" i="61"/>
  <c r="Y48" i="60"/>
  <c r="Y49" i="60" s="1"/>
  <c r="Z43" i="60"/>
  <c r="Z42" i="60"/>
  <c r="AA37" i="60"/>
  <c r="AA43" i="60" s="1"/>
  <c r="AA38" i="60"/>
  <c r="AB27" i="60"/>
  <c r="AB30" i="60" s="1"/>
  <c r="AC18" i="60"/>
  <c r="AA41" i="60" l="1"/>
  <c r="AA42" i="60"/>
  <c r="AA46" i="60"/>
  <c r="AA45" i="60"/>
  <c r="D18" i="61"/>
  <c r="C24" i="61"/>
  <c r="AA44" i="60"/>
  <c r="Z48" i="60"/>
  <c r="Z49" i="60" s="1"/>
  <c r="AB37" i="60"/>
  <c r="AB43" i="60" s="1"/>
  <c r="AB38" i="60"/>
  <c r="AC27" i="60"/>
  <c r="AC30" i="60" s="1"/>
  <c r="AD18" i="60"/>
  <c r="AA48" i="60" l="1"/>
  <c r="AA49" i="60" s="1"/>
  <c r="AB46" i="60"/>
  <c r="AB42" i="60"/>
  <c r="AB41" i="60"/>
  <c r="D20" i="61"/>
  <c r="D22" i="61"/>
  <c r="AB45" i="60"/>
  <c r="AB44" i="60"/>
  <c r="AC37" i="60"/>
  <c r="AC41" i="60" s="1"/>
  <c r="AC38" i="60"/>
  <c r="AD27" i="60"/>
  <c r="AD30" i="60" s="1"/>
  <c r="AE18" i="60"/>
  <c r="AC46" i="60" l="1"/>
  <c r="AB48" i="60"/>
  <c r="AB49" i="60" s="1"/>
  <c r="D23" i="61"/>
  <c r="AC45" i="60"/>
  <c r="AC44" i="60"/>
  <c r="AC43" i="60"/>
  <c r="AC42" i="60"/>
  <c r="AD37" i="60"/>
  <c r="AD46" i="60" s="1"/>
  <c r="AD38" i="60"/>
  <c r="AE27" i="60"/>
  <c r="AE30" i="60" s="1"/>
  <c r="AF18" i="60"/>
  <c r="AD43" i="60" l="1"/>
  <c r="AD42" i="60"/>
  <c r="AD45" i="60"/>
  <c r="AD41" i="60"/>
  <c r="AD44" i="60"/>
  <c r="E18" i="61"/>
  <c r="D24" i="61"/>
  <c r="AC48" i="60"/>
  <c r="AC49" i="60" s="1"/>
  <c r="AE37" i="60"/>
  <c r="AE41" i="60" s="1"/>
  <c r="AE38" i="60"/>
  <c r="AG18" i="60"/>
  <c r="AF27" i="60"/>
  <c r="AF30" i="60" s="1"/>
  <c r="AD48" i="60" l="1"/>
  <c r="AD49" i="60" s="1"/>
  <c r="AE45" i="60"/>
  <c r="AE44" i="60"/>
  <c r="E20" i="61"/>
  <c r="E22" i="61"/>
  <c r="AE43" i="60"/>
  <c r="AE42" i="60"/>
  <c r="AE46" i="60"/>
  <c r="AF37" i="60"/>
  <c r="AF46" i="60" s="1"/>
  <c r="AF38" i="60"/>
  <c r="AG27" i="60"/>
  <c r="AG30" i="60" s="1"/>
  <c r="AH18" i="60"/>
  <c r="AF45" i="60" l="1"/>
  <c r="AF41" i="60"/>
  <c r="AF44" i="60"/>
  <c r="E23" i="61"/>
  <c r="AE48" i="60"/>
  <c r="AE49" i="60" s="1"/>
  <c r="AF43" i="60"/>
  <c r="AF42" i="60"/>
  <c r="AG37" i="60"/>
  <c r="AG46" i="60" s="1"/>
  <c r="AG38" i="60"/>
  <c r="AH27" i="60"/>
  <c r="AH30" i="60" s="1"/>
  <c r="AI18" i="60"/>
  <c r="E24" i="61" l="1"/>
  <c r="F18" i="61"/>
  <c r="AF48" i="60"/>
  <c r="AF49" i="60" s="1"/>
  <c r="AG45" i="60"/>
  <c r="AG44" i="60"/>
  <c r="AH37" i="60"/>
  <c r="AH41" i="60" s="1"/>
  <c r="AH38" i="60"/>
  <c r="AG43" i="60"/>
  <c r="AG42" i="60"/>
  <c r="AG41" i="60"/>
  <c r="AJ18" i="60"/>
  <c r="AI27" i="60"/>
  <c r="AI30" i="60" s="1"/>
  <c r="AG48" i="60" l="1"/>
  <c r="AG49" i="60" s="1"/>
  <c r="AH46" i="60"/>
  <c r="AH44" i="60"/>
  <c r="AH43" i="60"/>
  <c r="AH42" i="60"/>
  <c r="AH45" i="60"/>
  <c r="F22" i="61"/>
  <c r="F20" i="61"/>
  <c r="AI37" i="60"/>
  <c r="AI46" i="60" s="1"/>
  <c r="AI38" i="60"/>
  <c r="AJ27" i="60"/>
  <c r="AJ30" i="60" s="1"/>
  <c r="AK18" i="60"/>
  <c r="F23" i="61" l="1"/>
  <c r="AI44" i="60"/>
  <c r="AI43" i="60"/>
  <c r="AI42" i="60"/>
  <c r="AI41" i="60"/>
  <c r="AI45" i="60"/>
  <c r="AH48" i="60"/>
  <c r="AH49" i="60" s="1"/>
  <c r="G18" i="61"/>
  <c r="F24" i="61"/>
  <c r="AJ37" i="60"/>
  <c r="AJ44" i="60" s="1"/>
  <c r="AJ38" i="60"/>
  <c r="AK27" i="60"/>
  <c r="AK30" i="60" s="1"/>
  <c r="AL18" i="60"/>
  <c r="AI48" i="60" l="1"/>
  <c r="AI49" i="60" s="1"/>
  <c r="AJ42" i="60"/>
  <c r="G20" i="61"/>
  <c r="G22" i="61"/>
  <c r="AJ41" i="60"/>
  <c r="AJ46" i="60"/>
  <c r="AJ45" i="60"/>
  <c r="AK37" i="60"/>
  <c r="AK44" i="60" s="1"/>
  <c r="AK38" i="60"/>
  <c r="AJ43" i="60"/>
  <c r="AL27" i="60"/>
  <c r="AL30" i="60" s="1"/>
  <c r="AM18" i="60"/>
  <c r="AK41" i="60" l="1"/>
  <c r="AK45" i="60"/>
  <c r="AK42" i="60"/>
  <c r="AK43" i="60"/>
  <c r="AK46" i="60"/>
  <c r="G23" i="61"/>
  <c r="AJ48" i="60"/>
  <c r="AJ49" i="60" s="1"/>
  <c r="AL37" i="60"/>
  <c r="AL42" i="60" s="1"/>
  <c r="AL38" i="60"/>
  <c r="AM27" i="60"/>
  <c r="AM30" i="60" s="1"/>
  <c r="AN18" i="60"/>
  <c r="AL43" i="60" l="1"/>
  <c r="AL41" i="60"/>
  <c r="AL45" i="60"/>
  <c r="AL44" i="60"/>
  <c r="AL46" i="60"/>
  <c r="AK48" i="60"/>
  <c r="AK49" i="60" s="1"/>
  <c r="G24" i="61"/>
  <c r="H18" i="61"/>
  <c r="AM37" i="60"/>
  <c r="AM42" i="60" s="1"/>
  <c r="AM38" i="60"/>
  <c r="AO18" i="60"/>
  <c r="AN27" i="60"/>
  <c r="AN30" i="60" s="1"/>
  <c r="AM45" i="60" l="1"/>
  <c r="AL48" i="60"/>
  <c r="AL49" i="60" s="1"/>
  <c r="AM44" i="60"/>
  <c r="AM46" i="60"/>
  <c r="AM43" i="60"/>
  <c r="H20" i="61"/>
  <c r="H22" i="61"/>
  <c r="AM41" i="60"/>
  <c r="AN37" i="60"/>
  <c r="AN43" i="60" s="1"/>
  <c r="AN38" i="60"/>
  <c r="AP18" i="60"/>
  <c r="AP27" i="60" s="1"/>
  <c r="AP30" i="60" s="1"/>
  <c r="AP37" i="60" s="1"/>
  <c r="AO27" i="60"/>
  <c r="AO30" i="60" s="1"/>
  <c r="AO37" i="60" s="1"/>
  <c r="H23" i="61" l="1"/>
  <c r="I18" i="61" s="1"/>
  <c r="AN44" i="60"/>
  <c r="AN42" i="60"/>
  <c r="AN41" i="60"/>
  <c r="AM48" i="60"/>
  <c r="AM49" i="60" s="1"/>
  <c r="AN46" i="60"/>
  <c r="AN45" i="60"/>
  <c r="AP43" i="60"/>
  <c r="AP45" i="60"/>
  <c r="AP44" i="60"/>
  <c r="AP46" i="60"/>
  <c r="AP42" i="60"/>
  <c r="AP41" i="60"/>
  <c r="AO41" i="60"/>
  <c r="AO42" i="60"/>
  <c r="AO44" i="60"/>
  <c r="AO43" i="60"/>
  <c r="AO45" i="60"/>
  <c r="AO46" i="60"/>
  <c r="H24" i="61" l="1"/>
  <c r="AN48" i="60"/>
  <c r="AN49" i="60" s="1"/>
  <c r="I20" i="61"/>
  <c r="I22" i="61"/>
  <c r="AO48" i="60"/>
  <c r="AO49" i="60" s="1"/>
  <c r="AP48" i="60"/>
  <c r="AP49" i="60" s="1"/>
  <c r="D14" i="57"/>
  <c r="E108" i="57"/>
  <c r="H17" i="73"/>
  <c r="D13" i="57"/>
  <c r="B10" i="8"/>
  <c r="D108" i="57"/>
  <c r="F108" i="57" s="1"/>
  <c r="H14" i="73"/>
  <c r="E62" i="28" l="1"/>
  <c r="G63" i="28" s="1"/>
  <c r="I23" i="61"/>
  <c r="I224" i="3"/>
  <c r="G13" i="8"/>
  <c r="B20" i="8"/>
  <c r="A1" i="8"/>
  <c r="E64" i="28" l="1"/>
  <c r="F67" i="28"/>
  <c r="G66" i="28"/>
  <c r="E66" i="28"/>
  <c r="G67" i="28"/>
  <c r="F65" i="28"/>
  <c r="E67" i="28"/>
  <c r="E65" i="28"/>
  <c r="E63" i="28"/>
  <c r="F63" i="28"/>
  <c r="G68" i="28"/>
  <c r="F66" i="28"/>
  <c r="F64" i="28"/>
  <c r="G64" i="28"/>
  <c r="E68" i="28"/>
  <c r="H68" i="28"/>
  <c r="H67" i="28"/>
  <c r="H65" i="28"/>
  <c r="H66" i="28"/>
  <c r="H63" i="28"/>
  <c r="H64" i="28"/>
  <c r="G65" i="28"/>
  <c r="F68" i="28"/>
  <c r="J18" i="61"/>
  <c r="I24" i="61"/>
  <c r="I13" i="8"/>
  <c r="J13" i="8"/>
  <c r="K13" i="8"/>
  <c r="D13" i="8"/>
  <c r="E13" i="8"/>
  <c r="F13" i="8"/>
  <c r="H13" i="8"/>
  <c r="H23" i="8" s="1"/>
  <c r="G10" i="8"/>
  <c r="G11" i="8"/>
  <c r="G12" i="8"/>
  <c r="G14" i="8"/>
  <c r="G15" i="8"/>
  <c r="G16" i="8"/>
  <c r="J20" i="61" l="1"/>
  <c r="J22" i="61"/>
  <c r="H10" i="8"/>
  <c r="H20" i="8" s="1"/>
  <c r="H12" i="8"/>
  <c r="H22" i="8" s="1"/>
  <c r="H14" i="8"/>
  <c r="H24" i="8" s="1"/>
  <c r="H16" i="8"/>
  <c r="H26" i="8" s="1"/>
  <c r="H11" i="8"/>
  <c r="H21" i="8" s="1"/>
  <c r="H15" i="8"/>
  <c r="H25" i="8" s="1"/>
  <c r="G23" i="8"/>
  <c r="T12" i="9" s="1"/>
  <c r="CA12" i="9" s="1"/>
  <c r="F10" i="8"/>
  <c r="G20" i="8" s="1"/>
  <c r="F11" i="8"/>
  <c r="G21" i="8" s="1"/>
  <c r="F12" i="8"/>
  <c r="G22" i="8" s="1"/>
  <c r="F14" i="8"/>
  <c r="G24" i="8" s="1"/>
  <c r="F15" i="8"/>
  <c r="G25" i="8" s="1"/>
  <c r="F16" i="8"/>
  <c r="G26" i="8" s="1"/>
  <c r="E10" i="8"/>
  <c r="E11" i="8"/>
  <c r="E12" i="8"/>
  <c r="E14" i="8"/>
  <c r="E15" i="8"/>
  <c r="E16" i="8"/>
  <c r="D23" i="8"/>
  <c r="E23" i="8"/>
  <c r="T15" i="9" s="1"/>
  <c r="BR15" i="9" s="1"/>
  <c r="D10" i="8"/>
  <c r="D11" i="8"/>
  <c r="D12" i="8"/>
  <c r="D14" i="8"/>
  <c r="D15" i="8"/>
  <c r="D16" i="8"/>
  <c r="F23" i="8"/>
  <c r="K10" i="8"/>
  <c r="K11" i="8"/>
  <c r="K12" i="8"/>
  <c r="K14" i="8"/>
  <c r="K15" i="8"/>
  <c r="K16" i="8"/>
  <c r="J10" i="8"/>
  <c r="J11" i="8"/>
  <c r="J12" i="8"/>
  <c r="J14" i="8"/>
  <c r="J15" i="8"/>
  <c r="J16" i="8"/>
  <c r="J23" i="8"/>
  <c r="I10" i="8"/>
  <c r="I20" i="8" s="1"/>
  <c r="I11" i="8"/>
  <c r="I21" i="8" s="1"/>
  <c r="T18" i="9" s="1"/>
  <c r="I12" i="8"/>
  <c r="I22" i="8" s="1"/>
  <c r="I14" i="8"/>
  <c r="I24" i="8" s="1"/>
  <c r="T20" i="9" s="1"/>
  <c r="I15" i="8"/>
  <c r="I25" i="8" s="1"/>
  <c r="I16" i="8"/>
  <c r="I26" i="8" s="1"/>
  <c r="I23" i="8"/>
  <c r="T19" i="9" s="1"/>
  <c r="J23" i="61" l="1"/>
  <c r="CJ12" i="9"/>
  <c r="BI12" i="9"/>
  <c r="I96" i="56"/>
  <c r="U19" i="9"/>
  <c r="CJ19" i="9"/>
  <c r="I95" i="56"/>
  <c r="U18" i="9"/>
  <c r="CJ18" i="9"/>
  <c r="T16" i="9"/>
  <c r="T17" i="9"/>
  <c r="U20" i="9"/>
  <c r="CJ20" i="9"/>
  <c r="I97" i="56"/>
  <c r="U12" i="9"/>
  <c r="CB12" i="9" s="1"/>
  <c r="BR12" i="9"/>
  <c r="I89" i="56"/>
  <c r="T9" i="9"/>
  <c r="T13" i="9"/>
  <c r="CJ13" i="9" s="1"/>
  <c r="CJ15" i="9"/>
  <c r="CA15" i="9"/>
  <c r="I92" i="56"/>
  <c r="AZ15" i="9"/>
  <c r="U15" i="9"/>
  <c r="BS15" i="9" s="1"/>
  <c r="J21" i="8"/>
  <c r="J22" i="8"/>
  <c r="J25" i="8"/>
  <c r="T21" i="9" s="1"/>
  <c r="J26" i="8"/>
  <c r="J24" i="8"/>
  <c r="J20" i="8"/>
  <c r="D21" i="8"/>
  <c r="E21" i="8"/>
  <c r="F21" i="8"/>
  <c r="D20" i="8"/>
  <c r="E20" i="8"/>
  <c r="F20" i="8"/>
  <c r="D22" i="8"/>
  <c r="E22" i="8"/>
  <c r="F22" i="8"/>
  <c r="T14" i="9" s="1"/>
  <c r="F26" i="8"/>
  <c r="D26" i="8"/>
  <c r="E26" i="8"/>
  <c r="E25" i="8"/>
  <c r="F25" i="8"/>
  <c r="D25" i="8"/>
  <c r="D24" i="8"/>
  <c r="E24" i="8"/>
  <c r="F24" i="8"/>
  <c r="P8" i="9"/>
  <c r="V323" i="73" s="1"/>
  <c r="O38" i="9"/>
  <c r="M85" i="56"/>
  <c r="AQ9" i="9" l="1"/>
  <c r="CJ9" i="9"/>
  <c r="BR9" i="9"/>
  <c r="CA9" i="9"/>
  <c r="AB8" i="9"/>
  <c r="AB38" i="9" s="1"/>
  <c r="BP8" i="9"/>
  <c r="BP38" i="9" s="1"/>
  <c r="BR14" i="9"/>
  <c r="CS14" i="9"/>
  <c r="J24" i="61"/>
  <c r="K18" i="61"/>
  <c r="CK12" i="9"/>
  <c r="BJ12" i="9"/>
  <c r="AO8" i="9"/>
  <c r="AO38" i="9" s="1"/>
  <c r="AX8" i="9"/>
  <c r="AX38" i="9" s="1"/>
  <c r="BR13" i="9"/>
  <c r="CS13" i="9"/>
  <c r="AZ9" i="9"/>
  <c r="BI9" i="9"/>
  <c r="I94" i="56"/>
  <c r="U17" i="9"/>
  <c r="CA17" i="9"/>
  <c r="U16" i="9"/>
  <c r="CA16" i="9"/>
  <c r="I93" i="56"/>
  <c r="CS37" i="9"/>
  <c r="J95" i="56"/>
  <c r="K95" i="56" s="1"/>
  <c r="I130" i="56" s="1"/>
  <c r="CK18" i="9"/>
  <c r="H130" i="56"/>
  <c r="L95" i="56"/>
  <c r="T11" i="9"/>
  <c r="AZ11" i="9" s="1"/>
  <c r="H132" i="56"/>
  <c r="L97" i="56"/>
  <c r="U21" i="9"/>
  <c r="I98" i="56"/>
  <c r="J96" i="56"/>
  <c r="K96" i="56" s="1"/>
  <c r="I131" i="56" s="1"/>
  <c r="CK19" i="9"/>
  <c r="J97" i="56"/>
  <c r="K97" i="56" s="1"/>
  <c r="I132" i="56" s="1"/>
  <c r="CK20" i="9"/>
  <c r="L96" i="56"/>
  <c r="H131" i="56"/>
  <c r="U13" i="9"/>
  <c r="CK13" i="9" s="1"/>
  <c r="CA13" i="9"/>
  <c r="I90" i="56"/>
  <c r="T10" i="9"/>
  <c r="CJ10" i="9" s="1"/>
  <c r="L89" i="56"/>
  <c r="H124" i="56"/>
  <c r="I86" i="56"/>
  <c r="H121" i="56" s="1"/>
  <c r="T8" i="9"/>
  <c r="BR8" i="9" s="1"/>
  <c r="U9" i="9"/>
  <c r="J89" i="56"/>
  <c r="K89" i="56" s="1"/>
  <c r="I124" i="56" s="1"/>
  <c r="BS12" i="9"/>
  <c r="CK15" i="9"/>
  <c r="CB15" i="9"/>
  <c r="AQ14" i="9"/>
  <c r="CA14" i="9"/>
  <c r="H127" i="56"/>
  <c r="L92" i="56"/>
  <c r="BA15" i="9"/>
  <c r="J92" i="56"/>
  <c r="K92" i="56" s="1"/>
  <c r="I127" i="56" s="1"/>
  <c r="I91" i="56"/>
  <c r="U14" i="9"/>
  <c r="BI14" i="9"/>
  <c r="Q8" i="9"/>
  <c r="N85" i="56" s="1"/>
  <c r="J120" i="56" s="1"/>
  <c r="BB323" i="73"/>
  <c r="BG8" i="9"/>
  <c r="BG38" i="9" s="1"/>
  <c r="P38" i="9"/>
  <c r="CJ38" i="9" l="1"/>
  <c r="AR9" i="9"/>
  <c r="CK9" i="9"/>
  <c r="BS9" i="9"/>
  <c r="CB9" i="9"/>
  <c r="BS14" i="9"/>
  <c r="CT14" i="9"/>
  <c r="BR10" i="9"/>
  <c r="CA10" i="9"/>
  <c r="K22" i="61"/>
  <c r="K20" i="61"/>
  <c r="Q38" i="9"/>
  <c r="N115" i="56" s="1"/>
  <c r="J150" i="56" s="1"/>
  <c r="AQ8" i="9"/>
  <c r="AQ38" i="9" s="1"/>
  <c r="AZ8" i="9"/>
  <c r="AZ38" i="9" s="1"/>
  <c r="CS38" i="9"/>
  <c r="BS13" i="9"/>
  <c r="CT13" i="9"/>
  <c r="BR11" i="9"/>
  <c r="CA11" i="9"/>
  <c r="BA9" i="9"/>
  <c r="BJ9" i="9"/>
  <c r="BI8" i="9"/>
  <c r="L86" i="56"/>
  <c r="CT37" i="9"/>
  <c r="H128" i="56"/>
  <c r="L93" i="56"/>
  <c r="I88" i="56"/>
  <c r="L88" i="56" s="1"/>
  <c r="BI11" i="9"/>
  <c r="J93" i="56"/>
  <c r="K93" i="56" s="1"/>
  <c r="I128" i="56" s="1"/>
  <c r="CB16" i="9"/>
  <c r="U11" i="9"/>
  <c r="H133" i="56"/>
  <c r="L98" i="56"/>
  <c r="J94" i="56"/>
  <c r="K94" i="56" s="1"/>
  <c r="I129" i="56" s="1"/>
  <c r="CB17" i="9"/>
  <c r="J98" i="56"/>
  <c r="K98" i="56" s="1"/>
  <c r="I133" i="56" s="1"/>
  <c r="H129" i="56"/>
  <c r="L94" i="56"/>
  <c r="J86" i="56"/>
  <c r="K86" i="56" s="1"/>
  <c r="I121" i="56" s="1"/>
  <c r="T38" i="9"/>
  <c r="U8" i="9"/>
  <c r="BS8" i="9" s="1"/>
  <c r="I85" i="56"/>
  <c r="L85" i="56" s="1"/>
  <c r="BI10" i="9"/>
  <c r="U10" i="9"/>
  <c r="I87" i="56"/>
  <c r="H125" i="56"/>
  <c r="L90" i="56"/>
  <c r="J90" i="56"/>
  <c r="K90" i="56" s="1"/>
  <c r="I125" i="56" s="1"/>
  <c r="CB13" i="9"/>
  <c r="AR14" i="9"/>
  <c r="CB14" i="9"/>
  <c r="BJ11" i="9"/>
  <c r="J91" i="56"/>
  <c r="K91" i="56" s="1"/>
  <c r="I126" i="56" s="1"/>
  <c r="BJ14" i="9"/>
  <c r="H126" i="56"/>
  <c r="L91" i="56"/>
  <c r="K23" i="61" l="1"/>
  <c r="B30" i="61" s="1"/>
  <c r="CB10" i="9"/>
  <c r="CK10" i="9"/>
  <c r="CK38" i="9" s="1"/>
  <c r="CA38" i="9"/>
  <c r="BR38" i="9"/>
  <c r="K24" i="61"/>
  <c r="AR8" i="9"/>
  <c r="AR38" i="9" s="1"/>
  <c r="BA8" i="9"/>
  <c r="J88" i="56"/>
  <c r="K88" i="56" s="1"/>
  <c r="I123" i="56" s="1"/>
  <c r="BA11" i="9"/>
  <c r="H120" i="56"/>
  <c r="H123" i="56"/>
  <c r="CT38" i="9"/>
  <c r="BI38" i="9"/>
  <c r="BJ8" i="9"/>
  <c r="BS11" i="9"/>
  <c r="CB11" i="9"/>
  <c r="U38" i="9"/>
  <c r="J115" i="56" s="1"/>
  <c r="BS10" i="9"/>
  <c r="J85" i="56"/>
  <c r="K85" i="56" s="1"/>
  <c r="I120" i="56" s="1"/>
  <c r="H122" i="56"/>
  <c r="L87" i="56"/>
  <c r="BJ10" i="9"/>
  <c r="J87" i="56"/>
  <c r="K87" i="56" s="1"/>
  <c r="I122" i="56" s="1"/>
  <c r="CB38" i="9" l="1"/>
  <c r="BA38" i="9"/>
  <c r="B32" i="61"/>
  <c r="B34" i="61"/>
  <c r="BS38" i="9"/>
  <c r="BJ38" i="9"/>
  <c r="K115" i="56"/>
  <c r="B35" i="61" l="1"/>
  <c r="B36" i="61" l="1"/>
  <c r="C30" i="61"/>
  <c r="C32" i="61" l="1"/>
  <c r="C34" i="61"/>
  <c r="C35" i="61" l="1"/>
  <c r="D30" i="61" l="1"/>
  <c r="C36" i="61"/>
  <c r="D34" i="61" l="1"/>
  <c r="D32" i="61"/>
  <c r="D35" i="61" l="1"/>
  <c r="D36" i="61" s="1"/>
  <c r="E30" i="61" l="1"/>
  <c r="E34" i="61" s="1"/>
  <c r="E32" i="61" l="1"/>
  <c r="E35" i="61" s="1"/>
  <c r="E36" i="61" l="1"/>
  <c r="F30" i="61"/>
  <c r="F34" i="61" s="1"/>
  <c r="F32" i="61" l="1"/>
  <c r="F35" i="61"/>
  <c r="G30" i="61" l="1"/>
  <c r="F36" i="61"/>
  <c r="G32" i="61" l="1"/>
  <c r="G34" i="61"/>
  <c r="G35" i="61" l="1"/>
  <c r="G36" i="61" l="1"/>
  <c r="H30" i="61"/>
  <c r="H32" i="61" l="1"/>
  <c r="H34" i="61"/>
  <c r="H35" i="61" l="1"/>
  <c r="H36" i="61" l="1"/>
  <c r="I30" i="61"/>
  <c r="I32" i="61" l="1"/>
  <c r="I34" i="61"/>
  <c r="I35" i="61" l="1"/>
  <c r="J30" i="61" l="1"/>
  <c r="I36" i="61"/>
  <c r="J32" i="61" l="1"/>
  <c r="J34" i="61"/>
  <c r="J35" i="61" l="1"/>
  <c r="J36" i="61" l="1"/>
  <c r="K30" i="61"/>
  <c r="K34" i="61" l="1"/>
  <c r="K32" i="61"/>
  <c r="K35" i="61" l="1"/>
  <c r="B42" i="61" s="1"/>
  <c r="K36" i="61" l="1"/>
  <c r="B44" i="61"/>
  <c r="B46" i="61"/>
  <c r="B47" i="61" l="1"/>
  <c r="C42" i="61" l="1"/>
  <c r="B48" i="61"/>
  <c r="C44" i="61" l="1"/>
  <c r="C46" i="61"/>
  <c r="C47" i="61" l="1"/>
  <c r="D42" i="61" l="1"/>
  <c r="C48" i="61"/>
  <c r="D44" i="61" l="1"/>
  <c r="D46" i="61"/>
  <c r="D47" i="61" l="1"/>
  <c r="D48" i="61" l="1"/>
  <c r="E42" i="61"/>
  <c r="E46" i="61" l="1"/>
  <c r="E44" i="61"/>
  <c r="E47" i="61" l="1"/>
  <c r="E48" i="61" s="1"/>
  <c r="F42" i="61" l="1"/>
  <c r="F44" i="61" s="1"/>
  <c r="F46" i="61" l="1"/>
  <c r="F47" i="61" s="1"/>
  <c r="F48" i="61" s="1"/>
  <c r="G42" i="61" l="1"/>
  <c r="G44" i="61" s="1"/>
  <c r="G46" i="61" l="1"/>
  <c r="G47" i="61" s="1"/>
  <c r="G48" i="61" l="1"/>
  <c r="H42" i="61"/>
  <c r="H44" i="61" l="1"/>
  <c r="H46" i="61"/>
  <c r="H47" i="61" l="1"/>
  <c r="H48" i="61" l="1"/>
  <c r="I42" i="61"/>
  <c r="I44" i="61" l="1"/>
  <c r="I46" i="61"/>
  <c r="I47" i="61" l="1"/>
  <c r="J42" i="61" l="1"/>
  <c r="I48" i="61"/>
  <c r="J44" i="61" l="1"/>
  <c r="J46" i="61"/>
  <c r="J47" i="61" l="1"/>
  <c r="J48" i="61" l="1"/>
  <c r="K42" i="61"/>
  <c r="K44" i="61" l="1"/>
  <c r="K46" i="61"/>
  <c r="K47" i="61" l="1"/>
  <c r="K48"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Dang</author>
  </authors>
  <commentList>
    <comment ref="AO6" authorId="0" shapeId="0" xr:uid="{00000000-0006-0000-0400-000001000000}">
      <text>
        <r>
          <rPr>
            <b/>
            <sz val="9"/>
            <color indexed="81"/>
            <rFont val="Tahoma"/>
            <family val="2"/>
          </rPr>
          <t xml:space="preserve">From HUD MTSP data 2023
From HUD MTSP data 2025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Lenore Coughlin</author>
    <author>tc={28A2EBE7-8806-43F8-91BF-532865000787}</author>
    <author>Tom Dang</author>
  </authors>
  <commentList>
    <comment ref="B2" authorId="0" shapeId="0" xr:uid="{6E6CB80B-FB70-447F-8345-8E2C628F1595}">
      <text>
        <r>
          <rPr>
            <b/>
            <sz val="9"/>
            <color indexed="81"/>
            <rFont val="Tahoma"/>
            <family val="2"/>
          </rPr>
          <t>Lenore Coughlin:
 &lt;[[DEVDeals] Deal Name - Get]&gt;</t>
        </r>
      </text>
    </comment>
    <comment ref="B3" authorId="0" shapeId="0" xr:uid="{AE62DE56-0CC6-4FF4-A3FD-BAD2369010D9}">
      <text>
        <r>
          <rPr>
            <b/>
            <sz val="9"/>
            <color indexed="81"/>
            <rFont val="Tahoma"/>
            <family val="2"/>
          </rPr>
          <t>Lenore Coughlin:
 &lt;[[DEVDeals] HFA Number - Get]&gt;</t>
        </r>
      </text>
    </comment>
    <comment ref="B4" authorId="0" shapeId="0" xr:uid="{C32D3FDF-D733-422A-8464-3F94E3DF203D}">
      <text>
        <r>
          <rPr>
            <b/>
            <sz val="9"/>
            <color indexed="81"/>
            <rFont val="Tahoma"/>
            <family val="2"/>
          </rPr>
          <t>Lenore Coughlin:
 &lt;[[DEVDeals] Deal Number - Get]&gt;</t>
        </r>
      </text>
    </comment>
    <comment ref="B5" authorId="0" shapeId="0" xr:uid="{BB16FF09-5200-4203-835B-A5C36451420B}">
      <text>
        <r>
          <rPr>
            <b/>
            <sz val="9"/>
            <color indexed="81"/>
            <rFont val="Tahoma"/>
            <family val="2"/>
          </rPr>
          <t>Lenore Coughlin:
 &lt;[[DEVDeals] - [Associated TC Deal (Id: 246)] Deal Number - Get]&gt;</t>
        </r>
      </text>
    </comment>
    <comment ref="H9" authorId="0" shapeId="0" xr:uid="{2BD76DDD-0E07-4054-A1EA-4EAC579948B1}">
      <text>
        <r>
          <rPr>
            <b/>
            <sz val="9"/>
            <color indexed="81"/>
            <rFont val="Tahoma"/>
            <family val="2"/>
          </rPr>
          <t>&lt;[[DEVDeals] - [DEV User Defined Fields (Seq: 1)] Pipeline - Proforma Current Model Progress Date - Send]&gt;</t>
        </r>
      </text>
    </comment>
    <comment ref="AN9" authorId="0" shapeId="0" xr:uid="{7E0794A6-0A2E-45B1-83AB-2CDC73AC60C7}">
      <text>
        <r>
          <rPr>
            <b/>
            <sz val="9"/>
            <color indexed="81"/>
            <rFont val="Tahoma"/>
            <family val="2"/>
          </rPr>
          <t>&lt;[[DEVDeals] - [Associated TC Deal (Seq: 1)] - [Associated TC Deal - User Defined Field Values (Seq: 1)] TC Dates - Proforma Current Model Progress Date - Send]&gt;</t>
        </r>
      </text>
    </comment>
    <comment ref="H13" authorId="0" shapeId="0" xr:uid="{E460475B-CCE5-4F16-BB05-597F47B6C77A}">
      <text>
        <r>
          <rPr>
            <b/>
            <sz val="9"/>
            <color indexed="81"/>
            <rFont val="Tahoma"/>
            <family val="2"/>
          </rPr>
          <t>&lt;[[DEVDeals] - [Deal Property (Seq: 1)] Address1 - Send]&gt;</t>
        </r>
      </text>
    </comment>
    <comment ref="AN13" authorId="0" shapeId="0" xr:uid="{6F2E1F89-6DC0-4879-B50E-7171CB1B00EA}">
      <text>
        <r>
          <rPr>
            <b/>
            <sz val="9"/>
            <color indexed="81"/>
            <rFont val="Tahoma"/>
            <family val="2"/>
          </rPr>
          <t>&lt;[[DEVDeals] - [Associated TC Deal (Seq: 1)] - [TC Property Current Stage (Seq: 1)] Address1 - Send]&gt;</t>
        </r>
      </text>
    </comment>
    <comment ref="H14" authorId="0" shapeId="0" xr:uid="{D0B643DC-4653-4C91-AA40-630FD6542095}">
      <text>
        <r>
          <rPr>
            <b/>
            <sz val="9"/>
            <color indexed="81"/>
            <rFont val="Tahoma"/>
            <family val="2"/>
          </rPr>
          <t>&lt;[[DEVDeals] - [Deal Property (Seq: 1)] City - Send]&gt;</t>
        </r>
      </text>
    </comment>
    <comment ref="AN14" authorId="0" shapeId="0" xr:uid="{6FDCA351-9B39-4533-8AC5-5E0193598B18}">
      <text>
        <r>
          <rPr>
            <b/>
            <sz val="9"/>
            <color indexed="81"/>
            <rFont val="Tahoma"/>
            <family val="2"/>
          </rPr>
          <t>&lt;[[DEVDeals] - [Associated TC Deal (Seq: 1)] - [TC Property Current Stage (Seq: 1)] City - Send]&gt;</t>
        </r>
      </text>
    </comment>
    <comment ref="H15" authorId="0" shapeId="0" xr:uid="{ED1242A3-6CDE-44F2-A56D-DF17C6090A4A}">
      <text>
        <r>
          <rPr>
            <b/>
            <sz val="9"/>
            <color indexed="81"/>
            <rFont val="Tahoma"/>
            <family val="2"/>
          </rPr>
          <t>&lt;[[DEVDeals] - [Deal Property (Seq: 1)] Jurisdiction - Send]&gt;</t>
        </r>
      </text>
    </comment>
    <comment ref="H16" authorId="0" shapeId="0" xr:uid="{622D05F0-6613-4634-AA7E-4FC15C92ECAA}">
      <text>
        <r>
          <rPr>
            <b/>
            <sz val="9"/>
            <color indexed="81"/>
            <rFont val="Tahoma"/>
            <family val="2"/>
          </rPr>
          <t>&lt;[[DEVDeals] - [Deal Property (Seq: 1)] State - Send]&gt;</t>
        </r>
      </text>
    </comment>
    <comment ref="AN16" authorId="0" shapeId="0" xr:uid="{2B1DE50D-E04A-4D20-8579-18038EC7165F}">
      <text>
        <r>
          <rPr>
            <b/>
            <sz val="9"/>
            <color indexed="81"/>
            <rFont val="Tahoma"/>
            <family val="2"/>
          </rPr>
          <t>&lt;[[DEVDeals] - [Associated TC Deal (Seq: 1)] - [TC Property Current Stage (Seq: 1)] State - Send]&gt;</t>
        </r>
      </text>
    </comment>
    <comment ref="H17" authorId="0" shapeId="0" xr:uid="{845226DE-897F-4764-847E-1B2F6217ACD6}">
      <text>
        <r>
          <rPr>
            <b/>
            <sz val="9"/>
            <color indexed="81"/>
            <rFont val="Tahoma"/>
            <family val="2"/>
          </rPr>
          <t>&lt;[[DEVDeals] - [Deal Property (Seq: 1)] Zip Code - Send]&gt;</t>
        </r>
      </text>
    </comment>
    <comment ref="AN17" authorId="0" shapeId="0" xr:uid="{D618AEF4-7A91-4559-B376-F91ECA15B230}">
      <text>
        <r>
          <rPr>
            <b/>
            <sz val="9"/>
            <color indexed="81"/>
            <rFont val="Tahoma"/>
            <family val="2"/>
          </rPr>
          <t>&lt;[[DEVDeals] - [Associated TC Deal (Seq: 1)] - [TC Property Current Stage (Seq: 1)] Zip Code - Send]&gt;</t>
        </r>
      </text>
    </comment>
    <comment ref="AN18" authorId="0" shapeId="0" xr:uid="{7EEF657A-B005-4F9D-A7C1-59FF34E7C5A2}">
      <text>
        <r>
          <rPr>
            <b/>
            <sz val="9"/>
            <color indexed="81"/>
            <rFont val="Tahoma"/>
            <family val="2"/>
          </rPr>
          <t>&lt;[[DEVDeals] - [Associated TC Deal (Seq: 1)] - [TC Property Current Stage (Seq: 1)] Census Tract - Send]&gt;</t>
        </r>
      </text>
    </comment>
    <comment ref="BX18" authorId="0" shapeId="0" xr:uid="{FF72E6D0-03B7-4EF2-89E9-97B469D6EBEE}">
      <text>
        <r>
          <rPr>
            <b/>
            <sz val="9"/>
            <color indexed="81"/>
            <rFont val="Tahoma"/>
            <family val="2"/>
          </rPr>
          <t>&lt;[[DEVDeals] - [Primary Portfolio Property (Seq: 1)] Census Tract - Send]&gt;</t>
        </r>
      </text>
    </comment>
    <comment ref="H19" authorId="0" shapeId="0" xr:uid="{A7E7CEC8-B5B9-4D98-8467-2354E088D4F4}">
      <text>
        <r>
          <rPr>
            <b/>
            <sz val="9"/>
            <color indexed="81"/>
            <rFont val="Tahoma"/>
            <family val="2"/>
          </rPr>
          <t>&lt;[[DEVDeals] - [Deal Property (Seq: 1)] Property Type - Send]&gt;</t>
        </r>
      </text>
    </comment>
    <comment ref="H20" authorId="0" shapeId="0" xr:uid="{733339EF-6F19-4387-B1C4-C76047BBD38A}">
      <text>
        <r>
          <rPr>
            <b/>
            <sz val="9"/>
            <color indexed="81"/>
            <rFont val="Tahoma"/>
            <family val="2"/>
          </rPr>
          <t>&lt;[[DEVDeals] Construction Building Type - Send]&gt;</t>
        </r>
      </text>
    </comment>
    <comment ref="AN20" authorId="0" shapeId="0" xr:uid="{E6C5F4CC-6BDB-4B45-9BCC-2B59E6F3B940}">
      <text>
        <r>
          <rPr>
            <b/>
            <sz val="9"/>
            <color indexed="81"/>
            <rFont val="Tahoma"/>
            <family val="2"/>
          </rPr>
          <t>&lt;[[DEVDeals] - [Associated TC Deal (Seq: 1)] - [TC Property Current Stage (Seq: 1)] Bldg Alloc Type - Send]&gt;</t>
        </r>
      </text>
    </comment>
    <comment ref="AN21" authorId="0" shapeId="0" xr:uid="{271C4D53-D4E5-4C74-AE9F-72C28FE355E5}">
      <text>
        <r>
          <rPr>
            <b/>
            <sz val="9"/>
            <color indexed="81"/>
            <rFont val="Tahoma"/>
            <family val="2"/>
          </rPr>
          <t>&lt;[[DEVDeals] - [Associated TC Deal (Seq: 1)] - [TC Property Current Stage (Seq: 1)] Target Type - Send]&gt;</t>
        </r>
      </text>
    </comment>
    <comment ref="H22" authorId="0" shapeId="0" xr:uid="{C76C8BB4-B2F1-4119-9BE9-A2601DDC43BE}">
      <text>
        <r>
          <rPr>
            <b/>
            <sz val="9"/>
            <color indexed="81"/>
            <rFont val="Tahoma"/>
            <family val="2"/>
          </rPr>
          <t>&lt;[[DEVDeals] - [Deal Property (Seq: 1)] Tenant Status - Both]&gt;</t>
        </r>
      </text>
    </comment>
    <comment ref="H23" authorId="0" shapeId="0" xr:uid="{275D25C5-6E11-461F-A71B-25F8ACA68C84}">
      <text>
        <r>
          <rPr>
            <b/>
            <sz val="9"/>
            <color indexed="81"/>
            <rFont val="Tahoma"/>
            <family val="2"/>
          </rPr>
          <t>&lt;[[DEVDeals] Tax Credit Percent Type - Send]&gt;</t>
        </r>
      </text>
    </comment>
    <comment ref="AN24" authorId="0" shapeId="0" xr:uid="{B59229F3-49AC-4DED-B014-8E2C67F5BF08}">
      <text>
        <r>
          <rPr>
            <b/>
            <sz val="9"/>
            <color indexed="81"/>
            <rFont val="Tahoma"/>
            <family val="2"/>
          </rPr>
          <t>&lt;[[DEVDeals] - [Associated TC Deal (Seq: 1)] - [TC Property Current Stage (Seq: 1)] Construction Type - Send]&gt;</t>
        </r>
      </text>
    </comment>
    <comment ref="H26" authorId="0" shapeId="0" xr:uid="{6BA927DA-57DB-48D0-A877-A7FA103BC996}">
      <text>
        <r>
          <rPr>
            <b/>
            <sz val="9"/>
            <color indexed="81"/>
            <rFont val="Tahoma"/>
            <family val="2"/>
          </rPr>
          <t>&lt;[[DEVDeals] Deal Stage Status - Send]&gt;</t>
        </r>
      </text>
    </comment>
    <comment ref="L26" authorId="0" shapeId="0" xr:uid="{48FC6C5C-E8F5-49FE-844E-444535E05E20}">
      <text>
        <r>
          <rPr>
            <b/>
            <sz val="9"/>
            <color indexed="81"/>
            <rFont val="Tahoma"/>
            <family val="2"/>
          </rPr>
          <t>&lt;[[DEVDeals] Is Allow Delete On Smart Dox Send - Send]&gt;</t>
        </r>
      </text>
    </comment>
    <comment ref="AR26" authorId="0" shapeId="0" xr:uid="{D0CE0EAC-4DDA-4586-9180-99B58BED7741}">
      <text>
        <r>
          <rPr>
            <b/>
            <sz val="9"/>
            <color indexed="81"/>
            <rFont val="Tahoma"/>
            <family val="2"/>
          </rPr>
          <t>&lt;[[DEVDeals] - [Associated TC Deal (Seq: 1)] Is Allow Delete On Smart Dox Send - Send]&gt;</t>
        </r>
      </text>
    </comment>
    <comment ref="H27" authorId="0" shapeId="0" xr:uid="{D4378B90-0038-4CBB-B17C-06CF46BCD25D}">
      <text>
        <r>
          <rPr>
            <b/>
            <sz val="9"/>
            <color indexed="81"/>
            <rFont val="Tahoma"/>
            <family val="2"/>
          </rPr>
          <t>&lt;[[DEVDeals] - [DEV User Defined Fields (Seq: 1)] Pipeline - Proforma Model Revision Date - Send]&gt;</t>
        </r>
      </text>
    </comment>
    <comment ref="AN27" authorId="0" shapeId="0" xr:uid="{231A2377-ABE5-43FF-A2C6-61B4BAB9286C}">
      <text>
        <r>
          <rPr>
            <b/>
            <sz val="9"/>
            <color indexed="81"/>
            <rFont val="Tahoma"/>
            <family val="2"/>
          </rPr>
          <t>&lt;[[DEVDeals] - [Associated TC Deal (Seq: 1)] - [Associated TC Deal - User Defined Field Values (Seq: 1)] TC Dates - Proforma Model Revision Date - Send]&gt;</t>
        </r>
      </text>
    </comment>
    <comment ref="H28" authorId="0" shapeId="0" xr:uid="{0481DA0B-0866-4C73-9AAE-0995C7ADD09B}">
      <text>
        <r>
          <rPr>
            <b/>
            <sz val="9"/>
            <color indexed="81"/>
            <rFont val="Tahoma"/>
            <family val="2"/>
          </rPr>
          <t>&lt;[[DEVDeals] - [DEV User Defined Fields (Seq: 1)] Pipeline - Proforma Model Version Number - Send]&gt;</t>
        </r>
      </text>
    </comment>
    <comment ref="AN28" authorId="0" shapeId="0" xr:uid="{D044EFE5-7D53-4580-9BF7-B3C19A2A5400}">
      <text>
        <r>
          <rPr>
            <b/>
            <sz val="9"/>
            <color indexed="81"/>
            <rFont val="Tahoma"/>
            <family val="2"/>
          </rPr>
          <t>&lt;[[DEVDeals] - [Associated TC Deal (Seq: 1)] - [Associated TC Deal - User Defined Field Values (Seq: 1)] TC Dates - Proforma Model Version Number - Send]&gt;</t>
        </r>
      </text>
    </comment>
    <comment ref="H32" authorId="0" shapeId="0" xr:uid="{A019272F-6507-403A-9284-5A8F7A6C1AE5}">
      <text>
        <r>
          <rPr>
            <b/>
            <sz val="9"/>
            <color indexed="81"/>
            <rFont val="Tahoma"/>
            <family val="2"/>
          </rPr>
          <t>&lt;[[DEVDeals] - [Deal Property (Seq: 1)] Total Square Footage - Send]&gt;</t>
        </r>
      </text>
    </comment>
    <comment ref="H39" authorId="0" shapeId="0" xr:uid="{B26C479A-3C32-446E-B2B4-275BEA5D31CF}">
      <text>
        <r>
          <rPr>
            <b/>
            <sz val="9"/>
            <color indexed="81"/>
            <rFont val="Tahoma"/>
            <family val="2"/>
          </rPr>
          <t>&lt;[[DEVDeals] - [Deal Property (Seq: 1)] Year Built - Send]&gt;</t>
        </r>
      </text>
    </comment>
    <comment ref="BX39" authorId="0" shapeId="0" xr:uid="{76024986-5E2C-4FD4-8843-6FF4DE8C7984}">
      <text>
        <r>
          <rPr>
            <b/>
            <sz val="9"/>
            <color indexed="81"/>
            <rFont val="Tahoma"/>
            <family val="2"/>
          </rPr>
          <t>&lt;[[DEVDeals] - [Primary Portfolio Property (Seq: 1)] Year Built - Send]&gt;</t>
        </r>
      </text>
    </comment>
    <comment ref="AN40" authorId="0" shapeId="0" xr:uid="{55F0DE24-4250-4778-A8BE-1906E10BB722}">
      <text>
        <r>
          <rPr>
            <b/>
            <sz val="9"/>
            <color indexed="81"/>
            <rFont val="Tahoma"/>
            <family val="2"/>
          </rPr>
          <t>&lt;[[DEVDeals] - [Associated TC Deal (Seq: 1)] - [TC Property Current Stage (Seq: 1)] Building Type - Send]&gt;</t>
        </r>
      </text>
    </comment>
    <comment ref="AN41" authorId="0" shapeId="0" xr:uid="{07988C07-1DB6-4C25-83D5-3CE629CDD3DE}">
      <text>
        <r>
          <rPr>
            <b/>
            <sz val="9"/>
            <color indexed="81"/>
            <rFont val="Tahoma"/>
            <family val="2"/>
          </rPr>
          <t>&lt;[[DEVDeals] - [Associated TC Deal (Seq: 1)] - [TC Property Current Stage (Seq: 1)] Num Buildings - Send]&gt;</t>
        </r>
      </text>
    </comment>
    <comment ref="H44" authorId="0" shapeId="0" xr:uid="{0CCB88EA-3DF0-4DDC-A97C-6DE847A8B617}">
      <text>
        <r>
          <rPr>
            <b/>
            <sz val="9"/>
            <color indexed="81"/>
            <rFont val="Tahoma"/>
            <family val="2"/>
          </rPr>
          <t>&lt;[[DEVDeals] - [Deal Property (Seq: 1)] Number Of Proposed Parking Spaces - Send]&gt;</t>
        </r>
      </text>
    </comment>
    <comment ref="AN44" authorId="0" shapeId="0" xr:uid="{FBA20EB8-5CE5-4566-B29C-2C4643C0E885}">
      <text>
        <r>
          <rPr>
            <b/>
            <sz val="9"/>
            <color indexed="81"/>
            <rFont val="Tahoma"/>
            <family val="2"/>
          </rPr>
          <t>&lt;[[DEVDeals] - [Associated TC Deal (Seq: 1)] - [TC Property Current Stage (Seq: 1)] Num Proposed Parking Spaces - Send]&gt;</t>
        </r>
      </text>
    </comment>
    <comment ref="AN49" authorId="0" shapeId="0" xr:uid="{FCBAEBD8-820A-4841-8689-AA41798A9FEB}">
      <text>
        <r>
          <rPr>
            <b/>
            <sz val="9"/>
            <color indexed="81"/>
            <rFont val="Tahoma"/>
            <family val="2"/>
          </rPr>
          <t>&lt;[[DEVDeals] - [Associated TC Deal (Seq: 1)] - [TC Property Current Stage (Seq: 1)] Has Rental Assistance - Send]&gt;</t>
        </r>
      </text>
    </comment>
    <comment ref="BX54" authorId="0" shapeId="0" xr:uid="{4BF922F3-F566-4019-B5BF-26EBE70FB534}">
      <text>
        <r>
          <rPr>
            <b/>
            <sz val="9"/>
            <color indexed="81"/>
            <rFont val="Tahoma"/>
            <family val="2"/>
          </rPr>
          <t>&lt;[[DEVDeals] - [Primary Portfolio Property (Seq: 1)] - [Primary Property - User Defined Field Values (Seq: 1)] Additional Project Information - RIH Financed - Send]&gt;</t>
        </r>
      </text>
    </comment>
    <comment ref="H55" authorId="0" shapeId="0" xr:uid="{7BAC6E0F-45C8-4BD6-8C96-990C26BBCD34}">
      <text>
        <r>
          <rPr>
            <b/>
            <sz val="9"/>
            <color indexed="81"/>
            <rFont val="Tahoma"/>
            <family val="2"/>
          </rPr>
          <t>&lt;[[DEVDeals] - [DEV User Defined Fields (Seq: 1)] Pipeline - Is Risk Share - Send]&gt;</t>
        </r>
      </text>
    </comment>
    <comment ref="BX55" authorId="0" shapeId="0" xr:uid="{FB052ECC-262A-4133-95A7-B3765C7D8ABD}">
      <text>
        <r>
          <rPr>
            <b/>
            <sz val="9"/>
            <color indexed="81"/>
            <rFont val="Tahoma"/>
            <family val="2"/>
          </rPr>
          <t>&lt;[[DEVDeals] - [Primary Portfolio Property (Seq: 1)] - [Primary Property - User Defined Field Values (Seq: 1)] Additional Project Information - Is Risk Share? - Send]&gt;</t>
        </r>
      </text>
    </comment>
    <comment ref="AN57" authorId="0" shapeId="0" xr:uid="{3730B2B5-B103-4715-B904-E7F951ABD0E7}">
      <text>
        <r>
          <rPr>
            <b/>
            <sz val="9"/>
            <color indexed="81"/>
            <rFont val="Tahoma"/>
            <family val="2"/>
          </rPr>
          <t>&lt;[[DEVDeals] - [Associated TC Deal (Seq: 1)] - [TC Property Current Stage (Seq: 1)] Debt Coverage Ratio Year 1 - Send]&gt;</t>
        </r>
      </text>
    </comment>
    <comment ref="AN69" authorId="0" shapeId="0" xr:uid="{9D7BFC1D-6BD2-4B72-9624-5214028E62AF}">
      <text>
        <r>
          <rPr>
            <b/>
            <sz val="9"/>
            <color indexed="81"/>
            <rFont val="Tahoma"/>
            <family val="2"/>
          </rPr>
          <t>&lt;[[DEVDeals] - [Associated TC Deal (Seq: 1)] - [TC Property Current Stage (Seq: 1)] Owner Name - Send]&gt;</t>
        </r>
      </text>
    </comment>
    <comment ref="AN70" authorId="0" shapeId="0" xr:uid="{90DDCFE9-EA83-43D4-9547-452D2475ED5B}">
      <text>
        <r>
          <rPr>
            <b/>
            <sz val="9"/>
            <color indexed="81"/>
            <rFont val="Tahoma"/>
            <family val="2"/>
          </rPr>
          <t>&lt;[[DEVDeals] - [Associated TC Deal (Seq: 1)] - [TC Property Current Stage (Seq: 1)] Owner Address - Send]&gt;</t>
        </r>
      </text>
    </comment>
    <comment ref="AN71" authorId="0" shapeId="0" xr:uid="{8208A0A7-FD0B-46AA-9A94-4B41D253346B}">
      <text>
        <r>
          <rPr>
            <b/>
            <sz val="9"/>
            <color indexed="81"/>
            <rFont val="Tahoma"/>
            <family val="2"/>
          </rPr>
          <t>&lt;[[DEVDeals] - [Associated TC Deal (Seq: 1)] - [TC Property Current Stage (Seq: 1)] Owner City - Send]&gt;</t>
        </r>
      </text>
    </comment>
    <comment ref="AN72" authorId="0" shapeId="0" xr:uid="{C381FE4B-FD29-4DD6-8CE5-8FA0BA0ED0A3}">
      <text>
        <r>
          <rPr>
            <b/>
            <sz val="9"/>
            <color indexed="81"/>
            <rFont val="Tahoma"/>
            <family val="2"/>
          </rPr>
          <t>&lt;[[DEVDeals] - [Associated TC Deal (Seq: 1)] - [TC Property Current Stage (Seq: 1)] Owner State - Send]&gt;</t>
        </r>
      </text>
    </comment>
    <comment ref="E73" authorId="1" shapeId="0" xr:uid="{28A2EBE7-8806-43F8-91BF-532865000787}">
      <text>
        <t>[Threaded comment]
Your version of Excel allows you to read this threaded comment; however, any edits to it will get removed if the file is opened in a newer version of Excel. Learn more: https://go.microsoft.com/fwlink/?linkid=870924
Comment:
    Could also be Property Entities - Accounts Tab</t>
      </text>
    </comment>
    <comment ref="AN73" authorId="0" shapeId="0" xr:uid="{2215CCA8-1094-4D92-9528-668D5DC7A8AD}">
      <text>
        <r>
          <rPr>
            <b/>
            <sz val="9"/>
            <color indexed="81"/>
            <rFont val="Tahoma"/>
            <family val="2"/>
          </rPr>
          <t>&lt;[[DEVDeals] - [Associated TC Deal (Seq: 1)] - [TC Property Current Stage (Seq: 1)] Owner Zip - Send]&gt;</t>
        </r>
      </text>
    </comment>
    <comment ref="AN74" authorId="0" shapeId="0" xr:uid="{653135FA-0B51-4D6A-9601-BC0722B28D67}">
      <text>
        <r>
          <rPr>
            <b/>
            <sz val="9"/>
            <color indexed="81"/>
            <rFont val="Tahoma"/>
            <family val="2"/>
          </rPr>
          <t>&lt;[[DEVDeals] - [Associated TC Deal (Seq: 1)] - [TC Property Current Stage (Seq: 1)] Owner Phone - Send]&gt;</t>
        </r>
      </text>
    </comment>
    <comment ref="H99" authorId="0" shapeId="0" xr:uid="{1E4C9860-CEB0-4357-8762-D4A7BCB59B1B}">
      <text>
        <r>
          <rPr>
            <b/>
            <sz val="9"/>
            <color indexed="81"/>
            <rFont val="Tahoma"/>
            <family val="2"/>
          </rPr>
          <t>&lt;[[DEVDeals] - [DEV User Defined Fields (Seq: 1)] Additional DEV Deal Information - Accessible Units - Send]&gt;</t>
        </r>
      </text>
    </comment>
    <comment ref="H100" authorId="0" shapeId="0" xr:uid="{8398DECA-D01F-411C-846C-1A2EBF83424E}">
      <text>
        <r>
          <rPr>
            <b/>
            <sz val="9"/>
            <color indexed="81"/>
            <rFont val="Tahoma"/>
            <family val="2"/>
          </rPr>
          <t>&lt;[[DEVDeals] - [DEV User Defined Fields (Seq: 1)] Additional DEV Deal Information - Adaptable Units - Send]&gt;</t>
        </r>
      </text>
    </comment>
    <comment ref="AN104" authorId="0" shapeId="0" xr:uid="{3D5157FA-FF85-4D03-95E9-7E6A93C6EF93}">
      <text>
        <r>
          <rPr>
            <b/>
            <sz val="9"/>
            <color indexed="81"/>
            <rFont val="Tahoma"/>
            <family val="2"/>
          </rPr>
          <t>&lt;[[DEVDeals] - [Associated TC Deal (Seq: 1)] - [TC Property Current Stage (Seq: 1)] Total Annual Credit Amount Request - Send]&gt;</t>
        </r>
      </text>
    </comment>
    <comment ref="AN108" authorId="0" shapeId="0" xr:uid="{03235A21-C8AA-4E96-B260-65A752C7EFB7}">
      <text>
        <r>
          <rPr>
            <b/>
            <sz val="9"/>
            <color indexed="81"/>
            <rFont val="Tahoma"/>
            <family val="2"/>
          </rPr>
          <t>&lt;[[DEVDeals] - [Associated TC Deal (Seq: 1)] - [TC Property Current Stage (Seq: 1)] Has Other Assistance - Send]&gt;</t>
        </r>
      </text>
    </comment>
    <comment ref="AN113" authorId="0" shapeId="0" xr:uid="{48C2B83C-9A56-4FA4-8846-4A57A47E8F50}">
      <text>
        <r>
          <rPr>
            <b/>
            <sz val="9"/>
            <color indexed="81"/>
            <rFont val="Tahoma"/>
            <family val="2"/>
          </rPr>
          <t>&lt;[[DEVDeals] - [Associated TC Deal (Seq: 1)] - [TC Property Current Stage (Seq: 1)] Total Residential Heated Sq Ft - Send]&gt;</t>
        </r>
      </text>
    </comment>
    <comment ref="AN114" authorId="0" shapeId="0" xr:uid="{F698A2A5-BDA0-44EA-8C54-3BB32895E609}">
      <text>
        <r>
          <rPr>
            <b/>
            <sz val="9"/>
            <color indexed="81"/>
            <rFont val="Tahoma"/>
            <family val="2"/>
          </rPr>
          <t>&lt;[[DEVDeals] - [Associated TC Deal (Seq: 1)] - [TC Property Current Stage (Seq: 1)] Commercial Sq Ft - Send]&gt;</t>
        </r>
      </text>
    </comment>
    <comment ref="AN115" authorId="0" shapeId="0" xr:uid="{F5918D53-B3EB-4ADC-9ACE-D413FCA418F0}">
      <text>
        <r>
          <rPr>
            <b/>
            <sz val="9"/>
            <color indexed="81"/>
            <rFont val="Tahoma"/>
            <family val="2"/>
          </rPr>
          <t>&lt;[[DEVDeals] - [Associated TC Deal (Seq: 1)] - [TC Property Current Stage (Seq: 1)] Total Floor Sq Ft - Send]&gt;</t>
        </r>
      </text>
    </comment>
    <comment ref="H141" authorId="0" shapeId="0" xr:uid="{AB024630-3861-4364-9FA6-ABD8F362A1E4}">
      <text>
        <r>
          <rPr>
            <b/>
            <sz val="9"/>
            <color indexed="81"/>
            <rFont val="Tahoma"/>
            <family val="2"/>
          </rPr>
          <t>&lt;[[DEVDeals] - [Deal Property (Seq: 1)] Has Sports Court - Send]&gt;</t>
        </r>
      </text>
    </comment>
    <comment ref="AO141" authorId="0" shapeId="0" xr:uid="{2541C72E-3BFD-4D0F-BB7A-AD223DB7A9E9}">
      <text>
        <r>
          <rPr>
            <b/>
            <sz val="9"/>
            <color indexed="81"/>
            <rFont val="Tahoma"/>
            <family val="2"/>
          </rPr>
          <t>&lt;[[DEVDeals] - [Associated TC Deal (Seq: 1)] - [TC Property Current Stage (Seq: 1)] Has Sports Activity Court - Send]&gt;</t>
        </r>
      </text>
    </comment>
    <comment ref="H142" authorId="0" shapeId="0" xr:uid="{CC92A48C-E81E-464B-AE95-1D2D592B1AAF}">
      <text>
        <r>
          <rPr>
            <b/>
            <sz val="9"/>
            <color indexed="81"/>
            <rFont val="Tahoma"/>
            <family val="2"/>
          </rPr>
          <t>&lt;[[DEVDeals] - [Deal Property (Seq: 1)] Has Clubhouse - Send]&gt;</t>
        </r>
      </text>
    </comment>
    <comment ref="AO142" authorId="0" shapeId="0" xr:uid="{5C8688B5-39DB-40DD-8D6F-4F22A3A135FF}">
      <text>
        <r>
          <rPr>
            <b/>
            <sz val="9"/>
            <color indexed="81"/>
            <rFont val="Tahoma"/>
            <family val="2"/>
          </rPr>
          <t>&lt;[[DEVDeals] - [Associated TC Deal (Seq: 1)] - [TC Property Current Stage (Seq: 1)] Has Clubhouse - Send]&gt;</t>
        </r>
      </text>
    </comment>
    <comment ref="H143" authorId="0" shapeId="0" xr:uid="{50BCA727-2273-4981-B136-4A33324592B2}">
      <text>
        <r>
          <rPr>
            <b/>
            <sz val="9"/>
            <color indexed="81"/>
            <rFont val="Tahoma"/>
            <family val="2"/>
          </rPr>
          <t>&lt;[[DEVDeals] - [Deal Property (Seq: 1)] Has Laundry - Send]&gt;</t>
        </r>
      </text>
    </comment>
    <comment ref="AO143" authorId="0" shapeId="0" xr:uid="{8FE855F0-5058-4828-AAEB-5AB47281C461}">
      <text>
        <r>
          <rPr>
            <b/>
            <sz val="9"/>
            <color indexed="81"/>
            <rFont val="Tahoma"/>
            <family val="2"/>
          </rPr>
          <t>&lt;[[DEVDeals] - [Associated TC Deal (Seq: 1)] - [TC Property Current Stage (Seq: 1)] Has Laundry - Send]&gt;</t>
        </r>
      </text>
    </comment>
    <comment ref="H144" authorId="0" shapeId="0" xr:uid="{13BEA874-B433-48F5-AF58-9E3F2CA2BC5D}">
      <text>
        <r>
          <rPr>
            <b/>
            <sz val="9"/>
            <color indexed="81"/>
            <rFont val="Tahoma"/>
            <family val="2"/>
          </rPr>
          <t>&lt;[[DEVDeals] - [Deal Property (Seq: 1)] Has Playground - Send]&gt;</t>
        </r>
      </text>
    </comment>
    <comment ref="AO144" authorId="0" shapeId="0" xr:uid="{757324D6-A0DD-45A4-82E8-6E6D6B425BD1}">
      <text>
        <r>
          <rPr>
            <b/>
            <sz val="9"/>
            <color indexed="81"/>
            <rFont val="Tahoma"/>
            <family val="2"/>
          </rPr>
          <t>&lt;[[DEVDeals] - [Associated TC Deal (Seq: 1)] - [TC Property Current Stage (Seq: 1)] Has Playground - Send]&gt;</t>
        </r>
      </text>
    </comment>
    <comment ref="H145" authorId="0" shapeId="0" xr:uid="{3D9B8CB6-F53A-42CA-B9D0-61A00751DED1}">
      <text>
        <r>
          <rPr>
            <b/>
            <sz val="9"/>
            <color indexed="81"/>
            <rFont val="Tahoma"/>
            <family val="2"/>
          </rPr>
          <t>&lt;[[DEVDeals] - [Deal Property (Seq: 1)] Has Pool - Send]&gt;</t>
        </r>
      </text>
    </comment>
    <comment ref="AO145" authorId="0" shapeId="0" xr:uid="{B9B9E8BB-3078-483C-83AB-8CB240D1D0DB}">
      <text>
        <r>
          <rPr>
            <b/>
            <sz val="9"/>
            <color indexed="81"/>
            <rFont val="Tahoma"/>
            <family val="2"/>
          </rPr>
          <t>&lt;[[DEVDeals] - [Associated TC Deal (Seq: 1)] - [TC Property Current Stage (Seq: 1)] Has Pool - Send]&gt;</t>
        </r>
      </text>
    </comment>
    <comment ref="K151" authorId="0" shapeId="0" xr:uid="{115647F4-DBFD-4F2C-8F0F-3AA0D12A3E73}">
      <text>
        <r>
          <rPr>
            <b/>
            <sz val="9"/>
            <color indexed="81"/>
            <rFont val="Tahoma"/>
            <family val="2"/>
          </rPr>
          <t>&lt;[[DEVDeals] - [Deal Property (Seq: 1)] Has Other Amenity1 - Send]&gt;</t>
        </r>
      </text>
    </comment>
    <comment ref="M151" authorId="0" shapeId="0" xr:uid="{DBB69127-DFC7-401B-B580-881CC29552F1}">
      <text>
        <r>
          <rPr>
            <b/>
            <sz val="9"/>
            <color indexed="81"/>
            <rFont val="Tahoma"/>
            <family val="2"/>
          </rPr>
          <t>&lt;[[DEVDeals] - [Deal Property (Seq: 1)] Other Amenity1 Desc - Send]&gt;</t>
        </r>
      </text>
    </comment>
    <comment ref="AR151" authorId="0" shapeId="0" xr:uid="{CF1F5F5B-FE3D-4781-94B5-D70CCD672508}">
      <text>
        <r>
          <rPr>
            <b/>
            <sz val="9"/>
            <color indexed="81"/>
            <rFont val="Tahoma"/>
            <family val="2"/>
          </rPr>
          <t>&lt;[[DEVDeals] - [Associated TC Deal (Seq: 1)] - [TC Property Current Stage (Seq: 1)] Has Other Amenity1 - Send]&gt;</t>
        </r>
      </text>
    </comment>
    <comment ref="AT151" authorId="0" shapeId="0" xr:uid="{BF491873-AFF9-474B-AE27-78692B109E3A}">
      <text>
        <r>
          <rPr>
            <b/>
            <sz val="9"/>
            <color indexed="81"/>
            <rFont val="Tahoma"/>
            <family val="2"/>
          </rPr>
          <t>&lt;[[DEVDeals] - [Associated TC Deal (Seq: 1)] - [TC Property Current Stage (Seq: 1)] Other Amenity1 Desc - Send]&gt;</t>
        </r>
      </text>
    </comment>
    <comment ref="K152" authorId="0" shapeId="0" xr:uid="{2A6DBBBE-DBD9-4DAD-9748-FADDD903CF5F}">
      <text>
        <r>
          <rPr>
            <b/>
            <sz val="9"/>
            <color indexed="81"/>
            <rFont val="Tahoma"/>
            <family val="2"/>
          </rPr>
          <t>&lt;[[DEVDeals] - [Deal Property (Seq: 1)] Has Other Amenity2 - Send]&gt;</t>
        </r>
      </text>
    </comment>
    <comment ref="M152" authorId="0" shapeId="0" xr:uid="{60485A0D-DAD8-4FE7-A8C5-8EB49F9A29BE}">
      <text>
        <r>
          <rPr>
            <b/>
            <sz val="9"/>
            <color indexed="81"/>
            <rFont val="Tahoma"/>
            <family val="2"/>
          </rPr>
          <t>&lt;[[DEVDeals] - [Deal Property (Seq: 1)] Other Amenity2 Desc - Send]&gt;</t>
        </r>
      </text>
    </comment>
    <comment ref="AR152" authorId="0" shapeId="0" xr:uid="{CD377241-98BF-4F8C-8490-3F51D024C6E4}">
      <text>
        <r>
          <rPr>
            <b/>
            <sz val="9"/>
            <color indexed="81"/>
            <rFont val="Tahoma"/>
            <family val="2"/>
          </rPr>
          <t>&lt;[[DEVDeals] - [Associated TC Deal (Seq: 1)] - [TC Property Current Stage (Seq: 1)] Has Other Amenity2 - Send]&gt;</t>
        </r>
      </text>
    </comment>
    <comment ref="AT152" authorId="0" shapeId="0" xr:uid="{4855C571-ACC4-43DC-9642-F8F4BABFC1A4}">
      <text>
        <r>
          <rPr>
            <b/>
            <sz val="9"/>
            <color indexed="81"/>
            <rFont val="Tahoma"/>
            <family val="2"/>
          </rPr>
          <t>&lt;[[DEVDeals] - [Associated TC Deal (Seq: 1)] - [TC Property Current Stage (Seq: 1)] Other Amenity2 Desc - Send]&gt;</t>
        </r>
      </text>
    </comment>
    <comment ref="K153" authorId="0" shapeId="0" xr:uid="{18084AEE-E723-4107-AD3E-D5B1201B5D86}">
      <text>
        <r>
          <rPr>
            <b/>
            <sz val="9"/>
            <color indexed="81"/>
            <rFont val="Tahoma"/>
            <family val="2"/>
          </rPr>
          <t>&lt;[[DEVDeals] - [Deal Property (Seq: 1)] Has Other Amenity3 - Send]&gt;</t>
        </r>
      </text>
    </comment>
    <comment ref="M153" authorId="0" shapeId="0" xr:uid="{ACFB189A-C415-4C15-A858-3E4252E5CDF2}">
      <text>
        <r>
          <rPr>
            <b/>
            <sz val="9"/>
            <color indexed="81"/>
            <rFont val="Tahoma"/>
            <family val="2"/>
          </rPr>
          <t>&lt;[[DEVDeals] - [Deal Property (Seq: 1)] Other Amenity3 Desc - Send]&gt;</t>
        </r>
      </text>
    </comment>
    <comment ref="AR153" authorId="0" shapeId="0" xr:uid="{73CE2DCD-8C48-459A-8A0B-6CEA0F1956D8}">
      <text>
        <r>
          <rPr>
            <b/>
            <sz val="9"/>
            <color indexed="81"/>
            <rFont val="Tahoma"/>
            <family val="2"/>
          </rPr>
          <t>&lt;[[DEVDeals] - [Associated TC Deal (Seq: 1)] - [TC Property Current Stage (Seq: 1)] Has Other Amenity3 - Send]&gt;</t>
        </r>
      </text>
    </comment>
    <comment ref="AT153" authorId="0" shapeId="0" xr:uid="{E7A7432B-520A-442B-94A4-5EB045F8EC99}">
      <text>
        <r>
          <rPr>
            <b/>
            <sz val="9"/>
            <color indexed="81"/>
            <rFont val="Tahoma"/>
            <family val="2"/>
          </rPr>
          <t>&lt;[[DEVDeals] - [Associated TC Deal (Seq: 1)] - [TC Property Current Stage (Seq: 1)] Other Amenity3 Desc - Send]&gt;</t>
        </r>
      </text>
    </comment>
    <comment ref="K154" authorId="0" shapeId="0" xr:uid="{694E29A1-8758-4DA4-AAAD-88DEAB8F5B39}">
      <text>
        <r>
          <rPr>
            <b/>
            <sz val="9"/>
            <color indexed="81"/>
            <rFont val="Tahoma"/>
            <family val="2"/>
          </rPr>
          <t>&lt;[[DEVDeals] - [Deal Property (Seq: 1)] Has Other Amenity4 - Send]&gt;</t>
        </r>
      </text>
    </comment>
    <comment ref="M154" authorId="0" shapeId="0" xr:uid="{2493B832-CF7D-4DA5-A024-7CE43F624C97}">
      <text>
        <r>
          <rPr>
            <b/>
            <sz val="9"/>
            <color indexed="81"/>
            <rFont val="Tahoma"/>
            <family val="2"/>
          </rPr>
          <t>&lt;[[DEVDeals] - [Deal Property (Seq: 1)] Other Amenity4 Desc - Send]&gt;</t>
        </r>
      </text>
    </comment>
    <comment ref="AR154" authorId="0" shapeId="0" xr:uid="{C7A3AFD9-5AE5-4E72-BA51-4257CDB4BD92}">
      <text>
        <r>
          <rPr>
            <b/>
            <sz val="9"/>
            <color indexed="81"/>
            <rFont val="Tahoma"/>
            <family val="2"/>
          </rPr>
          <t>&lt;[[DEVDeals] - [Associated TC Deal (Seq: 1)] - [TC Property Current Stage (Seq: 1)] Has Other Amenity4 - Send]&gt;</t>
        </r>
      </text>
    </comment>
    <comment ref="AT154" authorId="0" shapeId="0" xr:uid="{9BCE0799-75D4-441B-8014-2E1D534249FC}">
      <text>
        <r>
          <rPr>
            <b/>
            <sz val="9"/>
            <color indexed="81"/>
            <rFont val="Tahoma"/>
            <family val="2"/>
          </rPr>
          <t>&lt;[[DEVDeals] - [Associated TC Deal (Seq: 1)] - [TC Property Current Stage (Seq: 1)] Other Amenity4 Desc - Send]&gt;</t>
        </r>
      </text>
    </comment>
    <comment ref="K155" authorId="0" shapeId="0" xr:uid="{31936CCA-63A1-478C-AB1E-025D4C657C1C}">
      <text>
        <r>
          <rPr>
            <b/>
            <sz val="9"/>
            <color indexed="81"/>
            <rFont val="Tahoma"/>
            <family val="2"/>
          </rPr>
          <t>&lt;[[DEVDeals] - [Deal Property (Seq: 1)] Has Other Amenity5 - Send]&gt;</t>
        </r>
      </text>
    </comment>
    <comment ref="M155" authorId="0" shapeId="0" xr:uid="{72BF8F7B-EC13-4CDB-B467-FEA07AD2D328}">
      <text>
        <r>
          <rPr>
            <b/>
            <sz val="9"/>
            <color indexed="81"/>
            <rFont val="Tahoma"/>
            <family val="2"/>
          </rPr>
          <t>&lt;[[DEVDeals] - [Deal Property (Seq: 1)] Other Amenity5 Desc - Send]&gt;</t>
        </r>
      </text>
    </comment>
    <comment ref="AR155" authorId="0" shapeId="0" xr:uid="{917C91B4-0E7B-4FA6-B386-04E79548B17C}">
      <text>
        <r>
          <rPr>
            <b/>
            <sz val="9"/>
            <color indexed="81"/>
            <rFont val="Tahoma"/>
            <family val="2"/>
          </rPr>
          <t>&lt;[[DEVDeals] - [Associated TC Deal (Seq: 1)] - [TC Property Current Stage (Seq: 1)] Has Other Amenity5 - Send]&gt;</t>
        </r>
      </text>
    </comment>
    <comment ref="AT155" authorId="0" shapeId="0" xr:uid="{F1DD2F0E-531A-46AF-8BA5-C4CD19043921}">
      <text>
        <r>
          <rPr>
            <b/>
            <sz val="9"/>
            <color indexed="81"/>
            <rFont val="Tahoma"/>
            <family val="2"/>
          </rPr>
          <t>&lt;[[DEVDeals] - [Associated TC Deal (Seq: 1)] - [TC Property Current Stage (Seq: 1)] Other Amenity5 Desc - Send]&gt;</t>
        </r>
      </text>
    </comment>
    <comment ref="J163" authorId="0" shapeId="0" xr:uid="{446EF539-3CC2-492E-A8DA-89BF313C1668}">
      <text>
        <r>
          <rPr>
            <b/>
            <sz val="9"/>
            <color indexed="81"/>
            <rFont val="Tahoma"/>
            <family val="2"/>
          </rPr>
          <t>&lt;[[DEVDeals] - [Deal Property (Seq: 1)] Is Heat Landlord Paid - Send]&gt;</t>
        </r>
      </text>
    </comment>
    <comment ref="K163" authorId="0" shapeId="0" xr:uid="{994E8301-69AB-4E03-AE3B-6E7B37418E11}">
      <text>
        <r>
          <rPr>
            <b/>
            <sz val="9"/>
            <color indexed="81"/>
            <rFont val="Tahoma"/>
            <family val="2"/>
          </rPr>
          <t>&lt;[[DEVDeals] - [Deal Property (Seq: 1)] Heating Type - Send]&gt;</t>
        </r>
      </text>
    </comment>
    <comment ref="J164" authorId="0" shapeId="0" xr:uid="{BB8B0A33-75E8-40D5-9448-F4F70917F72D}">
      <text>
        <r>
          <rPr>
            <b/>
            <sz val="9"/>
            <color indexed="81"/>
            <rFont val="Tahoma"/>
            <family val="2"/>
          </rPr>
          <t>&lt;[[DEVDeals] - [Deal Property (Seq: 1)] Is Hot Water Landlord Paid - Send]&gt;</t>
        </r>
      </text>
    </comment>
    <comment ref="K164" authorId="0" shapeId="0" xr:uid="{540DAC01-1048-403C-9827-C5782D8C0424}">
      <text>
        <r>
          <rPr>
            <b/>
            <sz val="9"/>
            <color indexed="81"/>
            <rFont val="Tahoma"/>
            <family val="2"/>
          </rPr>
          <t>&lt;[[DEVDeals] - [Deal Property (Seq: 1)] Hot Water Type - Send]&gt;</t>
        </r>
      </text>
    </comment>
    <comment ref="J165" authorId="0" shapeId="0" xr:uid="{03F7A022-21E7-49A7-9BF5-548F893B5058}">
      <text>
        <r>
          <rPr>
            <b/>
            <sz val="9"/>
            <color indexed="81"/>
            <rFont val="Tahoma"/>
            <family val="2"/>
          </rPr>
          <t>&lt;[[DEVDeals] - [Deal Property (Seq: 1)] Is Cooking Landlord Paid - Send]&gt;</t>
        </r>
      </text>
    </comment>
    <comment ref="K165" authorId="0" shapeId="0" xr:uid="{27A3BDC3-B76E-4BF2-9E70-1827E757A6CB}">
      <text>
        <r>
          <rPr>
            <b/>
            <sz val="9"/>
            <color indexed="81"/>
            <rFont val="Tahoma"/>
            <family val="2"/>
          </rPr>
          <t>&lt;[[DEVDeals] - [Deal Property (Seq: 1)] Cooking Type - Send]&gt;</t>
        </r>
      </text>
    </comment>
    <comment ref="J166" authorId="0" shapeId="0" xr:uid="{48EA3801-9933-41D9-8B15-74ADA74527C7}">
      <text>
        <r>
          <rPr>
            <b/>
            <sz val="9"/>
            <color indexed="81"/>
            <rFont val="Tahoma"/>
            <family val="2"/>
          </rPr>
          <t>&lt;[[DEVDeals] - [Deal Property (Seq: 1)] Is AC Landlord Paid - Send]&gt;</t>
        </r>
      </text>
    </comment>
    <comment ref="J167" authorId="0" shapeId="0" xr:uid="{023855BD-19E4-41F9-A0A4-F301852F4B53}">
      <text>
        <r>
          <rPr>
            <b/>
            <sz val="9"/>
            <color indexed="81"/>
            <rFont val="Tahoma"/>
            <family val="2"/>
          </rPr>
          <t>&lt;[[DEVDeals] - [Deal Property (Seq: 1)] Is Cable Landlord Paid - Send]&gt;</t>
        </r>
      </text>
    </comment>
    <comment ref="J168" authorId="0" shapeId="0" xr:uid="{B176C126-0A66-4E2F-97F3-65286703B951}">
      <text>
        <r>
          <rPr>
            <b/>
            <sz val="9"/>
            <color indexed="81"/>
            <rFont val="Tahoma"/>
            <family val="2"/>
          </rPr>
          <t>&lt;[[DEVDeals] - [Deal Property (Seq: 1)] Is Electric Landlord Paid - Send]&gt;</t>
        </r>
      </text>
    </comment>
    <comment ref="J169" authorId="0" shapeId="0" xr:uid="{5283C536-636F-43BD-93D2-488AA7B189DC}">
      <text>
        <r>
          <rPr>
            <b/>
            <sz val="9"/>
            <color indexed="81"/>
            <rFont val="Tahoma"/>
            <family val="2"/>
          </rPr>
          <t>&lt;[[DEVDeals] - [Deal Property (Seq: 1)] Is Water Landlord Paid - Send]&gt;</t>
        </r>
      </text>
    </comment>
    <comment ref="J170" authorId="0" shapeId="0" xr:uid="{7DC1FE98-BD43-4458-8ACB-8430FABFA600}">
      <text>
        <r>
          <rPr>
            <b/>
            <sz val="9"/>
            <color indexed="81"/>
            <rFont val="Tahoma"/>
            <family val="2"/>
          </rPr>
          <t>&lt;[[DEVDeals] - [Deal Property (Seq: 1)] Is Sewer Landlord Paid - Send]&gt;</t>
        </r>
      </text>
    </comment>
    <comment ref="H173" authorId="0" shapeId="0" xr:uid="{737F3D3D-ABF2-47B2-98C6-5B06E2F49C8D}">
      <text>
        <r>
          <rPr>
            <b/>
            <sz val="9"/>
            <color indexed="81"/>
            <rFont val="Tahoma"/>
            <family val="2"/>
          </rPr>
          <t>&lt;[[DEVDeals] - [DEV User Defined Fields (Seq: 1)] DEV Dates - Closing Date - Send]&gt;</t>
        </r>
      </text>
    </comment>
    <comment ref="H174" authorId="0" shapeId="0" xr:uid="{14150F4C-48F4-4AF2-898D-C70EEAD9FA47}">
      <text>
        <r>
          <rPr>
            <b/>
            <sz val="9"/>
            <color indexed="81"/>
            <rFont val="Tahoma"/>
            <family val="2"/>
          </rPr>
          <t>&lt;[[DEVDeals] - [DEV User Defined Fields (Seq: 1)] DEV Dates - Estimated Construction Completion Date - Send]&gt;</t>
        </r>
      </text>
    </comment>
    <comment ref="H181" authorId="0" shapeId="0" xr:uid="{D85BE9D7-4AE2-4787-8CD7-072A4E954A67}">
      <text>
        <r>
          <rPr>
            <b/>
            <sz val="9"/>
            <color indexed="81"/>
            <rFont val="Tahoma"/>
            <family val="2"/>
          </rPr>
          <t>&lt;[[DEVDeals] - [DEV Construction Control (Seq: 1)] Construction Begin Date - Send]&gt;</t>
        </r>
      </text>
    </comment>
    <comment ref="H185" authorId="0" shapeId="0" xr:uid="{55379230-562F-47F3-A682-F686F22FBB73}">
      <text>
        <r>
          <rPr>
            <b/>
            <sz val="9"/>
            <color indexed="81"/>
            <rFont val="Tahoma"/>
            <family val="2"/>
          </rPr>
          <t>&lt;[[DEVDeals] - [DEV Construction Control (Seq: 1)] Anticipated Completion Date - Send]&gt;</t>
        </r>
      </text>
    </comment>
    <comment ref="H201" authorId="0" shapeId="0" xr:uid="{5F55A3CE-9111-4904-98F4-997A1F2289BD}">
      <text>
        <r>
          <rPr>
            <b/>
            <sz val="9"/>
            <color indexed="81"/>
            <rFont val="Tahoma"/>
            <family val="2"/>
          </rPr>
          <t>&lt;[[DEVDeals] - [Proxy Entities (Seq: 1)] Deal Entity Role - Send]&gt;</t>
        </r>
      </text>
    </comment>
    <comment ref="I201" authorId="0" shapeId="0" xr:uid="{A3DF65D6-91FD-4FF1-989C-D214A71419C3}">
      <text>
        <r>
          <rPr>
            <b/>
            <sz val="9"/>
            <color indexed="81"/>
            <rFont val="Tahoma"/>
            <family val="2"/>
          </rPr>
          <t>&lt;[[DEVDeals] - [Proxy Entities (Seq: 1)] Company or Individual? - Send]&gt;</t>
        </r>
      </text>
    </comment>
    <comment ref="J201" authorId="0" shapeId="0" xr:uid="{3C2E2365-457A-452D-B11A-7FC112BE74CF}">
      <text>
        <r>
          <rPr>
            <b/>
            <sz val="9"/>
            <color indexed="81"/>
            <rFont val="Tahoma"/>
            <family val="2"/>
          </rPr>
          <t>&lt;[[DEVDeals] - [Proxy Entities (Seq: 1)] Name (Doing Business As) - Send]&gt;</t>
        </r>
      </text>
    </comment>
    <comment ref="L201" authorId="0" shapeId="0" xr:uid="{19141B72-CC56-4844-83D7-C7F4217840BE}">
      <text>
        <r>
          <rPr>
            <b/>
            <sz val="9"/>
            <color indexed="81"/>
            <rFont val="Tahoma"/>
            <family val="2"/>
          </rPr>
          <t>&lt;[[DEVDeals] - [Proxy Entities (Seq: 1)] Address 1 - Send]&gt;</t>
        </r>
      </text>
    </comment>
    <comment ref="M201" authorId="0" shapeId="0" xr:uid="{1C65203B-E74A-4C7D-81FC-514D5D6096DF}">
      <text>
        <r>
          <rPr>
            <b/>
            <sz val="9"/>
            <color indexed="81"/>
            <rFont val="Tahoma"/>
            <family val="2"/>
          </rPr>
          <t>&lt;[[DEVDeals] - [Proxy Entities (Seq: 1)] City - Send]&gt;</t>
        </r>
      </text>
    </comment>
    <comment ref="O201" authorId="0" shapeId="0" xr:uid="{B07E539D-4E71-4B8E-B746-72A6CB64E48B}">
      <text>
        <r>
          <rPr>
            <b/>
            <sz val="9"/>
            <color indexed="81"/>
            <rFont val="Tahoma"/>
            <family val="2"/>
          </rPr>
          <t>&lt;[[DEVDeals] - [Proxy Entities (Seq: 1)] State - Send]&gt;</t>
        </r>
      </text>
    </comment>
    <comment ref="P201" authorId="0" shapeId="0" xr:uid="{4605DDA5-F24F-4BA6-A502-AFC2A0AC9822}">
      <text>
        <r>
          <rPr>
            <b/>
            <sz val="9"/>
            <color indexed="81"/>
            <rFont val="Tahoma"/>
            <family val="2"/>
          </rPr>
          <t>&lt;[[DEVDeals] - [Proxy Entities (Seq: 1)] Zip Code - Send]&gt;</t>
        </r>
      </text>
    </comment>
    <comment ref="Q201" authorId="0" shapeId="0" xr:uid="{4FDE69D0-F0B1-4490-91C8-C7B58841B835}">
      <text>
        <r>
          <rPr>
            <b/>
            <sz val="9"/>
            <color indexed="81"/>
            <rFont val="Tahoma"/>
            <family val="2"/>
          </rPr>
          <t>&lt;[[DEVDeals] - [Proxy Entities (Seq: 1)] Direct Phone - Send]&gt;</t>
        </r>
      </text>
    </comment>
    <comment ref="T201" authorId="0" shapeId="0" xr:uid="{3C1A388F-57F4-4CD7-A9E3-1F3C7F70B6A2}">
      <text>
        <r>
          <rPr>
            <b/>
            <sz val="9"/>
            <color indexed="81"/>
            <rFont val="Tahoma"/>
            <family val="2"/>
          </rPr>
          <t>&lt;[[DEVDeals] - [Proxy Entities (Seq: 1)] Email Address 1 - Send]&gt;</t>
        </r>
      </text>
    </comment>
    <comment ref="AN201" authorId="0" shapeId="0" xr:uid="{5801C74B-A5A1-415B-818A-E48899A850B1}">
      <text>
        <r>
          <rPr>
            <b/>
            <sz val="9"/>
            <color indexed="81"/>
            <rFont val="Tahoma"/>
            <family val="2"/>
          </rPr>
          <t>&lt;[[DEVDeals] - [Associated TC Deal (Seq: 1)] - [Proxy Entities (Seq: 1)] Deal Entity Role - Send]&gt;</t>
        </r>
      </text>
    </comment>
    <comment ref="AO201" authorId="0" shapeId="0" xr:uid="{80C0C3A3-1BA0-4011-A166-8C4BBC4BBD7E}">
      <text>
        <r>
          <rPr>
            <b/>
            <sz val="9"/>
            <color indexed="81"/>
            <rFont val="Tahoma"/>
            <family val="2"/>
          </rPr>
          <t>&lt;[[DEVDeals] - [Associated TC Deal (Seq: 1)] - [Proxy Entities (Seq: 1)] Company or Individual? - Send]&gt;</t>
        </r>
      </text>
    </comment>
    <comment ref="AP201" authorId="0" shapeId="0" xr:uid="{78DEAC05-FA6A-42CE-B599-827DB069A49F}">
      <text>
        <r>
          <rPr>
            <b/>
            <sz val="9"/>
            <color indexed="81"/>
            <rFont val="Tahoma"/>
            <family val="2"/>
          </rPr>
          <t>&lt;[[DEVDeals] - [Associated TC Deal (Seq: 1)] - [Proxy Entities (Seq: 1)] Name (Doing Business As) - Send]&gt;</t>
        </r>
      </text>
    </comment>
    <comment ref="AR201" authorId="0" shapeId="0" xr:uid="{10316108-2752-458F-BE51-ACBB2326E55E}">
      <text>
        <r>
          <rPr>
            <b/>
            <sz val="9"/>
            <color indexed="81"/>
            <rFont val="Tahoma"/>
            <family val="2"/>
          </rPr>
          <t>&lt;[[DEVDeals] - [Associated TC Deal (Seq: 1)] - [Proxy Entities (Seq: 1)] Address 1 - Send]&gt;</t>
        </r>
      </text>
    </comment>
    <comment ref="AS201" authorId="0" shapeId="0" xr:uid="{CF91BCF5-7EE9-4C6B-BF67-0A4005651D6A}">
      <text>
        <r>
          <rPr>
            <b/>
            <sz val="9"/>
            <color indexed="81"/>
            <rFont val="Tahoma"/>
            <family val="2"/>
          </rPr>
          <t>&lt;[[DEVDeals] - [Associated TC Deal (Seq: 1)] - [Proxy Entities (Seq: 1)] City - Send]&gt;</t>
        </r>
      </text>
    </comment>
    <comment ref="AU201" authorId="0" shapeId="0" xr:uid="{3D1EA3BD-FF38-4BE0-90BB-A5D87D394219}">
      <text>
        <r>
          <rPr>
            <b/>
            <sz val="9"/>
            <color indexed="81"/>
            <rFont val="Tahoma"/>
            <family val="2"/>
          </rPr>
          <t>&lt;[[DEVDeals] - [Associated TC Deal (Seq: 1)] - [Proxy Entities (Seq: 1)] State - Send]&gt;</t>
        </r>
      </text>
    </comment>
    <comment ref="AV201" authorId="0" shapeId="0" xr:uid="{2CC058FA-98FF-471C-888E-2BAD6B045001}">
      <text>
        <r>
          <rPr>
            <b/>
            <sz val="9"/>
            <color indexed="81"/>
            <rFont val="Tahoma"/>
            <family val="2"/>
          </rPr>
          <t>&lt;[[DEVDeals] - [Associated TC Deal (Seq: 1)] - [Proxy Entities (Seq: 1)] Zip Code - Send]&gt;</t>
        </r>
      </text>
    </comment>
    <comment ref="AW201" authorId="0" shapeId="0" xr:uid="{77EAFA0A-0F07-4ECD-85FE-201CA00F59F1}">
      <text>
        <r>
          <rPr>
            <b/>
            <sz val="9"/>
            <color indexed="81"/>
            <rFont val="Tahoma"/>
            <family val="2"/>
          </rPr>
          <t>&lt;[[DEVDeals] - [Associated TC Deal (Seq: 1)] - [Proxy Entities (Seq: 1)] Direct Phone - Send]&gt;</t>
        </r>
      </text>
    </comment>
    <comment ref="AZ201" authorId="0" shapeId="0" xr:uid="{03B68D69-2E0D-4A35-BEF7-A4364C7F8EAE}">
      <text>
        <r>
          <rPr>
            <b/>
            <sz val="9"/>
            <color indexed="81"/>
            <rFont val="Tahoma"/>
            <family val="2"/>
          </rPr>
          <t>&lt;[[DEVDeals] - [Associated TC Deal (Seq: 1)] - [Proxy Entities (Seq: 1)] Email Address 1 - Send]&gt;</t>
        </r>
      </text>
    </comment>
    <comment ref="H202" authorId="0" shapeId="0" xr:uid="{C7394A99-2B05-4204-9439-C2EF4B271879}">
      <text>
        <r>
          <rPr>
            <b/>
            <sz val="9"/>
            <color indexed="81"/>
            <rFont val="Tahoma"/>
            <family val="2"/>
          </rPr>
          <t>&lt;[[DEVDeals] - [Proxy Entities (Seq: 2)] Deal Entity Role - Send]&gt;</t>
        </r>
      </text>
    </comment>
    <comment ref="I202" authorId="0" shapeId="0" xr:uid="{36BE8BB6-95E7-4C43-9DA1-072EE9FD3C84}">
      <text>
        <r>
          <rPr>
            <b/>
            <sz val="9"/>
            <color indexed="81"/>
            <rFont val="Tahoma"/>
            <family val="2"/>
          </rPr>
          <t>&lt;[[DEVDeals] - [Proxy Entities (Seq: 2)] Company or Individual? - Send]&gt;</t>
        </r>
      </text>
    </comment>
    <comment ref="J202" authorId="0" shapeId="0" xr:uid="{A7C28C70-3358-4E2D-8D90-B338CA24C1D9}">
      <text>
        <r>
          <rPr>
            <b/>
            <sz val="9"/>
            <color indexed="81"/>
            <rFont val="Tahoma"/>
            <family val="2"/>
          </rPr>
          <t>&lt;[[DEVDeals] - [Proxy Entities (Seq: 2)] Name (Doing Business As) - Send]&gt;</t>
        </r>
      </text>
    </comment>
    <comment ref="L202" authorId="0" shapeId="0" xr:uid="{E9485422-B373-44A5-B4A7-0F4535DF0BC3}">
      <text>
        <r>
          <rPr>
            <b/>
            <sz val="9"/>
            <color indexed="81"/>
            <rFont val="Tahoma"/>
            <family val="2"/>
          </rPr>
          <t>&lt;[[DEVDeals] - [Proxy Entities (Seq: 2)] Address 1 - Send]&gt;</t>
        </r>
      </text>
    </comment>
    <comment ref="M202" authorId="0" shapeId="0" xr:uid="{4B3743FC-013F-4658-9168-0E7C5875C059}">
      <text>
        <r>
          <rPr>
            <b/>
            <sz val="9"/>
            <color indexed="81"/>
            <rFont val="Tahoma"/>
            <family val="2"/>
          </rPr>
          <t>&lt;[[DEVDeals] - [Proxy Entities (Seq: 2)] City - Send]&gt;</t>
        </r>
      </text>
    </comment>
    <comment ref="O202" authorId="0" shapeId="0" xr:uid="{CDC17DE6-13BA-44D7-972C-4C28F5769027}">
      <text>
        <r>
          <rPr>
            <b/>
            <sz val="9"/>
            <color indexed="81"/>
            <rFont val="Tahoma"/>
            <family val="2"/>
          </rPr>
          <t>&lt;[[DEVDeals] - [Proxy Entities (Seq: 2)] State - Send]&gt;</t>
        </r>
      </text>
    </comment>
    <comment ref="P202" authorId="0" shapeId="0" xr:uid="{1206094A-0353-4294-BD52-AC0F3552E474}">
      <text>
        <r>
          <rPr>
            <b/>
            <sz val="9"/>
            <color indexed="81"/>
            <rFont val="Tahoma"/>
            <family val="2"/>
          </rPr>
          <t>&lt;[[DEVDeals] - [Proxy Entities (Seq: 2)] Zip Code - Send]&gt;</t>
        </r>
      </text>
    </comment>
    <comment ref="Q202" authorId="0" shapeId="0" xr:uid="{651697A0-B86C-486A-8092-B721ACAADB1B}">
      <text>
        <r>
          <rPr>
            <b/>
            <sz val="9"/>
            <color indexed="81"/>
            <rFont val="Tahoma"/>
            <family val="2"/>
          </rPr>
          <t>&lt;[[DEVDeals] - [Proxy Entities (Seq: 2)] Direct Phone - Send]&gt;</t>
        </r>
      </text>
    </comment>
    <comment ref="T202" authorId="0" shapeId="0" xr:uid="{F668FBEE-567C-491E-99B6-9C03A4E9B3D8}">
      <text>
        <r>
          <rPr>
            <b/>
            <sz val="9"/>
            <color indexed="81"/>
            <rFont val="Tahoma"/>
            <family val="2"/>
          </rPr>
          <t>&lt;[[DEVDeals] - [Proxy Entities (Seq: 2)] Email Address 1 - Send]&gt;</t>
        </r>
      </text>
    </comment>
    <comment ref="AN202" authorId="0" shapeId="0" xr:uid="{A0B6EBEC-5C34-487E-BFAA-7A24CCB3DDF2}">
      <text>
        <r>
          <rPr>
            <b/>
            <sz val="9"/>
            <color indexed="81"/>
            <rFont val="Tahoma"/>
            <family val="2"/>
          </rPr>
          <t>&lt;[[DEVDeals] - [Associated TC Deal (Seq: 1)] - [Proxy Entities (Seq: 2)] Deal Entity Role - Send]&gt;</t>
        </r>
      </text>
    </comment>
    <comment ref="AO202" authorId="0" shapeId="0" xr:uid="{4C292152-EAD3-451F-A8E0-092D55783CCA}">
      <text>
        <r>
          <rPr>
            <b/>
            <sz val="9"/>
            <color indexed="81"/>
            <rFont val="Tahoma"/>
            <family val="2"/>
          </rPr>
          <t>&lt;[[DEVDeals] - [Associated TC Deal (Seq: 1)] - [Proxy Entities (Seq: 2)] Company or Individual? - Send]&gt;</t>
        </r>
      </text>
    </comment>
    <comment ref="AP202" authorId="0" shapeId="0" xr:uid="{FCB89228-9B56-4083-B4B9-2C37AC075045}">
      <text>
        <r>
          <rPr>
            <b/>
            <sz val="9"/>
            <color indexed="81"/>
            <rFont val="Tahoma"/>
            <family val="2"/>
          </rPr>
          <t>&lt;[[DEVDeals] - [Associated TC Deal (Seq: 1)] - [Proxy Entities (Seq: 2)] Name (Doing Business As) - Send]&gt;</t>
        </r>
      </text>
    </comment>
    <comment ref="AR202" authorId="0" shapeId="0" xr:uid="{21841473-588E-4E00-932A-56C73F6B13AD}">
      <text>
        <r>
          <rPr>
            <b/>
            <sz val="9"/>
            <color indexed="81"/>
            <rFont val="Tahoma"/>
            <family val="2"/>
          </rPr>
          <t>&lt;[[DEVDeals] - [Associated TC Deal (Seq: 1)] - [Proxy Entities (Seq: 2)] Address 1 - Send]&gt;</t>
        </r>
      </text>
    </comment>
    <comment ref="AS202" authorId="0" shapeId="0" xr:uid="{65D0225C-6227-4217-9EC1-ED1DC817A01F}">
      <text>
        <r>
          <rPr>
            <b/>
            <sz val="9"/>
            <color indexed="81"/>
            <rFont val="Tahoma"/>
            <family val="2"/>
          </rPr>
          <t>&lt;[[DEVDeals] - [Associated TC Deal (Seq: 1)] - [Proxy Entities (Seq: 2)] City - Send]&gt;</t>
        </r>
      </text>
    </comment>
    <comment ref="AU202" authorId="0" shapeId="0" xr:uid="{A02DB063-C185-4BE2-A8F2-3F8ACF968ECD}">
      <text>
        <r>
          <rPr>
            <b/>
            <sz val="9"/>
            <color indexed="81"/>
            <rFont val="Tahoma"/>
            <family val="2"/>
          </rPr>
          <t>&lt;[[DEVDeals] - [Associated TC Deal (Seq: 1)] - [Proxy Entities (Seq: 2)] State - Send]&gt;</t>
        </r>
      </text>
    </comment>
    <comment ref="AV202" authorId="0" shapeId="0" xr:uid="{822D9BDE-D97C-45FD-BDE3-41EB2D4A95FA}">
      <text>
        <r>
          <rPr>
            <b/>
            <sz val="9"/>
            <color indexed="81"/>
            <rFont val="Tahoma"/>
            <family val="2"/>
          </rPr>
          <t>&lt;[[DEVDeals] - [Associated TC Deal (Seq: 1)] - [Proxy Entities (Seq: 2)] Zip Code - Send]&gt;</t>
        </r>
      </text>
    </comment>
    <comment ref="AW202" authorId="0" shapeId="0" xr:uid="{0B2B431C-5C05-468E-8CC8-9D68B2194737}">
      <text>
        <r>
          <rPr>
            <b/>
            <sz val="9"/>
            <color indexed="81"/>
            <rFont val="Tahoma"/>
            <family val="2"/>
          </rPr>
          <t>&lt;[[DEVDeals] - [Associated TC Deal (Seq: 1)] - [Proxy Entities (Seq: 2)] Direct Phone - Send]&gt;</t>
        </r>
      </text>
    </comment>
    <comment ref="AZ202" authorId="0" shapeId="0" xr:uid="{3E00FB19-4E3E-45F4-9951-ECAD63D2418F}">
      <text>
        <r>
          <rPr>
            <b/>
            <sz val="9"/>
            <color indexed="81"/>
            <rFont val="Tahoma"/>
            <family val="2"/>
          </rPr>
          <t>&lt;[[DEVDeals] - [Associated TC Deal (Seq: 1)] - [Proxy Entities (Seq: 2)] Email Address 1 - Send]&gt;</t>
        </r>
      </text>
    </comment>
    <comment ref="H203" authorId="0" shapeId="0" xr:uid="{BF2E64BA-FE6D-420E-B42F-D64539F6BCCD}">
      <text>
        <r>
          <rPr>
            <b/>
            <sz val="9"/>
            <color indexed="81"/>
            <rFont val="Tahoma"/>
            <family val="2"/>
          </rPr>
          <t>&lt;[[DEVDeals] - [Proxy Entities (Seq: 3)] Deal Entity Role - Send]&gt;</t>
        </r>
      </text>
    </comment>
    <comment ref="I203" authorId="0" shapeId="0" xr:uid="{E01673D4-FB50-4F56-888F-2423EFEDDDB5}">
      <text>
        <r>
          <rPr>
            <b/>
            <sz val="9"/>
            <color indexed="81"/>
            <rFont val="Tahoma"/>
            <family val="2"/>
          </rPr>
          <t>&lt;[[DEVDeals] - [Proxy Entities (Seq: 3)] Company or Individual? - Send]&gt;</t>
        </r>
      </text>
    </comment>
    <comment ref="J203" authorId="0" shapeId="0" xr:uid="{166B733D-7A54-4FAF-A16D-2867E4B4FCB9}">
      <text>
        <r>
          <rPr>
            <b/>
            <sz val="9"/>
            <color indexed="81"/>
            <rFont val="Tahoma"/>
            <family val="2"/>
          </rPr>
          <t>&lt;[[DEVDeals] - [Proxy Entities (Seq: 3)] Name (Doing Business As) - Send]&gt;</t>
        </r>
      </text>
    </comment>
    <comment ref="L203" authorId="0" shapeId="0" xr:uid="{1E84EBA4-AA95-47A5-BCCC-AE92B7849B0D}">
      <text>
        <r>
          <rPr>
            <b/>
            <sz val="9"/>
            <color indexed="81"/>
            <rFont val="Tahoma"/>
            <family val="2"/>
          </rPr>
          <t>&lt;[[DEVDeals] - [Proxy Entities (Seq: 3)] Address 1 - Send]&gt;</t>
        </r>
      </text>
    </comment>
    <comment ref="M203" authorId="0" shapeId="0" xr:uid="{42D42113-959F-44A4-86FA-F4C6EF04831A}">
      <text>
        <r>
          <rPr>
            <b/>
            <sz val="9"/>
            <color indexed="81"/>
            <rFont val="Tahoma"/>
            <family val="2"/>
          </rPr>
          <t>&lt;[[DEVDeals] - [Proxy Entities (Seq: 3)] City - Send]&gt;</t>
        </r>
      </text>
    </comment>
    <comment ref="O203" authorId="0" shapeId="0" xr:uid="{A2EB3F65-A647-4F15-B3A2-DF71063D3921}">
      <text>
        <r>
          <rPr>
            <b/>
            <sz val="9"/>
            <color indexed="81"/>
            <rFont val="Tahoma"/>
            <family val="2"/>
          </rPr>
          <t>&lt;[[DEVDeals] - [Proxy Entities (Seq: 3)] State - Send]&gt;</t>
        </r>
      </text>
    </comment>
    <comment ref="P203" authorId="0" shapeId="0" xr:uid="{22E80485-DC0C-4593-A7A7-AC91F26083E5}">
      <text>
        <r>
          <rPr>
            <b/>
            <sz val="9"/>
            <color indexed="81"/>
            <rFont val="Tahoma"/>
            <family val="2"/>
          </rPr>
          <t>&lt;[[DEVDeals] - [Proxy Entities (Seq: 3)] Zip Code - Send]&gt;</t>
        </r>
      </text>
    </comment>
    <comment ref="Q203" authorId="0" shapeId="0" xr:uid="{0AC75672-FE4F-4C2B-AC0B-F209FC0C668C}">
      <text>
        <r>
          <rPr>
            <b/>
            <sz val="9"/>
            <color indexed="81"/>
            <rFont val="Tahoma"/>
            <family val="2"/>
          </rPr>
          <t>&lt;[[DEVDeals] - [Proxy Entities (Seq: 3)] Direct Phone - Send]&gt;</t>
        </r>
      </text>
    </comment>
    <comment ref="T203" authorId="0" shapeId="0" xr:uid="{857097DE-1603-4E3D-8EBE-827483B06231}">
      <text>
        <r>
          <rPr>
            <b/>
            <sz val="9"/>
            <color indexed="81"/>
            <rFont val="Tahoma"/>
            <family val="2"/>
          </rPr>
          <t>&lt;[[DEVDeals] - [Proxy Entities (Seq: 3)] Email Address 1 - Send]&gt;</t>
        </r>
      </text>
    </comment>
    <comment ref="AN203" authorId="0" shapeId="0" xr:uid="{878C743F-E6CB-411B-9B14-F12014082E07}">
      <text>
        <r>
          <rPr>
            <b/>
            <sz val="9"/>
            <color indexed="81"/>
            <rFont val="Tahoma"/>
            <family val="2"/>
          </rPr>
          <t>&lt;[[DEVDeals] - [Associated TC Deal (Seq: 1)] - [Proxy Entities (Seq: 3)] Deal Entity Role - Send]&gt;</t>
        </r>
      </text>
    </comment>
    <comment ref="AO203" authorId="0" shapeId="0" xr:uid="{76061E62-AF0A-4B76-A5B7-C23AEA5DD09F}">
      <text>
        <r>
          <rPr>
            <b/>
            <sz val="9"/>
            <color indexed="81"/>
            <rFont val="Tahoma"/>
            <family val="2"/>
          </rPr>
          <t>&lt;[[DEVDeals] - [Associated TC Deal (Seq: 1)] - [Proxy Entities (Seq: 3)] Company or Individual? - Send]&gt;</t>
        </r>
      </text>
    </comment>
    <comment ref="AP203" authorId="0" shapeId="0" xr:uid="{1D4FEB6D-42D1-4801-A906-222CBAAE7454}">
      <text>
        <r>
          <rPr>
            <b/>
            <sz val="9"/>
            <color indexed="81"/>
            <rFont val="Tahoma"/>
            <family val="2"/>
          </rPr>
          <t>&lt;[[DEVDeals] - [Associated TC Deal (Seq: 1)] - [Proxy Entities (Seq: 3)] Name (Doing Business As) - Send]&gt;</t>
        </r>
      </text>
    </comment>
    <comment ref="AR203" authorId="0" shapeId="0" xr:uid="{577A4A5F-0606-410F-B730-843A04971C4A}">
      <text>
        <r>
          <rPr>
            <b/>
            <sz val="9"/>
            <color indexed="81"/>
            <rFont val="Tahoma"/>
            <family val="2"/>
          </rPr>
          <t>&lt;[[DEVDeals] - [Associated TC Deal (Seq: 1)] - [Proxy Entities (Seq: 3)] Address 1 - Send]&gt;</t>
        </r>
      </text>
    </comment>
    <comment ref="AS203" authorId="0" shapeId="0" xr:uid="{60E90C1E-5FAC-4F5F-852B-87E1614EEAA2}">
      <text>
        <r>
          <rPr>
            <b/>
            <sz val="9"/>
            <color indexed="81"/>
            <rFont val="Tahoma"/>
            <family val="2"/>
          </rPr>
          <t>&lt;[[DEVDeals] - [Associated TC Deal (Seq: 1)] - [Proxy Entities (Seq: 3)] City - Send]&gt;</t>
        </r>
      </text>
    </comment>
    <comment ref="AU203" authorId="0" shapeId="0" xr:uid="{D2C32C4D-C50A-402A-83CF-2E5FC891A6E7}">
      <text>
        <r>
          <rPr>
            <b/>
            <sz val="9"/>
            <color indexed="81"/>
            <rFont val="Tahoma"/>
            <family val="2"/>
          </rPr>
          <t>&lt;[[DEVDeals] - [Associated TC Deal (Seq: 1)] - [Proxy Entities (Seq: 3)] State - Send]&gt;</t>
        </r>
      </text>
    </comment>
    <comment ref="AV203" authorId="0" shapeId="0" xr:uid="{A0845BFF-8146-4DD7-91CF-4D53DD262D8D}">
      <text>
        <r>
          <rPr>
            <b/>
            <sz val="9"/>
            <color indexed="81"/>
            <rFont val="Tahoma"/>
            <family val="2"/>
          </rPr>
          <t>&lt;[[DEVDeals] - [Associated TC Deal (Seq: 1)] - [Proxy Entities (Seq: 3)] Zip Code - Send]&gt;</t>
        </r>
      </text>
    </comment>
    <comment ref="AW203" authorId="0" shapeId="0" xr:uid="{0E84D08D-528C-4D56-ABC8-04549586F8E6}">
      <text>
        <r>
          <rPr>
            <b/>
            <sz val="9"/>
            <color indexed="81"/>
            <rFont val="Tahoma"/>
            <family val="2"/>
          </rPr>
          <t>&lt;[[DEVDeals] - [Associated TC Deal (Seq: 1)] - [Proxy Entities (Seq: 3)] Direct Phone - Send]&gt;</t>
        </r>
      </text>
    </comment>
    <comment ref="AZ203" authorId="0" shapeId="0" xr:uid="{4E1A5A6B-14CB-48F8-B176-E96FDE5127B7}">
      <text>
        <r>
          <rPr>
            <b/>
            <sz val="9"/>
            <color indexed="81"/>
            <rFont val="Tahoma"/>
            <family val="2"/>
          </rPr>
          <t>&lt;[[DEVDeals] - [Associated TC Deal (Seq: 1)] - [Proxy Entities (Seq: 3)] Email Address 1 - Send]&gt;</t>
        </r>
      </text>
    </comment>
    <comment ref="H204" authorId="0" shapeId="0" xr:uid="{2090D88F-EEEA-4E47-B7E8-A0CED0200B82}">
      <text>
        <r>
          <rPr>
            <b/>
            <sz val="9"/>
            <color indexed="81"/>
            <rFont val="Tahoma"/>
            <family val="2"/>
          </rPr>
          <t>&lt;[[DEVDeals] - [Proxy Entities (Seq: 4)] Deal Entity Role - Send]&gt;</t>
        </r>
      </text>
    </comment>
    <comment ref="I204" authorId="0" shapeId="0" xr:uid="{3B7A6567-8DA2-43ED-88AA-76E6D22A3C09}">
      <text>
        <r>
          <rPr>
            <b/>
            <sz val="9"/>
            <color indexed="81"/>
            <rFont val="Tahoma"/>
            <family val="2"/>
          </rPr>
          <t>&lt;[[DEVDeals] - [Proxy Entities (Seq: 4)] Company or Individual? - Send]&gt;</t>
        </r>
      </text>
    </comment>
    <comment ref="J204" authorId="0" shapeId="0" xr:uid="{4326D530-6119-4F31-B0F9-934A312F7433}">
      <text>
        <r>
          <rPr>
            <b/>
            <sz val="9"/>
            <color indexed="81"/>
            <rFont val="Tahoma"/>
            <family val="2"/>
          </rPr>
          <t>&lt;[[DEVDeals] - [Proxy Entities (Seq: 4)] Name (Doing Business As) - Send]&gt;</t>
        </r>
      </text>
    </comment>
    <comment ref="L204" authorId="0" shapeId="0" xr:uid="{F1312005-6B2C-4DCF-818F-03162ED00D71}">
      <text>
        <r>
          <rPr>
            <b/>
            <sz val="9"/>
            <color indexed="81"/>
            <rFont val="Tahoma"/>
            <family val="2"/>
          </rPr>
          <t>&lt;[[DEVDeals] - [Proxy Entities (Seq: 4)] Address 1 - Send]&gt;</t>
        </r>
      </text>
    </comment>
    <comment ref="M204" authorId="0" shapeId="0" xr:uid="{1A0A8E29-D7F2-48F2-8896-28718EC2E67D}">
      <text>
        <r>
          <rPr>
            <b/>
            <sz val="9"/>
            <color indexed="81"/>
            <rFont val="Tahoma"/>
            <family val="2"/>
          </rPr>
          <t>&lt;[[DEVDeals] - [Proxy Entities (Seq: 4)] City - Send]&gt;</t>
        </r>
      </text>
    </comment>
    <comment ref="O204" authorId="0" shapeId="0" xr:uid="{62F19AFB-0213-494F-979D-CFC8E900BC56}">
      <text>
        <r>
          <rPr>
            <b/>
            <sz val="9"/>
            <color indexed="81"/>
            <rFont val="Tahoma"/>
            <family val="2"/>
          </rPr>
          <t>&lt;[[DEVDeals] - [Proxy Entities (Seq: 4)] State - Send]&gt;</t>
        </r>
      </text>
    </comment>
    <comment ref="P204" authorId="0" shapeId="0" xr:uid="{1D50D6C2-CF63-4588-B2CA-149BF27FFC7A}">
      <text>
        <r>
          <rPr>
            <b/>
            <sz val="9"/>
            <color indexed="81"/>
            <rFont val="Tahoma"/>
            <family val="2"/>
          </rPr>
          <t>&lt;[[DEVDeals] - [Proxy Entities (Seq: 4)] Zip Code - Send]&gt;</t>
        </r>
      </text>
    </comment>
    <comment ref="Q204" authorId="0" shapeId="0" xr:uid="{F3D0DFEE-D35D-4D6D-BB21-9411E27F10C6}">
      <text>
        <r>
          <rPr>
            <b/>
            <sz val="9"/>
            <color indexed="81"/>
            <rFont val="Tahoma"/>
            <family val="2"/>
          </rPr>
          <t>&lt;[[DEVDeals] - [Proxy Entities (Seq: 4)] Direct Phone - Send]&gt;</t>
        </r>
      </text>
    </comment>
    <comment ref="T204" authorId="0" shapeId="0" xr:uid="{12E08909-54A7-4A95-98FA-2F73CFA33F0E}">
      <text>
        <r>
          <rPr>
            <b/>
            <sz val="9"/>
            <color indexed="81"/>
            <rFont val="Tahoma"/>
            <family val="2"/>
          </rPr>
          <t>&lt;[[DEVDeals] - [Proxy Entities (Seq: 4)] Email Address 1 - Send]&gt;</t>
        </r>
      </text>
    </comment>
    <comment ref="AN204" authorId="0" shapeId="0" xr:uid="{D960F717-C707-4F34-BD7D-5EEA9C240A7F}">
      <text>
        <r>
          <rPr>
            <b/>
            <sz val="9"/>
            <color indexed="81"/>
            <rFont val="Tahoma"/>
            <family val="2"/>
          </rPr>
          <t>&lt;[[DEVDeals] - [Associated TC Deal (Seq: 1)] - [Proxy Entities (Seq: 4)] Deal Entity Role - Send]&gt;</t>
        </r>
      </text>
    </comment>
    <comment ref="AO204" authorId="0" shapeId="0" xr:uid="{F6733374-4106-4CEC-AF97-D18CEA12B457}">
      <text>
        <r>
          <rPr>
            <b/>
            <sz val="9"/>
            <color indexed="81"/>
            <rFont val="Tahoma"/>
            <family val="2"/>
          </rPr>
          <t>&lt;[[DEVDeals] - [Associated TC Deal (Seq: 1)] - [Proxy Entities (Seq: 4)] Company or Individual? - Send]&gt;</t>
        </r>
      </text>
    </comment>
    <comment ref="AP204" authorId="0" shapeId="0" xr:uid="{5930BBD3-1D91-4DC6-8D0E-144E68495E5D}">
      <text>
        <r>
          <rPr>
            <b/>
            <sz val="9"/>
            <color indexed="81"/>
            <rFont val="Tahoma"/>
            <family val="2"/>
          </rPr>
          <t>&lt;[[DEVDeals] - [Associated TC Deal (Seq: 1)] - [Proxy Entities (Seq: 4)] Name (Doing Business As) - Send]&gt;</t>
        </r>
      </text>
    </comment>
    <comment ref="AR204" authorId="0" shapeId="0" xr:uid="{DC14289E-E77A-44E5-84CE-ED47E3FB83F9}">
      <text>
        <r>
          <rPr>
            <b/>
            <sz val="9"/>
            <color indexed="81"/>
            <rFont val="Tahoma"/>
            <family val="2"/>
          </rPr>
          <t>&lt;[[DEVDeals] - [Associated TC Deal (Seq: 1)] - [Proxy Entities (Seq: 4)] Address 1 - Send]&gt;</t>
        </r>
      </text>
    </comment>
    <comment ref="AS204" authorId="0" shapeId="0" xr:uid="{295A64DF-ED54-4052-B1BB-942F9F717CD6}">
      <text>
        <r>
          <rPr>
            <b/>
            <sz val="9"/>
            <color indexed="81"/>
            <rFont val="Tahoma"/>
            <family val="2"/>
          </rPr>
          <t>&lt;[[DEVDeals] - [Associated TC Deal (Seq: 1)] - [Proxy Entities (Seq: 4)] City - Send]&gt;</t>
        </r>
      </text>
    </comment>
    <comment ref="AU204" authorId="0" shapeId="0" xr:uid="{6A48722E-B638-4FF7-8DA3-997FF498A885}">
      <text>
        <r>
          <rPr>
            <b/>
            <sz val="9"/>
            <color indexed="81"/>
            <rFont val="Tahoma"/>
            <family val="2"/>
          </rPr>
          <t>&lt;[[DEVDeals] - [Associated TC Deal (Seq: 1)] - [Proxy Entities (Seq: 4)] State - Send]&gt;</t>
        </r>
      </text>
    </comment>
    <comment ref="AV204" authorId="0" shapeId="0" xr:uid="{62D23125-9E86-4F2B-9730-D961787B916F}">
      <text>
        <r>
          <rPr>
            <b/>
            <sz val="9"/>
            <color indexed="81"/>
            <rFont val="Tahoma"/>
            <family val="2"/>
          </rPr>
          <t>&lt;[[DEVDeals] - [Associated TC Deal (Seq: 1)] - [Proxy Entities (Seq: 4)] Zip Code - Send]&gt;</t>
        </r>
      </text>
    </comment>
    <comment ref="AW204" authorId="0" shapeId="0" xr:uid="{EB97BF61-5C09-44AF-8ADD-94930B84D948}">
      <text>
        <r>
          <rPr>
            <b/>
            <sz val="9"/>
            <color indexed="81"/>
            <rFont val="Tahoma"/>
            <family val="2"/>
          </rPr>
          <t>&lt;[[DEVDeals] - [Associated TC Deal (Seq: 1)] - [Proxy Entities (Seq: 4)] Direct Phone - Send]&gt;</t>
        </r>
      </text>
    </comment>
    <comment ref="AZ204" authorId="0" shapeId="0" xr:uid="{6612A551-6977-42A2-91E5-0651B3E1F941}">
      <text>
        <r>
          <rPr>
            <b/>
            <sz val="9"/>
            <color indexed="81"/>
            <rFont val="Tahoma"/>
            <family val="2"/>
          </rPr>
          <t>&lt;[[DEVDeals] - [Associated TC Deal (Seq: 1)] - [Proxy Entities (Seq: 4)] Email Address 1 - Send]&gt;</t>
        </r>
      </text>
    </comment>
    <comment ref="H205" authorId="0" shapeId="0" xr:uid="{1C1CD048-B9D0-4ABA-9215-1B00E5623591}">
      <text>
        <r>
          <rPr>
            <b/>
            <sz val="9"/>
            <color indexed="81"/>
            <rFont val="Tahoma"/>
            <family val="2"/>
          </rPr>
          <t>&lt;[[DEVDeals] - [Proxy Entities (Seq: 5)] Deal Entity Role - Send]&gt;</t>
        </r>
      </text>
    </comment>
    <comment ref="I205" authorId="0" shapeId="0" xr:uid="{DD540D51-738D-4BBB-89F7-59DD8A300466}">
      <text>
        <r>
          <rPr>
            <b/>
            <sz val="9"/>
            <color indexed="81"/>
            <rFont val="Tahoma"/>
            <family val="2"/>
          </rPr>
          <t>&lt;[[DEVDeals] - [Proxy Entities (Seq: 5)] Company or Individual? - Send]&gt;</t>
        </r>
      </text>
    </comment>
    <comment ref="J205" authorId="0" shapeId="0" xr:uid="{517F3E77-9916-4317-AD19-6A3064CFD04B}">
      <text>
        <r>
          <rPr>
            <b/>
            <sz val="9"/>
            <color indexed="81"/>
            <rFont val="Tahoma"/>
            <family val="2"/>
          </rPr>
          <t>&lt;[[DEVDeals] - [Proxy Entities (Seq: 5)] Name (Doing Business As) - Send]&gt;</t>
        </r>
      </text>
    </comment>
    <comment ref="L205" authorId="0" shapeId="0" xr:uid="{2BC2AC55-0A4E-467D-BBF1-632C64187A64}">
      <text>
        <r>
          <rPr>
            <b/>
            <sz val="9"/>
            <color indexed="81"/>
            <rFont val="Tahoma"/>
            <family val="2"/>
          </rPr>
          <t>&lt;[[DEVDeals] - [Proxy Entities (Seq: 5)] Address 1 - Send]&gt;</t>
        </r>
      </text>
    </comment>
    <comment ref="M205" authorId="0" shapeId="0" xr:uid="{55C18449-1AB2-4DDC-A115-4BCA3E47804F}">
      <text>
        <r>
          <rPr>
            <b/>
            <sz val="9"/>
            <color indexed="81"/>
            <rFont val="Tahoma"/>
            <family val="2"/>
          </rPr>
          <t>&lt;[[DEVDeals] - [Proxy Entities (Seq: 5)] City - Send]&gt;</t>
        </r>
      </text>
    </comment>
    <comment ref="O205" authorId="0" shapeId="0" xr:uid="{5F5254C1-53BA-4542-A214-951218EAAB8D}">
      <text>
        <r>
          <rPr>
            <b/>
            <sz val="9"/>
            <color indexed="81"/>
            <rFont val="Tahoma"/>
            <family val="2"/>
          </rPr>
          <t>&lt;[[DEVDeals] - [Proxy Entities (Seq: 5)] State - Send]&gt;</t>
        </r>
      </text>
    </comment>
    <comment ref="P205" authorId="0" shapeId="0" xr:uid="{8A65A272-834B-4A31-AD5A-7CF430DE50B1}">
      <text>
        <r>
          <rPr>
            <b/>
            <sz val="9"/>
            <color indexed="81"/>
            <rFont val="Tahoma"/>
            <family val="2"/>
          </rPr>
          <t>&lt;[[DEVDeals] - [Proxy Entities (Seq: 5)] Zip Code - Send]&gt;</t>
        </r>
      </text>
    </comment>
    <comment ref="Q205" authorId="0" shapeId="0" xr:uid="{C3FA16D3-B034-4F40-8314-7BB7BD8887CA}">
      <text>
        <r>
          <rPr>
            <b/>
            <sz val="9"/>
            <color indexed="81"/>
            <rFont val="Tahoma"/>
            <family val="2"/>
          </rPr>
          <t>&lt;[[DEVDeals] - [Proxy Entities (Seq: 5)] Direct Phone - Send]&gt;</t>
        </r>
      </text>
    </comment>
    <comment ref="T205" authorId="0" shapeId="0" xr:uid="{0627240C-01D3-459E-A4B9-07145C3E0D58}">
      <text>
        <r>
          <rPr>
            <b/>
            <sz val="9"/>
            <color indexed="81"/>
            <rFont val="Tahoma"/>
            <family val="2"/>
          </rPr>
          <t>&lt;[[DEVDeals] - [Proxy Entities (Seq: 5)] Email Address 1 - Send]&gt;</t>
        </r>
      </text>
    </comment>
    <comment ref="AN205" authorId="0" shapeId="0" xr:uid="{DE87D377-1785-417E-9B84-83B28B316800}">
      <text>
        <r>
          <rPr>
            <b/>
            <sz val="9"/>
            <color indexed="81"/>
            <rFont val="Tahoma"/>
            <family val="2"/>
          </rPr>
          <t>&lt;[[DEVDeals] - [Associated TC Deal (Seq: 1)] - [Proxy Entities (Seq: 5)] Deal Entity Role - Send]&gt;</t>
        </r>
      </text>
    </comment>
    <comment ref="AO205" authorId="0" shapeId="0" xr:uid="{21698001-A342-4EDE-B936-014A406D82FA}">
      <text>
        <r>
          <rPr>
            <b/>
            <sz val="9"/>
            <color indexed="81"/>
            <rFont val="Tahoma"/>
            <family val="2"/>
          </rPr>
          <t>&lt;[[DEVDeals] - [Associated TC Deal (Seq: 1)] - [Proxy Entities (Seq: 5)] Company or Individual? - Send]&gt;</t>
        </r>
      </text>
    </comment>
    <comment ref="AP205" authorId="0" shapeId="0" xr:uid="{032F7C8A-203E-4CD0-AA96-847A151E53EA}">
      <text>
        <r>
          <rPr>
            <b/>
            <sz val="9"/>
            <color indexed="81"/>
            <rFont val="Tahoma"/>
            <family val="2"/>
          </rPr>
          <t>&lt;[[DEVDeals] - [Associated TC Deal (Seq: 1)] - [Proxy Entities (Seq: 5)] Name (Doing Business As) - Send]&gt;</t>
        </r>
      </text>
    </comment>
    <comment ref="AR205" authorId="0" shapeId="0" xr:uid="{BF2EFF2E-4D18-452F-9FC6-4A05CD3D094B}">
      <text>
        <r>
          <rPr>
            <b/>
            <sz val="9"/>
            <color indexed="81"/>
            <rFont val="Tahoma"/>
            <family val="2"/>
          </rPr>
          <t>&lt;[[DEVDeals] - [Associated TC Deal (Seq: 1)] - [Proxy Entities (Seq: 5)] Address 1 - Send]&gt;</t>
        </r>
      </text>
    </comment>
    <comment ref="AS205" authorId="0" shapeId="0" xr:uid="{04801E4A-96AA-4408-9F6C-76C489CF0568}">
      <text>
        <r>
          <rPr>
            <b/>
            <sz val="9"/>
            <color indexed="81"/>
            <rFont val="Tahoma"/>
            <family val="2"/>
          </rPr>
          <t>&lt;[[DEVDeals] - [Associated TC Deal (Seq: 1)] - [Proxy Entities (Seq: 5)] City - Send]&gt;</t>
        </r>
      </text>
    </comment>
    <comment ref="AU205" authorId="0" shapeId="0" xr:uid="{F0A067E1-3841-486A-A06D-8A1EA2782662}">
      <text>
        <r>
          <rPr>
            <b/>
            <sz val="9"/>
            <color indexed="81"/>
            <rFont val="Tahoma"/>
            <family val="2"/>
          </rPr>
          <t>&lt;[[DEVDeals] - [Associated TC Deal (Seq: 1)] - [Proxy Entities (Seq: 5)] State - Send]&gt;</t>
        </r>
      </text>
    </comment>
    <comment ref="AV205" authorId="0" shapeId="0" xr:uid="{B1B63F96-E6BF-4E54-A67F-104E04F91DC6}">
      <text>
        <r>
          <rPr>
            <b/>
            <sz val="9"/>
            <color indexed="81"/>
            <rFont val="Tahoma"/>
            <family val="2"/>
          </rPr>
          <t>&lt;[[DEVDeals] - [Associated TC Deal (Seq: 1)] - [Proxy Entities (Seq: 5)] Zip Code - Send]&gt;</t>
        </r>
      </text>
    </comment>
    <comment ref="AW205" authorId="0" shapeId="0" xr:uid="{5CA1BC11-6A48-45BD-AA06-C33401D12E0A}">
      <text>
        <r>
          <rPr>
            <b/>
            <sz val="9"/>
            <color indexed="81"/>
            <rFont val="Tahoma"/>
            <family val="2"/>
          </rPr>
          <t>&lt;[[DEVDeals] - [Associated TC Deal (Seq: 1)] - [Proxy Entities (Seq: 5)] Direct Phone - Send]&gt;</t>
        </r>
      </text>
    </comment>
    <comment ref="AZ205" authorId="0" shapeId="0" xr:uid="{7151173B-3F65-4236-A9EC-19197D6ABBF7}">
      <text>
        <r>
          <rPr>
            <b/>
            <sz val="9"/>
            <color indexed="81"/>
            <rFont val="Tahoma"/>
            <family val="2"/>
          </rPr>
          <t>&lt;[[DEVDeals] - [Associated TC Deal (Seq: 1)] - [Proxy Entities (Seq: 5)] Email Address 1 - Send]&gt;</t>
        </r>
      </text>
    </comment>
    <comment ref="H206" authorId="0" shapeId="0" xr:uid="{E0332049-459D-44D1-9032-19510F748F75}">
      <text>
        <r>
          <rPr>
            <b/>
            <sz val="9"/>
            <color indexed="81"/>
            <rFont val="Tahoma"/>
            <family val="2"/>
          </rPr>
          <t>&lt;[[DEVDeals] - [Proxy Entities (Seq: 6)] Deal Entity Role - Send]&gt;</t>
        </r>
      </text>
    </comment>
    <comment ref="I206" authorId="0" shapeId="0" xr:uid="{173A2D27-2983-42F7-A544-1E84D2F3D783}">
      <text>
        <r>
          <rPr>
            <b/>
            <sz val="9"/>
            <color indexed="81"/>
            <rFont val="Tahoma"/>
            <family val="2"/>
          </rPr>
          <t>&lt;[[DEVDeals] - [Proxy Entities (Seq: 6)] Company or Individual? - Send]&gt;</t>
        </r>
      </text>
    </comment>
    <comment ref="J206" authorId="0" shapeId="0" xr:uid="{13F42BE1-CBE8-4BA6-8AED-57327C4A45B4}">
      <text>
        <r>
          <rPr>
            <b/>
            <sz val="9"/>
            <color indexed="81"/>
            <rFont val="Tahoma"/>
            <family val="2"/>
          </rPr>
          <t>&lt;[[DEVDeals] - [Proxy Entities (Seq: 6)] Name (Doing Business As) - Send]&gt;</t>
        </r>
      </text>
    </comment>
    <comment ref="L206" authorId="0" shapeId="0" xr:uid="{4C95E580-C613-4CF5-AF32-2C0A55043ED4}">
      <text>
        <r>
          <rPr>
            <b/>
            <sz val="9"/>
            <color indexed="81"/>
            <rFont val="Tahoma"/>
            <family val="2"/>
          </rPr>
          <t>&lt;[[DEVDeals] - [Proxy Entities (Seq: 6)] Address 1 - Send]&gt;</t>
        </r>
      </text>
    </comment>
    <comment ref="M206" authorId="0" shapeId="0" xr:uid="{AA644704-B479-4C45-9298-27D55B534794}">
      <text>
        <r>
          <rPr>
            <b/>
            <sz val="9"/>
            <color indexed="81"/>
            <rFont val="Tahoma"/>
            <family val="2"/>
          </rPr>
          <t>&lt;[[DEVDeals] - [Proxy Entities (Seq: 6)] City - Send]&gt;</t>
        </r>
      </text>
    </comment>
    <comment ref="O206" authorId="0" shapeId="0" xr:uid="{13424DB3-E5B4-461F-BA2D-2C0A356DCE01}">
      <text>
        <r>
          <rPr>
            <b/>
            <sz val="9"/>
            <color indexed="81"/>
            <rFont val="Tahoma"/>
            <family val="2"/>
          </rPr>
          <t>&lt;[[DEVDeals] - [Proxy Entities (Seq: 6)] State - Send]&gt;</t>
        </r>
      </text>
    </comment>
    <comment ref="P206" authorId="0" shapeId="0" xr:uid="{6DB932B2-3166-4F45-B14C-F044D5E180AA}">
      <text>
        <r>
          <rPr>
            <b/>
            <sz val="9"/>
            <color indexed="81"/>
            <rFont val="Tahoma"/>
            <family val="2"/>
          </rPr>
          <t>&lt;[[DEVDeals] - [Proxy Entities (Seq: 6)] Zip Code - Send]&gt;</t>
        </r>
      </text>
    </comment>
    <comment ref="Q206" authorId="0" shapeId="0" xr:uid="{39E746D2-16CF-48C7-8C63-4B789BE5F88F}">
      <text>
        <r>
          <rPr>
            <b/>
            <sz val="9"/>
            <color indexed="81"/>
            <rFont val="Tahoma"/>
            <family val="2"/>
          </rPr>
          <t>&lt;[[DEVDeals] - [Proxy Entities (Seq: 6)] Direct Phone - Send]&gt;</t>
        </r>
      </text>
    </comment>
    <comment ref="T206" authorId="0" shapeId="0" xr:uid="{640B918E-D66F-4582-9B49-EFD51308E32D}">
      <text>
        <r>
          <rPr>
            <b/>
            <sz val="9"/>
            <color indexed="81"/>
            <rFont val="Tahoma"/>
            <family val="2"/>
          </rPr>
          <t>&lt;[[DEVDeals] - [Proxy Entities (Seq: 6)] Email Address 1 - Send]&gt;</t>
        </r>
      </text>
    </comment>
    <comment ref="AN206" authorId="0" shapeId="0" xr:uid="{66BEEB60-F951-401B-95AE-74C566BA0C08}">
      <text>
        <r>
          <rPr>
            <b/>
            <sz val="9"/>
            <color indexed="81"/>
            <rFont val="Tahoma"/>
            <family val="2"/>
          </rPr>
          <t>&lt;[[DEVDeals] - [Associated TC Deal (Seq: 1)] - [Proxy Entities (Seq: 6)] Deal Entity Role - Send]&gt;</t>
        </r>
      </text>
    </comment>
    <comment ref="AO206" authorId="0" shapeId="0" xr:uid="{61BC98E2-DD45-4F97-95D0-BBA38BAD90BB}">
      <text>
        <r>
          <rPr>
            <b/>
            <sz val="9"/>
            <color indexed="81"/>
            <rFont val="Tahoma"/>
            <family val="2"/>
          </rPr>
          <t>&lt;[[DEVDeals] - [Associated TC Deal (Seq: 1)] - [Proxy Entities (Seq: 6)] Company or Individual? - Send]&gt;</t>
        </r>
      </text>
    </comment>
    <comment ref="AP206" authorId="0" shapeId="0" xr:uid="{D1E9F908-6846-4234-BD0B-0A4810F4E15B}">
      <text>
        <r>
          <rPr>
            <b/>
            <sz val="9"/>
            <color indexed="81"/>
            <rFont val="Tahoma"/>
            <family val="2"/>
          </rPr>
          <t>&lt;[[DEVDeals] - [Associated TC Deal (Seq: 1)] - [Proxy Entities (Seq: 6)] Name (Doing Business As) - Send]&gt;</t>
        </r>
      </text>
    </comment>
    <comment ref="AR206" authorId="0" shapeId="0" xr:uid="{C5922199-D7F2-4B52-9BB3-7B8C8D18F3A9}">
      <text>
        <r>
          <rPr>
            <b/>
            <sz val="9"/>
            <color indexed="81"/>
            <rFont val="Tahoma"/>
            <family val="2"/>
          </rPr>
          <t>&lt;[[DEVDeals] - [Associated TC Deal (Seq: 1)] - [Proxy Entities (Seq: 6)] Address 1 - Send]&gt;</t>
        </r>
      </text>
    </comment>
    <comment ref="AS206" authorId="0" shapeId="0" xr:uid="{E4A25F0D-54C9-49C0-8DB6-000803437D69}">
      <text>
        <r>
          <rPr>
            <b/>
            <sz val="9"/>
            <color indexed="81"/>
            <rFont val="Tahoma"/>
            <family val="2"/>
          </rPr>
          <t>&lt;[[DEVDeals] - [Associated TC Deal (Seq: 1)] - [Proxy Entities (Seq: 6)] City - Send]&gt;</t>
        </r>
      </text>
    </comment>
    <comment ref="AU206" authorId="0" shapeId="0" xr:uid="{60306800-71D5-4AB5-B19B-8E65FF3066F6}">
      <text>
        <r>
          <rPr>
            <b/>
            <sz val="9"/>
            <color indexed="81"/>
            <rFont val="Tahoma"/>
            <family val="2"/>
          </rPr>
          <t>&lt;[[DEVDeals] - [Associated TC Deal (Seq: 1)] - [Proxy Entities (Seq: 6)] State - Send]&gt;</t>
        </r>
      </text>
    </comment>
    <comment ref="AV206" authorId="0" shapeId="0" xr:uid="{AB124F6F-41C2-40D8-B61B-C54417D43FE4}">
      <text>
        <r>
          <rPr>
            <b/>
            <sz val="9"/>
            <color indexed="81"/>
            <rFont val="Tahoma"/>
            <family val="2"/>
          </rPr>
          <t>&lt;[[DEVDeals] - [Associated TC Deal (Seq: 1)] - [Proxy Entities (Seq: 6)] Zip Code - Send]&gt;</t>
        </r>
      </text>
    </comment>
    <comment ref="AW206" authorId="0" shapeId="0" xr:uid="{85786D24-5802-4DDC-865F-97A187DB2C0B}">
      <text>
        <r>
          <rPr>
            <b/>
            <sz val="9"/>
            <color indexed="81"/>
            <rFont val="Tahoma"/>
            <family val="2"/>
          </rPr>
          <t>&lt;[[DEVDeals] - [Associated TC Deal (Seq: 1)] - [Proxy Entities (Seq: 6)] Direct Phone - Send]&gt;</t>
        </r>
      </text>
    </comment>
    <comment ref="AZ206" authorId="0" shapeId="0" xr:uid="{FE86E3A4-D0AE-4161-ABE7-A3A9027053CC}">
      <text>
        <r>
          <rPr>
            <b/>
            <sz val="9"/>
            <color indexed="81"/>
            <rFont val="Tahoma"/>
            <family val="2"/>
          </rPr>
          <t>&lt;[[DEVDeals] - [Associated TC Deal (Seq: 1)] - [Proxy Entities (Seq: 6)] Email Address 1 - Send]&gt;</t>
        </r>
      </text>
    </comment>
    <comment ref="H207" authorId="0" shapeId="0" xr:uid="{D459408D-B4B9-45FD-9665-534F8C42CD4B}">
      <text>
        <r>
          <rPr>
            <b/>
            <sz val="9"/>
            <color indexed="81"/>
            <rFont val="Tahoma"/>
            <family val="2"/>
          </rPr>
          <t>&lt;[[DEVDeals] - [Proxy Entities (Seq: 7)] Deal Entity Role - Send]&gt;</t>
        </r>
      </text>
    </comment>
    <comment ref="I207" authorId="0" shapeId="0" xr:uid="{CF7AD7D5-7502-44A8-A2EA-DAE38A4D55C2}">
      <text>
        <r>
          <rPr>
            <b/>
            <sz val="9"/>
            <color indexed="81"/>
            <rFont val="Tahoma"/>
            <family val="2"/>
          </rPr>
          <t>&lt;[[DEVDeals] - [Proxy Entities (Seq: 7)] Company or Individual? - Send]&gt;</t>
        </r>
      </text>
    </comment>
    <comment ref="J207" authorId="0" shapeId="0" xr:uid="{E0141FE0-ABFA-48B5-ABE4-09B6B2232665}">
      <text>
        <r>
          <rPr>
            <b/>
            <sz val="9"/>
            <color indexed="81"/>
            <rFont val="Tahoma"/>
            <family val="2"/>
          </rPr>
          <t>&lt;[[DEVDeals] - [Proxy Entities (Seq: 7)] Name (Doing Business As) - Send]&gt;</t>
        </r>
      </text>
    </comment>
    <comment ref="L207" authorId="0" shapeId="0" xr:uid="{73BA747C-9C93-4A51-81E6-F6C91C7E6D50}">
      <text>
        <r>
          <rPr>
            <b/>
            <sz val="9"/>
            <color indexed="81"/>
            <rFont val="Tahoma"/>
            <family val="2"/>
          </rPr>
          <t>&lt;[[DEVDeals] - [Proxy Entities (Seq: 7)] Address 1 - Send]&gt;</t>
        </r>
      </text>
    </comment>
    <comment ref="M207" authorId="0" shapeId="0" xr:uid="{5CDDD779-441F-487E-88EF-29B4D4E71766}">
      <text>
        <r>
          <rPr>
            <b/>
            <sz val="9"/>
            <color indexed="81"/>
            <rFont val="Tahoma"/>
            <family val="2"/>
          </rPr>
          <t>&lt;[[DEVDeals] - [Proxy Entities (Seq: 7)] City - Send]&gt;</t>
        </r>
      </text>
    </comment>
    <comment ref="O207" authorId="0" shapeId="0" xr:uid="{7D25B844-A6EA-4131-88AD-A18DC7FF95D4}">
      <text>
        <r>
          <rPr>
            <b/>
            <sz val="9"/>
            <color indexed="81"/>
            <rFont val="Tahoma"/>
            <family val="2"/>
          </rPr>
          <t>&lt;[[DEVDeals] - [Proxy Entities (Seq: 7)] State - Send]&gt;</t>
        </r>
      </text>
    </comment>
    <comment ref="P207" authorId="0" shapeId="0" xr:uid="{9D3CB345-8423-4DAD-A90C-977943C6C35B}">
      <text>
        <r>
          <rPr>
            <b/>
            <sz val="9"/>
            <color indexed="81"/>
            <rFont val="Tahoma"/>
            <family val="2"/>
          </rPr>
          <t>&lt;[[DEVDeals] - [Proxy Entities (Seq: 7)] Zip Code - Send]&gt;</t>
        </r>
      </text>
    </comment>
    <comment ref="Q207" authorId="0" shapeId="0" xr:uid="{AC15D579-42FD-4BC9-AF90-D0B173F8F810}">
      <text>
        <r>
          <rPr>
            <b/>
            <sz val="9"/>
            <color indexed="81"/>
            <rFont val="Tahoma"/>
            <family val="2"/>
          </rPr>
          <t>&lt;[[DEVDeals] - [Proxy Entities (Seq: 7)] Direct Phone - Send]&gt;</t>
        </r>
      </text>
    </comment>
    <comment ref="T207" authorId="0" shapeId="0" xr:uid="{B86F4C26-DBD2-4A6B-90ED-D2CCCC31B176}">
      <text>
        <r>
          <rPr>
            <b/>
            <sz val="9"/>
            <color indexed="81"/>
            <rFont val="Tahoma"/>
            <family val="2"/>
          </rPr>
          <t>&lt;[[DEVDeals] - [Proxy Entities (Seq: 7)] Email Address 1 - Send]&gt;</t>
        </r>
      </text>
    </comment>
    <comment ref="AN207" authorId="0" shapeId="0" xr:uid="{E8B0A09E-4F9B-474A-A1A7-AB5B66C5A614}">
      <text>
        <r>
          <rPr>
            <b/>
            <sz val="9"/>
            <color indexed="81"/>
            <rFont val="Tahoma"/>
            <family val="2"/>
          </rPr>
          <t>&lt;[[DEVDeals] - [Associated TC Deal (Seq: 1)] - [Proxy Entities (Seq: 7)] Deal Entity Role - Send]&gt;</t>
        </r>
      </text>
    </comment>
    <comment ref="AO207" authorId="0" shapeId="0" xr:uid="{26FF5B1A-AA1A-41FB-BA3C-303FAEE23AEB}">
      <text>
        <r>
          <rPr>
            <b/>
            <sz val="9"/>
            <color indexed="81"/>
            <rFont val="Tahoma"/>
            <family val="2"/>
          </rPr>
          <t>&lt;[[DEVDeals] - [Associated TC Deal (Seq: 1)] - [Proxy Entities (Seq: 7)] Company or Individual? - Send]&gt;</t>
        </r>
      </text>
    </comment>
    <comment ref="AP207" authorId="0" shapeId="0" xr:uid="{518942A8-87CC-43E7-B501-A840A22F02CC}">
      <text>
        <r>
          <rPr>
            <b/>
            <sz val="9"/>
            <color indexed="81"/>
            <rFont val="Tahoma"/>
            <family val="2"/>
          </rPr>
          <t>&lt;[[DEVDeals] - [Associated TC Deal (Seq: 1)] - [Proxy Entities (Seq: 7)] Name (Doing Business As) - Send]&gt;</t>
        </r>
      </text>
    </comment>
    <comment ref="AR207" authorId="0" shapeId="0" xr:uid="{ED2BFDB9-68F5-486E-810D-8028161AB9B5}">
      <text>
        <r>
          <rPr>
            <b/>
            <sz val="9"/>
            <color indexed="81"/>
            <rFont val="Tahoma"/>
            <family val="2"/>
          </rPr>
          <t>&lt;[[DEVDeals] - [Associated TC Deal (Seq: 1)] - [Proxy Entities (Seq: 7)] Address 1 - Send]&gt;</t>
        </r>
      </text>
    </comment>
    <comment ref="AS207" authorId="0" shapeId="0" xr:uid="{66C74879-F9CC-4808-8927-C2E66EFF8E4E}">
      <text>
        <r>
          <rPr>
            <b/>
            <sz val="9"/>
            <color indexed="81"/>
            <rFont val="Tahoma"/>
            <family val="2"/>
          </rPr>
          <t>&lt;[[DEVDeals] - [Associated TC Deal (Seq: 1)] - [Proxy Entities (Seq: 7)] City - Send]&gt;</t>
        </r>
      </text>
    </comment>
    <comment ref="AU207" authorId="0" shapeId="0" xr:uid="{8EFB010D-AF7C-471A-A543-77EE379B07AA}">
      <text>
        <r>
          <rPr>
            <b/>
            <sz val="9"/>
            <color indexed="81"/>
            <rFont val="Tahoma"/>
            <family val="2"/>
          </rPr>
          <t>&lt;[[DEVDeals] - [Associated TC Deal (Seq: 1)] - [Proxy Entities (Seq: 7)] State - Send]&gt;</t>
        </r>
      </text>
    </comment>
    <comment ref="AV207" authorId="0" shapeId="0" xr:uid="{2D8453C4-CE97-4EF3-8998-3B53357447C0}">
      <text>
        <r>
          <rPr>
            <b/>
            <sz val="9"/>
            <color indexed="81"/>
            <rFont val="Tahoma"/>
            <family val="2"/>
          </rPr>
          <t>&lt;[[DEVDeals] - [Associated TC Deal (Seq: 1)] - [Proxy Entities (Seq: 7)] Zip Code - Send]&gt;</t>
        </r>
      </text>
    </comment>
    <comment ref="AW207" authorId="0" shapeId="0" xr:uid="{2324698B-89C8-4536-8AD4-2566929C48C4}">
      <text>
        <r>
          <rPr>
            <b/>
            <sz val="9"/>
            <color indexed="81"/>
            <rFont val="Tahoma"/>
            <family val="2"/>
          </rPr>
          <t>&lt;[[DEVDeals] - [Associated TC Deal (Seq: 1)] - [Proxy Entities (Seq: 7)] Direct Phone - Send]&gt;</t>
        </r>
      </text>
    </comment>
    <comment ref="AZ207" authorId="0" shapeId="0" xr:uid="{61081D5A-E4BB-46E1-B3DA-0B544BDCC35E}">
      <text>
        <r>
          <rPr>
            <b/>
            <sz val="9"/>
            <color indexed="81"/>
            <rFont val="Tahoma"/>
            <family val="2"/>
          </rPr>
          <t>&lt;[[DEVDeals] - [Associated TC Deal (Seq: 1)] - [Proxy Entities (Seq: 7)] Email Address 1 - Send]&gt;</t>
        </r>
      </text>
    </comment>
    <comment ref="H208" authorId="0" shapeId="0" xr:uid="{A6D767E9-22F3-45C4-8E65-33231D9019C1}">
      <text>
        <r>
          <rPr>
            <b/>
            <sz val="9"/>
            <color indexed="81"/>
            <rFont val="Tahoma"/>
            <family val="2"/>
          </rPr>
          <t>&lt;[[DEVDeals] - [Proxy Entities (Seq: 8)] Deal Entity Role - Send]&gt;</t>
        </r>
      </text>
    </comment>
    <comment ref="I208" authorId="0" shapeId="0" xr:uid="{474FA24C-0252-4D66-BB22-DF36D07C4A10}">
      <text>
        <r>
          <rPr>
            <b/>
            <sz val="9"/>
            <color indexed="81"/>
            <rFont val="Tahoma"/>
            <family val="2"/>
          </rPr>
          <t>&lt;[[DEVDeals] - [Proxy Entities (Seq: 8)] Company or Individual? - Send]&gt;</t>
        </r>
      </text>
    </comment>
    <comment ref="J208" authorId="0" shapeId="0" xr:uid="{DC44A4DA-3816-452D-B0E4-C8BB8A164F1C}">
      <text>
        <r>
          <rPr>
            <b/>
            <sz val="9"/>
            <color indexed="81"/>
            <rFont val="Tahoma"/>
            <family val="2"/>
          </rPr>
          <t>&lt;[[DEVDeals] - [Proxy Entities (Seq: 8)] Name (Doing Business As) - Send]&gt;</t>
        </r>
      </text>
    </comment>
    <comment ref="L208" authorId="0" shapeId="0" xr:uid="{AB4393CF-8B7F-4AA2-95C0-E534152E3DD4}">
      <text>
        <r>
          <rPr>
            <b/>
            <sz val="9"/>
            <color indexed="81"/>
            <rFont val="Tahoma"/>
            <family val="2"/>
          </rPr>
          <t>&lt;[[DEVDeals] - [Proxy Entities (Seq: 8)] Address 1 - Send]&gt;</t>
        </r>
      </text>
    </comment>
    <comment ref="M208" authorId="0" shapeId="0" xr:uid="{EBF1500E-C151-4586-8B6E-18F796F4BB9E}">
      <text>
        <r>
          <rPr>
            <b/>
            <sz val="9"/>
            <color indexed="81"/>
            <rFont val="Tahoma"/>
            <family val="2"/>
          </rPr>
          <t>&lt;[[DEVDeals] - [Proxy Entities (Seq: 8)] City - Send]&gt;</t>
        </r>
      </text>
    </comment>
    <comment ref="O208" authorId="0" shapeId="0" xr:uid="{88F8E7D7-841E-4CCF-B4ED-3D16D20D9D78}">
      <text>
        <r>
          <rPr>
            <b/>
            <sz val="9"/>
            <color indexed="81"/>
            <rFont val="Tahoma"/>
            <family val="2"/>
          </rPr>
          <t>&lt;[[DEVDeals] - [Proxy Entities (Seq: 8)] State - Send]&gt;</t>
        </r>
      </text>
    </comment>
    <comment ref="P208" authorId="0" shapeId="0" xr:uid="{2504908F-A6C1-442D-8556-A25C7724A5D9}">
      <text>
        <r>
          <rPr>
            <b/>
            <sz val="9"/>
            <color indexed="81"/>
            <rFont val="Tahoma"/>
            <family val="2"/>
          </rPr>
          <t>&lt;[[DEVDeals] - [Proxy Entities (Seq: 8)] Zip Code - Send]&gt;</t>
        </r>
      </text>
    </comment>
    <comment ref="Q208" authorId="0" shapeId="0" xr:uid="{C9D3BBE5-FBB1-4824-8360-2D963E7A618D}">
      <text>
        <r>
          <rPr>
            <b/>
            <sz val="9"/>
            <color indexed="81"/>
            <rFont val="Tahoma"/>
            <family val="2"/>
          </rPr>
          <t>&lt;[[DEVDeals] - [Proxy Entities (Seq: 8)] Direct Phone - Send]&gt;</t>
        </r>
      </text>
    </comment>
    <comment ref="T208" authorId="0" shapeId="0" xr:uid="{B344886A-4F44-46A8-8B94-986FFBBB7F1D}">
      <text>
        <r>
          <rPr>
            <b/>
            <sz val="9"/>
            <color indexed="81"/>
            <rFont val="Tahoma"/>
            <family val="2"/>
          </rPr>
          <t>&lt;[[DEVDeals] - [Proxy Entities (Seq: 8)] Email Address 1 - Send]&gt;</t>
        </r>
      </text>
    </comment>
    <comment ref="AN208" authorId="0" shapeId="0" xr:uid="{1FCB84E3-B492-486B-97AE-B7B2109A980B}">
      <text>
        <r>
          <rPr>
            <b/>
            <sz val="9"/>
            <color indexed="81"/>
            <rFont val="Tahoma"/>
            <family val="2"/>
          </rPr>
          <t>&lt;[[DEVDeals] - [Associated TC Deal (Seq: 1)] - [Proxy Entities (Seq: 8)] Deal Entity Role - Send]&gt;</t>
        </r>
      </text>
    </comment>
    <comment ref="AO208" authorId="0" shapeId="0" xr:uid="{E933F40E-46D9-46D6-B26C-6E28E3C7F378}">
      <text>
        <r>
          <rPr>
            <b/>
            <sz val="9"/>
            <color indexed="81"/>
            <rFont val="Tahoma"/>
            <family val="2"/>
          </rPr>
          <t>&lt;[[DEVDeals] - [Associated TC Deal (Seq: 1)] - [Proxy Entities (Seq: 8)] Company or Individual? - Send]&gt;</t>
        </r>
      </text>
    </comment>
    <comment ref="AP208" authorId="0" shapeId="0" xr:uid="{0B943274-B7EE-4B2B-A55A-501034BC4619}">
      <text>
        <r>
          <rPr>
            <b/>
            <sz val="9"/>
            <color indexed="81"/>
            <rFont val="Tahoma"/>
            <family val="2"/>
          </rPr>
          <t>&lt;[[DEVDeals] - [Associated TC Deal (Seq: 1)] - [Proxy Entities (Seq: 8)] Name (Doing Business As) - Send]&gt;</t>
        </r>
      </text>
    </comment>
    <comment ref="AR208" authorId="0" shapeId="0" xr:uid="{BD2F98C0-F325-4D0D-8339-18884BCFE910}">
      <text>
        <r>
          <rPr>
            <b/>
            <sz val="9"/>
            <color indexed="81"/>
            <rFont val="Tahoma"/>
            <family val="2"/>
          </rPr>
          <t>&lt;[[DEVDeals] - [Associated TC Deal (Seq: 1)] - [Proxy Entities (Seq: 8)] Address 1 - Send]&gt;</t>
        </r>
      </text>
    </comment>
    <comment ref="AS208" authorId="0" shapeId="0" xr:uid="{52AE3016-AB3F-47F5-8AD6-7186D853A292}">
      <text>
        <r>
          <rPr>
            <b/>
            <sz val="9"/>
            <color indexed="81"/>
            <rFont val="Tahoma"/>
            <family val="2"/>
          </rPr>
          <t>&lt;[[DEVDeals] - [Associated TC Deal (Seq: 1)] - [Proxy Entities (Seq: 8)] City - Send]&gt;</t>
        </r>
      </text>
    </comment>
    <comment ref="AU208" authorId="0" shapeId="0" xr:uid="{5B0BDA71-E0B5-4F85-8815-9131F89EF573}">
      <text>
        <r>
          <rPr>
            <b/>
            <sz val="9"/>
            <color indexed="81"/>
            <rFont val="Tahoma"/>
            <family val="2"/>
          </rPr>
          <t>&lt;[[DEVDeals] - [Associated TC Deal (Seq: 1)] - [Proxy Entities (Seq: 8)] State - Send]&gt;</t>
        </r>
      </text>
    </comment>
    <comment ref="AV208" authorId="0" shapeId="0" xr:uid="{D7328D06-B10A-4C30-87D4-0DAA19483377}">
      <text>
        <r>
          <rPr>
            <b/>
            <sz val="9"/>
            <color indexed="81"/>
            <rFont val="Tahoma"/>
            <family val="2"/>
          </rPr>
          <t>&lt;[[DEVDeals] - [Associated TC Deal (Seq: 1)] - [Proxy Entities (Seq: 8)] Zip Code - Send]&gt;</t>
        </r>
      </text>
    </comment>
    <comment ref="AW208" authorId="0" shapeId="0" xr:uid="{6753D569-2C9B-4308-849C-F9562FB8A601}">
      <text>
        <r>
          <rPr>
            <b/>
            <sz val="9"/>
            <color indexed="81"/>
            <rFont val="Tahoma"/>
            <family val="2"/>
          </rPr>
          <t>&lt;[[DEVDeals] - [Associated TC Deal (Seq: 1)] - [Proxy Entities (Seq: 8)] Direct Phone - Send]&gt;</t>
        </r>
      </text>
    </comment>
    <comment ref="AZ208" authorId="0" shapeId="0" xr:uid="{69B90C90-73E3-45CD-B5D6-FFFE98897FBA}">
      <text>
        <r>
          <rPr>
            <b/>
            <sz val="9"/>
            <color indexed="81"/>
            <rFont val="Tahoma"/>
            <family val="2"/>
          </rPr>
          <t>&lt;[[DEVDeals] - [Associated TC Deal (Seq: 1)] - [Proxy Entities (Seq: 8)] Email Address 1 - Send]&gt;</t>
        </r>
      </text>
    </comment>
    <comment ref="H209" authorId="0" shapeId="0" xr:uid="{EB2845FE-11BB-4B49-A394-307D4BADABC6}">
      <text>
        <r>
          <rPr>
            <b/>
            <sz val="9"/>
            <color indexed="81"/>
            <rFont val="Tahoma"/>
            <family val="2"/>
          </rPr>
          <t>&lt;[[DEVDeals] - [Proxy Entities (Seq: 9)] Deal Entity Role - Send]&gt;</t>
        </r>
      </text>
    </comment>
    <comment ref="I209" authorId="0" shapeId="0" xr:uid="{A65D468D-DB48-4B7B-A87F-71CD2886F75D}">
      <text>
        <r>
          <rPr>
            <b/>
            <sz val="9"/>
            <color indexed="81"/>
            <rFont val="Tahoma"/>
            <family val="2"/>
          </rPr>
          <t>&lt;[[DEVDeals] - [Proxy Entities (Seq: 9)] Company or Individual? - Send]&gt;</t>
        </r>
      </text>
    </comment>
    <comment ref="J209" authorId="0" shapeId="0" xr:uid="{54477640-5ABE-4660-BDD3-9F012FEF48BE}">
      <text>
        <r>
          <rPr>
            <b/>
            <sz val="9"/>
            <color indexed="81"/>
            <rFont val="Tahoma"/>
            <family val="2"/>
          </rPr>
          <t>&lt;[[DEVDeals] - [Proxy Entities (Seq: 9)] Name (Doing Business As) - Send]&gt;</t>
        </r>
      </text>
    </comment>
    <comment ref="L209" authorId="0" shapeId="0" xr:uid="{F6674DA0-A730-4F1C-B276-34FF4C73D705}">
      <text>
        <r>
          <rPr>
            <b/>
            <sz val="9"/>
            <color indexed="81"/>
            <rFont val="Tahoma"/>
            <family val="2"/>
          </rPr>
          <t>&lt;[[DEVDeals] - [Proxy Entities (Seq: 9)] Address 1 - Send]&gt;</t>
        </r>
      </text>
    </comment>
    <comment ref="M209" authorId="0" shapeId="0" xr:uid="{A5888F41-F9ED-487A-B41C-669A12B6DC9F}">
      <text>
        <r>
          <rPr>
            <b/>
            <sz val="9"/>
            <color indexed="81"/>
            <rFont val="Tahoma"/>
            <family val="2"/>
          </rPr>
          <t>&lt;[[DEVDeals] - [Proxy Entities (Seq: 9)] City - Send]&gt;</t>
        </r>
      </text>
    </comment>
    <comment ref="O209" authorId="0" shapeId="0" xr:uid="{6FFC1243-ED07-4478-8B01-839B6C9A4E9E}">
      <text>
        <r>
          <rPr>
            <b/>
            <sz val="9"/>
            <color indexed="81"/>
            <rFont val="Tahoma"/>
            <family val="2"/>
          </rPr>
          <t>&lt;[[DEVDeals] - [Proxy Entities (Seq: 9)] State - Send]&gt;</t>
        </r>
      </text>
    </comment>
    <comment ref="P209" authorId="0" shapeId="0" xr:uid="{5951AB04-800A-4A92-8A2A-91A9605805AD}">
      <text>
        <r>
          <rPr>
            <b/>
            <sz val="9"/>
            <color indexed="81"/>
            <rFont val="Tahoma"/>
            <family val="2"/>
          </rPr>
          <t>&lt;[[DEVDeals] - [Proxy Entities (Seq: 9)] Zip Code - Send]&gt;</t>
        </r>
      </text>
    </comment>
    <comment ref="Q209" authorId="0" shapeId="0" xr:uid="{6C0C335B-B614-472C-9218-ABD739BBE69D}">
      <text>
        <r>
          <rPr>
            <b/>
            <sz val="9"/>
            <color indexed="81"/>
            <rFont val="Tahoma"/>
            <family val="2"/>
          </rPr>
          <t>&lt;[[DEVDeals] - [Proxy Entities (Seq: 9)] Direct Phone - Send]&gt;</t>
        </r>
      </text>
    </comment>
    <comment ref="T209" authorId="0" shapeId="0" xr:uid="{6413730B-3751-47D6-B979-BE314A1CBB06}">
      <text>
        <r>
          <rPr>
            <b/>
            <sz val="9"/>
            <color indexed="81"/>
            <rFont val="Tahoma"/>
            <family val="2"/>
          </rPr>
          <t>&lt;[[DEVDeals] - [Proxy Entities (Seq: 9)] Email Address 1 - Send]&gt;</t>
        </r>
      </text>
    </comment>
    <comment ref="AN209" authorId="0" shapeId="0" xr:uid="{AA24A816-E458-4027-BED3-AE1941EDF91C}">
      <text>
        <r>
          <rPr>
            <b/>
            <sz val="9"/>
            <color indexed="81"/>
            <rFont val="Tahoma"/>
            <family val="2"/>
          </rPr>
          <t>&lt;[[DEVDeals] - [Associated TC Deal (Seq: 1)] - [Proxy Entities (Seq: 9)] Deal Entity Role - Send]&gt;</t>
        </r>
      </text>
    </comment>
    <comment ref="AO209" authorId="0" shapeId="0" xr:uid="{31810C3E-761A-470A-938C-5A13C9A427A6}">
      <text>
        <r>
          <rPr>
            <b/>
            <sz val="9"/>
            <color indexed="81"/>
            <rFont val="Tahoma"/>
            <family val="2"/>
          </rPr>
          <t>&lt;[[DEVDeals] - [Associated TC Deal (Seq: 1)] - [Proxy Entities (Seq: 9)] Company or Individual? - Send]&gt;</t>
        </r>
      </text>
    </comment>
    <comment ref="AP209" authorId="0" shapeId="0" xr:uid="{1BE8D388-544D-4834-94C2-AE10A983D9CF}">
      <text>
        <r>
          <rPr>
            <b/>
            <sz val="9"/>
            <color indexed="81"/>
            <rFont val="Tahoma"/>
            <family val="2"/>
          </rPr>
          <t>&lt;[[DEVDeals] - [Associated TC Deal (Seq: 1)] - [Proxy Entities (Seq: 9)] Name (Doing Business As) - Send]&gt;</t>
        </r>
      </text>
    </comment>
    <comment ref="AR209" authorId="0" shapeId="0" xr:uid="{DEBFD003-919C-40E9-BC4A-885CEA031145}">
      <text>
        <r>
          <rPr>
            <b/>
            <sz val="9"/>
            <color indexed="81"/>
            <rFont val="Tahoma"/>
            <family val="2"/>
          </rPr>
          <t>&lt;[[DEVDeals] - [Associated TC Deal (Seq: 1)] - [Proxy Entities (Seq: 9)] Address 1 - Send]&gt;</t>
        </r>
      </text>
    </comment>
    <comment ref="AS209" authorId="0" shapeId="0" xr:uid="{045453AC-6278-4770-BAAA-41EF9974B6A7}">
      <text>
        <r>
          <rPr>
            <b/>
            <sz val="9"/>
            <color indexed="81"/>
            <rFont val="Tahoma"/>
            <family val="2"/>
          </rPr>
          <t>&lt;[[DEVDeals] - [Associated TC Deal (Seq: 1)] - [Proxy Entities (Seq: 9)] City - Send]&gt;</t>
        </r>
      </text>
    </comment>
    <comment ref="AU209" authorId="0" shapeId="0" xr:uid="{54FBB32E-26DD-4368-B50E-40029DA8A020}">
      <text>
        <r>
          <rPr>
            <b/>
            <sz val="9"/>
            <color indexed="81"/>
            <rFont val="Tahoma"/>
            <family val="2"/>
          </rPr>
          <t>&lt;[[DEVDeals] - [Associated TC Deal (Seq: 1)] - [Proxy Entities (Seq: 9)] State - Send]&gt;</t>
        </r>
      </text>
    </comment>
    <comment ref="AV209" authorId="0" shapeId="0" xr:uid="{2E5D78F4-EDA5-45F7-B9FD-B1C4F89D8D56}">
      <text>
        <r>
          <rPr>
            <b/>
            <sz val="9"/>
            <color indexed="81"/>
            <rFont val="Tahoma"/>
            <family val="2"/>
          </rPr>
          <t>&lt;[[DEVDeals] - [Associated TC Deal (Seq: 1)] - [Proxy Entities (Seq: 9)] Zip Code - Send]&gt;</t>
        </r>
      </text>
    </comment>
    <comment ref="AW209" authorId="0" shapeId="0" xr:uid="{D42A71B8-7364-4208-9BB6-A8EFFD3EFCE3}">
      <text>
        <r>
          <rPr>
            <b/>
            <sz val="9"/>
            <color indexed="81"/>
            <rFont val="Tahoma"/>
            <family val="2"/>
          </rPr>
          <t>&lt;[[DEVDeals] - [Associated TC Deal (Seq: 1)] - [Proxy Entities (Seq: 9)] Direct Phone - Send]&gt;</t>
        </r>
      </text>
    </comment>
    <comment ref="AZ209" authorId="0" shapeId="0" xr:uid="{D9336D72-5356-4CED-9ABC-26622F8955D8}">
      <text>
        <r>
          <rPr>
            <b/>
            <sz val="9"/>
            <color indexed="81"/>
            <rFont val="Tahoma"/>
            <family val="2"/>
          </rPr>
          <t>&lt;[[DEVDeals] - [Associated TC Deal (Seq: 1)] - [Proxy Entities (Seq: 9)] Email Address 1 - Send]&gt;</t>
        </r>
      </text>
    </comment>
    <comment ref="H210" authorId="0" shapeId="0" xr:uid="{534D24D1-77D9-4A6E-BC82-6E65450C7DE8}">
      <text>
        <r>
          <rPr>
            <b/>
            <sz val="9"/>
            <color indexed="81"/>
            <rFont val="Tahoma"/>
            <family val="2"/>
          </rPr>
          <t>&lt;[[DEVDeals] - [Proxy Entities (Seq: 10)] Deal Entity Role - Send]&gt;</t>
        </r>
      </text>
    </comment>
    <comment ref="I210" authorId="0" shapeId="0" xr:uid="{412D952A-E1DD-4BBB-91E3-F6C94C1F1BDE}">
      <text>
        <r>
          <rPr>
            <b/>
            <sz val="9"/>
            <color indexed="81"/>
            <rFont val="Tahoma"/>
            <family val="2"/>
          </rPr>
          <t>&lt;[[DEVDeals] - [Proxy Entities (Seq: 10)] Company or Individual? - Send]&gt;</t>
        </r>
      </text>
    </comment>
    <comment ref="J210" authorId="0" shapeId="0" xr:uid="{A61DF5E5-0608-49C2-B1E6-88BC6DF6EC4B}">
      <text>
        <r>
          <rPr>
            <b/>
            <sz val="9"/>
            <color indexed="81"/>
            <rFont val="Tahoma"/>
            <family val="2"/>
          </rPr>
          <t>&lt;[[DEVDeals] - [Proxy Entities (Seq: 10)] Name (Doing Business As) - Send]&gt;</t>
        </r>
      </text>
    </comment>
    <comment ref="L210" authorId="0" shapeId="0" xr:uid="{A3F56061-3ABD-46CB-83F6-EAB2ECAC5B54}">
      <text>
        <r>
          <rPr>
            <b/>
            <sz val="9"/>
            <color indexed="81"/>
            <rFont val="Tahoma"/>
            <family val="2"/>
          </rPr>
          <t>&lt;[[DEVDeals] - [Proxy Entities (Seq: 10)] Address 1 - Send]&gt;</t>
        </r>
      </text>
    </comment>
    <comment ref="M210" authorId="0" shapeId="0" xr:uid="{C392C434-4108-4EDC-A569-588E45D5C0FC}">
      <text>
        <r>
          <rPr>
            <b/>
            <sz val="9"/>
            <color indexed="81"/>
            <rFont val="Tahoma"/>
            <family val="2"/>
          </rPr>
          <t>&lt;[[DEVDeals] - [Proxy Entities (Seq: 10)] City - Send]&gt;</t>
        </r>
      </text>
    </comment>
    <comment ref="O210" authorId="0" shapeId="0" xr:uid="{82FDDB60-3B0C-4293-9E1F-5A2AE7D9711C}">
      <text>
        <r>
          <rPr>
            <b/>
            <sz val="9"/>
            <color indexed="81"/>
            <rFont val="Tahoma"/>
            <family val="2"/>
          </rPr>
          <t>&lt;[[DEVDeals] - [Proxy Entities (Seq: 10)] State - Send]&gt;</t>
        </r>
      </text>
    </comment>
    <comment ref="P210" authorId="0" shapeId="0" xr:uid="{00E18039-8A01-4D8C-AA79-466B7D498F20}">
      <text>
        <r>
          <rPr>
            <b/>
            <sz val="9"/>
            <color indexed="81"/>
            <rFont val="Tahoma"/>
            <family val="2"/>
          </rPr>
          <t>&lt;[[DEVDeals] - [Proxy Entities (Seq: 10)] Zip Code - Send]&gt;</t>
        </r>
      </text>
    </comment>
    <comment ref="Q210" authorId="0" shapeId="0" xr:uid="{7478CF45-E8B6-43C4-8B94-4DF631C14F8E}">
      <text>
        <r>
          <rPr>
            <b/>
            <sz val="9"/>
            <color indexed="81"/>
            <rFont val="Tahoma"/>
            <family val="2"/>
          </rPr>
          <t>&lt;[[DEVDeals] - [Proxy Entities (Seq: 10)] Direct Phone - Send]&gt;</t>
        </r>
      </text>
    </comment>
    <comment ref="T210" authorId="0" shapeId="0" xr:uid="{7BBBDD09-61F6-4A2F-AA7F-91E93E5292AA}">
      <text>
        <r>
          <rPr>
            <b/>
            <sz val="9"/>
            <color indexed="81"/>
            <rFont val="Tahoma"/>
            <family val="2"/>
          </rPr>
          <t>&lt;[[DEVDeals] - [Proxy Entities (Seq: 10)] Email Address 1 - Send]&gt;</t>
        </r>
      </text>
    </comment>
    <comment ref="AN210" authorId="0" shapeId="0" xr:uid="{901F02D5-7E29-4312-BBDD-4046DF47CCA2}">
      <text>
        <r>
          <rPr>
            <b/>
            <sz val="9"/>
            <color indexed="81"/>
            <rFont val="Tahoma"/>
            <family val="2"/>
          </rPr>
          <t>&lt;[[DEVDeals] - [Associated TC Deal (Seq: 1)] - [Proxy Entities (Seq: 10)] Deal Entity Role - Send]&gt;</t>
        </r>
      </text>
    </comment>
    <comment ref="AO210" authorId="0" shapeId="0" xr:uid="{96F27E43-E13E-4A6F-AACF-C385B1A8DFDB}">
      <text>
        <r>
          <rPr>
            <b/>
            <sz val="9"/>
            <color indexed="81"/>
            <rFont val="Tahoma"/>
            <family val="2"/>
          </rPr>
          <t>&lt;[[DEVDeals] - [Associated TC Deal (Seq: 1)] - [Proxy Entities (Seq: 10)] Company or Individual? - Send]&gt;</t>
        </r>
      </text>
    </comment>
    <comment ref="AP210" authorId="0" shapeId="0" xr:uid="{AF2E5685-42B4-4FFB-B6AF-1B0A09B4F949}">
      <text>
        <r>
          <rPr>
            <b/>
            <sz val="9"/>
            <color indexed="81"/>
            <rFont val="Tahoma"/>
            <family val="2"/>
          </rPr>
          <t>&lt;[[DEVDeals] - [Associated TC Deal (Seq: 1)] - [Proxy Entities (Seq: 10)] Name (Doing Business As) - Send]&gt;</t>
        </r>
      </text>
    </comment>
    <comment ref="AR210" authorId="0" shapeId="0" xr:uid="{582B4C87-09CE-4587-9391-6DD20249A572}">
      <text>
        <r>
          <rPr>
            <b/>
            <sz val="9"/>
            <color indexed="81"/>
            <rFont val="Tahoma"/>
            <family val="2"/>
          </rPr>
          <t>&lt;[[DEVDeals] - [Associated TC Deal (Seq: 1)] - [Proxy Entities (Seq: 10)] Address 1 - Send]&gt;</t>
        </r>
      </text>
    </comment>
    <comment ref="AS210" authorId="0" shapeId="0" xr:uid="{E0E1133F-B662-42D7-805C-8CD30DF316CA}">
      <text>
        <r>
          <rPr>
            <b/>
            <sz val="9"/>
            <color indexed="81"/>
            <rFont val="Tahoma"/>
            <family val="2"/>
          </rPr>
          <t>&lt;[[DEVDeals] - [Associated TC Deal (Seq: 1)] - [Proxy Entities (Seq: 10)] City - Send]&gt;</t>
        </r>
      </text>
    </comment>
    <comment ref="AU210" authorId="0" shapeId="0" xr:uid="{B007D272-977B-424B-B5C1-E994CBA13AE2}">
      <text>
        <r>
          <rPr>
            <b/>
            <sz val="9"/>
            <color indexed="81"/>
            <rFont val="Tahoma"/>
            <family val="2"/>
          </rPr>
          <t>&lt;[[DEVDeals] - [Associated TC Deal (Seq: 1)] - [Proxy Entities (Seq: 10)] State - Send]&gt;</t>
        </r>
      </text>
    </comment>
    <comment ref="AV210" authorId="0" shapeId="0" xr:uid="{0CF77ACE-FD82-4F68-A13A-AC5B45B8DC23}">
      <text>
        <r>
          <rPr>
            <b/>
            <sz val="9"/>
            <color indexed="81"/>
            <rFont val="Tahoma"/>
            <family val="2"/>
          </rPr>
          <t>&lt;[[DEVDeals] - [Associated TC Deal (Seq: 1)] - [Proxy Entities (Seq: 10)] Zip Code - Send]&gt;</t>
        </r>
      </text>
    </comment>
    <comment ref="AW210" authorId="0" shapeId="0" xr:uid="{F8D583D1-C9BA-4BEB-8644-3FFC22907E0B}">
      <text>
        <r>
          <rPr>
            <b/>
            <sz val="9"/>
            <color indexed="81"/>
            <rFont val="Tahoma"/>
            <family val="2"/>
          </rPr>
          <t>&lt;[[DEVDeals] - [Associated TC Deal (Seq: 1)] - [Proxy Entities (Seq: 10)] Direct Phone - Send]&gt;</t>
        </r>
      </text>
    </comment>
    <comment ref="AZ210" authorId="0" shapeId="0" xr:uid="{7D343AC3-267D-4B74-A829-263737DFF806}">
      <text>
        <r>
          <rPr>
            <b/>
            <sz val="9"/>
            <color indexed="81"/>
            <rFont val="Tahoma"/>
            <family val="2"/>
          </rPr>
          <t>&lt;[[DEVDeals] - [Associated TC Deal (Seq: 1)] - [Proxy Entities (Seq: 10)] Email Address 1 - Send]&gt;</t>
        </r>
      </text>
    </comment>
    <comment ref="H212" authorId="0" shapeId="0" xr:uid="{EAFE0853-E71A-47D1-A07C-26757C7C845B}">
      <text>
        <r>
          <rPr>
            <b/>
            <sz val="9"/>
            <color indexed="81"/>
            <rFont val="Tahoma"/>
            <family val="2"/>
          </rPr>
          <t>&lt;[[DEVDeals] - [Proxy Entities (Seq: 11)] Deal Entity Role - Send]&gt;</t>
        </r>
      </text>
    </comment>
    <comment ref="I212" authorId="0" shapeId="0" xr:uid="{0F6AAE14-8740-437D-8B77-167BC8E06F64}">
      <text>
        <r>
          <rPr>
            <b/>
            <sz val="9"/>
            <color indexed="81"/>
            <rFont val="Tahoma"/>
            <family val="2"/>
          </rPr>
          <t>&lt;[[DEVDeals] - [Proxy Entities (Seq: 11)] Company or Individual? - Send]&gt;</t>
        </r>
      </text>
    </comment>
    <comment ref="J212" authorId="0" shapeId="0" xr:uid="{9FE6104D-4D35-4AAC-A840-EA0C1419ED05}">
      <text>
        <r>
          <rPr>
            <b/>
            <sz val="9"/>
            <color indexed="81"/>
            <rFont val="Tahoma"/>
            <family val="2"/>
          </rPr>
          <t>&lt;[[DEVDeals] - [Proxy Entities (Seq: 11)] First Name - Send]&gt;</t>
        </r>
      </text>
    </comment>
    <comment ref="K212" authorId="0" shapeId="0" xr:uid="{4BD19D50-4B6C-44C5-94F1-655D631D6A47}">
      <text>
        <r>
          <rPr>
            <b/>
            <sz val="9"/>
            <color indexed="81"/>
            <rFont val="Tahoma"/>
            <family val="2"/>
          </rPr>
          <t>&lt;[[DEVDeals] - [Proxy Entities (Seq: 11)] Last Name - Send]&gt;</t>
        </r>
      </text>
    </comment>
    <comment ref="L212" authorId="0" shapeId="0" xr:uid="{BCC00729-83CB-42B0-9AE2-8FA3C5CA5FBD}">
      <text>
        <r>
          <rPr>
            <b/>
            <sz val="9"/>
            <color indexed="81"/>
            <rFont val="Tahoma"/>
            <family val="2"/>
          </rPr>
          <t>&lt;[[DEVDeals] - [Proxy Entities (Seq: 11)] Address 1 - Send]&gt;</t>
        </r>
      </text>
    </comment>
    <comment ref="M212" authorId="0" shapeId="0" xr:uid="{BF36FD5D-8F1A-4D34-B3BC-EC13EDE92586}">
      <text>
        <r>
          <rPr>
            <b/>
            <sz val="9"/>
            <color indexed="81"/>
            <rFont val="Tahoma"/>
            <family val="2"/>
          </rPr>
          <t>&lt;[[DEVDeals] - [Proxy Entities (Seq: 11)] City - Send]&gt;</t>
        </r>
      </text>
    </comment>
    <comment ref="O212" authorId="0" shapeId="0" xr:uid="{1FAE981C-AD42-4C81-9478-E0C35FA8E203}">
      <text>
        <r>
          <rPr>
            <b/>
            <sz val="9"/>
            <color indexed="81"/>
            <rFont val="Tahoma"/>
            <family val="2"/>
          </rPr>
          <t>&lt;[[DEVDeals] - [Proxy Entities (Seq: 11)] State - Send]&gt;</t>
        </r>
      </text>
    </comment>
    <comment ref="P212" authorId="0" shapeId="0" xr:uid="{5A182D19-F6DA-4660-B6EF-9A6698B81085}">
      <text>
        <r>
          <rPr>
            <b/>
            <sz val="9"/>
            <color indexed="81"/>
            <rFont val="Tahoma"/>
            <family val="2"/>
          </rPr>
          <t>&lt;[[DEVDeals] - [Proxy Entities (Seq: 11)] Zip Code - Send]&gt;</t>
        </r>
      </text>
    </comment>
    <comment ref="Q212" authorId="0" shapeId="0" xr:uid="{197A832D-5D48-4431-9379-5142DC1559CC}">
      <text>
        <r>
          <rPr>
            <b/>
            <sz val="9"/>
            <color indexed="81"/>
            <rFont val="Tahoma"/>
            <family val="2"/>
          </rPr>
          <t>&lt;[[DEVDeals] - [Proxy Entities (Seq: 11)] Direct Phone - Send]&gt;</t>
        </r>
      </text>
    </comment>
    <comment ref="T212" authorId="0" shapeId="0" xr:uid="{D2EEA220-5974-4BAD-A16E-D4491D4CAD71}">
      <text>
        <r>
          <rPr>
            <b/>
            <sz val="9"/>
            <color indexed="81"/>
            <rFont val="Tahoma"/>
            <family val="2"/>
          </rPr>
          <t>&lt;[[DEVDeals] - [Proxy Entities (Seq: 11)] Email Address 1 - Send]&gt;</t>
        </r>
      </text>
    </comment>
    <comment ref="AN212" authorId="0" shapeId="0" xr:uid="{A08044B5-1C67-4A76-8993-AD4FE7B99A52}">
      <text>
        <r>
          <rPr>
            <b/>
            <sz val="9"/>
            <color indexed="81"/>
            <rFont val="Tahoma"/>
            <family val="2"/>
          </rPr>
          <t>&lt;[[DEVDeals] - [Associated TC Deal (Seq: 1)] - [Proxy Entities (Seq: 11)] Deal Entity Role - Send]&gt;</t>
        </r>
      </text>
    </comment>
    <comment ref="AO212" authorId="0" shapeId="0" xr:uid="{F10EAF74-F53F-41FA-B6B6-F9ADEAF6A757}">
      <text>
        <r>
          <rPr>
            <b/>
            <sz val="9"/>
            <color indexed="81"/>
            <rFont val="Tahoma"/>
            <family val="2"/>
          </rPr>
          <t>&lt;[[DEVDeals] - [Associated TC Deal (Seq: 1)] - [Proxy Entities (Seq: 11)] Company or Individual? - Send]&gt;</t>
        </r>
      </text>
    </comment>
    <comment ref="AP212" authorId="0" shapeId="0" xr:uid="{46590CBD-DF3A-4DB7-894F-804AC0CE427C}">
      <text>
        <r>
          <rPr>
            <b/>
            <sz val="9"/>
            <color indexed="81"/>
            <rFont val="Tahoma"/>
            <family val="2"/>
          </rPr>
          <t>&lt;[[DEVDeals] - [Associated TC Deal (Seq: 1)] - [Proxy Entities (Seq: 11)] First Name - Send]&gt;</t>
        </r>
      </text>
    </comment>
    <comment ref="AQ212" authorId="0" shapeId="0" xr:uid="{1B8E3467-43FF-4B03-88D4-4FBE21A048D2}">
      <text>
        <r>
          <rPr>
            <b/>
            <sz val="9"/>
            <color indexed="81"/>
            <rFont val="Tahoma"/>
            <family val="2"/>
          </rPr>
          <t>&lt;[[DEVDeals] - [Associated TC Deal (Seq: 1)] - [Proxy Entities (Seq: 11)] Last Name - Send]&gt;</t>
        </r>
      </text>
    </comment>
    <comment ref="AR212" authorId="0" shapeId="0" xr:uid="{29B191F5-405B-4CB1-861E-AEB7B8EED412}">
      <text>
        <r>
          <rPr>
            <b/>
            <sz val="9"/>
            <color indexed="81"/>
            <rFont val="Tahoma"/>
            <family val="2"/>
          </rPr>
          <t>&lt;[[DEVDeals] - [Associated TC Deal (Seq: 1)] - [Proxy Entities (Seq: 11)] Address 1 - Send]&gt;</t>
        </r>
      </text>
    </comment>
    <comment ref="AS212" authorId="0" shapeId="0" xr:uid="{C0F272B1-C404-4C04-A988-D967BF7C54CE}">
      <text>
        <r>
          <rPr>
            <b/>
            <sz val="9"/>
            <color indexed="81"/>
            <rFont val="Tahoma"/>
            <family val="2"/>
          </rPr>
          <t>&lt;[[DEVDeals] - [Associated TC Deal (Seq: 1)] - [Proxy Entities (Seq: 11)] City - Send]&gt;</t>
        </r>
      </text>
    </comment>
    <comment ref="AU212" authorId="0" shapeId="0" xr:uid="{D705770E-C45D-4CDB-AFFC-0CF5E58AA38C}">
      <text>
        <r>
          <rPr>
            <b/>
            <sz val="9"/>
            <color indexed="81"/>
            <rFont val="Tahoma"/>
            <family val="2"/>
          </rPr>
          <t>&lt;[[DEVDeals] - [Associated TC Deal (Seq: 1)] - [Proxy Entities (Seq: 11)] State - Send]&gt;</t>
        </r>
      </text>
    </comment>
    <comment ref="AV212" authorId="0" shapeId="0" xr:uid="{9712827D-5D14-4160-A1AE-B109515DD747}">
      <text>
        <r>
          <rPr>
            <b/>
            <sz val="9"/>
            <color indexed="81"/>
            <rFont val="Tahoma"/>
            <family val="2"/>
          </rPr>
          <t>&lt;[[DEVDeals] - [Associated TC Deal (Seq: 1)] - [Proxy Entities (Seq: 11)] Zip Code - Send]&gt;</t>
        </r>
      </text>
    </comment>
    <comment ref="AW212" authorId="0" shapeId="0" xr:uid="{59B98CEB-E405-4B92-A9A2-66DECBC259F5}">
      <text>
        <r>
          <rPr>
            <b/>
            <sz val="9"/>
            <color indexed="81"/>
            <rFont val="Tahoma"/>
            <family val="2"/>
          </rPr>
          <t>&lt;[[DEVDeals] - [Associated TC Deal (Seq: 1)] - [Proxy Entities (Seq: 11)] Direct Phone - Send]&gt;</t>
        </r>
      </text>
    </comment>
    <comment ref="AZ212" authorId="0" shapeId="0" xr:uid="{A9C3B86F-54A8-4784-8BAD-1AF90A3B4B17}">
      <text>
        <r>
          <rPr>
            <b/>
            <sz val="9"/>
            <color indexed="81"/>
            <rFont val="Tahoma"/>
            <family val="2"/>
          </rPr>
          <t>&lt;[[DEVDeals] - [Associated TC Deal (Seq: 1)] - [Proxy Entities (Seq: 11)] Email Address 1 - Send]&gt;</t>
        </r>
      </text>
    </comment>
    <comment ref="H213" authorId="0" shapeId="0" xr:uid="{21F17232-0449-4525-9091-229BE400ABA4}">
      <text>
        <r>
          <rPr>
            <b/>
            <sz val="9"/>
            <color indexed="81"/>
            <rFont val="Tahoma"/>
            <family val="2"/>
          </rPr>
          <t>&lt;[[DEVDeals] - [Proxy Entities (Seq: 12)] Deal Entity Role - Send]&gt;</t>
        </r>
      </text>
    </comment>
    <comment ref="I213" authorId="0" shapeId="0" xr:uid="{DD0A6B94-642B-4293-881F-17FC26A540C9}">
      <text>
        <r>
          <rPr>
            <b/>
            <sz val="9"/>
            <color indexed="81"/>
            <rFont val="Tahoma"/>
            <family val="2"/>
          </rPr>
          <t>&lt;[[DEVDeals] - [Proxy Entities (Seq: 12)] Company or Individual? - Send]&gt;</t>
        </r>
      </text>
    </comment>
    <comment ref="J213" authorId="0" shapeId="0" xr:uid="{B78F4DA8-1C04-4E2E-98E2-244D1B1144A6}">
      <text>
        <r>
          <rPr>
            <b/>
            <sz val="9"/>
            <color indexed="81"/>
            <rFont val="Tahoma"/>
            <family val="2"/>
          </rPr>
          <t>&lt;[[DEVDeals] - [Proxy Entities (Seq: 12)] First Name - Send]&gt;</t>
        </r>
      </text>
    </comment>
    <comment ref="K213" authorId="0" shapeId="0" xr:uid="{E6429FF2-6A10-49B8-8192-A7660BBA8A20}">
      <text>
        <r>
          <rPr>
            <b/>
            <sz val="9"/>
            <color indexed="81"/>
            <rFont val="Tahoma"/>
            <family val="2"/>
          </rPr>
          <t>&lt;[[DEVDeals] - [Proxy Entities (Seq: 12)] Last Name - Send]&gt;</t>
        </r>
      </text>
    </comment>
    <comment ref="L213" authorId="0" shapeId="0" xr:uid="{A4663D81-3A76-4A75-B098-96879457ADE7}">
      <text>
        <r>
          <rPr>
            <b/>
            <sz val="9"/>
            <color indexed="81"/>
            <rFont val="Tahoma"/>
            <family val="2"/>
          </rPr>
          <t>&lt;[[DEVDeals] - [Proxy Entities (Seq: 12)] Address 1 - Send]&gt;</t>
        </r>
      </text>
    </comment>
    <comment ref="M213" authorId="0" shapeId="0" xr:uid="{BFB2D39B-DB8E-4B80-A066-4AB905141D75}">
      <text>
        <r>
          <rPr>
            <b/>
            <sz val="9"/>
            <color indexed="81"/>
            <rFont val="Tahoma"/>
            <family val="2"/>
          </rPr>
          <t>&lt;[[DEVDeals] - [Proxy Entities (Seq: 12)] City - Send]&gt;</t>
        </r>
      </text>
    </comment>
    <comment ref="O213" authorId="0" shapeId="0" xr:uid="{C0BA6498-DB81-4D2E-B177-98B24EBC83CD}">
      <text>
        <r>
          <rPr>
            <b/>
            <sz val="9"/>
            <color indexed="81"/>
            <rFont val="Tahoma"/>
            <family val="2"/>
          </rPr>
          <t>&lt;[[DEVDeals] - [Proxy Entities (Seq: 12)] State - Send]&gt;</t>
        </r>
      </text>
    </comment>
    <comment ref="P213" authorId="0" shapeId="0" xr:uid="{0037108C-795F-4B22-9A21-8C461DB806EB}">
      <text>
        <r>
          <rPr>
            <b/>
            <sz val="9"/>
            <color indexed="81"/>
            <rFont val="Tahoma"/>
            <family val="2"/>
          </rPr>
          <t>&lt;[[DEVDeals] - [Proxy Entities (Seq: 12)] Zip Code - Send]&gt;</t>
        </r>
      </text>
    </comment>
    <comment ref="Q213" authorId="0" shapeId="0" xr:uid="{3633DC92-A96E-4DAF-98E2-5EEDE7B1B8CD}">
      <text>
        <r>
          <rPr>
            <b/>
            <sz val="9"/>
            <color indexed="81"/>
            <rFont val="Tahoma"/>
            <family val="2"/>
          </rPr>
          <t>&lt;[[DEVDeals] - [Proxy Entities (Seq: 12)] Direct Phone - Send]&gt;</t>
        </r>
      </text>
    </comment>
    <comment ref="T213" authorId="0" shapeId="0" xr:uid="{F5250E85-C0A2-4DA0-ABA0-0FA55D244370}">
      <text>
        <r>
          <rPr>
            <b/>
            <sz val="9"/>
            <color indexed="81"/>
            <rFont val="Tahoma"/>
            <family val="2"/>
          </rPr>
          <t>&lt;[[DEVDeals] - [Proxy Entities (Seq: 12)] Email Address 1 - Send]&gt;</t>
        </r>
      </text>
    </comment>
    <comment ref="AN213" authorId="0" shapeId="0" xr:uid="{C394F4AE-BA70-45BA-9322-A7E61F2449C1}">
      <text>
        <r>
          <rPr>
            <b/>
            <sz val="9"/>
            <color indexed="81"/>
            <rFont val="Tahoma"/>
            <family val="2"/>
          </rPr>
          <t>&lt;[[DEVDeals] - [Associated TC Deal (Seq: 1)] - [Proxy Entities (Seq: 12)] Deal Entity Role - Send]&gt;</t>
        </r>
      </text>
    </comment>
    <comment ref="AO213" authorId="0" shapeId="0" xr:uid="{E1F4B790-7AA3-434A-B462-E5C9274BD7E4}">
      <text>
        <r>
          <rPr>
            <b/>
            <sz val="9"/>
            <color indexed="81"/>
            <rFont val="Tahoma"/>
            <family val="2"/>
          </rPr>
          <t>&lt;[[DEVDeals] - [Associated TC Deal (Seq: 1)] - [Proxy Entities (Seq: 12)] Company or Individual? - Send]&gt;</t>
        </r>
      </text>
    </comment>
    <comment ref="AP213" authorId="0" shapeId="0" xr:uid="{F05B8098-56DD-4624-96A3-1F19A632D538}">
      <text>
        <r>
          <rPr>
            <b/>
            <sz val="9"/>
            <color indexed="81"/>
            <rFont val="Tahoma"/>
            <family val="2"/>
          </rPr>
          <t>&lt;[[DEVDeals] - [Associated TC Deal (Seq: 1)] - [Proxy Entities (Seq: 12)] First Name - Send]&gt;</t>
        </r>
      </text>
    </comment>
    <comment ref="AQ213" authorId="0" shapeId="0" xr:uid="{9AB72020-4910-4911-A513-FB70485539AC}">
      <text>
        <r>
          <rPr>
            <b/>
            <sz val="9"/>
            <color indexed="81"/>
            <rFont val="Tahoma"/>
            <family val="2"/>
          </rPr>
          <t>&lt;[[DEVDeals] - [Associated TC Deal (Seq: 1)] - [Proxy Entities (Seq: 12)] Last Name - Send]&gt;</t>
        </r>
      </text>
    </comment>
    <comment ref="AR213" authorId="0" shapeId="0" xr:uid="{2ACB86AE-4251-47DF-840B-BAB882410349}">
      <text>
        <r>
          <rPr>
            <b/>
            <sz val="9"/>
            <color indexed="81"/>
            <rFont val="Tahoma"/>
            <family val="2"/>
          </rPr>
          <t>&lt;[[DEVDeals] - [Associated TC Deal (Seq: 1)] - [Proxy Entities (Seq: 12)] Address 1 - Send]&gt;</t>
        </r>
      </text>
    </comment>
    <comment ref="AS213" authorId="0" shapeId="0" xr:uid="{C2186638-CBB5-4CF8-A480-7E30FAAA61C0}">
      <text>
        <r>
          <rPr>
            <b/>
            <sz val="9"/>
            <color indexed="81"/>
            <rFont val="Tahoma"/>
            <family val="2"/>
          </rPr>
          <t>&lt;[[DEVDeals] - [Associated TC Deal (Seq: 1)] - [Proxy Entities (Seq: 12)] City - Send]&gt;</t>
        </r>
      </text>
    </comment>
    <comment ref="AU213" authorId="0" shapeId="0" xr:uid="{6FC0B7D6-9FF2-4F00-AF65-BECCAA70EFD9}">
      <text>
        <r>
          <rPr>
            <b/>
            <sz val="9"/>
            <color indexed="81"/>
            <rFont val="Tahoma"/>
            <family val="2"/>
          </rPr>
          <t>&lt;[[DEVDeals] - [Associated TC Deal (Seq: 1)] - [Proxy Entities (Seq: 12)] State - Send]&gt;</t>
        </r>
      </text>
    </comment>
    <comment ref="AV213" authorId="0" shapeId="0" xr:uid="{22864BB8-1474-46B2-8552-D10303382B99}">
      <text>
        <r>
          <rPr>
            <b/>
            <sz val="9"/>
            <color indexed="81"/>
            <rFont val="Tahoma"/>
            <family val="2"/>
          </rPr>
          <t>&lt;[[DEVDeals] - [Associated TC Deal (Seq: 1)] - [Proxy Entities (Seq: 12)] Zip Code - Send]&gt;</t>
        </r>
      </text>
    </comment>
    <comment ref="AW213" authorId="0" shapeId="0" xr:uid="{5EE84716-3915-4A9B-9735-E6417E5A689A}">
      <text>
        <r>
          <rPr>
            <b/>
            <sz val="9"/>
            <color indexed="81"/>
            <rFont val="Tahoma"/>
            <family val="2"/>
          </rPr>
          <t>&lt;[[DEVDeals] - [Associated TC Deal (Seq: 1)] - [Proxy Entities (Seq: 12)] Direct Phone - Send]&gt;</t>
        </r>
      </text>
    </comment>
    <comment ref="AZ213" authorId="0" shapeId="0" xr:uid="{AB791010-71A0-45C8-B8E7-3189E003ABFB}">
      <text>
        <r>
          <rPr>
            <b/>
            <sz val="9"/>
            <color indexed="81"/>
            <rFont val="Tahoma"/>
            <family val="2"/>
          </rPr>
          <t>&lt;[[DEVDeals] - [Associated TC Deal (Seq: 1)] - [Proxy Entities (Seq: 12)] Email Address 1 - Send]&gt;</t>
        </r>
      </text>
    </comment>
    <comment ref="H214" authorId="0" shapeId="0" xr:uid="{273BC88E-51D2-4C7F-A3F3-122B59B6CDF6}">
      <text>
        <r>
          <rPr>
            <b/>
            <sz val="9"/>
            <color indexed="81"/>
            <rFont val="Tahoma"/>
            <family val="2"/>
          </rPr>
          <t>&lt;[[DEVDeals] - [Proxy Entities (Seq: 13)] Deal Entity Role - Send]&gt;</t>
        </r>
      </text>
    </comment>
    <comment ref="I214" authorId="0" shapeId="0" xr:uid="{58877AAF-EEB9-4E65-9BDE-2262B4CF31E5}">
      <text>
        <r>
          <rPr>
            <b/>
            <sz val="9"/>
            <color indexed="81"/>
            <rFont val="Tahoma"/>
            <family val="2"/>
          </rPr>
          <t>&lt;[[DEVDeals] - [Proxy Entities (Seq: 13)] Company or Individual? - Send]&gt;</t>
        </r>
      </text>
    </comment>
    <comment ref="J214" authorId="0" shapeId="0" xr:uid="{7AF70839-8B6A-4ED8-85C1-7E003D398DAF}">
      <text>
        <r>
          <rPr>
            <b/>
            <sz val="9"/>
            <color indexed="81"/>
            <rFont val="Tahoma"/>
            <family val="2"/>
          </rPr>
          <t>&lt;[[DEVDeals] - [Proxy Entities (Seq: 13)] First Name - Send]&gt;</t>
        </r>
      </text>
    </comment>
    <comment ref="K214" authorId="0" shapeId="0" xr:uid="{E04AA2DE-324D-46F8-B564-50B9C9942B68}">
      <text>
        <r>
          <rPr>
            <b/>
            <sz val="9"/>
            <color indexed="81"/>
            <rFont val="Tahoma"/>
            <family val="2"/>
          </rPr>
          <t>&lt;[[DEVDeals] - [Proxy Entities (Seq: 13)] Last Name - Send]&gt;</t>
        </r>
      </text>
    </comment>
    <comment ref="L214" authorId="0" shapeId="0" xr:uid="{C6271B16-B635-4A9F-9344-A4D6768C0636}">
      <text>
        <r>
          <rPr>
            <b/>
            <sz val="9"/>
            <color indexed="81"/>
            <rFont val="Tahoma"/>
            <family val="2"/>
          </rPr>
          <t>&lt;[[DEVDeals] - [Proxy Entities (Seq: 13)] Address 1 - Send]&gt;</t>
        </r>
      </text>
    </comment>
    <comment ref="M214" authorId="0" shapeId="0" xr:uid="{A3720696-A953-4BA4-9588-12E46B62373F}">
      <text>
        <r>
          <rPr>
            <b/>
            <sz val="9"/>
            <color indexed="81"/>
            <rFont val="Tahoma"/>
            <family val="2"/>
          </rPr>
          <t>&lt;[[DEVDeals] - [Proxy Entities (Seq: 13)] City - Send]&gt;</t>
        </r>
      </text>
    </comment>
    <comment ref="O214" authorId="0" shapeId="0" xr:uid="{8C6B7AE0-1938-4439-83E6-34C8A192103F}">
      <text>
        <r>
          <rPr>
            <b/>
            <sz val="9"/>
            <color indexed="81"/>
            <rFont val="Tahoma"/>
            <family val="2"/>
          </rPr>
          <t>&lt;[[DEVDeals] - [Proxy Entities (Seq: 13)] State - Send]&gt;</t>
        </r>
      </text>
    </comment>
    <comment ref="P214" authorId="0" shapeId="0" xr:uid="{A1F90291-D261-46A5-B1B2-784D79002C3D}">
      <text>
        <r>
          <rPr>
            <b/>
            <sz val="9"/>
            <color indexed="81"/>
            <rFont val="Tahoma"/>
            <family val="2"/>
          </rPr>
          <t>&lt;[[DEVDeals] - [Proxy Entities (Seq: 13)] Zip Code - Send]&gt;</t>
        </r>
      </text>
    </comment>
    <comment ref="Q214" authorId="0" shapeId="0" xr:uid="{64160C5F-F83B-42E2-8142-AB55D648ACFF}">
      <text>
        <r>
          <rPr>
            <b/>
            <sz val="9"/>
            <color indexed="81"/>
            <rFont val="Tahoma"/>
            <family val="2"/>
          </rPr>
          <t>&lt;[[DEVDeals] - [Proxy Entities (Seq: 13)] Direct Phone - Send]&gt;</t>
        </r>
      </text>
    </comment>
    <comment ref="T214" authorId="0" shapeId="0" xr:uid="{5760791D-1B78-4EE7-887E-0AFE55EBB9B8}">
      <text>
        <r>
          <rPr>
            <b/>
            <sz val="9"/>
            <color indexed="81"/>
            <rFont val="Tahoma"/>
            <family val="2"/>
          </rPr>
          <t>&lt;[[DEVDeals] - [Proxy Entities (Seq: 13)] Email Address 1 - Send]&gt;</t>
        </r>
      </text>
    </comment>
    <comment ref="AN214" authorId="0" shapeId="0" xr:uid="{799EE036-34CB-4A36-95B4-D00A150F4E8B}">
      <text>
        <r>
          <rPr>
            <b/>
            <sz val="9"/>
            <color indexed="81"/>
            <rFont val="Tahoma"/>
            <family val="2"/>
          </rPr>
          <t>&lt;[[DEVDeals] - [Associated TC Deal (Seq: 1)] - [Proxy Entities (Seq: 13)] Deal Entity Role - Send]&gt;</t>
        </r>
      </text>
    </comment>
    <comment ref="AO214" authorId="0" shapeId="0" xr:uid="{84B9731B-0C64-4020-A51A-2E0E0852C7DC}">
      <text>
        <r>
          <rPr>
            <b/>
            <sz val="9"/>
            <color indexed="81"/>
            <rFont val="Tahoma"/>
            <family val="2"/>
          </rPr>
          <t>&lt;[[DEVDeals] - [Associated TC Deal (Seq: 1)] - [Proxy Entities (Seq: 13)] Company or Individual? - Send]&gt;</t>
        </r>
      </text>
    </comment>
    <comment ref="AP214" authorId="0" shapeId="0" xr:uid="{2FEA042F-090D-4FA2-83B5-018D2A7A87E1}">
      <text>
        <r>
          <rPr>
            <b/>
            <sz val="9"/>
            <color indexed="81"/>
            <rFont val="Tahoma"/>
            <family val="2"/>
          </rPr>
          <t>&lt;[[DEVDeals] - [Associated TC Deal (Seq: 1)] - [Proxy Entities (Seq: 13)] First Name - Send]&gt;</t>
        </r>
      </text>
    </comment>
    <comment ref="AQ214" authorId="0" shapeId="0" xr:uid="{EA60E099-AB7C-46E8-B221-ED925588E19D}">
      <text>
        <r>
          <rPr>
            <b/>
            <sz val="9"/>
            <color indexed="81"/>
            <rFont val="Tahoma"/>
            <family val="2"/>
          </rPr>
          <t>&lt;[[DEVDeals] - [Associated TC Deal (Seq: 1)] - [Proxy Entities (Seq: 13)] Last Name - Send]&gt;</t>
        </r>
      </text>
    </comment>
    <comment ref="AR214" authorId="0" shapeId="0" xr:uid="{818FE5BD-8C96-469C-80F9-D80C5EA57941}">
      <text>
        <r>
          <rPr>
            <b/>
            <sz val="9"/>
            <color indexed="81"/>
            <rFont val="Tahoma"/>
            <family val="2"/>
          </rPr>
          <t>&lt;[[DEVDeals] - [Associated TC Deal (Seq: 1)] - [Proxy Entities (Seq: 13)] Address 1 - Send]&gt;</t>
        </r>
      </text>
    </comment>
    <comment ref="AS214" authorId="0" shapeId="0" xr:uid="{0BA17874-D620-4752-98BB-D29CFB42FCE5}">
      <text>
        <r>
          <rPr>
            <b/>
            <sz val="9"/>
            <color indexed="81"/>
            <rFont val="Tahoma"/>
            <family val="2"/>
          </rPr>
          <t>&lt;[[DEVDeals] - [Associated TC Deal (Seq: 1)] - [Proxy Entities (Seq: 13)] City - Send]&gt;</t>
        </r>
      </text>
    </comment>
    <comment ref="AU214" authorId="0" shapeId="0" xr:uid="{FF265371-B729-46B4-9C97-00D909B05C73}">
      <text>
        <r>
          <rPr>
            <b/>
            <sz val="9"/>
            <color indexed="81"/>
            <rFont val="Tahoma"/>
            <family val="2"/>
          </rPr>
          <t>&lt;[[DEVDeals] - [Associated TC Deal (Seq: 1)] - [Proxy Entities (Seq: 13)] State - Send]&gt;</t>
        </r>
      </text>
    </comment>
    <comment ref="AV214" authorId="0" shapeId="0" xr:uid="{D2D8AD8F-C21D-46CB-B914-CF517E2D734F}">
      <text>
        <r>
          <rPr>
            <b/>
            <sz val="9"/>
            <color indexed="81"/>
            <rFont val="Tahoma"/>
            <family val="2"/>
          </rPr>
          <t>&lt;[[DEVDeals] - [Associated TC Deal (Seq: 1)] - [Proxy Entities (Seq: 13)] Zip Code - Send]&gt;</t>
        </r>
      </text>
    </comment>
    <comment ref="AW214" authorId="0" shapeId="0" xr:uid="{2CC3F84F-33ED-4C04-BAC3-367A281F9AA3}">
      <text>
        <r>
          <rPr>
            <b/>
            <sz val="9"/>
            <color indexed="81"/>
            <rFont val="Tahoma"/>
            <family val="2"/>
          </rPr>
          <t>&lt;[[DEVDeals] - [Associated TC Deal (Seq: 1)] - [Proxy Entities (Seq: 13)] Direct Phone - Send]&gt;</t>
        </r>
      </text>
    </comment>
    <comment ref="AZ214" authorId="0" shapeId="0" xr:uid="{96D4DF59-5033-4B16-83C2-57C006257C0B}">
      <text>
        <r>
          <rPr>
            <b/>
            <sz val="9"/>
            <color indexed="81"/>
            <rFont val="Tahoma"/>
            <family val="2"/>
          </rPr>
          <t>&lt;[[DEVDeals] - [Associated TC Deal (Seq: 1)] - [Proxy Entities (Seq: 13)] Email Address 1 - Send]&gt;</t>
        </r>
      </text>
    </comment>
    <comment ref="H215" authorId="0" shapeId="0" xr:uid="{C565C64F-B7FD-48DC-8C9D-F3467764AF79}">
      <text>
        <r>
          <rPr>
            <b/>
            <sz val="9"/>
            <color indexed="81"/>
            <rFont val="Tahoma"/>
            <family val="2"/>
          </rPr>
          <t>&lt;[[DEVDeals] - [Proxy Entities (Seq: 14)] Deal Entity Role - Send]&gt;</t>
        </r>
      </text>
    </comment>
    <comment ref="I215" authorId="0" shapeId="0" xr:uid="{2A7E55A8-40C2-4B6A-A6AE-CE164D5D195D}">
      <text>
        <r>
          <rPr>
            <b/>
            <sz val="9"/>
            <color indexed="81"/>
            <rFont val="Tahoma"/>
            <family val="2"/>
          </rPr>
          <t>&lt;[[DEVDeals] - [Proxy Entities (Seq: 14)] Company or Individual? - Send]&gt;</t>
        </r>
      </text>
    </comment>
    <comment ref="J215" authorId="0" shapeId="0" xr:uid="{5620C25B-D9F7-4681-8E4F-4104D738ADD5}">
      <text>
        <r>
          <rPr>
            <b/>
            <sz val="9"/>
            <color indexed="81"/>
            <rFont val="Tahoma"/>
            <family val="2"/>
          </rPr>
          <t>&lt;[[DEVDeals] - [Proxy Entities (Seq: 14)] First Name - Send]&gt;</t>
        </r>
      </text>
    </comment>
    <comment ref="K215" authorId="0" shapeId="0" xr:uid="{C0CA6EB2-8F12-407B-962C-45D376C2B89C}">
      <text>
        <r>
          <rPr>
            <b/>
            <sz val="9"/>
            <color indexed="81"/>
            <rFont val="Tahoma"/>
            <family val="2"/>
          </rPr>
          <t>&lt;[[DEVDeals] - [Proxy Entities (Seq: 14)] Last Name - Send]&gt;</t>
        </r>
      </text>
    </comment>
    <comment ref="L215" authorId="0" shapeId="0" xr:uid="{A553880D-F7B2-4C6B-8A5C-C36C4A140DC0}">
      <text>
        <r>
          <rPr>
            <b/>
            <sz val="9"/>
            <color indexed="81"/>
            <rFont val="Tahoma"/>
            <family val="2"/>
          </rPr>
          <t>&lt;[[DEVDeals] - [Proxy Entities (Seq: 14)] Address 1 - Send]&gt;</t>
        </r>
      </text>
    </comment>
    <comment ref="M215" authorId="0" shapeId="0" xr:uid="{E9910958-F5D4-4D36-B263-8EC67FD4BF73}">
      <text>
        <r>
          <rPr>
            <b/>
            <sz val="9"/>
            <color indexed="81"/>
            <rFont val="Tahoma"/>
            <family val="2"/>
          </rPr>
          <t>&lt;[[DEVDeals] - [Proxy Entities (Seq: 14)] City - Send]&gt;</t>
        </r>
      </text>
    </comment>
    <comment ref="O215" authorId="0" shapeId="0" xr:uid="{1F62BF4C-52EF-40A0-B265-C603098E6C16}">
      <text>
        <r>
          <rPr>
            <b/>
            <sz val="9"/>
            <color indexed="81"/>
            <rFont val="Tahoma"/>
            <family val="2"/>
          </rPr>
          <t>&lt;[[DEVDeals] - [Proxy Entities (Seq: 14)] State - Send]&gt;</t>
        </r>
      </text>
    </comment>
    <comment ref="P215" authorId="0" shapeId="0" xr:uid="{307FDFA3-A313-4F61-B689-EDF0AEEA0997}">
      <text>
        <r>
          <rPr>
            <b/>
            <sz val="9"/>
            <color indexed="81"/>
            <rFont val="Tahoma"/>
            <family val="2"/>
          </rPr>
          <t>&lt;[[DEVDeals] - [Proxy Entities (Seq: 14)] Zip Code - Send]&gt;</t>
        </r>
      </text>
    </comment>
    <comment ref="Q215" authorId="0" shapeId="0" xr:uid="{6E910253-E959-4608-8159-AA7887F0F70F}">
      <text>
        <r>
          <rPr>
            <b/>
            <sz val="9"/>
            <color indexed="81"/>
            <rFont val="Tahoma"/>
            <family val="2"/>
          </rPr>
          <t>&lt;[[DEVDeals] - [Proxy Entities (Seq: 14)] Direct Phone - Send]&gt;</t>
        </r>
      </text>
    </comment>
    <comment ref="T215" authorId="0" shapeId="0" xr:uid="{13DF8C1E-AF68-4F40-A958-80EE4FC4D7DE}">
      <text>
        <r>
          <rPr>
            <b/>
            <sz val="9"/>
            <color indexed="81"/>
            <rFont val="Tahoma"/>
            <family val="2"/>
          </rPr>
          <t>&lt;[[DEVDeals] - [Proxy Entities (Seq: 14)] Email Address 1 - Send]&gt;</t>
        </r>
      </text>
    </comment>
    <comment ref="AN215" authorId="0" shapeId="0" xr:uid="{4680346A-9F98-45F4-9007-5F2818C02285}">
      <text>
        <r>
          <rPr>
            <b/>
            <sz val="9"/>
            <color indexed="81"/>
            <rFont val="Tahoma"/>
            <family val="2"/>
          </rPr>
          <t>&lt;[[DEVDeals] - [Associated TC Deal (Seq: 1)] - [Proxy Entities (Seq: 14)] Deal Entity Role - Send]&gt;</t>
        </r>
      </text>
    </comment>
    <comment ref="AO215" authorId="0" shapeId="0" xr:uid="{1280EF80-B232-4D5F-B2E0-1B167E688755}">
      <text>
        <r>
          <rPr>
            <b/>
            <sz val="9"/>
            <color indexed="81"/>
            <rFont val="Tahoma"/>
            <family val="2"/>
          </rPr>
          <t>&lt;[[DEVDeals] - [Associated TC Deal (Seq: 1)] - [Proxy Entities (Seq: 14)] Company or Individual? - Send]&gt;</t>
        </r>
      </text>
    </comment>
    <comment ref="AP215" authorId="0" shapeId="0" xr:uid="{E42A77A1-6F43-404B-A149-6B72A3624E8D}">
      <text>
        <r>
          <rPr>
            <b/>
            <sz val="9"/>
            <color indexed="81"/>
            <rFont val="Tahoma"/>
            <family val="2"/>
          </rPr>
          <t>&lt;[[DEVDeals] - [Associated TC Deal (Seq: 1)] - [Proxy Entities (Seq: 14)] First Name - Send]&gt;</t>
        </r>
      </text>
    </comment>
    <comment ref="AQ215" authorId="0" shapeId="0" xr:uid="{BA888A6B-1619-4BFF-9CCB-3A382ABFC927}">
      <text>
        <r>
          <rPr>
            <b/>
            <sz val="9"/>
            <color indexed="81"/>
            <rFont val="Tahoma"/>
            <family val="2"/>
          </rPr>
          <t>&lt;[[DEVDeals] - [Associated TC Deal (Seq: 1)] - [Proxy Entities (Seq: 14)] Last Name - Send]&gt;</t>
        </r>
      </text>
    </comment>
    <comment ref="AR215" authorId="0" shapeId="0" xr:uid="{6CBE2583-070B-482D-97AE-E216BB17A9FD}">
      <text>
        <r>
          <rPr>
            <b/>
            <sz val="9"/>
            <color indexed="81"/>
            <rFont val="Tahoma"/>
            <family val="2"/>
          </rPr>
          <t>&lt;[[DEVDeals] - [Associated TC Deal (Seq: 1)] - [Proxy Entities (Seq: 14)] Address 1 - Send]&gt;</t>
        </r>
      </text>
    </comment>
    <comment ref="AS215" authorId="0" shapeId="0" xr:uid="{167AC461-CF45-4614-99C3-9CE97FB0F4FF}">
      <text>
        <r>
          <rPr>
            <b/>
            <sz val="9"/>
            <color indexed="81"/>
            <rFont val="Tahoma"/>
            <family val="2"/>
          </rPr>
          <t>&lt;[[DEVDeals] - [Associated TC Deal (Seq: 1)] - [Proxy Entities (Seq: 14)] City - Send]&gt;</t>
        </r>
      </text>
    </comment>
    <comment ref="AU215" authorId="0" shapeId="0" xr:uid="{20A13020-1703-4D70-A721-B34E29A2BFF0}">
      <text>
        <r>
          <rPr>
            <b/>
            <sz val="9"/>
            <color indexed="81"/>
            <rFont val="Tahoma"/>
            <family val="2"/>
          </rPr>
          <t>&lt;[[DEVDeals] - [Associated TC Deal (Seq: 1)] - [Proxy Entities (Seq: 14)] State - Send]&gt;</t>
        </r>
      </text>
    </comment>
    <comment ref="AV215" authorId="0" shapeId="0" xr:uid="{4A628961-99D1-4F8E-ABB6-E8006FABF805}">
      <text>
        <r>
          <rPr>
            <b/>
            <sz val="9"/>
            <color indexed="81"/>
            <rFont val="Tahoma"/>
            <family val="2"/>
          </rPr>
          <t>&lt;[[DEVDeals] - [Associated TC Deal (Seq: 1)] - [Proxy Entities (Seq: 14)] Zip Code - Send]&gt;</t>
        </r>
      </text>
    </comment>
    <comment ref="AW215" authorId="0" shapeId="0" xr:uid="{118FDE48-D982-402C-8977-760B7C9DCCAB}">
      <text>
        <r>
          <rPr>
            <b/>
            <sz val="9"/>
            <color indexed="81"/>
            <rFont val="Tahoma"/>
            <family val="2"/>
          </rPr>
          <t>&lt;[[DEVDeals] - [Associated TC Deal (Seq: 1)] - [Proxy Entities (Seq: 14)] Direct Phone - Send]&gt;</t>
        </r>
      </text>
    </comment>
    <comment ref="AZ215" authorId="0" shapeId="0" xr:uid="{5C39C6F4-7451-4EE2-A4EE-99154EFD32C2}">
      <text>
        <r>
          <rPr>
            <b/>
            <sz val="9"/>
            <color indexed="81"/>
            <rFont val="Tahoma"/>
            <family val="2"/>
          </rPr>
          <t>&lt;[[DEVDeals] - [Associated TC Deal (Seq: 1)] - [Proxy Entities (Seq: 14)] Email Address 1 - Send]&gt;</t>
        </r>
      </text>
    </comment>
    <comment ref="H216" authorId="0" shapeId="0" xr:uid="{911484AB-1AAC-450D-8FBC-12DD80B75D25}">
      <text>
        <r>
          <rPr>
            <b/>
            <sz val="9"/>
            <color indexed="81"/>
            <rFont val="Tahoma"/>
            <family val="2"/>
          </rPr>
          <t>&lt;[[DEVDeals] - [Proxy Entities (Seq: 15)] Deal Entity Role - Send]&gt;</t>
        </r>
      </text>
    </comment>
    <comment ref="I216" authorId="0" shapeId="0" xr:uid="{0CCACD6B-B16B-4B34-9BFB-E7ED723E778F}">
      <text>
        <r>
          <rPr>
            <b/>
            <sz val="9"/>
            <color indexed="81"/>
            <rFont val="Tahoma"/>
            <family val="2"/>
          </rPr>
          <t>&lt;[[DEVDeals] - [Proxy Entities (Seq: 15)] Company or Individual? - Send]&gt;</t>
        </r>
      </text>
    </comment>
    <comment ref="J216" authorId="0" shapeId="0" xr:uid="{1286931D-AF15-4DC5-B3C3-133F51EB484A}">
      <text>
        <r>
          <rPr>
            <b/>
            <sz val="9"/>
            <color indexed="81"/>
            <rFont val="Tahoma"/>
            <family val="2"/>
          </rPr>
          <t>&lt;[[DEVDeals] - [Proxy Entities (Seq: 15)] First Name - Send]&gt;</t>
        </r>
      </text>
    </comment>
    <comment ref="K216" authorId="0" shapeId="0" xr:uid="{AF0B98E6-85D4-4CE2-A0D6-CE7F9B35F396}">
      <text>
        <r>
          <rPr>
            <b/>
            <sz val="9"/>
            <color indexed="81"/>
            <rFont val="Tahoma"/>
            <family val="2"/>
          </rPr>
          <t>&lt;[[DEVDeals] - [Proxy Entities (Seq: 15)] Last Name - Send]&gt;</t>
        </r>
      </text>
    </comment>
    <comment ref="L216" authorId="0" shapeId="0" xr:uid="{111DEB5C-EE6B-4E81-92BB-42946313D47D}">
      <text>
        <r>
          <rPr>
            <b/>
            <sz val="9"/>
            <color indexed="81"/>
            <rFont val="Tahoma"/>
            <family val="2"/>
          </rPr>
          <t>&lt;[[DEVDeals] - [Proxy Entities (Seq: 15)] Address 1 - Send]&gt;</t>
        </r>
      </text>
    </comment>
    <comment ref="M216" authorId="0" shapeId="0" xr:uid="{18E3B9F8-BB8F-4629-B266-38F71D4BE782}">
      <text>
        <r>
          <rPr>
            <b/>
            <sz val="9"/>
            <color indexed="81"/>
            <rFont val="Tahoma"/>
            <family val="2"/>
          </rPr>
          <t>&lt;[[DEVDeals] - [Proxy Entities (Seq: 15)] City - Send]&gt;</t>
        </r>
      </text>
    </comment>
    <comment ref="O216" authorId="0" shapeId="0" xr:uid="{22B30B14-605F-453E-8BB6-41523E8BC0B7}">
      <text>
        <r>
          <rPr>
            <b/>
            <sz val="9"/>
            <color indexed="81"/>
            <rFont val="Tahoma"/>
            <family val="2"/>
          </rPr>
          <t>&lt;[[DEVDeals] - [Proxy Entities (Seq: 15)] State - Send]&gt;</t>
        </r>
      </text>
    </comment>
    <comment ref="P216" authorId="0" shapeId="0" xr:uid="{1DAAF5F3-AF7A-42F7-BAA0-8ADFC5B21DC7}">
      <text>
        <r>
          <rPr>
            <b/>
            <sz val="9"/>
            <color indexed="81"/>
            <rFont val="Tahoma"/>
            <family val="2"/>
          </rPr>
          <t>&lt;[[DEVDeals] - [Proxy Entities (Seq: 15)] Zip Code - Send]&gt;</t>
        </r>
      </text>
    </comment>
    <comment ref="Q216" authorId="0" shapeId="0" xr:uid="{54BD62C6-BC86-4FA1-96AA-C58769FA6696}">
      <text>
        <r>
          <rPr>
            <b/>
            <sz val="9"/>
            <color indexed="81"/>
            <rFont val="Tahoma"/>
            <family val="2"/>
          </rPr>
          <t>&lt;[[DEVDeals] - [Proxy Entities (Seq: 15)] Direct Phone - Send]&gt;</t>
        </r>
      </text>
    </comment>
    <comment ref="T216" authorId="0" shapeId="0" xr:uid="{4FBF55EA-1168-41EE-AC2B-735E79FD7BED}">
      <text>
        <r>
          <rPr>
            <b/>
            <sz val="9"/>
            <color indexed="81"/>
            <rFont val="Tahoma"/>
            <family val="2"/>
          </rPr>
          <t>&lt;[[DEVDeals] - [Proxy Entities (Seq: 15)] Email Address 1 - Send]&gt;</t>
        </r>
      </text>
    </comment>
    <comment ref="AN216" authorId="0" shapeId="0" xr:uid="{A0CE6077-C504-4234-9707-A3A2C309CA7D}">
      <text>
        <r>
          <rPr>
            <b/>
            <sz val="9"/>
            <color indexed="81"/>
            <rFont val="Tahoma"/>
            <family val="2"/>
          </rPr>
          <t>&lt;[[DEVDeals] - [Associated TC Deal (Seq: 1)] - [Proxy Entities (Seq: 15)] Deal Entity Role - Send]&gt;</t>
        </r>
      </text>
    </comment>
    <comment ref="AO216" authorId="0" shapeId="0" xr:uid="{F00A07CC-74AA-4050-8AE3-7CE1584F464D}">
      <text>
        <r>
          <rPr>
            <b/>
            <sz val="9"/>
            <color indexed="81"/>
            <rFont val="Tahoma"/>
            <family val="2"/>
          </rPr>
          <t>&lt;[[DEVDeals] - [Associated TC Deal (Seq: 1)] - [Proxy Entities (Seq: 15)] Company or Individual? - Send]&gt;</t>
        </r>
      </text>
    </comment>
    <comment ref="AP216" authorId="0" shapeId="0" xr:uid="{E5319448-C272-45CB-9292-838BA0AE9BB9}">
      <text>
        <r>
          <rPr>
            <b/>
            <sz val="9"/>
            <color indexed="81"/>
            <rFont val="Tahoma"/>
            <family val="2"/>
          </rPr>
          <t>&lt;[[DEVDeals] - [Associated TC Deal (Seq: 1)] - [Proxy Entities (Seq: 15)] First Name - Send]&gt;</t>
        </r>
      </text>
    </comment>
    <comment ref="AQ216" authorId="0" shapeId="0" xr:uid="{AA44C3B3-E385-42A1-9271-00143F70BF08}">
      <text>
        <r>
          <rPr>
            <b/>
            <sz val="9"/>
            <color indexed="81"/>
            <rFont val="Tahoma"/>
            <family val="2"/>
          </rPr>
          <t>&lt;[[DEVDeals] - [Associated TC Deal (Seq: 1)] - [Proxy Entities (Seq: 15)] Last Name - Send]&gt;</t>
        </r>
      </text>
    </comment>
    <comment ref="AR216" authorId="0" shapeId="0" xr:uid="{C5C0C6DA-2E43-47EE-9E70-E0856079D3C1}">
      <text>
        <r>
          <rPr>
            <b/>
            <sz val="9"/>
            <color indexed="81"/>
            <rFont val="Tahoma"/>
            <family val="2"/>
          </rPr>
          <t>&lt;[[DEVDeals] - [Associated TC Deal (Seq: 1)] - [Proxy Entities (Seq: 15)] Address 1 - Send]&gt;</t>
        </r>
      </text>
    </comment>
    <comment ref="AS216" authorId="0" shapeId="0" xr:uid="{FB11F5DA-7182-43E1-A047-20C3A48F7EC1}">
      <text>
        <r>
          <rPr>
            <b/>
            <sz val="9"/>
            <color indexed="81"/>
            <rFont val="Tahoma"/>
            <family val="2"/>
          </rPr>
          <t>&lt;[[DEVDeals] - [Associated TC Deal (Seq: 1)] - [Proxy Entities (Seq: 15)] City - Send]&gt;</t>
        </r>
      </text>
    </comment>
    <comment ref="AU216" authorId="0" shapeId="0" xr:uid="{5C135326-C7A0-4B39-8380-F6F8EC505CB5}">
      <text>
        <r>
          <rPr>
            <b/>
            <sz val="9"/>
            <color indexed="81"/>
            <rFont val="Tahoma"/>
            <family val="2"/>
          </rPr>
          <t>&lt;[[DEVDeals] - [Associated TC Deal (Seq: 1)] - [Proxy Entities (Seq: 15)] State - Send]&gt;</t>
        </r>
      </text>
    </comment>
    <comment ref="AV216" authorId="0" shapeId="0" xr:uid="{16E2DA8C-36C8-4662-A915-081A530F315A}">
      <text>
        <r>
          <rPr>
            <b/>
            <sz val="9"/>
            <color indexed="81"/>
            <rFont val="Tahoma"/>
            <family val="2"/>
          </rPr>
          <t>&lt;[[DEVDeals] - [Associated TC Deal (Seq: 1)] - [Proxy Entities (Seq: 15)] Zip Code - Send]&gt;</t>
        </r>
      </text>
    </comment>
    <comment ref="AW216" authorId="0" shapeId="0" xr:uid="{4076AB95-24CC-4E13-9D28-A16C10836BE1}">
      <text>
        <r>
          <rPr>
            <b/>
            <sz val="9"/>
            <color indexed="81"/>
            <rFont val="Tahoma"/>
            <family val="2"/>
          </rPr>
          <t>&lt;[[DEVDeals] - [Associated TC Deal (Seq: 1)] - [Proxy Entities (Seq: 15)] Direct Phone - Send]&gt;</t>
        </r>
      </text>
    </comment>
    <comment ref="AZ216" authorId="0" shapeId="0" xr:uid="{8B03EC41-1756-4FB8-84EC-F4EC4EA819F8}">
      <text>
        <r>
          <rPr>
            <b/>
            <sz val="9"/>
            <color indexed="81"/>
            <rFont val="Tahoma"/>
            <family val="2"/>
          </rPr>
          <t>&lt;[[DEVDeals] - [Associated TC Deal (Seq: 1)] - [Proxy Entities (Seq: 15)] Email Address 1 - Send]&gt;</t>
        </r>
      </text>
    </comment>
    <comment ref="H217" authorId="0" shapeId="0" xr:uid="{7023ED4D-0ADF-43EE-B9D7-F9A3E1BFB307}">
      <text>
        <r>
          <rPr>
            <b/>
            <sz val="9"/>
            <color indexed="81"/>
            <rFont val="Tahoma"/>
            <family val="2"/>
          </rPr>
          <t>&lt;[[DEVDeals] - [Proxy Entities (Seq: 16)] Deal Entity Role - Send]&gt;</t>
        </r>
      </text>
    </comment>
    <comment ref="I217" authorId="0" shapeId="0" xr:uid="{2069AF28-EDE9-4803-916E-D2187562667B}">
      <text>
        <r>
          <rPr>
            <b/>
            <sz val="9"/>
            <color indexed="81"/>
            <rFont val="Tahoma"/>
            <family val="2"/>
          </rPr>
          <t>&lt;[[DEVDeals] - [Proxy Entities (Seq: 16)] Company or Individual? - Send]&gt;</t>
        </r>
      </text>
    </comment>
    <comment ref="J217" authorId="0" shapeId="0" xr:uid="{6BF0F9C9-FA55-4573-B056-04096733EBB4}">
      <text>
        <r>
          <rPr>
            <b/>
            <sz val="9"/>
            <color indexed="81"/>
            <rFont val="Tahoma"/>
            <family val="2"/>
          </rPr>
          <t>&lt;[[DEVDeals] - [Proxy Entities (Seq: 16)] First Name - Send]&gt;</t>
        </r>
      </text>
    </comment>
    <comment ref="K217" authorId="0" shapeId="0" xr:uid="{B4DFB96A-C1AF-497E-BDD8-9561DED5365A}">
      <text>
        <r>
          <rPr>
            <b/>
            <sz val="9"/>
            <color indexed="81"/>
            <rFont val="Tahoma"/>
            <family val="2"/>
          </rPr>
          <t>&lt;[[DEVDeals] - [Proxy Entities (Seq: 16)] Last Name - Send]&gt;</t>
        </r>
      </text>
    </comment>
    <comment ref="L217" authorId="0" shapeId="0" xr:uid="{D827C05B-CCB8-4F25-A945-7769AFA13CF9}">
      <text>
        <r>
          <rPr>
            <b/>
            <sz val="9"/>
            <color indexed="81"/>
            <rFont val="Tahoma"/>
            <family val="2"/>
          </rPr>
          <t>&lt;[[DEVDeals] - [Proxy Entities (Seq: 16)] Address 1 - Send]&gt;</t>
        </r>
      </text>
    </comment>
    <comment ref="M217" authorId="0" shapeId="0" xr:uid="{78B3E86F-935F-4B4B-BC73-F1ED1D7C3E90}">
      <text>
        <r>
          <rPr>
            <b/>
            <sz val="9"/>
            <color indexed="81"/>
            <rFont val="Tahoma"/>
            <family val="2"/>
          </rPr>
          <t>&lt;[[DEVDeals] - [Proxy Entities (Seq: 16)] City - Send]&gt;</t>
        </r>
      </text>
    </comment>
    <comment ref="O217" authorId="0" shapeId="0" xr:uid="{5E4106D4-FF07-4D3C-9D3C-9B29EA599C08}">
      <text>
        <r>
          <rPr>
            <b/>
            <sz val="9"/>
            <color indexed="81"/>
            <rFont val="Tahoma"/>
            <family val="2"/>
          </rPr>
          <t>&lt;[[DEVDeals] - [Proxy Entities (Seq: 16)] State - Send]&gt;</t>
        </r>
      </text>
    </comment>
    <comment ref="P217" authorId="0" shapeId="0" xr:uid="{FEAABF37-AEB0-49A3-AF8A-6BCC9A198408}">
      <text>
        <r>
          <rPr>
            <b/>
            <sz val="9"/>
            <color indexed="81"/>
            <rFont val="Tahoma"/>
            <family val="2"/>
          </rPr>
          <t>&lt;[[DEVDeals] - [Proxy Entities (Seq: 16)] Zip Code - Send]&gt;</t>
        </r>
      </text>
    </comment>
    <comment ref="Q217" authorId="0" shapeId="0" xr:uid="{32E6C4C1-8463-4780-A9D3-1984AA0A9BBA}">
      <text>
        <r>
          <rPr>
            <b/>
            <sz val="9"/>
            <color indexed="81"/>
            <rFont val="Tahoma"/>
            <family val="2"/>
          </rPr>
          <t>&lt;[[DEVDeals] - [Proxy Entities (Seq: 16)] Direct Phone - Send]&gt;</t>
        </r>
      </text>
    </comment>
    <comment ref="T217" authorId="0" shapeId="0" xr:uid="{920CFC8A-3883-4BE5-9DF2-96252D8F095C}">
      <text>
        <r>
          <rPr>
            <b/>
            <sz val="9"/>
            <color indexed="81"/>
            <rFont val="Tahoma"/>
            <family val="2"/>
          </rPr>
          <t>&lt;[[DEVDeals] - [Proxy Entities (Seq: 16)] Email Address 1 - Send]&gt;</t>
        </r>
      </text>
    </comment>
    <comment ref="AN217" authorId="0" shapeId="0" xr:uid="{5671B42F-6E0F-47CA-AA28-A9C871BB82B8}">
      <text>
        <r>
          <rPr>
            <b/>
            <sz val="9"/>
            <color indexed="81"/>
            <rFont val="Tahoma"/>
            <family val="2"/>
          </rPr>
          <t>&lt;[[DEVDeals] - [Associated TC Deal (Seq: 1)] - [Proxy Entities (Seq: 16)] Deal Entity Role - Send]&gt;</t>
        </r>
      </text>
    </comment>
    <comment ref="AO217" authorId="0" shapeId="0" xr:uid="{9479C37B-7CB4-4CED-99EB-384DAFFF09A9}">
      <text>
        <r>
          <rPr>
            <b/>
            <sz val="9"/>
            <color indexed="81"/>
            <rFont val="Tahoma"/>
            <family val="2"/>
          </rPr>
          <t>&lt;[[DEVDeals] - [Associated TC Deal (Seq: 1)] - [Proxy Entities (Seq: 16)] Company or Individual? - Send]&gt;</t>
        </r>
      </text>
    </comment>
    <comment ref="AP217" authorId="0" shapeId="0" xr:uid="{56248167-2915-40CA-AEE6-0531F4558A79}">
      <text>
        <r>
          <rPr>
            <b/>
            <sz val="9"/>
            <color indexed="81"/>
            <rFont val="Tahoma"/>
            <family val="2"/>
          </rPr>
          <t>&lt;[[DEVDeals] - [Associated TC Deal (Seq: 1)] - [Proxy Entities (Seq: 16)] First Name - Send]&gt;</t>
        </r>
      </text>
    </comment>
    <comment ref="AQ217" authorId="0" shapeId="0" xr:uid="{EE82EA4D-C4FD-459E-A09E-B66917764E42}">
      <text>
        <r>
          <rPr>
            <b/>
            <sz val="9"/>
            <color indexed="81"/>
            <rFont val="Tahoma"/>
            <family val="2"/>
          </rPr>
          <t>&lt;[[DEVDeals] - [Associated TC Deal (Seq: 1)] - [Proxy Entities (Seq: 16)] Last Name - Send]&gt;</t>
        </r>
      </text>
    </comment>
    <comment ref="AR217" authorId="0" shapeId="0" xr:uid="{11E2CC7D-E41B-4B26-BA2A-DD6825BC2631}">
      <text>
        <r>
          <rPr>
            <b/>
            <sz val="9"/>
            <color indexed="81"/>
            <rFont val="Tahoma"/>
            <family val="2"/>
          </rPr>
          <t>&lt;[[DEVDeals] - [Associated TC Deal (Seq: 1)] - [Proxy Entities (Seq: 16)] Address 1 - Send]&gt;</t>
        </r>
      </text>
    </comment>
    <comment ref="AS217" authorId="0" shapeId="0" xr:uid="{A83632B8-ACA5-4517-8600-953A1F35A8CA}">
      <text>
        <r>
          <rPr>
            <b/>
            <sz val="9"/>
            <color indexed="81"/>
            <rFont val="Tahoma"/>
            <family val="2"/>
          </rPr>
          <t>&lt;[[DEVDeals] - [Associated TC Deal (Seq: 1)] - [Proxy Entities (Seq: 16)] City - Send]&gt;</t>
        </r>
      </text>
    </comment>
    <comment ref="AU217" authorId="0" shapeId="0" xr:uid="{ED1C265A-342E-42A8-9266-FD59666AC31B}">
      <text>
        <r>
          <rPr>
            <b/>
            <sz val="9"/>
            <color indexed="81"/>
            <rFont val="Tahoma"/>
            <family val="2"/>
          </rPr>
          <t>&lt;[[DEVDeals] - [Associated TC Deal (Seq: 1)] - [Proxy Entities (Seq: 16)] State - Send]&gt;</t>
        </r>
      </text>
    </comment>
    <comment ref="AV217" authorId="0" shapeId="0" xr:uid="{C8118D7D-C26D-4699-BD88-8C161CFAEFA8}">
      <text>
        <r>
          <rPr>
            <b/>
            <sz val="9"/>
            <color indexed="81"/>
            <rFont val="Tahoma"/>
            <family val="2"/>
          </rPr>
          <t>&lt;[[DEVDeals] - [Associated TC Deal (Seq: 1)] - [Proxy Entities (Seq: 16)] Zip Code - Send]&gt;</t>
        </r>
      </text>
    </comment>
    <comment ref="AW217" authorId="0" shapeId="0" xr:uid="{F416E0E2-12D2-4A29-B63A-58F2980F47E8}">
      <text>
        <r>
          <rPr>
            <b/>
            <sz val="9"/>
            <color indexed="81"/>
            <rFont val="Tahoma"/>
            <family val="2"/>
          </rPr>
          <t>&lt;[[DEVDeals] - [Associated TC Deal (Seq: 1)] - [Proxy Entities (Seq: 16)] Direct Phone - Send]&gt;</t>
        </r>
      </text>
    </comment>
    <comment ref="AZ217" authorId="0" shapeId="0" xr:uid="{3D6F2280-82DA-48BD-9643-88097A337E27}">
      <text>
        <r>
          <rPr>
            <b/>
            <sz val="9"/>
            <color indexed="81"/>
            <rFont val="Tahoma"/>
            <family val="2"/>
          </rPr>
          <t>&lt;[[DEVDeals] - [Associated TC Deal (Seq: 1)] - [Proxy Entities (Seq: 16)] Email Address 1 - Send]&gt;</t>
        </r>
      </text>
    </comment>
    <comment ref="H218" authorId="0" shapeId="0" xr:uid="{01BD8812-0185-4B4B-8DCA-A88517774FFD}">
      <text>
        <r>
          <rPr>
            <b/>
            <sz val="9"/>
            <color indexed="81"/>
            <rFont val="Tahoma"/>
            <family val="2"/>
          </rPr>
          <t>&lt;[[DEVDeals] - [Proxy Entities (Seq: 17)] Deal Entity Role - Send]&gt;</t>
        </r>
      </text>
    </comment>
    <comment ref="I218" authorId="0" shapeId="0" xr:uid="{24E17FAA-EF63-473F-B9EA-9D02040A1393}">
      <text>
        <r>
          <rPr>
            <b/>
            <sz val="9"/>
            <color indexed="81"/>
            <rFont val="Tahoma"/>
            <family val="2"/>
          </rPr>
          <t>&lt;[[DEVDeals] - [Proxy Entities (Seq: 17)] Company or Individual? - Send]&gt;</t>
        </r>
      </text>
    </comment>
    <comment ref="J218" authorId="0" shapeId="0" xr:uid="{E8E75784-2B4C-4046-8213-51B9735F8251}">
      <text>
        <r>
          <rPr>
            <b/>
            <sz val="9"/>
            <color indexed="81"/>
            <rFont val="Tahoma"/>
            <family val="2"/>
          </rPr>
          <t>&lt;[[DEVDeals] - [Proxy Entities (Seq: 17)] First Name - Send]&gt;</t>
        </r>
      </text>
    </comment>
    <comment ref="K218" authorId="0" shapeId="0" xr:uid="{81F43BC5-7058-471A-B46F-189236E172FC}">
      <text>
        <r>
          <rPr>
            <b/>
            <sz val="9"/>
            <color indexed="81"/>
            <rFont val="Tahoma"/>
            <family val="2"/>
          </rPr>
          <t>&lt;[[DEVDeals] - [Proxy Entities (Seq: 17)] Last Name - Send]&gt;</t>
        </r>
      </text>
    </comment>
    <comment ref="L218" authorId="0" shapeId="0" xr:uid="{6C4F968F-40EE-4124-A7E9-3415D99584A5}">
      <text>
        <r>
          <rPr>
            <b/>
            <sz val="9"/>
            <color indexed="81"/>
            <rFont val="Tahoma"/>
            <family val="2"/>
          </rPr>
          <t>&lt;[[DEVDeals] - [Proxy Entities (Seq: 17)] Address 1 - Send]&gt;</t>
        </r>
      </text>
    </comment>
    <comment ref="M218" authorId="0" shapeId="0" xr:uid="{9F6922C6-3E3A-491A-A5A2-69645F76281C}">
      <text>
        <r>
          <rPr>
            <b/>
            <sz val="9"/>
            <color indexed="81"/>
            <rFont val="Tahoma"/>
            <family val="2"/>
          </rPr>
          <t>&lt;[[DEVDeals] - [Proxy Entities (Seq: 17)] City - Send]&gt;</t>
        </r>
      </text>
    </comment>
    <comment ref="O218" authorId="0" shapeId="0" xr:uid="{5B1653F3-7FAC-44C5-B1F3-C6391C141808}">
      <text>
        <r>
          <rPr>
            <b/>
            <sz val="9"/>
            <color indexed="81"/>
            <rFont val="Tahoma"/>
            <family val="2"/>
          </rPr>
          <t>&lt;[[DEVDeals] - [Proxy Entities (Seq: 17)] State - Send]&gt;</t>
        </r>
      </text>
    </comment>
    <comment ref="P218" authorId="0" shapeId="0" xr:uid="{7EEB2CCE-C8D9-4BE9-9B96-F936B98DAD5C}">
      <text>
        <r>
          <rPr>
            <b/>
            <sz val="9"/>
            <color indexed="81"/>
            <rFont val="Tahoma"/>
            <family val="2"/>
          </rPr>
          <t>&lt;[[DEVDeals] - [Proxy Entities (Seq: 17)] Zip Code - Send]&gt;</t>
        </r>
      </text>
    </comment>
    <comment ref="Q218" authorId="0" shapeId="0" xr:uid="{EB5191A3-3F87-4D94-9DD2-F6F027F55563}">
      <text>
        <r>
          <rPr>
            <b/>
            <sz val="9"/>
            <color indexed="81"/>
            <rFont val="Tahoma"/>
            <family val="2"/>
          </rPr>
          <t>&lt;[[DEVDeals] - [Proxy Entities (Seq: 17)] Direct Phone - Send]&gt;</t>
        </r>
      </text>
    </comment>
    <comment ref="T218" authorId="0" shapeId="0" xr:uid="{FCAFC9DC-2540-47A4-81D7-CFE36D60243C}">
      <text>
        <r>
          <rPr>
            <b/>
            <sz val="9"/>
            <color indexed="81"/>
            <rFont val="Tahoma"/>
            <family val="2"/>
          </rPr>
          <t>&lt;[[DEVDeals] - [Proxy Entities (Seq: 17)] Email Address 1 - Send]&gt;</t>
        </r>
      </text>
    </comment>
    <comment ref="AN218" authorId="0" shapeId="0" xr:uid="{4A06863F-A094-42DB-BA5F-3A3B35D049BE}">
      <text>
        <r>
          <rPr>
            <b/>
            <sz val="9"/>
            <color indexed="81"/>
            <rFont val="Tahoma"/>
            <family val="2"/>
          </rPr>
          <t>&lt;[[DEVDeals] - [Associated TC Deal (Seq: 1)] - [Proxy Entities (Seq: 17)] Deal Entity Role - Send]&gt;</t>
        </r>
      </text>
    </comment>
    <comment ref="AO218" authorId="0" shapeId="0" xr:uid="{6E2E3F57-9635-42DB-A5CC-F8DE1A08CE69}">
      <text>
        <r>
          <rPr>
            <b/>
            <sz val="9"/>
            <color indexed="81"/>
            <rFont val="Tahoma"/>
            <family val="2"/>
          </rPr>
          <t>&lt;[[DEVDeals] - [Associated TC Deal (Seq: 1)] - [Proxy Entities (Seq: 17)] Company or Individual? - Send]&gt;</t>
        </r>
      </text>
    </comment>
    <comment ref="AP218" authorId="0" shapeId="0" xr:uid="{FB5A0481-6A53-47BA-8C56-3021AF57EE24}">
      <text>
        <r>
          <rPr>
            <b/>
            <sz val="9"/>
            <color indexed="81"/>
            <rFont val="Tahoma"/>
            <family val="2"/>
          </rPr>
          <t>&lt;[[DEVDeals] - [Associated TC Deal (Seq: 1)] - [Proxy Entities (Seq: 17)] First Name - Send]&gt;</t>
        </r>
      </text>
    </comment>
    <comment ref="AQ218" authorId="0" shapeId="0" xr:uid="{39FEC153-0E9A-46F6-9367-7A228717A771}">
      <text>
        <r>
          <rPr>
            <b/>
            <sz val="9"/>
            <color indexed="81"/>
            <rFont val="Tahoma"/>
            <family val="2"/>
          </rPr>
          <t>&lt;[[DEVDeals] - [Associated TC Deal (Seq: 1)] - [Proxy Entities (Seq: 17)] Last Name - Send]&gt;</t>
        </r>
      </text>
    </comment>
    <comment ref="AR218" authorId="0" shapeId="0" xr:uid="{231D26A5-F4C6-42FC-A84B-0E51E32ABDBA}">
      <text>
        <r>
          <rPr>
            <b/>
            <sz val="9"/>
            <color indexed="81"/>
            <rFont val="Tahoma"/>
            <family val="2"/>
          </rPr>
          <t>&lt;[[DEVDeals] - [Associated TC Deal (Seq: 1)] - [Proxy Entities (Seq: 17)] Address 1 - Send]&gt;</t>
        </r>
      </text>
    </comment>
    <comment ref="AS218" authorId="0" shapeId="0" xr:uid="{40A4ABD9-71FC-4A02-97D3-E7BC3E54F017}">
      <text>
        <r>
          <rPr>
            <b/>
            <sz val="9"/>
            <color indexed="81"/>
            <rFont val="Tahoma"/>
            <family val="2"/>
          </rPr>
          <t>&lt;[[DEVDeals] - [Associated TC Deal (Seq: 1)] - [Proxy Entities (Seq: 17)] City - Send]&gt;</t>
        </r>
      </text>
    </comment>
    <comment ref="AU218" authorId="0" shapeId="0" xr:uid="{199F5C0F-DEDD-4E66-A00E-5FCF3316CA3F}">
      <text>
        <r>
          <rPr>
            <b/>
            <sz val="9"/>
            <color indexed="81"/>
            <rFont val="Tahoma"/>
            <family val="2"/>
          </rPr>
          <t>&lt;[[DEVDeals] - [Associated TC Deal (Seq: 1)] - [Proxy Entities (Seq: 17)] State - Send]&gt;</t>
        </r>
      </text>
    </comment>
    <comment ref="AV218" authorId="0" shapeId="0" xr:uid="{FA13326C-C234-4E1A-A30C-2E7AFFF4526A}">
      <text>
        <r>
          <rPr>
            <b/>
            <sz val="9"/>
            <color indexed="81"/>
            <rFont val="Tahoma"/>
            <family val="2"/>
          </rPr>
          <t>&lt;[[DEVDeals] - [Associated TC Deal (Seq: 1)] - [Proxy Entities (Seq: 17)] Zip Code - Send]&gt;</t>
        </r>
      </text>
    </comment>
    <comment ref="AW218" authorId="0" shapeId="0" xr:uid="{E7B494D3-DB36-4FAE-8EFB-D408D14811F7}">
      <text>
        <r>
          <rPr>
            <b/>
            <sz val="9"/>
            <color indexed="81"/>
            <rFont val="Tahoma"/>
            <family val="2"/>
          </rPr>
          <t>&lt;[[DEVDeals] - [Associated TC Deal (Seq: 1)] - [Proxy Entities (Seq: 17)] Direct Phone - Send]&gt;</t>
        </r>
      </text>
    </comment>
    <comment ref="AZ218" authorId="0" shapeId="0" xr:uid="{35D61DBB-948B-4351-A184-03E42ECF97AA}">
      <text>
        <r>
          <rPr>
            <b/>
            <sz val="9"/>
            <color indexed="81"/>
            <rFont val="Tahoma"/>
            <family val="2"/>
          </rPr>
          <t>&lt;[[DEVDeals] - [Associated TC Deal (Seq: 1)] - [Proxy Entities (Seq: 17)] Email Address 1 - Send]&gt;</t>
        </r>
      </text>
    </comment>
    <comment ref="H219" authorId="0" shapeId="0" xr:uid="{51C6BC6A-D334-446D-B9D8-8CD5939E52CD}">
      <text>
        <r>
          <rPr>
            <b/>
            <sz val="9"/>
            <color indexed="81"/>
            <rFont val="Tahoma"/>
            <family val="2"/>
          </rPr>
          <t>&lt;[[DEVDeals] - [Proxy Entities (Seq: 18)] Deal Entity Role - Send]&gt;</t>
        </r>
      </text>
    </comment>
    <comment ref="I219" authorId="0" shapeId="0" xr:uid="{2AF1ED89-049D-4846-81F1-222D158E6594}">
      <text>
        <r>
          <rPr>
            <b/>
            <sz val="9"/>
            <color indexed="81"/>
            <rFont val="Tahoma"/>
            <family val="2"/>
          </rPr>
          <t>&lt;[[DEVDeals] - [Proxy Entities (Seq: 18)] Company or Individual? - Send]&gt;</t>
        </r>
      </text>
    </comment>
    <comment ref="J219" authorId="0" shapeId="0" xr:uid="{A8C0172D-793E-4506-80C0-84E13808DFCE}">
      <text>
        <r>
          <rPr>
            <b/>
            <sz val="9"/>
            <color indexed="81"/>
            <rFont val="Tahoma"/>
            <family val="2"/>
          </rPr>
          <t>&lt;[[DEVDeals] - [Proxy Entities (Seq: 18)] First Name - Send]&gt;</t>
        </r>
      </text>
    </comment>
    <comment ref="K219" authorId="0" shapeId="0" xr:uid="{2BB51CFF-4F00-415F-94F8-82A6DE2FF4C8}">
      <text>
        <r>
          <rPr>
            <b/>
            <sz val="9"/>
            <color indexed="81"/>
            <rFont val="Tahoma"/>
            <family val="2"/>
          </rPr>
          <t>&lt;[[DEVDeals] - [Proxy Entities (Seq: 18)] Last Name - Send]&gt;</t>
        </r>
      </text>
    </comment>
    <comment ref="L219" authorId="0" shapeId="0" xr:uid="{590106EF-CCDA-4147-A4D7-E599F7C2AA64}">
      <text>
        <r>
          <rPr>
            <b/>
            <sz val="9"/>
            <color indexed="81"/>
            <rFont val="Tahoma"/>
            <family val="2"/>
          </rPr>
          <t>&lt;[[DEVDeals] - [Proxy Entities (Seq: 18)] Address 1 - Send]&gt;</t>
        </r>
      </text>
    </comment>
    <comment ref="M219" authorId="0" shapeId="0" xr:uid="{D92CAA7F-F4FA-49C2-A971-415AA9D91896}">
      <text>
        <r>
          <rPr>
            <b/>
            <sz val="9"/>
            <color indexed="81"/>
            <rFont val="Tahoma"/>
            <family val="2"/>
          </rPr>
          <t>&lt;[[DEVDeals] - [Proxy Entities (Seq: 18)] City - Send]&gt;</t>
        </r>
      </text>
    </comment>
    <comment ref="O219" authorId="0" shapeId="0" xr:uid="{3FAA3548-955C-4705-8A97-7089BC5D09AA}">
      <text>
        <r>
          <rPr>
            <b/>
            <sz val="9"/>
            <color indexed="81"/>
            <rFont val="Tahoma"/>
            <family val="2"/>
          </rPr>
          <t>&lt;[[DEVDeals] - [Proxy Entities (Seq: 18)] State - Send]&gt;</t>
        </r>
      </text>
    </comment>
    <comment ref="P219" authorId="0" shapeId="0" xr:uid="{82DD4567-F4C8-4F40-8B52-63CE5C861521}">
      <text>
        <r>
          <rPr>
            <b/>
            <sz val="9"/>
            <color indexed="81"/>
            <rFont val="Tahoma"/>
            <family val="2"/>
          </rPr>
          <t>&lt;[[DEVDeals] - [Proxy Entities (Seq: 18)] Zip Code - Send]&gt;</t>
        </r>
      </text>
    </comment>
    <comment ref="Q219" authorId="0" shapeId="0" xr:uid="{EC891150-AAB6-4671-93C4-DD4CDE670AD5}">
      <text>
        <r>
          <rPr>
            <b/>
            <sz val="9"/>
            <color indexed="81"/>
            <rFont val="Tahoma"/>
            <family val="2"/>
          </rPr>
          <t>&lt;[[DEVDeals] - [Proxy Entities (Seq: 18)] Direct Phone - Send]&gt;</t>
        </r>
      </text>
    </comment>
    <comment ref="T219" authorId="0" shapeId="0" xr:uid="{F05C8864-3917-4C1F-882E-EE7B075B28D7}">
      <text>
        <r>
          <rPr>
            <b/>
            <sz val="9"/>
            <color indexed="81"/>
            <rFont val="Tahoma"/>
            <family val="2"/>
          </rPr>
          <t>&lt;[[DEVDeals] - [Proxy Entities (Seq: 18)] Email Address 1 - Send]&gt;</t>
        </r>
      </text>
    </comment>
    <comment ref="AN219" authorId="0" shapeId="0" xr:uid="{632EC132-CBC7-472F-BE35-B8BC05F1231C}">
      <text>
        <r>
          <rPr>
            <b/>
            <sz val="9"/>
            <color indexed="81"/>
            <rFont val="Tahoma"/>
            <family val="2"/>
          </rPr>
          <t>&lt;[[DEVDeals] - [Associated TC Deal (Seq: 1)] - [Proxy Entities (Seq: 18)] Deal Entity Role - Send]&gt;</t>
        </r>
      </text>
    </comment>
    <comment ref="AO219" authorId="0" shapeId="0" xr:uid="{3CAC1CDE-82AE-4E35-8D51-A1F2D7618E4F}">
      <text>
        <r>
          <rPr>
            <b/>
            <sz val="9"/>
            <color indexed="81"/>
            <rFont val="Tahoma"/>
            <family val="2"/>
          </rPr>
          <t>&lt;[[DEVDeals] - [Associated TC Deal (Seq: 1)] - [Proxy Entities (Seq: 18)] Company or Individual? - Send]&gt;</t>
        </r>
      </text>
    </comment>
    <comment ref="AP219" authorId="0" shapeId="0" xr:uid="{FA15A5AD-EC2F-40AE-93F6-429AF774BFE2}">
      <text>
        <r>
          <rPr>
            <b/>
            <sz val="9"/>
            <color indexed="81"/>
            <rFont val="Tahoma"/>
            <family val="2"/>
          </rPr>
          <t>&lt;[[DEVDeals] - [Associated TC Deal (Seq: 1)] - [Proxy Entities (Seq: 18)] First Name - Send]&gt;</t>
        </r>
      </text>
    </comment>
    <comment ref="AQ219" authorId="0" shapeId="0" xr:uid="{F257DAFF-C782-4594-ABD7-80C867129812}">
      <text>
        <r>
          <rPr>
            <b/>
            <sz val="9"/>
            <color indexed="81"/>
            <rFont val="Tahoma"/>
            <family val="2"/>
          </rPr>
          <t>&lt;[[DEVDeals] - [Associated TC Deal (Seq: 1)] - [Proxy Entities (Seq: 18)] Last Name - Send]&gt;</t>
        </r>
      </text>
    </comment>
    <comment ref="AR219" authorId="0" shapeId="0" xr:uid="{EC57F92C-69BF-4E38-BE49-BDC7992DF5D9}">
      <text>
        <r>
          <rPr>
            <b/>
            <sz val="9"/>
            <color indexed="81"/>
            <rFont val="Tahoma"/>
            <family val="2"/>
          </rPr>
          <t>&lt;[[DEVDeals] - [Associated TC Deal (Seq: 1)] - [Proxy Entities (Seq: 18)] Address 1 - Send]&gt;</t>
        </r>
      </text>
    </comment>
    <comment ref="AS219" authorId="0" shapeId="0" xr:uid="{6F720D61-CE78-43AD-A5C3-6B12AD6C119C}">
      <text>
        <r>
          <rPr>
            <b/>
            <sz val="9"/>
            <color indexed="81"/>
            <rFont val="Tahoma"/>
            <family val="2"/>
          </rPr>
          <t>&lt;[[DEVDeals] - [Associated TC Deal (Seq: 1)] - [Proxy Entities (Seq: 18)] City - Send]&gt;</t>
        </r>
      </text>
    </comment>
    <comment ref="AU219" authorId="0" shapeId="0" xr:uid="{E0D788CB-C04B-4B5C-8F34-02076B53AC87}">
      <text>
        <r>
          <rPr>
            <b/>
            <sz val="9"/>
            <color indexed="81"/>
            <rFont val="Tahoma"/>
            <family val="2"/>
          </rPr>
          <t>&lt;[[DEVDeals] - [Associated TC Deal (Seq: 1)] - [Proxy Entities (Seq: 18)] State - Send]&gt;</t>
        </r>
      </text>
    </comment>
    <comment ref="AV219" authorId="0" shapeId="0" xr:uid="{B47E6C24-155E-4B0B-BD69-2AFAAAD08BA1}">
      <text>
        <r>
          <rPr>
            <b/>
            <sz val="9"/>
            <color indexed="81"/>
            <rFont val="Tahoma"/>
            <family val="2"/>
          </rPr>
          <t>&lt;[[DEVDeals] - [Associated TC Deal (Seq: 1)] - [Proxy Entities (Seq: 18)] Zip Code - Send]&gt;</t>
        </r>
      </text>
    </comment>
    <comment ref="AW219" authorId="0" shapeId="0" xr:uid="{B9E71F14-1DE2-44E5-B1D4-11C030967AB4}">
      <text>
        <r>
          <rPr>
            <b/>
            <sz val="9"/>
            <color indexed="81"/>
            <rFont val="Tahoma"/>
            <family val="2"/>
          </rPr>
          <t>&lt;[[DEVDeals] - [Associated TC Deal (Seq: 1)] - [Proxy Entities (Seq: 18)] Direct Phone - Send]&gt;</t>
        </r>
      </text>
    </comment>
    <comment ref="AZ219" authorId="0" shapeId="0" xr:uid="{A8D5999F-695E-41EA-8043-E88FF238E6ED}">
      <text>
        <r>
          <rPr>
            <b/>
            <sz val="9"/>
            <color indexed="81"/>
            <rFont val="Tahoma"/>
            <family val="2"/>
          </rPr>
          <t>&lt;[[DEVDeals] - [Associated TC Deal (Seq: 1)] - [Proxy Entities (Seq: 18)] Email Address 1 - Send]&gt;</t>
        </r>
      </text>
    </comment>
    <comment ref="H220" authorId="0" shapeId="0" xr:uid="{946CCB3D-5FCE-4B06-A77C-DCCA6F878346}">
      <text>
        <r>
          <rPr>
            <b/>
            <sz val="9"/>
            <color indexed="81"/>
            <rFont val="Tahoma"/>
            <family val="2"/>
          </rPr>
          <t>&lt;[[DEVDeals] - [Proxy Entities (Seq: 19)] Deal Entity Role - Send]&gt;</t>
        </r>
      </text>
    </comment>
    <comment ref="I220" authorId="0" shapeId="0" xr:uid="{15A8BA0E-27E4-45E0-A111-12809F418CE7}">
      <text>
        <r>
          <rPr>
            <b/>
            <sz val="9"/>
            <color indexed="81"/>
            <rFont val="Tahoma"/>
            <family val="2"/>
          </rPr>
          <t>&lt;[[DEVDeals] - [Proxy Entities (Seq: 19)] Company or Individual? - Send]&gt;</t>
        </r>
      </text>
    </comment>
    <comment ref="J220" authorId="0" shapeId="0" xr:uid="{6B888CB2-05DC-4AAB-ABC2-3423FBDFEA1F}">
      <text>
        <r>
          <rPr>
            <b/>
            <sz val="9"/>
            <color indexed="81"/>
            <rFont val="Tahoma"/>
            <family val="2"/>
          </rPr>
          <t>&lt;[[DEVDeals] - [Proxy Entities (Seq: 19)] First Name - Send]&gt;</t>
        </r>
      </text>
    </comment>
    <comment ref="K220" authorId="0" shapeId="0" xr:uid="{14F4A84F-4EA0-4A5E-9775-61DE5BA04FC7}">
      <text>
        <r>
          <rPr>
            <b/>
            <sz val="9"/>
            <color indexed="81"/>
            <rFont val="Tahoma"/>
            <family val="2"/>
          </rPr>
          <t>&lt;[[DEVDeals] - [Proxy Entities (Seq: 19)] Last Name - Send]&gt;</t>
        </r>
      </text>
    </comment>
    <comment ref="L220" authorId="0" shapeId="0" xr:uid="{F75639AA-7591-468C-AF05-EC027564E7F8}">
      <text>
        <r>
          <rPr>
            <b/>
            <sz val="9"/>
            <color indexed="81"/>
            <rFont val="Tahoma"/>
            <family val="2"/>
          </rPr>
          <t>&lt;[[DEVDeals] - [Proxy Entities (Seq: 19)] Address 1 - Send]&gt;</t>
        </r>
      </text>
    </comment>
    <comment ref="M220" authorId="0" shapeId="0" xr:uid="{F060E397-BB4D-4B8B-BFC4-3B7E6F575AAB}">
      <text>
        <r>
          <rPr>
            <b/>
            <sz val="9"/>
            <color indexed="81"/>
            <rFont val="Tahoma"/>
            <family val="2"/>
          </rPr>
          <t>&lt;[[DEVDeals] - [Proxy Entities (Seq: 19)] City - Send]&gt;</t>
        </r>
      </text>
    </comment>
    <comment ref="O220" authorId="0" shapeId="0" xr:uid="{00DC3400-37C8-4A4B-84FD-921F308877C5}">
      <text>
        <r>
          <rPr>
            <b/>
            <sz val="9"/>
            <color indexed="81"/>
            <rFont val="Tahoma"/>
            <family val="2"/>
          </rPr>
          <t>&lt;[[DEVDeals] - [Proxy Entities (Seq: 19)] State - Send]&gt;</t>
        </r>
      </text>
    </comment>
    <comment ref="P220" authorId="0" shapeId="0" xr:uid="{39D9A661-FEBE-4EAA-8E1C-1214363E43AC}">
      <text>
        <r>
          <rPr>
            <b/>
            <sz val="9"/>
            <color indexed="81"/>
            <rFont val="Tahoma"/>
            <family val="2"/>
          </rPr>
          <t>&lt;[[DEVDeals] - [Proxy Entities (Seq: 19)] Zip Code - Send]&gt;</t>
        </r>
      </text>
    </comment>
    <comment ref="Q220" authorId="0" shapeId="0" xr:uid="{2059C3FA-1842-40F2-A56C-C05479DF3220}">
      <text>
        <r>
          <rPr>
            <b/>
            <sz val="9"/>
            <color indexed="81"/>
            <rFont val="Tahoma"/>
            <family val="2"/>
          </rPr>
          <t>&lt;[[DEVDeals] - [Proxy Entities (Seq: 19)] Direct Phone - Send]&gt;</t>
        </r>
      </text>
    </comment>
    <comment ref="T220" authorId="0" shapeId="0" xr:uid="{D95FDB41-2E92-4AC4-9FC3-EBE944635D1C}">
      <text>
        <r>
          <rPr>
            <b/>
            <sz val="9"/>
            <color indexed="81"/>
            <rFont val="Tahoma"/>
            <family val="2"/>
          </rPr>
          <t>&lt;[[DEVDeals] - [Proxy Entities (Seq: 19)] Email Address 1 - Send]&gt;</t>
        </r>
      </text>
    </comment>
    <comment ref="AN220" authorId="0" shapeId="0" xr:uid="{9B3C4369-7B4E-4B94-9206-07C7C37906A0}">
      <text>
        <r>
          <rPr>
            <b/>
            <sz val="9"/>
            <color indexed="81"/>
            <rFont val="Tahoma"/>
            <family val="2"/>
          </rPr>
          <t>&lt;[[DEVDeals] - [Associated TC Deal (Seq: 1)] - [Proxy Entities (Seq: 19)] Deal Entity Role - Send]&gt;</t>
        </r>
      </text>
    </comment>
    <comment ref="AO220" authorId="0" shapeId="0" xr:uid="{3AF9948F-A48A-44CE-B209-E4C3AF15717B}">
      <text>
        <r>
          <rPr>
            <b/>
            <sz val="9"/>
            <color indexed="81"/>
            <rFont val="Tahoma"/>
            <family val="2"/>
          </rPr>
          <t>&lt;[[DEVDeals] - [Associated TC Deal (Seq: 1)] - [Proxy Entities (Seq: 19)] Company or Individual? - Send]&gt;</t>
        </r>
      </text>
    </comment>
    <comment ref="AP220" authorId="0" shapeId="0" xr:uid="{41CF5157-FF3A-4C8F-9618-3251513919BA}">
      <text>
        <r>
          <rPr>
            <b/>
            <sz val="9"/>
            <color indexed="81"/>
            <rFont val="Tahoma"/>
            <family val="2"/>
          </rPr>
          <t>&lt;[[DEVDeals] - [Associated TC Deal (Seq: 1)] - [Proxy Entities (Seq: 19)] First Name - Send]&gt;</t>
        </r>
      </text>
    </comment>
    <comment ref="AQ220" authorId="0" shapeId="0" xr:uid="{78910440-78BE-42E6-8F8D-BA675443F9B6}">
      <text>
        <r>
          <rPr>
            <b/>
            <sz val="9"/>
            <color indexed="81"/>
            <rFont val="Tahoma"/>
            <family val="2"/>
          </rPr>
          <t>&lt;[[DEVDeals] - [Associated TC Deal (Seq: 1)] - [Proxy Entities (Seq: 19)] Last Name - Send]&gt;</t>
        </r>
      </text>
    </comment>
    <comment ref="AR220" authorId="0" shapeId="0" xr:uid="{9822B134-BB26-48A5-AD49-58F91605BD3D}">
      <text>
        <r>
          <rPr>
            <b/>
            <sz val="9"/>
            <color indexed="81"/>
            <rFont val="Tahoma"/>
            <family val="2"/>
          </rPr>
          <t>&lt;[[DEVDeals] - [Associated TC Deal (Seq: 1)] - [Proxy Entities (Seq: 19)] Address 1 - Send]&gt;</t>
        </r>
      </text>
    </comment>
    <comment ref="AS220" authorId="0" shapeId="0" xr:uid="{5967FA4C-0D76-406B-8E18-AB41E4C79DBF}">
      <text>
        <r>
          <rPr>
            <b/>
            <sz val="9"/>
            <color indexed="81"/>
            <rFont val="Tahoma"/>
            <family val="2"/>
          </rPr>
          <t>&lt;[[DEVDeals] - [Associated TC Deal (Seq: 1)] - [Proxy Entities (Seq: 19)] City - Send]&gt;</t>
        </r>
      </text>
    </comment>
    <comment ref="AU220" authorId="0" shapeId="0" xr:uid="{2B3FB1B1-6849-4447-A813-9626C74359C8}">
      <text>
        <r>
          <rPr>
            <b/>
            <sz val="9"/>
            <color indexed="81"/>
            <rFont val="Tahoma"/>
            <family val="2"/>
          </rPr>
          <t>&lt;[[DEVDeals] - [Associated TC Deal (Seq: 1)] - [Proxy Entities (Seq: 19)] State - Send]&gt;</t>
        </r>
      </text>
    </comment>
    <comment ref="AV220" authorId="0" shapeId="0" xr:uid="{3A42FA0F-90F5-4D55-B424-1216B9D04D0B}">
      <text>
        <r>
          <rPr>
            <b/>
            <sz val="9"/>
            <color indexed="81"/>
            <rFont val="Tahoma"/>
            <family val="2"/>
          </rPr>
          <t>&lt;[[DEVDeals] - [Associated TC Deal (Seq: 1)] - [Proxy Entities (Seq: 19)] Zip Code - Send]&gt;</t>
        </r>
      </text>
    </comment>
    <comment ref="AW220" authorId="0" shapeId="0" xr:uid="{A02194C4-7066-4E9D-B4DF-BB3BC4CBDC06}">
      <text>
        <r>
          <rPr>
            <b/>
            <sz val="9"/>
            <color indexed="81"/>
            <rFont val="Tahoma"/>
            <family val="2"/>
          </rPr>
          <t>&lt;[[DEVDeals] - [Associated TC Deal (Seq: 1)] - [Proxy Entities (Seq: 19)] Direct Phone - Send]&gt;</t>
        </r>
      </text>
    </comment>
    <comment ref="AZ220" authorId="0" shapeId="0" xr:uid="{3BF3C725-7B8D-4FB9-B699-BF8B20415C79}">
      <text>
        <r>
          <rPr>
            <b/>
            <sz val="9"/>
            <color indexed="81"/>
            <rFont val="Tahoma"/>
            <family val="2"/>
          </rPr>
          <t>&lt;[[DEVDeals] - [Associated TC Deal (Seq: 1)] - [Proxy Entities (Seq: 19)] Email Address 1 - Send]&gt;</t>
        </r>
      </text>
    </comment>
    <comment ref="H221" authorId="0" shapeId="0" xr:uid="{765937D7-F8D3-4758-A18D-43CB7E3DA45C}">
      <text>
        <r>
          <rPr>
            <b/>
            <sz val="9"/>
            <color indexed="81"/>
            <rFont val="Tahoma"/>
            <family val="2"/>
          </rPr>
          <t>&lt;[[DEVDeals] - [Proxy Entities (Seq: 20)] Deal Entity Role - Send]&gt;</t>
        </r>
      </text>
    </comment>
    <comment ref="I221" authorId="0" shapeId="0" xr:uid="{D7459905-D390-4B26-8A69-9306371D2D88}">
      <text>
        <r>
          <rPr>
            <b/>
            <sz val="9"/>
            <color indexed="81"/>
            <rFont val="Tahoma"/>
            <family val="2"/>
          </rPr>
          <t>&lt;[[DEVDeals] - [Proxy Entities (Seq: 20)] Company or Individual? - Send]&gt;</t>
        </r>
      </text>
    </comment>
    <comment ref="J221" authorId="0" shapeId="0" xr:uid="{3692F3F7-A48D-47D3-8A03-9FBB62504FF8}">
      <text>
        <r>
          <rPr>
            <b/>
            <sz val="9"/>
            <color indexed="81"/>
            <rFont val="Tahoma"/>
            <family val="2"/>
          </rPr>
          <t>&lt;[[DEVDeals] - [Proxy Entities (Seq: 20)] First Name - Send]&gt;</t>
        </r>
      </text>
    </comment>
    <comment ref="K221" authorId="0" shapeId="0" xr:uid="{6DA6BAE3-F2EB-45D4-B495-1585B0E14917}">
      <text>
        <r>
          <rPr>
            <b/>
            <sz val="9"/>
            <color indexed="81"/>
            <rFont val="Tahoma"/>
            <family val="2"/>
          </rPr>
          <t>&lt;[[DEVDeals] - [Proxy Entities (Seq: 20)] Last Name - Send]&gt;</t>
        </r>
      </text>
    </comment>
    <comment ref="L221" authorId="0" shapeId="0" xr:uid="{DF8BE2E1-12A8-49FC-9C2A-BE8F3D855152}">
      <text>
        <r>
          <rPr>
            <b/>
            <sz val="9"/>
            <color indexed="81"/>
            <rFont val="Tahoma"/>
            <family val="2"/>
          </rPr>
          <t>&lt;[[DEVDeals] - [Proxy Entities (Seq: 20)] Address 1 - Send]&gt;</t>
        </r>
      </text>
    </comment>
    <comment ref="M221" authorId="0" shapeId="0" xr:uid="{A5A4F7FC-3A36-4C13-A828-4339C4F4D81A}">
      <text>
        <r>
          <rPr>
            <b/>
            <sz val="9"/>
            <color indexed="81"/>
            <rFont val="Tahoma"/>
            <family val="2"/>
          </rPr>
          <t>&lt;[[DEVDeals] - [Proxy Entities (Seq: 20)] City - Send]&gt;</t>
        </r>
      </text>
    </comment>
    <comment ref="O221" authorId="0" shapeId="0" xr:uid="{DF142A63-BD9F-4F1B-90D7-523808357986}">
      <text>
        <r>
          <rPr>
            <b/>
            <sz val="9"/>
            <color indexed="81"/>
            <rFont val="Tahoma"/>
            <family val="2"/>
          </rPr>
          <t>&lt;[[DEVDeals] - [Proxy Entities (Seq: 20)] State - Send]&gt;</t>
        </r>
      </text>
    </comment>
    <comment ref="P221" authorId="0" shapeId="0" xr:uid="{154FABAB-AA93-4CA3-B00D-C6C4E1051CD3}">
      <text>
        <r>
          <rPr>
            <b/>
            <sz val="9"/>
            <color indexed="81"/>
            <rFont val="Tahoma"/>
            <family val="2"/>
          </rPr>
          <t>&lt;[[DEVDeals] - [Proxy Entities (Seq: 20)] Zip Code - Send]&gt;</t>
        </r>
      </text>
    </comment>
    <comment ref="Q221" authorId="0" shapeId="0" xr:uid="{5568A1C7-CAB4-4678-9B0D-CC2D2AECA051}">
      <text>
        <r>
          <rPr>
            <b/>
            <sz val="9"/>
            <color indexed="81"/>
            <rFont val="Tahoma"/>
            <family val="2"/>
          </rPr>
          <t>&lt;[[DEVDeals] - [Proxy Entities (Seq: 20)] Direct Phone - Send]&gt;</t>
        </r>
      </text>
    </comment>
    <comment ref="T221" authorId="0" shapeId="0" xr:uid="{338E25A8-82FE-48F2-A544-A8DBACA5913A}">
      <text>
        <r>
          <rPr>
            <b/>
            <sz val="9"/>
            <color indexed="81"/>
            <rFont val="Tahoma"/>
            <family val="2"/>
          </rPr>
          <t>&lt;[[DEVDeals] - [Proxy Entities (Seq: 20)] Email Address 1 - Send]&gt;</t>
        </r>
      </text>
    </comment>
    <comment ref="AN221" authorId="0" shapeId="0" xr:uid="{E9AFE2F0-ABA3-4537-A829-47966013CC43}">
      <text>
        <r>
          <rPr>
            <b/>
            <sz val="9"/>
            <color indexed="81"/>
            <rFont val="Tahoma"/>
            <family val="2"/>
          </rPr>
          <t>&lt;[[DEVDeals] - [Associated TC Deal (Seq: 1)] - [Proxy Entities (Seq: 20)] Deal Entity Role - Send]&gt;</t>
        </r>
      </text>
    </comment>
    <comment ref="AO221" authorId="0" shapeId="0" xr:uid="{882DE387-3565-47BA-862F-180509B41213}">
      <text>
        <r>
          <rPr>
            <b/>
            <sz val="9"/>
            <color indexed="81"/>
            <rFont val="Tahoma"/>
            <family val="2"/>
          </rPr>
          <t>&lt;[[DEVDeals] - [Associated TC Deal (Seq: 1)] - [Proxy Entities (Seq: 20)] Company or Individual? - Send]&gt;</t>
        </r>
      </text>
    </comment>
    <comment ref="AP221" authorId="0" shapeId="0" xr:uid="{E66845B3-2054-49D2-A5ED-72B08000907A}">
      <text>
        <r>
          <rPr>
            <b/>
            <sz val="9"/>
            <color indexed="81"/>
            <rFont val="Tahoma"/>
            <family val="2"/>
          </rPr>
          <t>&lt;[[DEVDeals] - [Associated TC Deal (Seq: 1)] - [Proxy Entities (Seq: 20)] First Name - Send]&gt;</t>
        </r>
      </text>
    </comment>
    <comment ref="AQ221" authorId="0" shapeId="0" xr:uid="{84FEA4DF-815F-48E9-A3B9-757191AFA2BD}">
      <text>
        <r>
          <rPr>
            <b/>
            <sz val="9"/>
            <color indexed="81"/>
            <rFont val="Tahoma"/>
            <family val="2"/>
          </rPr>
          <t>&lt;[[DEVDeals] - [Associated TC Deal (Seq: 1)] - [Proxy Entities (Seq: 20)] Last Name - Send]&gt;</t>
        </r>
      </text>
    </comment>
    <comment ref="AR221" authorId="0" shapeId="0" xr:uid="{31C5ECAD-8977-4FD6-B9AC-72BEAFE7CE2B}">
      <text>
        <r>
          <rPr>
            <b/>
            <sz val="9"/>
            <color indexed="81"/>
            <rFont val="Tahoma"/>
            <family val="2"/>
          </rPr>
          <t>&lt;[[DEVDeals] - [Associated TC Deal (Seq: 1)] - [Proxy Entities (Seq: 20)] Address 1 - Send]&gt;</t>
        </r>
      </text>
    </comment>
    <comment ref="AS221" authorId="0" shapeId="0" xr:uid="{4533339A-6048-4D9D-96DD-7F868E25D640}">
      <text>
        <r>
          <rPr>
            <b/>
            <sz val="9"/>
            <color indexed="81"/>
            <rFont val="Tahoma"/>
            <family val="2"/>
          </rPr>
          <t>&lt;[[DEVDeals] - [Associated TC Deal (Seq: 1)] - [Proxy Entities (Seq: 20)] City - Send]&gt;</t>
        </r>
      </text>
    </comment>
    <comment ref="AU221" authorId="0" shapeId="0" xr:uid="{619804D8-008C-41AB-8617-2C9353A19807}">
      <text>
        <r>
          <rPr>
            <b/>
            <sz val="9"/>
            <color indexed="81"/>
            <rFont val="Tahoma"/>
            <family val="2"/>
          </rPr>
          <t>&lt;[[DEVDeals] - [Associated TC Deal (Seq: 1)] - [Proxy Entities (Seq: 20)] State - Send]&gt;</t>
        </r>
      </text>
    </comment>
    <comment ref="AV221" authorId="0" shapeId="0" xr:uid="{4A681BD2-E841-4790-8A52-305778887A1E}">
      <text>
        <r>
          <rPr>
            <b/>
            <sz val="9"/>
            <color indexed="81"/>
            <rFont val="Tahoma"/>
            <family val="2"/>
          </rPr>
          <t>&lt;[[DEVDeals] - [Associated TC Deal (Seq: 1)] - [Proxy Entities (Seq: 20)] Zip Code - Send]&gt;</t>
        </r>
      </text>
    </comment>
    <comment ref="AW221" authorId="0" shapeId="0" xr:uid="{D1E342E2-5F63-47F2-A17D-048D7873F19B}">
      <text>
        <r>
          <rPr>
            <b/>
            <sz val="9"/>
            <color indexed="81"/>
            <rFont val="Tahoma"/>
            <family val="2"/>
          </rPr>
          <t>&lt;[[DEVDeals] - [Associated TC Deal (Seq: 1)] - [Proxy Entities (Seq: 20)] Direct Phone - Send]&gt;</t>
        </r>
      </text>
    </comment>
    <comment ref="AZ221" authorId="0" shapeId="0" xr:uid="{CF99EA8F-0EDF-4FA9-88AF-D38097FA301E}">
      <text>
        <r>
          <rPr>
            <b/>
            <sz val="9"/>
            <color indexed="81"/>
            <rFont val="Tahoma"/>
            <family val="2"/>
          </rPr>
          <t>&lt;[[DEVDeals] - [Associated TC Deal (Seq: 1)] - [Proxy Entities (Seq: 20)] Email Address 1 - Send]&gt;</t>
        </r>
      </text>
    </comment>
    <comment ref="M229" authorId="2" shapeId="0" xr:uid="{DC1A635C-8961-4DA8-8D66-4DD3AEB6AD92}">
      <text>
        <r>
          <rPr>
            <b/>
            <sz val="9"/>
            <color indexed="81"/>
            <rFont val="Tahoma"/>
            <family val="2"/>
          </rPr>
          <t>Please enter Census Tract, such as 1.01, 120, 506, etc.</t>
        </r>
      </text>
    </comment>
    <comment ref="AM230" authorId="0" shapeId="0" xr:uid="{CFF289A9-13DB-4DC1-86A1-AF8D078D9087}">
      <text>
        <r>
          <rPr>
            <b/>
            <sz val="9"/>
            <color indexed="81"/>
            <rFont val="Tahoma"/>
            <family val="2"/>
          </rPr>
          <t>&lt;[[DEVDeals] - [Associated TC Deal (Seq: 1)] - [TC Property Current Stage (Seq: 1)] - [Buildings (Seq: 1)] Address 1 - Send]&gt;</t>
        </r>
      </text>
    </comment>
    <comment ref="AP230" authorId="0" shapeId="0" xr:uid="{B3DC936C-95C7-40EC-B192-3598A479E04E}">
      <text>
        <r>
          <rPr>
            <b/>
            <sz val="9"/>
            <color indexed="81"/>
            <rFont val="Tahoma"/>
            <family val="2"/>
          </rPr>
          <t>&lt;[[DEVDeals] - [Associated TC Deal (Seq: 1)] - [TC Property Current Stage (Seq: 1)] - [Buildings (Seq: 1)] City - Send]&gt;</t>
        </r>
      </text>
    </comment>
    <comment ref="AQ230" authorId="0" shapeId="0" xr:uid="{8FEC5083-E15A-415A-83C6-63047C3D3BCF}">
      <text>
        <r>
          <rPr>
            <b/>
            <sz val="9"/>
            <color indexed="81"/>
            <rFont val="Tahoma"/>
            <family val="2"/>
          </rPr>
          <t>&lt;[[DEVDeals] - [Associated TC Deal (Seq: 1)] - [TC Property Current Stage (Seq: 1)] - [Buildings (Seq: 1)] Zip Code - Send]&gt;</t>
        </r>
      </text>
    </comment>
    <comment ref="AM231" authorId="0" shapeId="0" xr:uid="{A57C44C6-60CE-4DE4-8F0B-91C25D8D8BF7}">
      <text>
        <r>
          <rPr>
            <b/>
            <sz val="9"/>
            <color indexed="81"/>
            <rFont val="Tahoma"/>
            <family val="2"/>
          </rPr>
          <t>&lt;[[DEVDeals] - [Associated TC Deal (Seq: 1)] - [TC Property Current Stage (Seq: 1)] - [Buildings (Seq: 2)] Address 1 - Send]&gt;</t>
        </r>
      </text>
    </comment>
    <comment ref="AP231" authorId="0" shapeId="0" xr:uid="{9FA2062C-EC63-4DB8-A5D4-0E78991CF41D}">
      <text>
        <r>
          <rPr>
            <b/>
            <sz val="9"/>
            <color indexed="81"/>
            <rFont val="Tahoma"/>
            <family val="2"/>
          </rPr>
          <t>&lt;[[DEVDeals] - [Associated TC Deal (Seq: 1)] - [TC Property Current Stage (Seq: 1)] - [Buildings (Seq: 2)] City - Send]&gt;</t>
        </r>
      </text>
    </comment>
    <comment ref="AQ231" authorId="0" shapeId="0" xr:uid="{CCE75E9F-19B2-4CC2-96D7-C2BC86F9EDEA}">
      <text>
        <r>
          <rPr>
            <b/>
            <sz val="9"/>
            <color indexed="81"/>
            <rFont val="Tahoma"/>
            <family val="2"/>
          </rPr>
          <t>&lt;[[DEVDeals] - [Associated TC Deal (Seq: 1)] - [TC Property Current Stage (Seq: 1)] - [Buildings (Seq: 2)] Zip Code - Send]&gt;</t>
        </r>
      </text>
    </comment>
    <comment ref="AM232" authorId="0" shapeId="0" xr:uid="{C4099320-0245-41E6-8983-7852F284521F}">
      <text>
        <r>
          <rPr>
            <b/>
            <sz val="9"/>
            <color indexed="81"/>
            <rFont val="Tahoma"/>
            <family val="2"/>
          </rPr>
          <t>&lt;[[DEVDeals] - [Associated TC Deal (Seq: 1)] - [TC Property Current Stage (Seq: 1)] - [Buildings (Seq: 3)] Address 1 - Send]&gt;</t>
        </r>
      </text>
    </comment>
    <comment ref="AP232" authorId="0" shapeId="0" xr:uid="{DF9FC7CC-A51E-46A6-BD25-4493E9211712}">
      <text>
        <r>
          <rPr>
            <b/>
            <sz val="9"/>
            <color indexed="81"/>
            <rFont val="Tahoma"/>
            <family val="2"/>
          </rPr>
          <t>&lt;[[DEVDeals] - [Associated TC Deal (Seq: 1)] - [TC Property Current Stage (Seq: 1)] - [Buildings (Seq: 3)] City - Send]&gt;</t>
        </r>
      </text>
    </comment>
    <comment ref="AQ232" authorId="0" shapeId="0" xr:uid="{68DF449B-9D09-4A65-A7FC-03FF94704998}">
      <text>
        <r>
          <rPr>
            <b/>
            <sz val="9"/>
            <color indexed="81"/>
            <rFont val="Tahoma"/>
            <family val="2"/>
          </rPr>
          <t>&lt;[[DEVDeals] - [Associated TC Deal (Seq: 1)] - [TC Property Current Stage (Seq: 1)] - [Buildings (Seq: 3)] Zip Code - Send]&gt;</t>
        </r>
      </text>
    </comment>
    <comment ref="AM233" authorId="0" shapeId="0" xr:uid="{9B1A6F8C-C7DD-4B7C-BFE5-A0A182F483A4}">
      <text>
        <r>
          <rPr>
            <b/>
            <sz val="9"/>
            <color indexed="81"/>
            <rFont val="Tahoma"/>
            <family val="2"/>
          </rPr>
          <t>&lt;[[DEVDeals] - [Associated TC Deal (Seq: 1)] - [TC Property Current Stage (Seq: 1)] - [Buildings (Seq: 4)] Address 1 - Send]&gt;</t>
        </r>
      </text>
    </comment>
    <comment ref="AP233" authorId="0" shapeId="0" xr:uid="{E5674CF4-0FC9-4D8A-B002-7D2DF05C5D37}">
      <text>
        <r>
          <rPr>
            <b/>
            <sz val="9"/>
            <color indexed="81"/>
            <rFont val="Tahoma"/>
            <family val="2"/>
          </rPr>
          <t>&lt;[[DEVDeals] - [Associated TC Deal (Seq: 1)] - [TC Property Current Stage (Seq: 1)] - [Buildings (Seq: 4)] City - Send]&gt;</t>
        </r>
      </text>
    </comment>
    <comment ref="AQ233" authorId="0" shapeId="0" xr:uid="{1291149D-663C-4D6E-B30E-D6C18D834463}">
      <text>
        <r>
          <rPr>
            <b/>
            <sz val="9"/>
            <color indexed="81"/>
            <rFont val="Tahoma"/>
            <family val="2"/>
          </rPr>
          <t>&lt;[[DEVDeals] - [Associated TC Deal (Seq: 1)] - [TC Property Current Stage (Seq: 1)] - [Buildings (Seq: 4)] Zip Code - Send]&gt;</t>
        </r>
      </text>
    </comment>
    <comment ref="AM234" authorId="0" shapeId="0" xr:uid="{6885D948-FE85-4857-9285-531C6099B296}">
      <text>
        <r>
          <rPr>
            <b/>
            <sz val="9"/>
            <color indexed="81"/>
            <rFont val="Tahoma"/>
            <family val="2"/>
          </rPr>
          <t>&lt;[[DEVDeals] - [Associated TC Deal (Seq: 1)] - [TC Property Current Stage (Seq: 1)] - [Buildings (Seq: 5)] Address 1 - Send]&gt;</t>
        </r>
      </text>
    </comment>
    <comment ref="AP234" authorId="0" shapeId="0" xr:uid="{DEF3E240-4517-4B25-B0A8-202E9EE2CAF2}">
      <text>
        <r>
          <rPr>
            <b/>
            <sz val="9"/>
            <color indexed="81"/>
            <rFont val="Tahoma"/>
            <family val="2"/>
          </rPr>
          <t>&lt;[[DEVDeals] - [Associated TC Deal (Seq: 1)] - [TC Property Current Stage (Seq: 1)] - [Buildings (Seq: 5)] City - Send]&gt;</t>
        </r>
      </text>
    </comment>
    <comment ref="AQ234" authorId="0" shapeId="0" xr:uid="{C470FE1C-F4AF-4AF8-9A18-44A99A5C32B0}">
      <text>
        <r>
          <rPr>
            <b/>
            <sz val="9"/>
            <color indexed="81"/>
            <rFont val="Tahoma"/>
            <family val="2"/>
          </rPr>
          <t>&lt;[[DEVDeals] - [Associated TC Deal (Seq: 1)] - [TC Property Current Stage (Seq: 1)] - [Buildings (Seq: 5)] Zip Code - Send]&gt;</t>
        </r>
      </text>
    </comment>
    <comment ref="AM235" authorId="0" shapeId="0" xr:uid="{15E7B0E7-64A7-4E53-98F9-37A12DDF3202}">
      <text>
        <r>
          <rPr>
            <b/>
            <sz val="9"/>
            <color indexed="81"/>
            <rFont val="Tahoma"/>
            <family val="2"/>
          </rPr>
          <t>&lt;[[DEVDeals] - [Associated TC Deal (Seq: 1)] - [TC Property Current Stage (Seq: 1)] - [Buildings (Seq: 6)] Address 1 - Send]&gt;</t>
        </r>
      </text>
    </comment>
    <comment ref="AP235" authorId="0" shapeId="0" xr:uid="{362D07C4-BA1A-4294-A8FD-BA8724241796}">
      <text>
        <r>
          <rPr>
            <b/>
            <sz val="9"/>
            <color indexed="81"/>
            <rFont val="Tahoma"/>
            <family val="2"/>
          </rPr>
          <t>&lt;[[DEVDeals] - [Associated TC Deal (Seq: 1)] - [TC Property Current Stage (Seq: 1)] - [Buildings (Seq: 6)] City - Send]&gt;</t>
        </r>
      </text>
    </comment>
    <comment ref="AQ235" authorId="0" shapeId="0" xr:uid="{BDC81985-05B1-482F-9C55-36DDD6832ADF}">
      <text>
        <r>
          <rPr>
            <b/>
            <sz val="9"/>
            <color indexed="81"/>
            <rFont val="Tahoma"/>
            <family val="2"/>
          </rPr>
          <t>&lt;[[DEVDeals] - [Associated TC Deal (Seq: 1)] - [TC Property Current Stage (Seq: 1)] - [Buildings (Seq: 6)] Zip Code - Send]&gt;</t>
        </r>
      </text>
    </comment>
    <comment ref="AM236" authorId="0" shapeId="0" xr:uid="{45235DF8-A326-43B9-95A2-C84DDD8A598F}">
      <text>
        <r>
          <rPr>
            <b/>
            <sz val="9"/>
            <color indexed="81"/>
            <rFont val="Tahoma"/>
            <family val="2"/>
          </rPr>
          <t>&lt;[[DEVDeals] - [Associated TC Deal (Seq: 1)] - [TC Property Current Stage (Seq: 1)] - [Buildings (Seq: 7)] Address 1 - Send]&gt;</t>
        </r>
      </text>
    </comment>
    <comment ref="AP236" authorId="0" shapeId="0" xr:uid="{6BE5EAE2-6A5F-4911-9B84-736F40363BB3}">
      <text>
        <r>
          <rPr>
            <b/>
            <sz val="9"/>
            <color indexed="81"/>
            <rFont val="Tahoma"/>
            <family val="2"/>
          </rPr>
          <t>&lt;[[DEVDeals] - [Associated TC Deal (Seq: 1)] - [TC Property Current Stage (Seq: 1)] - [Buildings (Seq: 7)] City - Send]&gt;</t>
        </r>
      </text>
    </comment>
    <comment ref="AQ236" authorId="0" shapeId="0" xr:uid="{35CD8C89-057D-4984-A8CC-EE1885BA41C9}">
      <text>
        <r>
          <rPr>
            <b/>
            <sz val="9"/>
            <color indexed="81"/>
            <rFont val="Tahoma"/>
            <family val="2"/>
          </rPr>
          <t>&lt;[[DEVDeals] - [Associated TC Deal (Seq: 1)] - [TC Property Current Stage (Seq: 1)] - [Buildings (Seq: 7)] Zip Code - Send]&gt;</t>
        </r>
      </text>
    </comment>
    <comment ref="AM237" authorId="0" shapeId="0" xr:uid="{7FA49F9D-F4B1-4B74-95AF-DEB317B2E124}">
      <text>
        <r>
          <rPr>
            <b/>
            <sz val="9"/>
            <color indexed="81"/>
            <rFont val="Tahoma"/>
            <family val="2"/>
          </rPr>
          <t>&lt;[[DEVDeals] - [Associated TC Deal (Seq: 1)] - [TC Property Current Stage (Seq: 1)] - [Buildings (Seq: 8)] Address 1 - Send]&gt;</t>
        </r>
      </text>
    </comment>
    <comment ref="AP237" authorId="0" shapeId="0" xr:uid="{E05AE9AF-9B80-457A-BC1A-A79C5F77AC0D}">
      <text>
        <r>
          <rPr>
            <b/>
            <sz val="9"/>
            <color indexed="81"/>
            <rFont val="Tahoma"/>
            <family val="2"/>
          </rPr>
          <t>&lt;[[DEVDeals] - [Associated TC Deal (Seq: 1)] - [TC Property Current Stage (Seq: 1)] - [Buildings (Seq: 8)] City - Send]&gt;</t>
        </r>
      </text>
    </comment>
    <comment ref="AQ237" authorId="0" shapeId="0" xr:uid="{37A5BEA3-C6A5-4F6A-AD31-9A05662824A1}">
      <text>
        <r>
          <rPr>
            <b/>
            <sz val="9"/>
            <color indexed="81"/>
            <rFont val="Tahoma"/>
            <family val="2"/>
          </rPr>
          <t>&lt;[[DEVDeals] - [Associated TC Deal (Seq: 1)] - [TC Property Current Stage (Seq: 1)] - [Buildings (Seq: 8)] Zip Code - Send]&gt;</t>
        </r>
      </text>
    </comment>
    <comment ref="AM238" authorId="0" shapeId="0" xr:uid="{10AB4F70-4E44-4565-B89C-8B6C433C1021}">
      <text>
        <r>
          <rPr>
            <b/>
            <sz val="9"/>
            <color indexed="81"/>
            <rFont val="Tahoma"/>
            <family val="2"/>
          </rPr>
          <t>&lt;[[DEVDeals] - [Associated TC Deal (Seq: 1)] - [TC Property Current Stage (Seq: 1)] - [Buildings (Seq: 9)] Address 1 - Send]&gt;</t>
        </r>
      </text>
    </comment>
    <comment ref="AP238" authorId="0" shapeId="0" xr:uid="{39C54F0D-816C-4D97-97EC-3FA6D6709006}">
      <text>
        <r>
          <rPr>
            <b/>
            <sz val="9"/>
            <color indexed="81"/>
            <rFont val="Tahoma"/>
            <family val="2"/>
          </rPr>
          <t>&lt;[[DEVDeals] - [Associated TC Deal (Seq: 1)] - [TC Property Current Stage (Seq: 1)] - [Buildings (Seq: 9)] City - Send]&gt;</t>
        </r>
      </text>
    </comment>
    <comment ref="AQ238" authorId="0" shapeId="0" xr:uid="{5A32175D-31AC-49C6-B35D-F96BE0345682}">
      <text>
        <r>
          <rPr>
            <b/>
            <sz val="9"/>
            <color indexed="81"/>
            <rFont val="Tahoma"/>
            <family val="2"/>
          </rPr>
          <t>&lt;[[DEVDeals] - [Associated TC Deal (Seq: 1)] - [TC Property Current Stage (Seq: 1)] - [Buildings (Seq: 9)] Zip Code - Send]&gt;</t>
        </r>
      </text>
    </comment>
    <comment ref="AM239" authorId="0" shapeId="0" xr:uid="{685F8770-E668-49B5-8F5E-9FD62D0BBB64}">
      <text>
        <r>
          <rPr>
            <b/>
            <sz val="9"/>
            <color indexed="81"/>
            <rFont val="Tahoma"/>
            <family val="2"/>
          </rPr>
          <t>&lt;[[DEVDeals] - [Associated TC Deal (Seq: 1)] - [TC Property Current Stage (Seq: 1)] - [Buildings (Seq: 10)] Address 1 - Send]&gt;</t>
        </r>
      </text>
    </comment>
    <comment ref="AP239" authorId="0" shapeId="0" xr:uid="{308F1878-F2B8-4EC3-8013-6C12ED18D862}">
      <text>
        <r>
          <rPr>
            <b/>
            <sz val="9"/>
            <color indexed="81"/>
            <rFont val="Tahoma"/>
            <family val="2"/>
          </rPr>
          <t>&lt;[[DEVDeals] - [Associated TC Deal (Seq: 1)] - [TC Property Current Stage (Seq: 1)] - [Buildings (Seq: 10)] City - Send]&gt;</t>
        </r>
      </text>
    </comment>
    <comment ref="AQ239" authorId="0" shapeId="0" xr:uid="{0D501940-EAE7-4816-96CB-D8EB20619CBA}">
      <text>
        <r>
          <rPr>
            <b/>
            <sz val="9"/>
            <color indexed="81"/>
            <rFont val="Tahoma"/>
            <family val="2"/>
          </rPr>
          <t>&lt;[[DEVDeals] - [Associated TC Deal (Seq: 1)] - [TC Property Current Stage (Seq: 1)] - [Buildings (Seq: 10)] Zip Code - Send]&gt;</t>
        </r>
      </text>
    </comment>
    <comment ref="AM240" authorId="0" shapeId="0" xr:uid="{32B7DF5A-6706-46B9-9F85-CF2D3FEB1B58}">
      <text>
        <r>
          <rPr>
            <b/>
            <sz val="9"/>
            <color indexed="81"/>
            <rFont val="Tahoma"/>
            <family val="2"/>
          </rPr>
          <t>&lt;[[DEVDeals] - [Associated TC Deal (Seq: 1)] - [TC Property Current Stage (Seq: 1)] - [Buildings (Seq: 11)] Address 1 - Send]&gt;</t>
        </r>
      </text>
    </comment>
    <comment ref="AP240" authorId="0" shapeId="0" xr:uid="{1766BFC2-1329-43A0-BFE4-1A3E513D56A0}">
      <text>
        <r>
          <rPr>
            <b/>
            <sz val="9"/>
            <color indexed="81"/>
            <rFont val="Tahoma"/>
            <family val="2"/>
          </rPr>
          <t>&lt;[[DEVDeals] - [Associated TC Deal (Seq: 1)] - [TC Property Current Stage (Seq: 1)] - [Buildings (Seq: 11)] City - Send]&gt;</t>
        </r>
      </text>
    </comment>
    <comment ref="AQ240" authorId="0" shapeId="0" xr:uid="{59B2AC61-0F57-47CB-88A1-FE3B9FD649E7}">
      <text>
        <r>
          <rPr>
            <b/>
            <sz val="9"/>
            <color indexed="81"/>
            <rFont val="Tahoma"/>
            <family val="2"/>
          </rPr>
          <t>&lt;[[DEVDeals] - [Associated TC Deal (Seq: 1)] - [TC Property Current Stage (Seq: 1)] - [Buildings (Seq: 11)] Zip Code - Send]&gt;</t>
        </r>
      </text>
    </comment>
    <comment ref="AM241" authorId="0" shapeId="0" xr:uid="{6E8BB27F-D948-4324-A032-F81BE444DA7D}">
      <text>
        <r>
          <rPr>
            <b/>
            <sz val="9"/>
            <color indexed="81"/>
            <rFont val="Tahoma"/>
            <family val="2"/>
          </rPr>
          <t>&lt;[[DEVDeals] - [Associated TC Deal (Seq: 1)] - [TC Property Current Stage (Seq: 1)] - [Buildings (Seq: 12)] Address 1 - Send]&gt;</t>
        </r>
      </text>
    </comment>
    <comment ref="AP241" authorId="0" shapeId="0" xr:uid="{67D264AF-DB20-42DB-B13D-6F5954E561B3}">
      <text>
        <r>
          <rPr>
            <b/>
            <sz val="9"/>
            <color indexed="81"/>
            <rFont val="Tahoma"/>
            <family val="2"/>
          </rPr>
          <t>&lt;[[DEVDeals] - [Associated TC Deal (Seq: 1)] - [TC Property Current Stage (Seq: 1)] - [Buildings (Seq: 12)] City - Send]&gt;</t>
        </r>
      </text>
    </comment>
    <comment ref="AQ241" authorId="0" shapeId="0" xr:uid="{D2D91854-2FD8-4B8B-B5C2-E87E2382ED60}">
      <text>
        <r>
          <rPr>
            <b/>
            <sz val="9"/>
            <color indexed="81"/>
            <rFont val="Tahoma"/>
            <family val="2"/>
          </rPr>
          <t>&lt;[[DEVDeals] - [Associated TC Deal (Seq: 1)] - [TC Property Current Stage (Seq: 1)] - [Buildings (Seq: 12)] Zip Code - Send]&gt;</t>
        </r>
      </text>
    </comment>
    <comment ref="AM242" authorId="0" shapeId="0" xr:uid="{FE229143-736C-4A3C-9DD6-43A83E247035}">
      <text>
        <r>
          <rPr>
            <b/>
            <sz val="9"/>
            <color indexed="81"/>
            <rFont val="Tahoma"/>
            <family val="2"/>
          </rPr>
          <t>&lt;[[DEVDeals] - [Associated TC Deal (Seq: 1)] - [TC Property Current Stage (Seq: 1)] - [Buildings (Seq: 13)] Address 1 - Send]&gt;</t>
        </r>
      </text>
    </comment>
    <comment ref="AP242" authorId="0" shapeId="0" xr:uid="{DF703902-3A08-47CF-8CDD-433B0EB4AFA3}">
      <text>
        <r>
          <rPr>
            <b/>
            <sz val="9"/>
            <color indexed="81"/>
            <rFont val="Tahoma"/>
            <family val="2"/>
          </rPr>
          <t>&lt;[[DEVDeals] - [Associated TC Deal (Seq: 1)] - [TC Property Current Stage (Seq: 1)] - [Buildings (Seq: 13)] City - Send]&gt;</t>
        </r>
      </text>
    </comment>
    <comment ref="AQ242" authorId="0" shapeId="0" xr:uid="{BC9214A9-D5E5-4FB4-9DD1-9D7BFA22E2B6}">
      <text>
        <r>
          <rPr>
            <b/>
            <sz val="9"/>
            <color indexed="81"/>
            <rFont val="Tahoma"/>
            <family val="2"/>
          </rPr>
          <t>&lt;[[DEVDeals] - [Associated TC Deal (Seq: 1)] - [TC Property Current Stage (Seq: 1)] - [Buildings (Seq: 13)] Zip Code - Send]&gt;</t>
        </r>
      </text>
    </comment>
    <comment ref="AM243" authorId="0" shapeId="0" xr:uid="{6C52278F-0D5D-425D-A865-038B7BA8328B}">
      <text>
        <r>
          <rPr>
            <b/>
            <sz val="9"/>
            <color indexed="81"/>
            <rFont val="Tahoma"/>
            <family val="2"/>
          </rPr>
          <t>&lt;[[DEVDeals] - [Associated TC Deal (Seq: 1)] - [TC Property Current Stage (Seq: 1)] - [Buildings (Seq: 14)] Address 1 - Send]&gt;</t>
        </r>
      </text>
    </comment>
    <comment ref="AP243" authorId="0" shapeId="0" xr:uid="{1510063A-5AF8-4D17-904C-4E0543C3F1B8}">
      <text>
        <r>
          <rPr>
            <b/>
            <sz val="9"/>
            <color indexed="81"/>
            <rFont val="Tahoma"/>
            <family val="2"/>
          </rPr>
          <t>&lt;[[DEVDeals] - [Associated TC Deal (Seq: 1)] - [TC Property Current Stage (Seq: 1)] - [Buildings (Seq: 14)] City - Send]&gt;</t>
        </r>
      </text>
    </comment>
    <comment ref="AQ243" authorId="0" shapeId="0" xr:uid="{EA26D2A6-55C8-47EF-B79D-FAB613FFCF8B}">
      <text>
        <r>
          <rPr>
            <b/>
            <sz val="9"/>
            <color indexed="81"/>
            <rFont val="Tahoma"/>
            <family val="2"/>
          </rPr>
          <t>&lt;[[DEVDeals] - [Associated TC Deal (Seq: 1)] - [TC Property Current Stage (Seq: 1)] - [Buildings (Seq: 14)] Zip Code - Send]&gt;</t>
        </r>
      </text>
    </comment>
    <comment ref="AM244" authorId="0" shapeId="0" xr:uid="{BBABEE97-1070-41BC-AEC6-ABD5107CC90A}">
      <text>
        <r>
          <rPr>
            <b/>
            <sz val="9"/>
            <color indexed="81"/>
            <rFont val="Tahoma"/>
            <family val="2"/>
          </rPr>
          <t>&lt;[[DEVDeals] - [Associated TC Deal (Seq: 1)] - [TC Property Current Stage (Seq: 1)] - [Buildings (Seq: 15)] Address 1 - Send]&gt;</t>
        </r>
      </text>
    </comment>
    <comment ref="AP244" authorId="0" shapeId="0" xr:uid="{37A39BB6-ADF1-440F-B47A-57A52E997369}">
      <text>
        <r>
          <rPr>
            <b/>
            <sz val="9"/>
            <color indexed="81"/>
            <rFont val="Tahoma"/>
            <family val="2"/>
          </rPr>
          <t>&lt;[[DEVDeals] - [Associated TC Deal (Seq: 1)] - [TC Property Current Stage (Seq: 1)] - [Buildings (Seq: 15)] City - Send]&gt;</t>
        </r>
      </text>
    </comment>
    <comment ref="AQ244" authorId="0" shapeId="0" xr:uid="{28ACF9DC-0A42-4C2F-8A5B-0B4DA247D66C}">
      <text>
        <r>
          <rPr>
            <b/>
            <sz val="9"/>
            <color indexed="81"/>
            <rFont val="Tahoma"/>
            <family val="2"/>
          </rPr>
          <t>&lt;[[DEVDeals] - [Associated TC Deal (Seq: 1)] - [TC Property Current Stage (Seq: 1)] - [Buildings (Seq: 15)] Zip Code - Send]&gt;</t>
        </r>
      </text>
    </comment>
    <comment ref="AM245" authorId="0" shapeId="0" xr:uid="{F4C9EF63-2AEA-406B-ABA7-EDA19A217E4B}">
      <text>
        <r>
          <rPr>
            <b/>
            <sz val="9"/>
            <color indexed="81"/>
            <rFont val="Tahoma"/>
            <family val="2"/>
          </rPr>
          <t>&lt;[[DEVDeals] - [Associated TC Deal (Seq: 1)] - [TC Property Current Stage (Seq: 1)] - [Buildings (Seq: 16)] Address 1 - Send]&gt;</t>
        </r>
      </text>
    </comment>
    <comment ref="AP245" authorId="0" shapeId="0" xr:uid="{D1322659-58BA-4CEF-9035-AAB030D36E8A}">
      <text>
        <r>
          <rPr>
            <b/>
            <sz val="9"/>
            <color indexed="81"/>
            <rFont val="Tahoma"/>
            <family val="2"/>
          </rPr>
          <t>&lt;[[DEVDeals] - [Associated TC Deal (Seq: 1)] - [TC Property Current Stage (Seq: 1)] - [Buildings (Seq: 16)] City - Send]&gt;</t>
        </r>
      </text>
    </comment>
    <comment ref="AQ245" authorId="0" shapeId="0" xr:uid="{EC8BC74C-8E26-4127-ABD0-15F58195CE22}">
      <text>
        <r>
          <rPr>
            <b/>
            <sz val="9"/>
            <color indexed="81"/>
            <rFont val="Tahoma"/>
            <family val="2"/>
          </rPr>
          <t>&lt;[[DEVDeals] - [Associated TC Deal (Seq: 1)] - [TC Property Current Stage (Seq: 1)] - [Buildings (Seq: 16)] Zip Code - Send]&gt;</t>
        </r>
      </text>
    </comment>
    <comment ref="AM246" authorId="0" shapeId="0" xr:uid="{090F68CE-5649-4417-A146-AAA84D7E4466}">
      <text>
        <r>
          <rPr>
            <b/>
            <sz val="9"/>
            <color indexed="81"/>
            <rFont val="Tahoma"/>
            <family val="2"/>
          </rPr>
          <t>&lt;[[DEVDeals] - [Associated TC Deal (Seq: 1)] - [TC Property Current Stage (Seq: 1)] - [Buildings (Seq: 17)] Address 1 - Send]&gt;</t>
        </r>
      </text>
    </comment>
    <comment ref="AP246" authorId="0" shapeId="0" xr:uid="{D7B8561C-536F-44A1-8410-F34D274351C9}">
      <text>
        <r>
          <rPr>
            <b/>
            <sz val="9"/>
            <color indexed="81"/>
            <rFont val="Tahoma"/>
            <family val="2"/>
          </rPr>
          <t>&lt;[[DEVDeals] - [Associated TC Deal (Seq: 1)] - [TC Property Current Stage (Seq: 1)] - [Buildings (Seq: 17)] City - Send]&gt;</t>
        </r>
      </text>
    </comment>
    <comment ref="AQ246" authorId="0" shapeId="0" xr:uid="{1265B57E-7D93-4F14-A1A6-3A90EA476545}">
      <text>
        <r>
          <rPr>
            <b/>
            <sz val="9"/>
            <color indexed="81"/>
            <rFont val="Tahoma"/>
            <family val="2"/>
          </rPr>
          <t>&lt;[[DEVDeals] - [Associated TC Deal (Seq: 1)] - [TC Property Current Stage (Seq: 1)] - [Buildings (Seq: 17)] Zip Code - Send]&gt;</t>
        </r>
      </text>
    </comment>
    <comment ref="AM247" authorId="0" shapeId="0" xr:uid="{428A2CE5-6E29-4E20-B27F-BAFD3D474742}">
      <text>
        <r>
          <rPr>
            <b/>
            <sz val="9"/>
            <color indexed="81"/>
            <rFont val="Tahoma"/>
            <family val="2"/>
          </rPr>
          <t>&lt;[[DEVDeals] - [Associated TC Deal (Seq: 1)] - [TC Property Current Stage (Seq: 1)] - [Buildings (Seq: 18)] Address 1 - Send]&gt;</t>
        </r>
      </text>
    </comment>
    <comment ref="AP247" authorId="0" shapeId="0" xr:uid="{20CDA4A3-5C39-49CD-B907-46B26AF5F92D}">
      <text>
        <r>
          <rPr>
            <b/>
            <sz val="9"/>
            <color indexed="81"/>
            <rFont val="Tahoma"/>
            <family val="2"/>
          </rPr>
          <t>&lt;[[DEVDeals] - [Associated TC Deal (Seq: 1)] - [TC Property Current Stage (Seq: 1)] - [Buildings (Seq: 18)] City - Send]&gt;</t>
        </r>
      </text>
    </comment>
    <comment ref="AQ247" authorId="0" shapeId="0" xr:uid="{E4A7473E-FF22-4465-8060-876C387586FD}">
      <text>
        <r>
          <rPr>
            <b/>
            <sz val="9"/>
            <color indexed="81"/>
            <rFont val="Tahoma"/>
            <family val="2"/>
          </rPr>
          <t>&lt;[[DEVDeals] - [Associated TC Deal (Seq: 1)] - [TC Property Current Stage (Seq: 1)] - [Buildings (Seq: 18)] Zip Code - Send]&gt;</t>
        </r>
      </text>
    </comment>
    <comment ref="AM248" authorId="0" shapeId="0" xr:uid="{824C8347-E99E-4C8D-B343-3C77F35617EA}">
      <text>
        <r>
          <rPr>
            <b/>
            <sz val="9"/>
            <color indexed="81"/>
            <rFont val="Tahoma"/>
            <family val="2"/>
          </rPr>
          <t>&lt;[[DEVDeals] - [Associated TC Deal (Seq: 1)] - [TC Property Current Stage (Seq: 1)] - [Buildings (Seq: 19)] Address 1 - Send]&gt;</t>
        </r>
      </text>
    </comment>
    <comment ref="AP248" authorId="0" shapeId="0" xr:uid="{9D11D667-FDC3-4805-AAC9-35F4D3FFE464}">
      <text>
        <r>
          <rPr>
            <b/>
            <sz val="9"/>
            <color indexed="81"/>
            <rFont val="Tahoma"/>
            <family val="2"/>
          </rPr>
          <t>&lt;[[DEVDeals] - [Associated TC Deal (Seq: 1)] - [TC Property Current Stage (Seq: 1)] - [Buildings (Seq: 19)] City - Send]&gt;</t>
        </r>
      </text>
    </comment>
    <comment ref="AQ248" authorId="0" shapeId="0" xr:uid="{D10A29CB-2797-4EDA-A2B4-80E9CB9C722A}">
      <text>
        <r>
          <rPr>
            <b/>
            <sz val="9"/>
            <color indexed="81"/>
            <rFont val="Tahoma"/>
            <family val="2"/>
          </rPr>
          <t>&lt;[[DEVDeals] - [Associated TC Deal (Seq: 1)] - [TC Property Current Stage (Seq: 1)] - [Buildings (Seq: 19)] Zip Code - Send]&gt;</t>
        </r>
      </text>
    </comment>
    <comment ref="AM249" authorId="0" shapeId="0" xr:uid="{B35F3C1E-ACBF-479A-98C0-2228D94FB4BF}">
      <text>
        <r>
          <rPr>
            <b/>
            <sz val="9"/>
            <color indexed="81"/>
            <rFont val="Tahoma"/>
            <family val="2"/>
          </rPr>
          <t>&lt;[[DEVDeals] - [Associated TC Deal (Seq: 1)] - [TC Property Current Stage (Seq: 1)] - [Buildings (Seq: 20)] Address 1 - Send]&gt;</t>
        </r>
      </text>
    </comment>
    <comment ref="AP249" authorId="0" shapeId="0" xr:uid="{7A7EE9C1-F19E-4D01-8BC4-56203E31796F}">
      <text>
        <r>
          <rPr>
            <b/>
            <sz val="9"/>
            <color indexed="81"/>
            <rFont val="Tahoma"/>
            <family val="2"/>
          </rPr>
          <t>&lt;[[DEVDeals] - [Associated TC Deal (Seq: 1)] - [TC Property Current Stage (Seq: 1)] - [Buildings (Seq: 20)] City - Send]&gt;</t>
        </r>
      </text>
    </comment>
    <comment ref="AQ249" authorId="0" shapeId="0" xr:uid="{27AAC556-F6A8-4817-A467-EBCD8B4B8C1B}">
      <text>
        <r>
          <rPr>
            <b/>
            <sz val="9"/>
            <color indexed="81"/>
            <rFont val="Tahoma"/>
            <family val="2"/>
          </rPr>
          <t>&lt;[[DEVDeals] - [Associated TC Deal (Seq: 1)] - [TC Property Current Stage (Seq: 1)] - [Buildings (Seq: 20)] Zip Code - Send]&gt;</t>
        </r>
      </text>
    </comment>
    <comment ref="AM250" authorId="0" shapeId="0" xr:uid="{C3BE6AAC-482C-4DD3-A1F3-358BF7909AA5}">
      <text>
        <r>
          <rPr>
            <b/>
            <sz val="9"/>
            <color indexed="81"/>
            <rFont val="Tahoma"/>
            <family val="2"/>
          </rPr>
          <t>&lt;[[DEVDeals] - [Associated TC Deal (Seq: 1)] - [TC Property Current Stage (Seq: 1)] - [Buildings (Seq: 21)] Address 1 - Send]&gt;</t>
        </r>
      </text>
    </comment>
    <comment ref="AP250" authorId="0" shapeId="0" xr:uid="{A9712C69-351D-49CA-B671-B604AFE0B281}">
      <text>
        <r>
          <rPr>
            <b/>
            <sz val="9"/>
            <color indexed="81"/>
            <rFont val="Tahoma"/>
            <family val="2"/>
          </rPr>
          <t>&lt;[[DEVDeals] - [Associated TC Deal (Seq: 1)] - [TC Property Current Stage (Seq: 1)] - [Buildings (Seq: 21)] City - Send]&gt;</t>
        </r>
      </text>
    </comment>
    <comment ref="AQ250" authorId="0" shapeId="0" xr:uid="{42F9163D-B41D-4CFD-A45F-2297E91F1572}">
      <text>
        <r>
          <rPr>
            <b/>
            <sz val="9"/>
            <color indexed="81"/>
            <rFont val="Tahoma"/>
            <family val="2"/>
          </rPr>
          <t>&lt;[[DEVDeals] - [Associated TC Deal (Seq: 1)] - [TC Property Current Stage (Seq: 1)] - [Buildings (Seq: 21)] Zip Code - Send]&gt;</t>
        </r>
      </text>
    </comment>
    <comment ref="AM251" authorId="0" shapeId="0" xr:uid="{81D1D8B8-7F42-4071-8714-9F0448DFF389}">
      <text>
        <r>
          <rPr>
            <b/>
            <sz val="9"/>
            <color indexed="81"/>
            <rFont val="Tahoma"/>
            <family val="2"/>
          </rPr>
          <t>&lt;[[DEVDeals] - [Associated TC Deal (Seq: 1)] - [TC Property Current Stage (Seq: 1)] - [Buildings (Seq: 22)] Address 1 - Send]&gt;</t>
        </r>
      </text>
    </comment>
    <comment ref="AP251" authorId="0" shapeId="0" xr:uid="{4FD76967-3D70-4E17-BBDF-A003E70D16BC}">
      <text>
        <r>
          <rPr>
            <b/>
            <sz val="9"/>
            <color indexed="81"/>
            <rFont val="Tahoma"/>
            <family val="2"/>
          </rPr>
          <t>&lt;[[DEVDeals] - [Associated TC Deal (Seq: 1)] - [TC Property Current Stage (Seq: 1)] - [Buildings (Seq: 22)] City - Send]&gt;</t>
        </r>
      </text>
    </comment>
    <comment ref="AQ251" authorId="0" shapeId="0" xr:uid="{880B9414-040A-4EA1-AD82-139687BAAF7A}">
      <text>
        <r>
          <rPr>
            <b/>
            <sz val="9"/>
            <color indexed="81"/>
            <rFont val="Tahoma"/>
            <family val="2"/>
          </rPr>
          <t>&lt;[[DEVDeals] - [Associated TC Deal (Seq: 1)] - [TC Property Current Stage (Seq: 1)] - [Buildings (Seq: 22)] Zip Code - Send]&gt;</t>
        </r>
      </text>
    </comment>
    <comment ref="AM252" authorId="0" shapeId="0" xr:uid="{C466F54A-88DE-45B9-B79E-0F9E9A701521}">
      <text>
        <r>
          <rPr>
            <b/>
            <sz val="9"/>
            <color indexed="81"/>
            <rFont val="Tahoma"/>
            <family val="2"/>
          </rPr>
          <t>&lt;[[DEVDeals] - [Associated TC Deal (Seq: 1)] - [TC Property Current Stage (Seq: 1)] - [Buildings (Seq: 23)] Address 1 - Send]&gt;</t>
        </r>
      </text>
    </comment>
    <comment ref="AP252" authorId="0" shapeId="0" xr:uid="{BC1C2160-2078-4D26-8317-F2BC8291E267}">
      <text>
        <r>
          <rPr>
            <b/>
            <sz val="9"/>
            <color indexed="81"/>
            <rFont val="Tahoma"/>
            <family val="2"/>
          </rPr>
          <t>&lt;[[DEVDeals] - [Associated TC Deal (Seq: 1)] - [TC Property Current Stage (Seq: 1)] - [Buildings (Seq: 23)] City - Send]&gt;</t>
        </r>
      </text>
    </comment>
    <comment ref="AQ252" authorId="0" shapeId="0" xr:uid="{AF68348F-A367-4E16-8AD4-C345F46F6F16}">
      <text>
        <r>
          <rPr>
            <b/>
            <sz val="9"/>
            <color indexed="81"/>
            <rFont val="Tahoma"/>
            <family val="2"/>
          </rPr>
          <t>&lt;[[DEVDeals] - [Associated TC Deal (Seq: 1)] - [TC Property Current Stage (Seq: 1)] - [Buildings (Seq: 23)] Zip Code - Send]&gt;</t>
        </r>
      </text>
    </comment>
    <comment ref="AM253" authorId="0" shapeId="0" xr:uid="{9D7D5295-8EEB-4790-A84A-ACB9DB42D4EE}">
      <text>
        <r>
          <rPr>
            <b/>
            <sz val="9"/>
            <color indexed="81"/>
            <rFont val="Tahoma"/>
            <family val="2"/>
          </rPr>
          <t>&lt;[[DEVDeals] - [Associated TC Deal (Seq: 1)] - [TC Property Current Stage (Seq: 1)] - [Buildings (Seq: 24)] Address 1 - Send]&gt;</t>
        </r>
      </text>
    </comment>
    <comment ref="AP253" authorId="0" shapeId="0" xr:uid="{2A01A338-D349-4945-9E69-7BD36F3CDE99}">
      <text>
        <r>
          <rPr>
            <b/>
            <sz val="9"/>
            <color indexed="81"/>
            <rFont val="Tahoma"/>
            <family val="2"/>
          </rPr>
          <t>&lt;[[DEVDeals] - [Associated TC Deal (Seq: 1)] - [TC Property Current Stage (Seq: 1)] - [Buildings (Seq: 24)] City - Send]&gt;</t>
        </r>
      </text>
    </comment>
    <comment ref="AQ253" authorId="0" shapeId="0" xr:uid="{68EF7248-8ED6-40C1-9400-1DD87D268D58}">
      <text>
        <r>
          <rPr>
            <b/>
            <sz val="9"/>
            <color indexed="81"/>
            <rFont val="Tahoma"/>
            <family val="2"/>
          </rPr>
          <t>&lt;[[DEVDeals] - [Associated TC Deal (Seq: 1)] - [TC Property Current Stage (Seq: 1)] - [Buildings (Seq: 24)] Zip Code - Send]&gt;</t>
        </r>
      </text>
    </comment>
    <comment ref="AM254" authorId="0" shapeId="0" xr:uid="{60966FE4-5C7B-4E11-A0E1-63CFDECB3A98}">
      <text>
        <r>
          <rPr>
            <b/>
            <sz val="9"/>
            <color indexed="81"/>
            <rFont val="Tahoma"/>
            <family val="2"/>
          </rPr>
          <t>&lt;[[DEVDeals] - [Associated TC Deal (Seq: 1)] - [TC Property Current Stage (Seq: 1)] - [Buildings (Seq: 25)] Address 1 - Send]&gt;</t>
        </r>
      </text>
    </comment>
    <comment ref="AP254" authorId="0" shapeId="0" xr:uid="{15979D8B-09F0-4C28-A44F-E827A07ABECA}">
      <text>
        <r>
          <rPr>
            <b/>
            <sz val="9"/>
            <color indexed="81"/>
            <rFont val="Tahoma"/>
            <family val="2"/>
          </rPr>
          <t>&lt;[[DEVDeals] - [Associated TC Deal (Seq: 1)] - [TC Property Current Stage (Seq: 1)] - [Buildings (Seq: 25)] City - Send]&gt;</t>
        </r>
      </text>
    </comment>
    <comment ref="AQ254" authorId="0" shapeId="0" xr:uid="{1E72EF7A-930C-447E-90F7-BDA2C2E4E98D}">
      <text>
        <r>
          <rPr>
            <b/>
            <sz val="9"/>
            <color indexed="81"/>
            <rFont val="Tahoma"/>
            <family val="2"/>
          </rPr>
          <t>&lt;[[DEVDeals] - [Associated TC Deal (Seq: 1)] - [TC Property Current Stage (Seq: 1)] - [Buildings (Seq: 25)] Zip Code - Send]&gt;</t>
        </r>
      </text>
    </comment>
    <comment ref="AM255" authorId="0" shapeId="0" xr:uid="{0360EA6D-A231-4637-94F6-5CBDCBDB0DD5}">
      <text>
        <r>
          <rPr>
            <b/>
            <sz val="9"/>
            <color indexed="81"/>
            <rFont val="Tahoma"/>
            <family val="2"/>
          </rPr>
          <t>&lt;[[DEVDeals] - [Associated TC Deal (Seq: 1)] - [TC Property Current Stage (Seq: 1)] - [Buildings (Seq: 26)] Address 1 - Send]&gt;</t>
        </r>
      </text>
    </comment>
    <comment ref="AP255" authorId="0" shapeId="0" xr:uid="{A612BE2C-CB7F-448B-B485-695EED6DFA97}">
      <text>
        <r>
          <rPr>
            <b/>
            <sz val="9"/>
            <color indexed="81"/>
            <rFont val="Tahoma"/>
            <family val="2"/>
          </rPr>
          <t>&lt;[[DEVDeals] - [Associated TC Deal (Seq: 1)] - [TC Property Current Stage (Seq: 1)] - [Buildings (Seq: 26)] City - Send]&gt;</t>
        </r>
      </text>
    </comment>
    <comment ref="AQ255" authorId="0" shapeId="0" xr:uid="{A866B4AC-11F5-4107-9EC4-B86C0DA9CECE}">
      <text>
        <r>
          <rPr>
            <b/>
            <sz val="9"/>
            <color indexed="81"/>
            <rFont val="Tahoma"/>
            <family val="2"/>
          </rPr>
          <t>&lt;[[DEVDeals] - [Associated TC Deal (Seq: 1)] - [TC Property Current Stage (Seq: 1)] - [Buildings (Seq: 26)] Zip Code - Send]&gt;</t>
        </r>
      </text>
    </comment>
    <comment ref="AM256" authorId="0" shapeId="0" xr:uid="{62FA80C2-8388-41C8-ADE4-BB3CF48D2E4A}">
      <text>
        <r>
          <rPr>
            <b/>
            <sz val="9"/>
            <color indexed="81"/>
            <rFont val="Tahoma"/>
            <family val="2"/>
          </rPr>
          <t>&lt;[[DEVDeals] - [Associated TC Deal (Seq: 1)] - [TC Property Current Stage (Seq: 1)] - [Buildings (Seq: 27)] Address 1 - Send]&gt;</t>
        </r>
      </text>
    </comment>
    <comment ref="AP256" authorId="0" shapeId="0" xr:uid="{150C361A-4BEE-4F10-8693-5FE341F7D38C}">
      <text>
        <r>
          <rPr>
            <b/>
            <sz val="9"/>
            <color indexed="81"/>
            <rFont val="Tahoma"/>
            <family val="2"/>
          </rPr>
          <t>&lt;[[DEVDeals] - [Associated TC Deal (Seq: 1)] - [TC Property Current Stage (Seq: 1)] - [Buildings (Seq: 27)] City - Send]&gt;</t>
        </r>
      </text>
    </comment>
    <comment ref="AQ256" authorId="0" shapeId="0" xr:uid="{2015AD0E-3BCE-4A10-ACB7-F6D77D652FFE}">
      <text>
        <r>
          <rPr>
            <b/>
            <sz val="9"/>
            <color indexed="81"/>
            <rFont val="Tahoma"/>
            <family val="2"/>
          </rPr>
          <t>&lt;[[DEVDeals] - [Associated TC Deal (Seq: 1)] - [TC Property Current Stage (Seq: 1)] - [Buildings (Seq: 27)] Zip Code - Send]&gt;</t>
        </r>
      </text>
    </comment>
    <comment ref="AM257" authorId="0" shapeId="0" xr:uid="{6F869661-594E-4695-BFCE-3C404E89251F}">
      <text>
        <r>
          <rPr>
            <b/>
            <sz val="9"/>
            <color indexed="81"/>
            <rFont val="Tahoma"/>
            <family val="2"/>
          </rPr>
          <t>&lt;[[DEVDeals] - [Associated TC Deal (Seq: 1)] - [TC Property Current Stage (Seq: 1)] - [Buildings (Seq: 28)] Address 1 - Send]&gt;</t>
        </r>
      </text>
    </comment>
    <comment ref="AP257" authorId="0" shapeId="0" xr:uid="{9AA1ED1F-D3B2-4604-AE16-B89575C49261}">
      <text>
        <r>
          <rPr>
            <b/>
            <sz val="9"/>
            <color indexed="81"/>
            <rFont val="Tahoma"/>
            <family val="2"/>
          </rPr>
          <t>&lt;[[DEVDeals] - [Associated TC Deal (Seq: 1)] - [TC Property Current Stage (Seq: 1)] - [Buildings (Seq: 28)] City - Send]&gt;</t>
        </r>
      </text>
    </comment>
    <comment ref="AQ257" authorId="0" shapeId="0" xr:uid="{25507771-83E9-48F5-BF0A-5F3726A3286B}">
      <text>
        <r>
          <rPr>
            <b/>
            <sz val="9"/>
            <color indexed="81"/>
            <rFont val="Tahoma"/>
            <family val="2"/>
          </rPr>
          <t>&lt;[[DEVDeals] - [Associated TC Deal (Seq: 1)] - [TC Property Current Stage (Seq: 1)] - [Buildings (Seq: 28)] Zip Code - Send]&gt;</t>
        </r>
      </text>
    </comment>
    <comment ref="AM258" authorId="0" shapeId="0" xr:uid="{8931ACB6-E1D9-4271-B131-5E1BFB9649BF}">
      <text>
        <r>
          <rPr>
            <b/>
            <sz val="9"/>
            <color indexed="81"/>
            <rFont val="Tahoma"/>
            <family val="2"/>
          </rPr>
          <t>&lt;[[DEVDeals] - [Associated TC Deal (Seq: 1)] - [TC Property Current Stage (Seq: 1)] - [Buildings (Seq: 29)] Address 1 - Send]&gt;</t>
        </r>
      </text>
    </comment>
    <comment ref="AP258" authorId="0" shapeId="0" xr:uid="{3D12CE31-1F2C-42E2-B21E-3EA4E350473E}">
      <text>
        <r>
          <rPr>
            <b/>
            <sz val="9"/>
            <color indexed="81"/>
            <rFont val="Tahoma"/>
            <family val="2"/>
          </rPr>
          <t>&lt;[[DEVDeals] - [Associated TC Deal (Seq: 1)] - [TC Property Current Stage (Seq: 1)] - [Buildings (Seq: 29)] City - Send]&gt;</t>
        </r>
      </text>
    </comment>
    <comment ref="AQ258" authorId="0" shapeId="0" xr:uid="{90A93359-A09A-4107-8A5A-AF028E3728B1}">
      <text>
        <r>
          <rPr>
            <b/>
            <sz val="9"/>
            <color indexed="81"/>
            <rFont val="Tahoma"/>
            <family val="2"/>
          </rPr>
          <t>&lt;[[DEVDeals] - [Associated TC Deal (Seq: 1)] - [TC Property Current Stage (Seq: 1)] - [Buildings (Seq: 29)] Zip Code - Send]&gt;</t>
        </r>
      </text>
    </comment>
    <comment ref="AM259" authorId="0" shapeId="0" xr:uid="{DA72532E-5C02-431A-BB9C-B43950F33595}">
      <text>
        <r>
          <rPr>
            <b/>
            <sz val="9"/>
            <color indexed="81"/>
            <rFont val="Tahoma"/>
            <family val="2"/>
          </rPr>
          <t>&lt;[[DEVDeals] - [Associated TC Deal (Seq: 1)] - [TC Property Current Stage (Seq: 1)] - [Buildings (Seq: 30)] Address 1 - Send]&gt;</t>
        </r>
      </text>
    </comment>
    <comment ref="AP259" authorId="0" shapeId="0" xr:uid="{1EDED4F4-66DE-4CF9-BD08-1793A970DECD}">
      <text>
        <r>
          <rPr>
            <b/>
            <sz val="9"/>
            <color indexed="81"/>
            <rFont val="Tahoma"/>
            <family val="2"/>
          </rPr>
          <t>&lt;[[DEVDeals] - [Associated TC Deal (Seq: 1)] - [TC Property Current Stage (Seq: 1)] - [Buildings (Seq: 30)] City - Send]&gt;</t>
        </r>
      </text>
    </comment>
    <comment ref="AQ259" authorId="0" shapeId="0" xr:uid="{FA8F9E44-E034-4029-8EDB-D00566ACD863}">
      <text>
        <r>
          <rPr>
            <b/>
            <sz val="9"/>
            <color indexed="81"/>
            <rFont val="Tahoma"/>
            <family val="2"/>
          </rPr>
          <t>&lt;[[DEVDeals] - [Associated TC Deal (Seq: 1)] - [TC Property Current Stage (Seq: 1)] - [Buildings (Seq: 30)] Zip Code - Send]&gt;</t>
        </r>
      </text>
    </comment>
    <comment ref="AM260" authorId="0" shapeId="0" xr:uid="{FC9CA5CC-5EE5-46F2-935E-713BB13E92D5}">
      <text>
        <r>
          <rPr>
            <b/>
            <sz val="9"/>
            <color indexed="81"/>
            <rFont val="Tahoma"/>
            <family val="2"/>
          </rPr>
          <t>&lt;[[DEVDeals] - [Associated TC Deal (Seq: 1)] - [TC Property Current Stage (Seq: 1)] - [Buildings (Seq: 31)] Address 1 - Send]&gt;</t>
        </r>
      </text>
    </comment>
    <comment ref="AP260" authorId="0" shapeId="0" xr:uid="{CE08D786-119E-4BEE-B27E-295DE16F2309}">
      <text>
        <r>
          <rPr>
            <b/>
            <sz val="9"/>
            <color indexed="81"/>
            <rFont val="Tahoma"/>
            <family val="2"/>
          </rPr>
          <t>&lt;[[DEVDeals] - [Associated TC Deal (Seq: 1)] - [TC Property Current Stage (Seq: 1)] - [Buildings (Seq: 31)] City - Send]&gt;</t>
        </r>
      </text>
    </comment>
    <comment ref="AQ260" authorId="0" shapeId="0" xr:uid="{78125B22-BD95-4C12-9071-CAA6D90B4DBC}">
      <text>
        <r>
          <rPr>
            <b/>
            <sz val="9"/>
            <color indexed="81"/>
            <rFont val="Tahoma"/>
            <family val="2"/>
          </rPr>
          <t>&lt;[[DEVDeals] - [Associated TC Deal (Seq: 1)] - [TC Property Current Stage (Seq: 1)] - [Buildings (Seq: 31)] Zip Code - Send]&gt;</t>
        </r>
      </text>
    </comment>
    <comment ref="AM261" authorId="0" shapeId="0" xr:uid="{963954A8-6E03-4DFB-835D-1988091DB2C9}">
      <text>
        <r>
          <rPr>
            <b/>
            <sz val="9"/>
            <color indexed="81"/>
            <rFont val="Tahoma"/>
            <family val="2"/>
          </rPr>
          <t>&lt;[[DEVDeals] - [Associated TC Deal (Seq: 1)] - [TC Property Current Stage (Seq: 1)] - [Buildings (Seq: 32)] Address 1 - Send]&gt;</t>
        </r>
      </text>
    </comment>
    <comment ref="AP261" authorId="0" shapeId="0" xr:uid="{1465075F-CD02-4949-8110-7B873A8019FA}">
      <text>
        <r>
          <rPr>
            <b/>
            <sz val="9"/>
            <color indexed="81"/>
            <rFont val="Tahoma"/>
            <family val="2"/>
          </rPr>
          <t>&lt;[[DEVDeals] - [Associated TC Deal (Seq: 1)] - [TC Property Current Stage (Seq: 1)] - [Buildings (Seq: 32)] City - Send]&gt;</t>
        </r>
      </text>
    </comment>
    <comment ref="AQ261" authorId="0" shapeId="0" xr:uid="{F121AF19-F37C-4714-8857-252369CEE3E5}">
      <text>
        <r>
          <rPr>
            <b/>
            <sz val="9"/>
            <color indexed="81"/>
            <rFont val="Tahoma"/>
            <family val="2"/>
          </rPr>
          <t>&lt;[[DEVDeals] - [Associated TC Deal (Seq: 1)] - [TC Property Current Stage (Seq: 1)] - [Buildings (Seq: 32)] Zip Code - Send]&gt;</t>
        </r>
      </text>
    </comment>
    <comment ref="AM262" authorId="0" shapeId="0" xr:uid="{39E29CB2-EBEF-4D3E-9161-849C52A95A9E}">
      <text>
        <r>
          <rPr>
            <b/>
            <sz val="9"/>
            <color indexed="81"/>
            <rFont val="Tahoma"/>
            <family val="2"/>
          </rPr>
          <t>&lt;[[DEVDeals] - [Associated TC Deal (Seq: 1)] - [TC Property Current Stage (Seq: 1)] - [Buildings (Seq: 33)] Address 1 - Send]&gt;</t>
        </r>
      </text>
    </comment>
    <comment ref="AP262" authorId="0" shapeId="0" xr:uid="{B64D9CF9-94BE-4235-9BFF-125C531A82BB}">
      <text>
        <r>
          <rPr>
            <b/>
            <sz val="9"/>
            <color indexed="81"/>
            <rFont val="Tahoma"/>
            <family val="2"/>
          </rPr>
          <t>&lt;[[DEVDeals] - [Associated TC Deal (Seq: 1)] - [TC Property Current Stage (Seq: 1)] - [Buildings (Seq: 33)] City - Send]&gt;</t>
        </r>
      </text>
    </comment>
    <comment ref="AQ262" authorId="0" shapeId="0" xr:uid="{CF10E852-5640-4CFD-B5FD-FD2D499E0C7E}">
      <text>
        <r>
          <rPr>
            <b/>
            <sz val="9"/>
            <color indexed="81"/>
            <rFont val="Tahoma"/>
            <family val="2"/>
          </rPr>
          <t>&lt;[[DEVDeals] - [Associated TC Deal (Seq: 1)] - [TC Property Current Stage (Seq: 1)] - [Buildings (Seq: 33)] Zip Code - Send]&gt;</t>
        </r>
      </text>
    </comment>
    <comment ref="AM263" authorId="0" shapeId="0" xr:uid="{4DF221ED-CF86-42C0-A237-F14B44A0AC7A}">
      <text>
        <r>
          <rPr>
            <b/>
            <sz val="9"/>
            <color indexed="81"/>
            <rFont val="Tahoma"/>
            <family val="2"/>
          </rPr>
          <t>&lt;[[DEVDeals] - [Associated TC Deal (Seq: 1)] - [TC Property Current Stage (Seq: 1)] - [Buildings (Seq: 34)] Address 1 - Send]&gt;</t>
        </r>
      </text>
    </comment>
    <comment ref="AP263" authorId="0" shapeId="0" xr:uid="{7AFB9BA1-B90C-4460-A612-1C78C62FEBBE}">
      <text>
        <r>
          <rPr>
            <b/>
            <sz val="9"/>
            <color indexed="81"/>
            <rFont val="Tahoma"/>
            <family val="2"/>
          </rPr>
          <t>&lt;[[DEVDeals] - [Associated TC Deal (Seq: 1)] - [TC Property Current Stage (Seq: 1)] - [Buildings (Seq: 34)] City - Send]&gt;</t>
        </r>
      </text>
    </comment>
    <comment ref="AQ263" authorId="0" shapeId="0" xr:uid="{C6BD41C9-3299-4660-A4BD-D7ED61AC4C5C}">
      <text>
        <r>
          <rPr>
            <b/>
            <sz val="9"/>
            <color indexed="81"/>
            <rFont val="Tahoma"/>
            <family val="2"/>
          </rPr>
          <t>&lt;[[DEVDeals] - [Associated TC Deal (Seq: 1)] - [TC Property Current Stage (Seq: 1)] - [Buildings (Seq: 34)] Zip Code - Send]&gt;</t>
        </r>
      </text>
    </comment>
    <comment ref="AM264" authorId="0" shapeId="0" xr:uid="{1D4B7F8A-8B49-4BD0-B191-AAC8A5EAE50D}">
      <text>
        <r>
          <rPr>
            <b/>
            <sz val="9"/>
            <color indexed="81"/>
            <rFont val="Tahoma"/>
            <family val="2"/>
          </rPr>
          <t>&lt;[[DEVDeals] - [Associated TC Deal (Seq: 1)] - [TC Property Current Stage (Seq: 1)] - [Buildings (Seq: 35)] Address 1 - Send]&gt;</t>
        </r>
      </text>
    </comment>
    <comment ref="AP264" authorId="0" shapeId="0" xr:uid="{2A22401E-D4FC-4B0A-9206-8455096E0A1C}">
      <text>
        <r>
          <rPr>
            <b/>
            <sz val="9"/>
            <color indexed="81"/>
            <rFont val="Tahoma"/>
            <family val="2"/>
          </rPr>
          <t>&lt;[[DEVDeals] - [Associated TC Deal (Seq: 1)] - [TC Property Current Stage (Seq: 1)] - [Buildings (Seq: 35)] City - Send]&gt;</t>
        </r>
      </text>
    </comment>
    <comment ref="AQ264" authorId="0" shapeId="0" xr:uid="{CE84006B-6255-4396-97A6-BCA6E072ACD6}">
      <text>
        <r>
          <rPr>
            <b/>
            <sz val="9"/>
            <color indexed="81"/>
            <rFont val="Tahoma"/>
            <family val="2"/>
          </rPr>
          <t>&lt;[[DEVDeals] - [Associated TC Deal (Seq: 1)] - [TC Property Current Stage (Seq: 1)] - [Buildings (Seq: 35)] Zip Code - Send]&gt;</t>
        </r>
      </text>
    </comment>
    <comment ref="AM265" authorId="0" shapeId="0" xr:uid="{839FB599-AD9A-45A8-8A2F-B1F4A918E6B8}">
      <text>
        <r>
          <rPr>
            <b/>
            <sz val="9"/>
            <color indexed="81"/>
            <rFont val="Tahoma"/>
            <family val="2"/>
          </rPr>
          <t>&lt;[[DEVDeals] - [Associated TC Deal (Seq: 1)] - [TC Property Current Stage (Seq: 1)] - [Buildings (Seq: 36)] Address 1 - Send]&gt;</t>
        </r>
      </text>
    </comment>
    <comment ref="AP265" authorId="0" shapeId="0" xr:uid="{5B2D1EFC-1FAD-44F2-BEB9-D88129C86B28}">
      <text>
        <r>
          <rPr>
            <b/>
            <sz val="9"/>
            <color indexed="81"/>
            <rFont val="Tahoma"/>
            <family val="2"/>
          </rPr>
          <t>&lt;[[DEVDeals] - [Associated TC Deal (Seq: 1)] - [TC Property Current Stage (Seq: 1)] - [Buildings (Seq: 36)] City - Send]&gt;</t>
        </r>
      </text>
    </comment>
    <comment ref="AQ265" authorId="0" shapeId="0" xr:uid="{07CB9CC6-7BDD-41A8-8F3A-5DF6C99FBDCF}">
      <text>
        <r>
          <rPr>
            <b/>
            <sz val="9"/>
            <color indexed="81"/>
            <rFont val="Tahoma"/>
            <family val="2"/>
          </rPr>
          <t>&lt;[[DEVDeals] - [Associated TC Deal (Seq: 1)] - [TC Property Current Stage (Seq: 1)] - [Buildings (Seq: 36)] Zip Code - Send]&gt;</t>
        </r>
      </text>
    </comment>
    <comment ref="AM266" authorId="0" shapeId="0" xr:uid="{A12EDFCE-5D55-475A-BEBA-2796A811868C}">
      <text>
        <r>
          <rPr>
            <b/>
            <sz val="9"/>
            <color indexed="81"/>
            <rFont val="Tahoma"/>
            <family val="2"/>
          </rPr>
          <t>&lt;[[DEVDeals] - [Associated TC Deal (Seq: 1)] - [TC Property Current Stage (Seq: 1)] - [Buildings (Seq: 37)] Address 1 - Send]&gt;</t>
        </r>
      </text>
    </comment>
    <comment ref="AP266" authorId="0" shapeId="0" xr:uid="{7E228763-73BC-4C43-9629-35B50DFCF6D7}">
      <text>
        <r>
          <rPr>
            <b/>
            <sz val="9"/>
            <color indexed="81"/>
            <rFont val="Tahoma"/>
            <family val="2"/>
          </rPr>
          <t>&lt;[[DEVDeals] - [Associated TC Deal (Seq: 1)] - [TC Property Current Stage (Seq: 1)] - [Buildings (Seq: 37)] City - Send]&gt;</t>
        </r>
      </text>
    </comment>
    <comment ref="AQ266" authorId="0" shapeId="0" xr:uid="{642D9039-9A8D-41B1-83A3-A9FB99180972}">
      <text>
        <r>
          <rPr>
            <b/>
            <sz val="9"/>
            <color indexed="81"/>
            <rFont val="Tahoma"/>
            <family val="2"/>
          </rPr>
          <t>&lt;[[DEVDeals] - [Associated TC Deal (Seq: 1)] - [TC Property Current Stage (Seq: 1)] - [Buildings (Seq: 37)] Zip Code - Send]&gt;</t>
        </r>
      </text>
    </comment>
    <comment ref="AM267" authorId="0" shapeId="0" xr:uid="{BA4831C1-50D6-400B-A2BA-E0620634DBC4}">
      <text>
        <r>
          <rPr>
            <b/>
            <sz val="9"/>
            <color indexed="81"/>
            <rFont val="Tahoma"/>
            <family val="2"/>
          </rPr>
          <t>&lt;[[DEVDeals] - [Associated TC Deal (Seq: 1)] - [TC Property Current Stage (Seq: 1)] - [Buildings (Seq: 38)] Address 1 - Send]&gt;</t>
        </r>
      </text>
    </comment>
    <comment ref="AP267" authorId="0" shapeId="0" xr:uid="{4E2C58F7-202B-4895-BE10-DEC9A34D215D}">
      <text>
        <r>
          <rPr>
            <b/>
            <sz val="9"/>
            <color indexed="81"/>
            <rFont val="Tahoma"/>
            <family val="2"/>
          </rPr>
          <t>&lt;[[DEVDeals] - [Associated TC Deal (Seq: 1)] - [TC Property Current Stage (Seq: 1)] - [Buildings (Seq: 38)] City - Send]&gt;</t>
        </r>
      </text>
    </comment>
    <comment ref="AQ267" authorId="0" shapeId="0" xr:uid="{29A5AB60-B442-4E95-B65C-164D07E32C9F}">
      <text>
        <r>
          <rPr>
            <b/>
            <sz val="9"/>
            <color indexed="81"/>
            <rFont val="Tahoma"/>
            <family val="2"/>
          </rPr>
          <t>&lt;[[DEVDeals] - [Associated TC Deal (Seq: 1)] - [TC Property Current Stage (Seq: 1)] - [Buildings (Seq: 38)] Zip Code - Send]&gt;</t>
        </r>
      </text>
    </comment>
    <comment ref="AM268" authorId="0" shapeId="0" xr:uid="{1B0FEA9E-7916-448C-B6D9-617767858434}">
      <text>
        <r>
          <rPr>
            <b/>
            <sz val="9"/>
            <color indexed="81"/>
            <rFont val="Tahoma"/>
            <family val="2"/>
          </rPr>
          <t>&lt;[[DEVDeals] - [Associated TC Deal (Seq: 1)] - [TC Property Current Stage (Seq: 1)] - [Buildings (Seq: 39)] Address 1 - Send]&gt;</t>
        </r>
      </text>
    </comment>
    <comment ref="AP268" authorId="0" shapeId="0" xr:uid="{2F4281A9-D2DE-4181-A154-82EB1F3802F2}">
      <text>
        <r>
          <rPr>
            <b/>
            <sz val="9"/>
            <color indexed="81"/>
            <rFont val="Tahoma"/>
            <family val="2"/>
          </rPr>
          <t>&lt;[[DEVDeals] - [Associated TC Deal (Seq: 1)] - [TC Property Current Stage (Seq: 1)] - [Buildings (Seq: 39)] City - Send]&gt;</t>
        </r>
      </text>
    </comment>
    <comment ref="AQ268" authorId="0" shapeId="0" xr:uid="{07DABC78-72D5-4FD7-89F8-17EE16BE8474}">
      <text>
        <r>
          <rPr>
            <b/>
            <sz val="9"/>
            <color indexed="81"/>
            <rFont val="Tahoma"/>
            <family val="2"/>
          </rPr>
          <t>&lt;[[DEVDeals] - [Associated TC Deal (Seq: 1)] - [TC Property Current Stage (Seq: 1)] - [Buildings (Seq: 39)] Zip Code - Send]&gt;</t>
        </r>
      </text>
    </comment>
    <comment ref="AM269" authorId="0" shapeId="0" xr:uid="{2B87A3DA-2FB8-4B1F-9C0D-6858A5D88119}">
      <text>
        <r>
          <rPr>
            <b/>
            <sz val="9"/>
            <color indexed="81"/>
            <rFont val="Tahoma"/>
            <family val="2"/>
          </rPr>
          <t>&lt;[[DEVDeals] - [Associated TC Deal (Seq: 1)] - [TC Property Current Stage (Seq: 1)] - [Buildings (Seq: 40)] Address 1 - Send]&gt;</t>
        </r>
      </text>
    </comment>
    <comment ref="AP269" authorId="0" shapeId="0" xr:uid="{28147548-2AAF-45FB-B842-4E1DA94CF570}">
      <text>
        <r>
          <rPr>
            <b/>
            <sz val="9"/>
            <color indexed="81"/>
            <rFont val="Tahoma"/>
            <family val="2"/>
          </rPr>
          <t>&lt;[[DEVDeals] - [Associated TC Deal (Seq: 1)] - [TC Property Current Stage (Seq: 1)] - [Buildings (Seq: 40)] City - Send]&gt;</t>
        </r>
      </text>
    </comment>
    <comment ref="AQ269" authorId="0" shapeId="0" xr:uid="{50DA2C84-2FC5-4C25-B204-01EC5749537F}">
      <text>
        <r>
          <rPr>
            <b/>
            <sz val="9"/>
            <color indexed="81"/>
            <rFont val="Tahoma"/>
            <family val="2"/>
          </rPr>
          <t>&lt;[[DEVDeals] - [Associated TC Deal (Seq: 1)] - [TC Property Current Stage (Seq: 1)] - [Buildings (Seq: 40)] Zip Code - Send]&gt;</t>
        </r>
      </text>
    </comment>
    <comment ref="AM270" authorId="0" shapeId="0" xr:uid="{3256DC4A-95C4-4D0F-8AF0-585C5A762B03}">
      <text>
        <r>
          <rPr>
            <b/>
            <sz val="9"/>
            <color indexed="81"/>
            <rFont val="Tahoma"/>
            <family val="2"/>
          </rPr>
          <t>&lt;[[DEVDeals] - [Associated TC Deal (Seq: 1)] - [TC Property Current Stage (Seq: 1)] - [Buildings (Seq: 41)] Address 1 - Send]&gt;</t>
        </r>
      </text>
    </comment>
    <comment ref="AP270" authorId="0" shapeId="0" xr:uid="{4EAF1695-B6CE-4265-8142-AB7B94619A13}">
      <text>
        <r>
          <rPr>
            <b/>
            <sz val="9"/>
            <color indexed="81"/>
            <rFont val="Tahoma"/>
            <family val="2"/>
          </rPr>
          <t>&lt;[[DEVDeals] - [Associated TC Deal (Seq: 1)] - [TC Property Current Stage (Seq: 1)] - [Buildings (Seq: 41)] City - Send]&gt;</t>
        </r>
      </text>
    </comment>
    <comment ref="AQ270" authorId="0" shapeId="0" xr:uid="{9631A17A-ECE7-4E97-BBAB-5C3A508E1DBB}">
      <text>
        <r>
          <rPr>
            <b/>
            <sz val="9"/>
            <color indexed="81"/>
            <rFont val="Tahoma"/>
            <family val="2"/>
          </rPr>
          <t>&lt;[[DEVDeals] - [Associated TC Deal (Seq: 1)] - [TC Property Current Stage (Seq: 1)] - [Buildings (Seq: 41)] Zip Code - Send]&gt;</t>
        </r>
      </text>
    </comment>
    <comment ref="AM271" authorId="0" shapeId="0" xr:uid="{8AF32085-ED3A-43DB-9240-CF109BF4BB9A}">
      <text>
        <r>
          <rPr>
            <b/>
            <sz val="9"/>
            <color indexed="81"/>
            <rFont val="Tahoma"/>
            <family val="2"/>
          </rPr>
          <t>&lt;[[DEVDeals] - [Associated TC Deal (Seq: 1)] - [TC Property Current Stage (Seq: 1)] - [Buildings (Seq: 42)] Address 1 - Send]&gt;</t>
        </r>
      </text>
    </comment>
    <comment ref="AP271" authorId="0" shapeId="0" xr:uid="{DF02DA02-DB5E-45B8-87A2-4C67F00132CC}">
      <text>
        <r>
          <rPr>
            <b/>
            <sz val="9"/>
            <color indexed="81"/>
            <rFont val="Tahoma"/>
            <family val="2"/>
          </rPr>
          <t>&lt;[[DEVDeals] - [Associated TC Deal (Seq: 1)] - [TC Property Current Stage (Seq: 1)] - [Buildings (Seq: 42)] City - Send]&gt;</t>
        </r>
      </text>
    </comment>
    <comment ref="AQ271" authorId="0" shapeId="0" xr:uid="{850406E8-E80E-49C6-ABD8-E72679B4979F}">
      <text>
        <r>
          <rPr>
            <b/>
            <sz val="9"/>
            <color indexed="81"/>
            <rFont val="Tahoma"/>
            <family val="2"/>
          </rPr>
          <t>&lt;[[DEVDeals] - [Associated TC Deal (Seq: 1)] - [TC Property Current Stage (Seq: 1)] - [Buildings (Seq: 42)] Zip Code - Send]&gt;</t>
        </r>
      </text>
    </comment>
    <comment ref="AM272" authorId="0" shapeId="0" xr:uid="{D6D1B4B6-9627-46C1-99AA-854198327717}">
      <text>
        <r>
          <rPr>
            <b/>
            <sz val="9"/>
            <color indexed="81"/>
            <rFont val="Tahoma"/>
            <family val="2"/>
          </rPr>
          <t>&lt;[[DEVDeals] - [Associated TC Deal (Seq: 1)] - [TC Property Current Stage (Seq: 1)] - [Buildings (Seq: 43)] Address 1 - Send]&gt;</t>
        </r>
      </text>
    </comment>
    <comment ref="AP272" authorId="0" shapeId="0" xr:uid="{40F44B6B-85DC-40AD-BA6E-D1544F6464DE}">
      <text>
        <r>
          <rPr>
            <b/>
            <sz val="9"/>
            <color indexed="81"/>
            <rFont val="Tahoma"/>
            <family val="2"/>
          </rPr>
          <t>&lt;[[DEVDeals] - [Associated TC Deal (Seq: 1)] - [TC Property Current Stage (Seq: 1)] - [Buildings (Seq: 43)] City - Send]&gt;</t>
        </r>
      </text>
    </comment>
    <comment ref="AQ272" authorId="0" shapeId="0" xr:uid="{A71DC07B-8FF0-4265-8520-DEAF238E62B1}">
      <text>
        <r>
          <rPr>
            <b/>
            <sz val="9"/>
            <color indexed="81"/>
            <rFont val="Tahoma"/>
            <family val="2"/>
          </rPr>
          <t>&lt;[[DEVDeals] - [Associated TC Deal (Seq: 1)] - [TC Property Current Stage (Seq: 1)] - [Buildings (Seq: 43)] Zip Code - Send]&gt;</t>
        </r>
      </text>
    </comment>
    <comment ref="AM273" authorId="0" shapeId="0" xr:uid="{2AB2E30B-27EC-4F44-9BD9-A8AB70874D2E}">
      <text>
        <r>
          <rPr>
            <b/>
            <sz val="9"/>
            <color indexed="81"/>
            <rFont val="Tahoma"/>
            <family val="2"/>
          </rPr>
          <t>&lt;[[DEVDeals] - [Associated TC Deal (Seq: 1)] - [TC Property Current Stage (Seq: 1)] - [Buildings (Seq: 44)] Address 1 - Send]&gt;</t>
        </r>
      </text>
    </comment>
    <comment ref="AP273" authorId="0" shapeId="0" xr:uid="{2BD3505F-31E0-436C-B05A-D313EBB26511}">
      <text>
        <r>
          <rPr>
            <b/>
            <sz val="9"/>
            <color indexed="81"/>
            <rFont val="Tahoma"/>
            <family val="2"/>
          </rPr>
          <t>&lt;[[DEVDeals] - [Associated TC Deal (Seq: 1)] - [TC Property Current Stage (Seq: 1)] - [Buildings (Seq: 44)] City - Send]&gt;</t>
        </r>
      </text>
    </comment>
    <comment ref="AQ273" authorId="0" shapeId="0" xr:uid="{C44FC38E-8203-42CE-8A2B-C13124270FEA}">
      <text>
        <r>
          <rPr>
            <b/>
            <sz val="9"/>
            <color indexed="81"/>
            <rFont val="Tahoma"/>
            <family val="2"/>
          </rPr>
          <t>&lt;[[DEVDeals] - [Associated TC Deal (Seq: 1)] - [TC Property Current Stage (Seq: 1)] - [Buildings (Seq: 44)] Zip Code - Send]&gt;</t>
        </r>
      </text>
    </comment>
    <comment ref="AM274" authorId="0" shapeId="0" xr:uid="{80BB8D21-B5F4-419E-A12C-A4EA605D8E2C}">
      <text>
        <r>
          <rPr>
            <b/>
            <sz val="9"/>
            <color indexed="81"/>
            <rFont val="Tahoma"/>
            <family val="2"/>
          </rPr>
          <t>&lt;[[DEVDeals] - [Associated TC Deal (Seq: 1)] - [TC Property Current Stage (Seq: 1)] - [Buildings (Seq: 45)] Address 1 - Send]&gt;</t>
        </r>
      </text>
    </comment>
    <comment ref="AP274" authorId="0" shapeId="0" xr:uid="{1FFB0B7B-E4FE-4511-98EE-C66CEA31B81D}">
      <text>
        <r>
          <rPr>
            <b/>
            <sz val="9"/>
            <color indexed="81"/>
            <rFont val="Tahoma"/>
            <family val="2"/>
          </rPr>
          <t>&lt;[[DEVDeals] - [Associated TC Deal (Seq: 1)] - [TC Property Current Stage (Seq: 1)] - [Buildings (Seq: 45)] City - Send]&gt;</t>
        </r>
      </text>
    </comment>
    <comment ref="AQ274" authorId="0" shapeId="0" xr:uid="{363E214A-4124-4B26-80B7-03725ABA1385}">
      <text>
        <r>
          <rPr>
            <b/>
            <sz val="9"/>
            <color indexed="81"/>
            <rFont val="Tahoma"/>
            <family val="2"/>
          </rPr>
          <t>&lt;[[DEVDeals] - [Associated TC Deal (Seq: 1)] - [TC Property Current Stage (Seq: 1)] - [Buildings (Seq: 45)] Zip Code - Send]&gt;</t>
        </r>
      </text>
    </comment>
    <comment ref="AM275" authorId="0" shapeId="0" xr:uid="{E2EB4214-BF7D-4B70-88A7-5A78F64FD5EC}">
      <text>
        <r>
          <rPr>
            <b/>
            <sz val="9"/>
            <color indexed="81"/>
            <rFont val="Tahoma"/>
            <family val="2"/>
          </rPr>
          <t>&lt;[[DEVDeals] - [Associated TC Deal (Seq: 1)] - [TC Property Current Stage (Seq: 1)] - [Buildings (Seq: 46)] Address 1 - Send]&gt;</t>
        </r>
      </text>
    </comment>
    <comment ref="AP275" authorId="0" shapeId="0" xr:uid="{D2EE4010-7864-485C-B66C-0B68627C01A9}">
      <text>
        <r>
          <rPr>
            <b/>
            <sz val="9"/>
            <color indexed="81"/>
            <rFont val="Tahoma"/>
            <family val="2"/>
          </rPr>
          <t>&lt;[[DEVDeals] - [Associated TC Deal (Seq: 1)] - [TC Property Current Stage (Seq: 1)] - [Buildings (Seq: 46)] City - Send]&gt;</t>
        </r>
      </text>
    </comment>
    <comment ref="AQ275" authorId="0" shapeId="0" xr:uid="{7490D813-F890-4862-A151-99B53E347E29}">
      <text>
        <r>
          <rPr>
            <b/>
            <sz val="9"/>
            <color indexed="81"/>
            <rFont val="Tahoma"/>
            <family val="2"/>
          </rPr>
          <t>&lt;[[DEVDeals] - [Associated TC Deal (Seq: 1)] - [TC Property Current Stage (Seq: 1)] - [Buildings (Seq: 46)] Zip Code - Send]&gt;</t>
        </r>
      </text>
    </comment>
    <comment ref="AM276" authorId="0" shapeId="0" xr:uid="{9EF8BC60-58C9-438F-A3BC-B2BC38C4A2C5}">
      <text>
        <r>
          <rPr>
            <b/>
            <sz val="9"/>
            <color indexed="81"/>
            <rFont val="Tahoma"/>
            <family val="2"/>
          </rPr>
          <t>&lt;[[DEVDeals] - [Associated TC Deal (Seq: 1)] - [TC Property Current Stage (Seq: 1)] - [Buildings (Seq: 47)] Address 1 - Send]&gt;</t>
        </r>
      </text>
    </comment>
    <comment ref="AP276" authorId="0" shapeId="0" xr:uid="{D3A3B598-1850-46CC-9B30-C4F273BCC15F}">
      <text>
        <r>
          <rPr>
            <b/>
            <sz val="9"/>
            <color indexed="81"/>
            <rFont val="Tahoma"/>
            <family val="2"/>
          </rPr>
          <t>&lt;[[DEVDeals] - [Associated TC Deal (Seq: 1)] - [TC Property Current Stage (Seq: 1)] - [Buildings (Seq: 47)] City - Send]&gt;</t>
        </r>
      </text>
    </comment>
    <comment ref="AQ276" authorId="0" shapeId="0" xr:uid="{31FC0371-B1D1-4FA9-9243-4B534F3DD784}">
      <text>
        <r>
          <rPr>
            <b/>
            <sz val="9"/>
            <color indexed="81"/>
            <rFont val="Tahoma"/>
            <family val="2"/>
          </rPr>
          <t>&lt;[[DEVDeals] - [Associated TC Deal (Seq: 1)] - [TC Property Current Stage (Seq: 1)] - [Buildings (Seq: 47)] Zip Code - Send]&gt;</t>
        </r>
      </text>
    </comment>
    <comment ref="AM277" authorId="0" shapeId="0" xr:uid="{06FE67DB-EF06-464C-994B-8954581E3EA0}">
      <text>
        <r>
          <rPr>
            <b/>
            <sz val="9"/>
            <color indexed="81"/>
            <rFont val="Tahoma"/>
            <family val="2"/>
          </rPr>
          <t>&lt;[[DEVDeals] - [Associated TC Deal (Seq: 1)] - [TC Property Current Stage (Seq: 1)] - [Buildings (Seq: 48)] Address 1 - Send]&gt;</t>
        </r>
      </text>
    </comment>
    <comment ref="AP277" authorId="0" shapeId="0" xr:uid="{1D0183CC-42CD-4064-B315-9F8356886556}">
      <text>
        <r>
          <rPr>
            <b/>
            <sz val="9"/>
            <color indexed="81"/>
            <rFont val="Tahoma"/>
            <family val="2"/>
          </rPr>
          <t>&lt;[[DEVDeals] - [Associated TC Deal (Seq: 1)] - [TC Property Current Stage (Seq: 1)] - [Buildings (Seq: 48)] City - Send]&gt;</t>
        </r>
      </text>
    </comment>
    <comment ref="AQ277" authorId="0" shapeId="0" xr:uid="{0096923C-8E23-4259-A490-E274D5F48DD6}">
      <text>
        <r>
          <rPr>
            <b/>
            <sz val="9"/>
            <color indexed="81"/>
            <rFont val="Tahoma"/>
            <family val="2"/>
          </rPr>
          <t>&lt;[[DEVDeals] - [Associated TC Deal (Seq: 1)] - [TC Property Current Stage (Seq: 1)] - [Buildings (Seq: 48)] Zip Code - Send]&gt;</t>
        </r>
      </text>
    </comment>
    <comment ref="AM278" authorId="0" shapeId="0" xr:uid="{B9A213E1-1AF8-4ABE-9D87-22D46A3F395F}">
      <text>
        <r>
          <rPr>
            <b/>
            <sz val="9"/>
            <color indexed="81"/>
            <rFont val="Tahoma"/>
            <family val="2"/>
          </rPr>
          <t>&lt;[[DEVDeals] - [Associated TC Deal (Seq: 1)] - [TC Property Current Stage (Seq: 1)] - [Buildings (Seq: 49)] Address 1 - Send]&gt;</t>
        </r>
      </text>
    </comment>
    <comment ref="AP278" authorId="0" shapeId="0" xr:uid="{0EDA4635-743A-4666-B0E6-76B18CABEEAB}">
      <text>
        <r>
          <rPr>
            <b/>
            <sz val="9"/>
            <color indexed="81"/>
            <rFont val="Tahoma"/>
            <family val="2"/>
          </rPr>
          <t>&lt;[[DEVDeals] - [Associated TC Deal (Seq: 1)] - [TC Property Current Stage (Seq: 1)] - [Buildings (Seq: 49)] City - Send]&gt;</t>
        </r>
      </text>
    </comment>
    <comment ref="AQ278" authorId="0" shapeId="0" xr:uid="{18A4131F-2FBA-47C8-82B0-FE7690A40100}">
      <text>
        <r>
          <rPr>
            <b/>
            <sz val="9"/>
            <color indexed="81"/>
            <rFont val="Tahoma"/>
            <family val="2"/>
          </rPr>
          <t>&lt;[[DEVDeals] - [Associated TC Deal (Seq: 1)] - [TC Property Current Stage (Seq: 1)] - [Buildings (Seq: 49)] Zip Code - Send]&gt;</t>
        </r>
      </text>
    </comment>
    <comment ref="AM279" authorId="0" shapeId="0" xr:uid="{CBB7285E-62C1-4FEB-8562-D197D433C6FF}">
      <text>
        <r>
          <rPr>
            <b/>
            <sz val="9"/>
            <color indexed="81"/>
            <rFont val="Tahoma"/>
            <family val="2"/>
          </rPr>
          <t>&lt;[[DEVDeals] - [Associated TC Deal (Seq: 1)] - [TC Property Current Stage (Seq: 1)] - [Buildings (Seq: 50)] Address 1 - Send]&gt;</t>
        </r>
      </text>
    </comment>
    <comment ref="AP279" authorId="0" shapeId="0" xr:uid="{CD0E2AD2-19F0-48F6-97FF-D960EA7FEE1B}">
      <text>
        <r>
          <rPr>
            <b/>
            <sz val="9"/>
            <color indexed="81"/>
            <rFont val="Tahoma"/>
            <family val="2"/>
          </rPr>
          <t>&lt;[[DEVDeals] - [Associated TC Deal (Seq: 1)] - [TC Property Current Stage (Seq: 1)] - [Buildings (Seq: 50)] City - Send]&gt;</t>
        </r>
      </text>
    </comment>
    <comment ref="AQ279" authorId="0" shapeId="0" xr:uid="{190DF9F4-C54D-483B-ABCB-82EFE876997A}">
      <text>
        <r>
          <rPr>
            <b/>
            <sz val="9"/>
            <color indexed="81"/>
            <rFont val="Tahoma"/>
            <family val="2"/>
          </rPr>
          <t>&lt;[[DEVDeals] - [Associated TC Deal (Seq: 1)] - [TC Property Current Stage (Seq: 1)] - [Buildings (Seq: 50)] Zip Code - Send]&gt;</t>
        </r>
      </text>
    </comment>
    <comment ref="AM280" authorId="0" shapeId="0" xr:uid="{EBAA63A1-1F16-456D-9158-7DB8A6EA2572}">
      <text>
        <r>
          <rPr>
            <b/>
            <sz val="9"/>
            <color indexed="81"/>
            <rFont val="Tahoma"/>
            <family val="2"/>
          </rPr>
          <t>&lt;[[DEVDeals] - [Associated TC Deal (Seq: 1)] - [TC Property Current Stage (Seq: 1)] - [Buildings (Seq: 51)] Address 1 - Send]&gt;</t>
        </r>
      </text>
    </comment>
    <comment ref="AP280" authorId="0" shapeId="0" xr:uid="{5D5FE777-F207-4ECF-87CB-98EB7BBB6A67}">
      <text>
        <r>
          <rPr>
            <b/>
            <sz val="9"/>
            <color indexed="81"/>
            <rFont val="Tahoma"/>
            <family val="2"/>
          </rPr>
          <t>&lt;[[DEVDeals] - [Associated TC Deal (Seq: 1)] - [TC Property Current Stage (Seq: 1)] - [Buildings (Seq: 51)] City - Send]&gt;</t>
        </r>
      </text>
    </comment>
    <comment ref="AQ280" authorId="0" shapeId="0" xr:uid="{D0ABC1DC-1382-40C2-A7EC-247A5F783321}">
      <text>
        <r>
          <rPr>
            <b/>
            <sz val="9"/>
            <color indexed="81"/>
            <rFont val="Tahoma"/>
            <family val="2"/>
          </rPr>
          <t>&lt;[[DEVDeals] - [Associated TC Deal (Seq: 1)] - [TC Property Current Stage (Seq: 1)] - [Buildings (Seq: 51)] Zip Code - Send]&gt;</t>
        </r>
      </text>
    </comment>
    <comment ref="AM281" authorId="0" shapeId="0" xr:uid="{317A2F1E-18DD-4F59-8679-48E593CA3D58}">
      <text>
        <r>
          <rPr>
            <b/>
            <sz val="9"/>
            <color indexed="81"/>
            <rFont val="Tahoma"/>
            <family val="2"/>
          </rPr>
          <t>&lt;[[DEVDeals] - [Associated TC Deal (Seq: 1)] - [TC Property Current Stage (Seq: 1)] - [Buildings (Seq: 52)] Address 1 - Send]&gt;</t>
        </r>
      </text>
    </comment>
    <comment ref="AP281" authorId="0" shapeId="0" xr:uid="{3C51F168-602B-4D47-9705-723D9BA945B2}">
      <text>
        <r>
          <rPr>
            <b/>
            <sz val="9"/>
            <color indexed="81"/>
            <rFont val="Tahoma"/>
            <family val="2"/>
          </rPr>
          <t>&lt;[[DEVDeals] - [Associated TC Deal (Seq: 1)] - [TC Property Current Stage (Seq: 1)] - [Buildings (Seq: 52)] City - Send]&gt;</t>
        </r>
      </text>
    </comment>
    <comment ref="AQ281" authorId="0" shapeId="0" xr:uid="{2B9A7430-0E03-4212-A6E4-B2D5E6BDA194}">
      <text>
        <r>
          <rPr>
            <b/>
            <sz val="9"/>
            <color indexed="81"/>
            <rFont val="Tahoma"/>
            <family val="2"/>
          </rPr>
          <t>&lt;[[DEVDeals] - [Associated TC Deal (Seq: 1)] - [TC Property Current Stage (Seq: 1)] - [Buildings (Seq: 52)] Zip Code - Send]&gt;</t>
        </r>
      </text>
    </comment>
    <comment ref="AM282" authorId="0" shapeId="0" xr:uid="{FA9D30CB-17AC-415C-9123-63C2C1664A5E}">
      <text>
        <r>
          <rPr>
            <b/>
            <sz val="9"/>
            <color indexed="81"/>
            <rFont val="Tahoma"/>
            <family val="2"/>
          </rPr>
          <t>&lt;[[DEVDeals] - [Associated TC Deal (Seq: 1)] - [TC Property Current Stage (Seq: 1)] - [Buildings (Seq: 53)] Address 1 - Send]&gt;</t>
        </r>
      </text>
    </comment>
    <comment ref="AP282" authorId="0" shapeId="0" xr:uid="{1BF401D8-66AE-4C5D-88FB-AB17C0292FA1}">
      <text>
        <r>
          <rPr>
            <b/>
            <sz val="9"/>
            <color indexed="81"/>
            <rFont val="Tahoma"/>
            <family val="2"/>
          </rPr>
          <t>&lt;[[DEVDeals] - [Associated TC Deal (Seq: 1)] - [TC Property Current Stage (Seq: 1)] - [Buildings (Seq: 53)] City - Send]&gt;</t>
        </r>
      </text>
    </comment>
    <comment ref="AQ282" authorId="0" shapeId="0" xr:uid="{BF64DB9B-9AA3-4DDC-BFF4-D036688CBC1A}">
      <text>
        <r>
          <rPr>
            <b/>
            <sz val="9"/>
            <color indexed="81"/>
            <rFont val="Tahoma"/>
            <family val="2"/>
          </rPr>
          <t>&lt;[[DEVDeals] - [Associated TC Deal (Seq: 1)] - [TC Property Current Stage (Seq: 1)] - [Buildings (Seq: 53)] Zip Code - Send]&gt;</t>
        </r>
      </text>
    </comment>
    <comment ref="AM283" authorId="0" shapeId="0" xr:uid="{DCBA6D3E-FBC2-49C3-A8C5-99FEA985B432}">
      <text>
        <r>
          <rPr>
            <b/>
            <sz val="9"/>
            <color indexed="81"/>
            <rFont val="Tahoma"/>
            <family val="2"/>
          </rPr>
          <t>&lt;[[DEVDeals] - [Associated TC Deal (Seq: 1)] - [TC Property Current Stage (Seq: 1)] - [Buildings (Seq: 54)] Address 1 - Send]&gt;</t>
        </r>
      </text>
    </comment>
    <comment ref="AP283" authorId="0" shapeId="0" xr:uid="{5E66E8E5-25AB-496B-B22D-6C24B92E9BE3}">
      <text>
        <r>
          <rPr>
            <b/>
            <sz val="9"/>
            <color indexed="81"/>
            <rFont val="Tahoma"/>
            <family val="2"/>
          </rPr>
          <t>&lt;[[DEVDeals] - [Associated TC Deal (Seq: 1)] - [TC Property Current Stage (Seq: 1)] - [Buildings (Seq: 54)] City - Send]&gt;</t>
        </r>
      </text>
    </comment>
    <comment ref="AQ283" authorId="0" shapeId="0" xr:uid="{51702822-65F7-463D-ACC8-CED851AD0020}">
      <text>
        <r>
          <rPr>
            <b/>
            <sz val="9"/>
            <color indexed="81"/>
            <rFont val="Tahoma"/>
            <family val="2"/>
          </rPr>
          <t>&lt;[[DEVDeals] - [Associated TC Deal (Seq: 1)] - [TC Property Current Stage (Seq: 1)] - [Buildings (Seq: 54)] Zip Code - Send]&gt;</t>
        </r>
      </text>
    </comment>
    <comment ref="AM284" authorId="0" shapeId="0" xr:uid="{6FE3C6CC-81DD-424D-815B-C2781F3CE8C5}">
      <text>
        <r>
          <rPr>
            <b/>
            <sz val="9"/>
            <color indexed="81"/>
            <rFont val="Tahoma"/>
            <family val="2"/>
          </rPr>
          <t>&lt;[[DEVDeals] - [Associated TC Deal (Seq: 1)] - [TC Property Current Stage (Seq: 1)] - [Buildings (Seq: 55)] Address 1 - Send]&gt;</t>
        </r>
      </text>
    </comment>
    <comment ref="AP284" authorId="0" shapeId="0" xr:uid="{EC451D47-62FD-480A-9E94-413143497F93}">
      <text>
        <r>
          <rPr>
            <b/>
            <sz val="9"/>
            <color indexed="81"/>
            <rFont val="Tahoma"/>
            <family val="2"/>
          </rPr>
          <t>&lt;[[DEVDeals] - [Associated TC Deal (Seq: 1)] - [TC Property Current Stage (Seq: 1)] - [Buildings (Seq: 55)] City - Send]&gt;</t>
        </r>
      </text>
    </comment>
    <comment ref="AQ284" authorId="0" shapeId="0" xr:uid="{AF66DCF4-3BDC-4083-B340-7336BD8E04C2}">
      <text>
        <r>
          <rPr>
            <b/>
            <sz val="9"/>
            <color indexed="81"/>
            <rFont val="Tahoma"/>
            <family val="2"/>
          </rPr>
          <t>&lt;[[DEVDeals] - [Associated TC Deal (Seq: 1)] - [TC Property Current Stage (Seq: 1)] - [Buildings (Seq: 55)] Zip Code - Send]&gt;</t>
        </r>
      </text>
    </comment>
    <comment ref="AM285" authorId="0" shapeId="0" xr:uid="{B7B1A3C4-F3C3-4450-87B8-499310FC3E40}">
      <text>
        <r>
          <rPr>
            <b/>
            <sz val="9"/>
            <color indexed="81"/>
            <rFont val="Tahoma"/>
            <family val="2"/>
          </rPr>
          <t>&lt;[[DEVDeals] - [Associated TC Deal (Seq: 1)] - [TC Property Current Stage (Seq: 1)] - [Buildings (Seq: 56)] Address 1 - Send]&gt;</t>
        </r>
      </text>
    </comment>
    <comment ref="AP285" authorId="0" shapeId="0" xr:uid="{4BC98CAB-1FBE-4BD8-866F-8076475A2130}">
      <text>
        <r>
          <rPr>
            <b/>
            <sz val="9"/>
            <color indexed="81"/>
            <rFont val="Tahoma"/>
            <family val="2"/>
          </rPr>
          <t>&lt;[[DEVDeals] - [Associated TC Deal (Seq: 1)] - [TC Property Current Stage (Seq: 1)] - [Buildings (Seq: 56)] City - Send]&gt;</t>
        </r>
      </text>
    </comment>
    <comment ref="AQ285" authorId="0" shapeId="0" xr:uid="{58053AF7-935D-4B9F-A522-391BFE1455D3}">
      <text>
        <r>
          <rPr>
            <b/>
            <sz val="9"/>
            <color indexed="81"/>
            <rFont val="Tahoma"/>
            <family val="2"/>
          </rPr>
          <t>&lt;[[DEVDeals] - [Associated TC Deal (Seq: 1)] - [TC Property Current Stage (Seq: 1)] - [Buildings (Seq: 56)] Zip Code - Send]&gt;</t>
        </r>
      </text>
    </comment>
    <comment ref="AM286" authorId="0" shapeId="0" xr:uid="{5DB5EDFB-A003-4187-B3C5-2AB5CFB35219}">
      <text>
        <r>
          <rPr>
            <b/>
            <sz val="9"/>
            <color indexed="81"/>
            <rFont val="Tahoma"/>
            <family val="2"/>
          </rPr>
          <t>&lt;[[DEVDeals] - [Associated TC Deal (Seq: 1)] - [TC Property Current Stage (Seq: 1)] - [Buildings (Seq: 57)] Address 1 - Send]&gt;</t>
        </r>
      </text>
    </comment>
    <comment ref="AP286" authorId="0" shapeId="0" xr:uid="{491C236D-62BF-49EA-BCFE-CC1A8D5C461E}">
      <text>
        <r>
          <rPr>
            <b/>
            <sz val="9"/>
            <color indexed="81"/>
            <rFont val="Tahoma"/>
            <family val="2"/>
          </rPr>
          <t>&lt;[[DEVDeals] - [Associated TC Deal (Seq: 1)] - [TC Property Current Stage (Seq: 1)] - [Buildings (Seq: 57)] City - Send]&gt;</t>
        </r>
      </text>
    </comment>
    <comment ref="AQ286" authorId="0" shapeId="0" xr:uid="{CD64D5C6-B627-44D5-B89C-F292357029B3}">
      <text>
        <r>
          <rPr>
            <b/>
            <sz val="9"/>
            <color indexed="81"/>
            <rFont val="Tahoma"/>
            <family val="2"/>
          </rPr>
          <t>&lt;[[DEVDeals] - [Associated TC Deal (Seq: 1)] - [TC Property Current Stage (Seq: 1)] - [Buildings (Seq: 57)] Zip Code - Send]&gt;</t>
        </r>
      </text>
    </comment>
    <comment ref="AM287" authorId="0" shapeId="0" xr:uid="{FC8331A6-AC46-4C65-BD57-B7B476E631FB}">
      <text>
        <r>
          <rPr>
            <b/>
            <sz val="9"/>
            <color indexed="81"/>
            <rFont val="Tahoma"/>
            <family val="2"/>
          </rPr>
          <t>&lt;[[DEVDeals] - [Associated TC Deal (Seq: 1)] - [TC Property Current Stage (Seq: 1)] - [Buildings (Seq: 58)] Address 1 - Send]&gt;</t>
        </r>
      </text>
    </comment>
    <comment ref="AP287" authorId="0" shapeId="0" xr:uid="{F79F652B-3951-4B52-8779-D24396B6480F}">
      <text>
        <r>
          <rPr>
            <b/>
            <sz val="9"/>
            <color indexed="81"/>
            <rFont val="Tahoma"/>
            <family val="2"/>
          </rPr>
          <t>&lt;[[DEVDeals] - [Associated TC Deal (Seq: 1)] - [TC Property Current Stage (Seq: 1)] - [Buildings (Seq: 58)] City - Send]&gt;</t>
        </r>
      </text>
    </comment>
    <comment ref="AQ287" authorId="0" shapeId="0" xr:uid="{010BB0ED-1F00-4958-96C6-E932B6383D85}">
      <text>
        <r>
          <rPr>
            <b/>
            <sz val="9"/>
            <color indexed="81"/>
            <rFont val="Tahoma"/>
            <family val="2"/>
          </rPr>
          <t>&lt;[[DEVDeals] - [Associated TC Deal (Seq: 1)] - [TC Property Current Stage (Seq: 1)] - [Buildings (Seq: 58)] Zip Code - Send]&gt;</t>
        </r>
      </text>
    </comment>
    <comment ref="AM288" authorId="0" shapeId="0" xr:uid="{6105BBE8-B54F-4E79-B77C-3C2BF27E6859}">
      <text>
        <r>
          <rPr>
            <b/>
            <sz val="9"/>
            <color indexed="81"/>
            <rFont val="Tahoma"/>
            <family val="2"/>
          </rPr>
          <t>&lt;[[DEVDeals] - [Associated TC Deal (Seq: 1)] - [TC Property Current Stage (Seq: 1)] - [Buildings (Seq: 59)] Address 1 - Send]&gt;</t>
        </r>
      </text>
    </comment>
    <comment ref="AP288" authorId="0" shapeId="0" xr:uid="{18C76CF0-D51E-4EA3-A6E9-5E86882BEE36}">
      <text>
        <r>
          <rPr>
            <b/>
            <sz val="9"/>
            <color indexed="81"/>
            <rFont val="Tahoma"/>
            <family val="2"/>
          </rPr>
          <t>&lt;[[DEVDeals] - [Associated TC Deal (Seq: 1)] - [TC Property Current Stage (Seq: 1)] - [Buildings (Seq: 59)] City - Send]&gt;</t>
        </r>
      </text>
    </comment>
    <comment ref="AQ288" authorId="0" shapeId="0" xr:uid="{7EA8FFF8-5174-4B72-8D01-1B9AFCDF9EFB}">
      <text>
        <r>
          <rPr>
            <b/>
            <sz val="9"/>
            <color indexed="81"/>
            <rFont val="Tahoma"/>
            <family val="2"/>
          </rPr>
          <t>&lt;[[DEVDeals] - [Associated TC Deal (Seq: 1)] - [TC Property Current Stage (Seq: 1)] - [Buildings (Seq: 59)] Zip Code - Send]&gt;</t>
        </r>
      </text>
    </comment>
    <comment ref="AM289" authorId="0" shapeId="0" xr:uid="{10641DD2-5B0D-410E-AC28-11972D359699}">
      <text>
        <r>
          <rPr>
            <b/>
            <sz val="9"/>
            <color indexed="81"/>
            <rFont val="Tahoma"/>
            <family val="2"/>
          </rPr>
          <t>&lt;[[DEVDeals] - [Associated TC Deal (Seq: 1)] - [TC Property Current Stage (Seq: 1)] - [Buildings (Seq: 60)] Address 1 - Send]&gt;</t>
        </r>
      </text>
    </comment>
    <comment ref="AP289" authorId="0" shapeId="0" xr:uid="{E4171521-26A2-497F-8400-10E04262A238}">
      <text>
        <r>
          <rPr>
            <b/>
            <sz val="9"/>
            <color indexed="81"/>
            <rFont val="Tahoma"/>
            <family val="2"/>
          </rPr>
          <t>&lt;[[DEVDeals] - [Associated TC Deal (Seq: 1)] - [TC Property Current Stage (Seq: 1)] - [Buildings (Seq: 60)] City - Send]&gt;</t>
        </r>
      </text>
    </comment>
    <comment ref="AQ289" authorId="0" shapeId="0" xr:uid="{35209D68-CDC0-4776-B25A-1B5D4AAB82A3}">
      <text>
        <r>
          <rPr>
            <b/>
            <sz val="9"/>
            <color indexed="81"/>
            <rFont val="Tahoma"/>
            <family val="2"/>
          </rPr>
          <t>&lt;[[DEVDeals] - [Associated TC Deal (Seq: 1)] - [TC Property Current Stage (Seq: 1)] - [Buildings (Seq: 60)] Zip Code - Send]&gt;</t>
        </r>
      </text>
    </comment>
    <comment ref="AM290" authorId="0" shapeId="0" xr:uid="{74541777-DA78-4CA6-818A-FB63F1E3AC63}">
      <text>
        <r>
          <rPr>
            <b/>
            <sz val="9"/>
            <color indexed="81"/>
            <rFont val="Tahoma"/>
            <family val="2"/>
          </rPr>
          <t>&lt;[[DEVDeals] - [Associated TC Deal (Seq: 1)] - [TC Property Current Stage (Seq: 1)] - [Buildings (Seq: 61)] Address 1 - Send]&gt;</t>
        </r>
      </text>
    </comment>
    <comment ref="AP290" authorId="0" shapeId="0" xr:uid="{88434A83-04D0-4F20-862B-5DF0DEC05E16}">
      <text>
        <r>
          <rPr>
            <b/>
            <sz val="9"/>
            <color indexed="81"/>
            <rFont val="Tahoma"/>
            <family val="2"/>
          </rPr>
          <t>&lt;[[DEVDeals] - [Associated TC Deal (Seq: 1)] - [TC Property Current Stage (Seq: 1)] - [Buildings (Seq: 61)] City - Send]&gt;</t>
        </r>
      </text>
    </comment>
    <comment ref="AQ290" authorId="0" shapeId="0" xr:uid="{91C51CC2-3719-4095-8203-34390C403877}">
      <text>
        <r>
          <rPr>
            <b/>
            <sz val="9"/>
            <color indexed="81"/>
            <rFont val="Tahoma"/>
            <family val="2"/>
          </rPr>
          <t>&lt;[[DEVDeals] - [Associated TC Deal (Seq: 1)] - [TC Property Current Stage (Seq: 1)] - [Buildings (Seq: 61)] Zip Code - Send]&gt;</t>
        </r>
      </text>
    </comment>
    <comment ref="AM291" authorId="0" shapeId="0" xr:uid="{DBE8215C-8A84-4A37-BDA2-1FD2FB7F212D}">
      <text>
        <r>
          <rPr>
            <b/>
            <sz val="9"/>
            <color indexed="81"/>
            <rFont val="Tahoma"/>
            <family val="2"/>
          </rPr>
          <t>&lt;[[DEVDeals] - [Associated TC Deal (Seq: 1)] - [TC Property Current Stage (Seq: 1)] - [Buildings (Seq: 62)] Address 1 - Send]&gt;</t>
        </r>
      </text>
    </comment>
    <comment ref="AP291" authorId="0" shapeId="0" xr:uid="{987457D5-B6F6-4A7C-BF62-BCF2E992B718}">
      <text>
        <r>
          <rPr>
            <b/>
            <sz val="9"/>
            <color indexed="81"/>
            <rFont val="Tahoma"/>
            <family val="2"/>
          </rPr>
          <t>&lt;[[DEVDeals] - [Associated TC Deal (Seq: 1)] - [TC Property Current Stage (Seq: 1)] - [Buildings (Seq: 62)] City - Send]&gt;</t>
        </r>
      </text>
    </comment>
    <comment ref="AQ291" authorId="0" shapeId="0" xr:uid="{3D8FF8A1-B4BC-4664-86F7-79DE37B6C430}">
      <text>
        <r>
          <rPr>
            <b/>
            <sz val="9"/>
            <color indexed="81"/>
            <rFont val="Tahoma"/>
            <family val="2"/>
          </rPr>
          <t>&lt;[[DEVDeals] - [Associated TC Deal (Seq: 1)] - [TC Property Current Stage (Seq: 1)] - [Buildings (Seq: 62)] Zip Code - Send]&gt;</t>
        </r>
      </text>
    </comment>
    <comment ref="AM292" authorId="0" shapeId="0" xr:uid="{C3FC71BA-A0D9-4034-80F1-223475754BD0}">
      <text>
        <r>
          <rPr>
            <b/>
            <sz val="9"/>
            <color indexed="81"/>
            <rFont val="Tahoma"/>
            <family val="2"/>
          </rPr>
          <t>&lt;[[DEVDeals] - [Associated TC Deal (Seq: 1)] - [TC Property Current Stage (Seq: 1)] - [Buildings (Seq: 63)] Address 1 - Send]&gt;</t>
        </r>
      </text>
    </comment>
    <comment ref="AP292" authorId="0" shapeId="0" xr:uid="{BBBCE484-EBD4-4538-B995-197F31D561B4}">
      <text>
        <r>
          <rPr>
            <b/>
            <sz val="9"/>
            <color indexed="81"/>
            <rFont val="Tahoma"/>
            <family val="2"/>
          </rPr>
          <t>&lt;[[DEVDeals] - [Associated TC Deal (Seq: 1)] - [TC Property Current Stage (Seq: 1)] - [Buildings (Seq: 63)] City - Send]&gt;</t>
        </r>
      </text>
    </comment>
    <comment ref="AQ292" authorId="0" shapeId="0" xr:uid="{E75FD5AF-628F-4686-A62D-5A6C37F3D154}">
      <text>
        <r>
          <rPr>
            <b/>
            <sz val="9"/>
            <color indexed="81"/>
            <rFont val="Tahoma"/>
            <family val="2"/>
          </rPr>
          <t>&lt;[[DEVDeals] - [Associated TC Deal (Seq: 1)] - [TC Property Current Stage (Seq: 1)] - [Buildings (Seq: 63)] Zip Code - Send]&gt;</t>
        </r>
      </text>
    </comment>
    <comment ref="AM293" authorId="0" shapeId="0" xr:uid="{3C4A02AA-1EA2-4BB2-9455-A2F6B6D630DB}">
      <text>
        <r>
          <rPr>
            <b/>
            <sz val="9"/>
            <color indexed="81"/>
            <rFont val="Tahoma"/>
            <family val="2"/>
          </rPr>
          <t>&lt;[[DEVDeals] - [Associated TC Deal (Seq: 1)] - [TC Property Current Stage (Seq: 1)] - [Buildings (Seq: 64)] Address 1 - Send]&gt;</t>
        </r>
      </text>
    </comment>
    <comment ref="AP293" authorId="0" shapeId="0" xr:uid="{15BD6AF9-8214-4030-92AE-3812991FB98A}">
      <text>
        <r>
          <rPr>
            <b/>
            <sz val="9"/>
            <color indexed="81"/>
            <rFont val="Tahoma"/>
            <family val="2"/>
          </rPr>
          <t>&lt;[[DEVDeals] - [Associated TC Deal (Seq: 1)] - [TC Property Current Stage (Seq: 1)] - [Buildings (Seq: 64)] City - Send]&gt;</t>
        </r>
      </text>
    </comment>
    <comment ref="AQ293" authorId="0" shapeId="0" xr:uid="{E1D763D1-2D57-4AC3-81A9-0956AC83B896}">
      <text>
        <r>
          <rPr>
            <b/>
            <sz val="9"/>
            <color indexed="81"/>
            <rFont val="Tahoma"/>
            <family val="2"/>
          </rPr>
          <t>&lt;[[DEVDeals] - [Associated TC Deal (Seq: 1)] - [TC Property Current Stage (Seq: 1)] - [Buildings (Seq: 64)] Zip Code - Send]&gt;</t>
        </r>
      </text>
    </comment>
    <comment ref="AM294" authorId="0" shapeId="0" xr:uid="{7CEE8710-5E20-4AD6-869F-628E37F416C8}">
      <text>
        <r>
          <rPr>
            <b/>
            <sz val="9"/>
            <color indexed="81"/>
            <rFont val="Tahoma"/>
            <family val="2"/>
          </rPr>
          <t>&lt;[[DEVDeals] - [Associated TC Deal (Seq: 1)] - [TC Property Current Stage (Seq: 1)] - [Buildings (Seq: 65)] Address 1 - Send]&gt;</t>
        </r>
      </text>
    </comment>
    <comment ref="AP294" authorId="0" shapeId="0" xr:uid="{7B5506FD-76F4-46F1-8A4C-6948BD2D4F0B}">
      <text>
        <r>
          <rPr>
            <b/>
            <sz val="9"/>
            <color indexed="81"/>
            <rFont val="Tahoma"/>
            <family val="2"/>
          </rPr>
          <t>&lt;[[DEVDeals] - [Associated TC Deal (Seq: 1)] - [TC Property Current Stage (Seq: 1)] - [Buildings (Seq: 65)] City - Send]&gt;</t>
        </r>
      </text>
    </comment>
    <comment ref="AQ294" authorId="0" shapeId="0" xr:uid="{25CF93EC-1E7F-4C3E-B2AA-B1DFCD645C44}">
      <text>
        <r>
          <rPr>
            <b/>
            <sz val="9"/>
            <color indexed="81"/>
            <rFont val="Tahoma"/>
            <family val="2"/>
          </rPr>
          <t>&lt;[[DEVDeals] - [Associated TC Deal (Seq: 1)] - [TC Property Current Stage (Seq: 1)] - [Buildings (Seq: 65)] Zip Code - Send]&gt;</t>
        </r>
      </text>
    </comment>
    <comment ref="AM295" authorId="0" shapeId="0" xr:uid="{2EF4DA29-DD58-435E-9D9B-45B51350E354}">
      <text>
        <r>
          <rPr>
            <b/>
            <sz val="9"/>
            <color indexed="81"/>
            <rFont val="Tahoma"/>
            <family val="2"/>
          </rPr>
          <t>&lt;[[DEVDeals] - [Associated TC Deal (Seq: 1)] - [TC Property Current Stage (Seq: 1)] - [Buildings (Seq: 66)] Address 1 - Send]&gt;</t>
        </r>
      </text>
    </comment>
    <comment ref="AP295" authorId="0" shapeId="0" xr:uid="{90F9C78A-0A41-4170-8A99-DA1897FA1653}">
      <text>
        <r>
          <rPr>
            <b/>
            <sz val="9"/>
            <color indexed="81"/>
            <rFont val="Tahoma"/>
            <family val="2"/>
          </rPr>
          <t>&lt;[[DEVDeals] - [Associated TC Deal (Seq: 1)] - [TC Property Current Stage (Seq: 1)] - [Buildings (Seq: 66)] City - Send]&gt;</t>
        </r>
      </text>
    </comment>
    <comment ref="AQ295" authorId="0" shapeId="0" xr:uid="{7C748F47-C76A-4B97-9C91-6505E7B3CEB9}">
      <text>
        <r>
          <rPr>
            <b/>
            <sz val="9"/>
            <color indexed="81"/>
            <rFont val="Tahoma"/>
            <family val="2"/>
          </rPr>
          <t>&lt;[[DEVDeals] - [Associated TC Deal (Seq: 1)] - [TC Property Current Stage (Seq: 1)] - [Buildings (Seq: 66)] Zip Code - Send]&gt;</t>
        </r>
      </text>
    </comment>
    <comment ref="AM296" authorId="0" shapeId="0" xr:uid="{7B3357BE-E695-4FFD-9CC1-638332A23A2B}">
      <text>
        <r>
          <rPr>
            <b/>
            <sz val="9"/>
            <color indexed="81"/>
            <rFont val="Tahoma"/>
            <family val="2"/>
          </rPr>
          <t>&lt;[[DEVDeals] - [Associated TC Deal (Seq: 1)] - [TC Property Current Stage (Seq: 1)] - [Buildings (Seq: 67)] Address 1 - Send]&gt;</t>
        </r>
      </text>
    </comment>
    <comment ref="AP296" authorId="0" shapeId="0" xr:uid="{132BEBD0-2107-49F7-9C89-0B32B83E8387}">
      <text>
        <r>
          <rPr>
            <b/>
            <sz val="9"/>
            <color indexed="81"/>
            <rFont val="Tahoma"/>
            <family val="2"/>
          </rPr>
          <t>&lt;[[DEVDeals] - [Associated TC Deal (Seq: 1)] - [TC Property Current Stage (Seq: 1)] - [Buildings (Seq: 67)] City - Send]&gt;</t>
        </r>
      </text>
    </comment>
    <comment ref="AQ296" authorId="0" shapeId="0" xr:uid="{C8CEF616-FFAC-4CD8-B91B-CE4ACFD7C0DD}">
      <text>
        <r>
          <rPr>
            <b/>
            <sz val="9"/>
            <color indexed="81"/>
            <rFont val="Tahoma"/>
            <family val="2"/>
          </rPr>
          <t>&lt;[[DEVDeals] - [Associated TC Deal (Seq: 1)] - [TC Property Current Stage (Seq: 1)] - [Buildings (Seq: 67)] Zip Code - Send]&gt;</t>
        </r>
      </text>
    </comment>
    <comment ref="AM297" authorId="0" shapeId="0" xr:uid="{20A97FEC-EA08-4413-B5CB-A0E8D83DF9CB}">
      <text>
        <r>
          <rPr>
            <b/>
            <sz val="9"/>
            <color indexed="81"/>
            <rFont val="Tahoma"/>
            <family val="2"/>
          </rPr>
          <t>&lt;[[DEVDeals] - [Associated TC Deal (Seq: 1)] - [TC Property Current Stage (Seq: 1)] - [Buildings (Seq: 68)] Address 1 - Send]&gt;</t>
        </r>
      </text>
    </comment>
    <comment ref="AP297" authorId="0" shapeId="0" xr:uid="{99276AE6-5EDC-44AF-BE41-CAC6468F9506}">
      <text>
        <r>
          <rPr>
            <b/>
            <sz val="9"/>
            <color indexed="81"/>
            <rFont val="Tahoma"/>
            <family val="2"/>
          </rPr>
          <t>&lt;[[DEVDeals] - [Associated TC Deal (Seq: 1)] - [TC Property Current Stage (Seq: 1)] - [Buildings (Seq: 68)] City - Send]&gt;</t>
        </r>
      </text>
    </comment>
    <comment ref="AQ297" authorId="0" shapeId="0" xr:uid="{BEFE7367-10DB-415D-9D41-233686F5BA4E}">
      <text>
        <r>
          <rPr>
            <b/>
            <sz val="9"/>
            <color indexed="81"/>
            <rFont val="Tahoma"/>
            <family val="2"/>
          </rPr>
          <t>&lt;[[DEVDeals] - [Associated TC Deal (Seq: 1)] - [TC Property Current Stage (Seq: 1)] - [Buildings (Seq: 68)] Zip Code - Send]&gt;</t>
        </r>
      </text>
    </comment>
    <comment ref="AM298" authorId="0" shapeId="0" xr:uid="{4EB72F99-199F-43C4-8B87-1775F113A5D5}">
      <text>
        <r>
          <rPr>
            <b/>
            <sz val="9"/>
            <color indexed="81"/>
            <rFont val="Tahoma"/>
            <family val="2"/>
          </rPr>
          <t>&lt;[[DEVDeals] - [Associated TC Deal (Seq: 1)] - [TC Property Current Stage (Seq: 1)] - [Buildings (Seq: 69)] Address 1 - Send]&gt;</t>
        </r>
      </text>
    </comment>
    <comment ref="AP298" authorId="0" shapeId="0" xr:uid="{8FFF3C75-D015-4C9E-9479-81B420521AB2}">
      <text>
        <r>
          <rPr>
            <b/>
            <sz val="9"/>
            <color indexed="81"/>
            <rFont val="Tahoma"/>
            <family val="2"/>
          </rPr>
          <t>&lt;[[DEVDeals] - [Associated TC Deal (Seq: 1)] - [TC Property Current Stage (Seq: 1)] - [Buildings (Seq: 69)] City - Send]&gt;</t>
        </r>
      </text>
    </comment>
    <comment ref="AQ298" authorId="0" shapeId="0" xr:uid="{7FFBEC70-E112-4D29-9DE8-A4CF8F7C17C7}">
      <text>
        <r>
          <rPr>
            <b/>
            <sz val="9"/>
            <color indexed="81"/>
            <rFont val="Tahoma"/>
            <family val="2"/>
          </rPr>
          <t>&lt;[[DEVDeals] - [Associated TC Deal (Seq: 1)] - [TC Property Current Stage (Seq: 1)] - [Buildings (Seq: 69)] Zip Code - Send]&gt;</t>
        </r>
      </text>
    </comment>
    <comment ref="AM299" authorId="0" shapeId="0" xr:uid="{B03AACC5-B28E-4AD5-94FD-3F6266D5C67A}">
      <text>
        <r>
          <rPr>
            <b/>
            <sz val="9"/>
            <color indexed="81"/>
            <rFont val="Tahoma"/>
            <family val="2"/>
          </rPr>
          <t>&lt;[[DEVDeals] - [Associated TC Deal (Seq: 1)] - [TC Property Current Stage (Seq: 1)] - [Buildings (Seq: 70)] Address 1 - Send]&gt;</t>
        </r>
      </text>
    </comment>
    <comment ref="AP299" authorId="0" shapeId="0" xr:uid="{981AB801-6C44-455E-BBFF-D20B8D3E900F}">
      <text>
        <r>
          <rPr>
            <b/>
            <sz val="9"/>
            <color indexed="81"/>
            <rFont val="Tahoma"/>
            <family val="2"/>
          </rPr>
          <t>&lt;[[DEVDeals] - [Associated TC Deal (Seq: 1)] - [TC Property Current Stage (Seq: 1)] - [Buildings (Seq: 70)] City - Send]&gt;</t>
        </r>
      </text>
    </comment>
    <comment ref="AQ299" authorId="0" shapeId="0" xr:uid="{A7DD3AC1-102C-4DF6-A53B-8D1C16F117C0}">
      <text>
        <r>
          <rPr>
            <b/>
            <sz val="9"/>
            <color indexed="81"/>
            <rFont val="Tahoma"/>
            <family val="2"/>
          </rPr>
          <t>&lt;[[DEVDeals] - [Associated TC Deal (Seq: 1)] - [TC Property Current Stage (Seq: 1)] - [Buildings (Seq: 70)] Zip Code - Send]&gt;</t>
        </r>
      </text>
    </comment>
    <comment ref="AM300" authorId="0" shapeId="0" xr:uid="{CE27B430-FECD-47BB-B4F8-11AF04AA4C7E}">
      <text>
        <r>
          <rPr>
            <b/>
            <sz val="9"/>
            <color indexed="81"/>
            <rFont val="Tahoma"/>
            <family val="2"/>
          </rPr>
          <t>&lt;[[DEVDeals] - [Associated TC Deal (Seq: 1)] - [TC Property Current Stage (Seq: 1)] - [Buildings (Seq: 71)] Address 1 - Send]&gt;</t>
        </r>
      </text>
    </comment>
    <comment ref="AP300" authorId="0" shapeId="0" xr:uid="{D40E82A4-21A4-4CF2-8805-E541098CE628}">
      <text>
        <r>
          <rPr>
            <b/>
            <sz val="9"/>
            <color indexed="81"/>
            <rFont val="Tahoma"/>
            <family val="2"/>
          </rPr>
          <t>&lt;[[DEVDeals] - [Associated TC Deal (Seq: 1)] - [TC Property Current Stage (Seq: 1)] - [Buildings (Seq: 71)] City - Send]&gt;</t>
        </r>
      </text>
    </comment>
    <comment ref="AQ300" authorId="0" shapeId="0" xr:uid="{6829559F-A287-4CE0-81E3-5CD8D3480264}">
      <text>
        <r>
          <rPr>
            <b/>
            <sz val="9"/>
            <color indexed="81"/>
            <rFont val="Tahoma"/>
            <family val="2"/>
          </rPr>
          <t>&lt;[[DEVDeals] - [Associated TC Deal (Seq: 1)] - [TC Property Current Stage (Seq: 1)] - [Buildings (Seq: 71)] Zip Code - Send]&gt;</t>
        </r>
      </text>
    </comment>
    <comment ref="AM301" authorId="0" shapeId="0" xr:uid="{012F94B1-149C-48B7-8D3B-8E371E32974B}">
      <text>
        <r>
          <rPr>
            <b/>
            <sz val="9"/>
            <color indexed="81"/>
            <rFont val="Tahoma"/>
            <family val="2"/>
          </rPr>
          <t>&lt;[[DEVDeals] - [Associated TC Deal (Seq: 1)] - [TC Property Current Stage (Seq: 1)] - [Buildings (Seq: 72)] Address 1 - Send]&gt;</t>
        </r>
      </text>
    </comment>
    <comment ref="AP301" authorId="0" shapeId="0" xr:uid="{51B46833-FC58-4F2B-BE10-2D953D008112}">
      <text>
        <r>
          <rPr>
            <b/>
            <sz val="9"/>
            <color indexed="81"/>
            <rFont val="Tahoma"/>
            <family val="2"/>
          </rPr>
          <t>&lt;[[DEVDeals] - [Associated TC Deal (Seq: 1)] - [TC Property Current Stage (Seq: 1)] - [Buildings (Seq: 72)] City - Send]&gt;</t>
        </r>
      </text>
    </comment>
    <comment ref="AQ301" authorId="0" shapeId="0" xr:uid="{B4C02ED0-FD16-4171-9199-667C263C914C}">
      <text>
        <r>
          <rPr>
            <b/>
            <sz val="9"/>
            <color indexed="81"/>
            <rFont val="Tahoma"/>
            <family val="2"/>
          </rPr>
          <t>&lt;[[DEVDeals] - [Associated TC Deal (Seq: 1)] - [TC Property Current Stage (Seq: 1)] - [Buildings (Seq: 72)] Zip Code - Send]&gt;</t>
        </r>
      </text>
    </comment>
    <comment ref="AM302" authorId="0" shapeId="0" xr:uid="{B7E394C5-37AE-49FC-8B05-960693860E22}">
      <text>
        <r>
          <rPr>
            <b/>
            <sz val="9"/>
            <color indexed="81"/>
            <rFont val="Tahoma"/>
            <family val="2"/>
          </rPr>
          <t>&lt;[[DEVDeals] - [Associated TC Deal (Seq: 1)] - [TC Property Current Stage (Seq: 1)] - [Buildings (Seq: 73)] Address 1 - Send]&gt;</t>
        </r>
      </text>
    </comment>
    <comment ref="AP302" authorId="0" shapeId="0" xr:uid="{BAF00D44-DCB3-4DF9-961D-C9A22707742A}">
      <text>
        <r>
          <rPr>
            <b/>
            <sz val="9"/>
            <color indexed="81"/>
            <rFont val="Tahoma"/>
            <family val="2"/>
          </rPr>
          <t>&lt;[[DEVDeals] - [Associated TC Deal (Seq: 1)] - [TC Property Current Stage (Seq: 1)] - [Buildings (Seq: 73)] City - Send]&gt;</t>
        </r>
      </text>
    </comment>
    <comment ref="AQ302" authorId="0" shapeId="0" xr:uid="{BBCC9FB8-E395-49A7-9BCE-BED5428B5B88}">
      <text>
        <r>
          <rPr>
            <b/>
            <sz val="9"/>
            <color indexed="81"/>
            <rFont val="Tahoma"/>
            <family val="2"/>
          </rPr>
          <t>&lt;[[DEVDeals] - [Associated TC Deal (Seq: 1)] - [TC Property Current Stage (Seq: 1)] - [Buildings (Seq: 73)] Zip Code - Send]&gt;</t>
        </r>
      </text>
    </comment>
    <comment ref="AM303" authorId="0" shapeId="0" xr:uid="{23AD28B0-FE08-4F3D-A098-174A64F722A9}">
      <text>
        <r>
          <rPr>
            <b/>
            <sz val="9"/>
            <color indexed="81"/>
            <rFont val="Tahoma"/>
            <family val="2"/>
          </rPr>
          <t>&lt;[[DEVDeals] - [Associated TC Deal (Seq: 1)] - [TC Property Current Stage (Seq: 1)] - [Buildings (Seq: 74)] Address 1 - Send]&gt;</t>
        </r>
      </text>
    </comment>
    <comment ref="AP303" authorId="0" shapeId="0" xr:uid="{BE180016-4D6D-4C4B-88AE-6299201734C5}">
      <text>
        <r>
          <rPr>
            <b/>
            <sz val="9"/>
            <color indexed="81"/>
            <rFont val="Tahoma"/>
            <family val="2"/>
          </rPr>
          <t>&lt;[[DEVDeals] - [Associated TC Deal (Seq: 1)] - [TC Property Current Stage (Seq: 1)] - [Buildings (Seq: 74)] City - Send]&gt;</t>
        </r>
      </text>
    </comment>
    <comment ref="AQ303" authorId="0" shapeId="0" xr:uid="{A2CB5CD1-B3B1-42DB-8309-C5E347505065}">
      <text>
        <r>
          <rPr>
            <b/>
            <sz val="9"/>
            <color indexed="81"/>
            <rFont val="Tahoma"/>
            <family val="2"/>
          </rPr>
          <t>&lt;[[DEVDeals] - [Associated TC Deal (Seq: 1)] - [TC Property Current Stage (Seq: 1)] - [Buildings (Seq: 74)] Zip Code - Send]&gt;</t>
        </r>
      </text>
    </comment>
    <comment ref="AM304" authorId="0" shapeId="0" xr:uid="{95D1B14A-7482-408E-934C-5EA69C0B29AC}">
      <text>
        <r>
          <rPr>
            <b/>
            <sz val="9"/>
            <color indexed="81"/>
            <rFont val="Tahoma"/>
            <family val="2"/>
          </rPr>
          <t>&lt;[[DEVDeals] - [Associated TC Deal (Seq: 1)] - [TC Property Current Stage (Seq: 1)] - [Buildings (Seq: 75)] Address 1 - Send]&gt;</t>
        </r>
      </text>
    </comment>
    <comment ref="AP304" authorId="0" shapeId="0" xr:uid="{E09CD64D-4FA7-4E7D-A3FB-1D20B648B784}">
      <text>
        <r>
          <rPr>
            <b/>
            <sz val="9"/>
            <color indexed="81"/>
            <rFont val="Tahoma"/>
            <family val="2"/>
          </rPr>
          <t>&lt;[[DEVDeals] - [Associated TC Deal (Seq: 1)] - [TC Property Current Stage (Seq: 1)] - [Buildings (Seq: 75)] City - Send]&gt;</t>
        </r>
      </text>
    </comment>
    <comment ref="AQ304" authorId="0" shapeId="0" xr:uid="{15CFC4EE-1B28-4AF3-9D8F-26EBC155E2B4}">
      <text>
        <r>
          <rPr>
            <b/>
            <sz val="9"/>
            <color indexed="81"/>
            <rFont val="Tahoma"/>
            <family val="2"/>
          </rPr>
          <t>&lt;[[DEVDeals] - [Associated TC Deal (Seq: 1)] - [TC Property Current Stage (Seq: 1)] - [Buildings (Seq: 75)] Zip Code - Send]&gt;</t>
        </r>
      </text>
    </comment>
    <comment ref="AM305" authorId="0" shapeId="0" xr:uid="{021F6ED2-B418-421D-9963-C81BFDF77894}">
      <text>
        <r>
          <rPr>
            <b/>
            <sz val="9"/>
            <color indexed="81"/>
            <rFont val="Tahoma"/>
            <family val="2"/>
          </rPr>
          <t>&lt;[[DEVDeals] - [Associated TC Deal (Seq: 1)] - [TC Property Current Stage (Seq: 1)] - [Buildings (Seq: 76)] Address 1 - Send]&gt;</t>
        </r>
      </text>
    </comment>
    <comment ref="AP305" authorId="0" shapeId="0" xr:uid="{032583AA-015A-405D-901A-E7B7E103D265}">
      <text>
        <r>
          <rPr>
            <b/>
            <sz val="9"/>
            <color indexed="81"/>
            <rFont val="Tahoma"/>
            <family val="2"/>
          </rPr>
          <t>&lt;[[DEVDeals] - [Associated TC Deal (Seq: 1)] - [TC Property Current Stage (Seq: 1)] - [Buildings (Seq: 76)] City - Send]&gt;</t>
        </r>
      </text>
    </comment>
    <comment ref="AQ305" authorId="0" shapeId="0" xr:uid="{A38C04F2-6D20-4F39-8DA3-5544C73C90E2}">
      <text>
        <r>
          <rPr>
            <b/>
            <sz val="9"/>
            <color indexed="81"/>
            <rFont val="Tahoma"/>
            <family val="2"/>
          </rPr>
          <t>&lt;[[DEVDeals] - [Associated TC Deal (Seq: 1)] - [TC Property Current Stage (Seq: 1)] - [Buildings (Seq: 76)] Zip Code - Send]&gt;</t>
        </r>
      </text>
    </comment>
    <comment ref="AM306" authorId="0" shapeId="0" xr:uid="{FD46953E-A535-498F-9A0E-4735F9C867B3}">
      <text>
        <r>
          <rPr>
            <b/>
            <sz val="9"/>
            <color indexed="81"/>
            <rFont val="Tahoma"/>
            <family val="2"/>
          </rPr>
          <t>&lt;[[DEVDeals] - [Associated TC Deal (Seq: 1)] - [TC Property Current Stage (Seq: 1)] - [Buildings (Seq: 77)] Address 1 - Send]&gt;</t>
        </r>
      </text>
    </comment>
    <comment ref="AP306" authorId="0" shapeId="0" xr:uid="{F8459F43-9F50-4371-9D28-77A2E82171B9}">
      <text>
        <r>
          <rPr>
            <b/>
            <sz val="9"/>
            <color indexed="81"/>
            <rFont val="Tahoma"/>
            <family val="2"/>
          </rPr>
          <t>&lt;[[DEVDeals] - [Associated TC Deal (Seq: 1)] - [TC Property Current Stage (Seq: 1)] - [Buildings (Seq: 77)] City - Send]&gt;</t>
        </r>
      </text>
    </comment>
    <comment ref="AQ306" authorId="0" shapeId="0" xr:uid="{8AABD7CE-9203-4D84-98A5-F1BAFF87FB9B}">
      <text>
        <r>
          <rPr>
            <b/>
            <sz val="9"/>
            <color indexed="81"/>
            <rFont val="Tahoma"/>
            <family val="2"/>
          </rPr>
          <t>&lt;[[DEVDeals] - [Associated TC Deal (Seq: 1)] - [TC Property Current Stage (Seq: 1)] - [Buildings (Seq: 77)] Zip Code - Send]&gt;</t>
        </r>
      </text>
    </comment>
    <comment ref="AM307" authorId="0" shapeId="0" xr:uid="{85F53439-5388-4A46-8881-333BDAB08CAD}">
      <text>
        <r>
          <rPr>
            <b/>
            <sz val="9"/>
            <color indexed="81"/>
            <rFont val="Tahoma"/>
            <family val="2"/>
          </rPr>
          <t>&lt;[[DEVDeals] - [Associated TC Deal (Seq: 1)] - [TC Property Current Stage (Seq: 1)] - [Buildings (Seq: 78)] Address 1 - Send]&gt;</t>
        </r>
      </text>
    </comment>
    <comment ref="AP307" authorId="0" shapeId="0" xr:uid="{24EFB35C-9451-4295-A726-B3F9CE9C95AF}">
      <text>
        <r>
          <rPr>
            <b/>
            <sz val="9"/>
            <color indexed="81"/>
            <rFont val="Tahoma"/>
            <family val="2"/>
          </rPr>
          <t>&lt;[[DEVDeals] - [Associated TC Deal (Seq: 1)] - [TC Property Current Stage (Seq: 1)] - [Buildings (Seq: 78)] City - Send]&gt;</t>
        </r>
      </text>
    </comment>
    <comment ref="AQ307" authorId="0" shapeId="0" xr:uid="{BB23C9A5-E48C-447D-BE92-E5DDF5AE6B6C}">
      <text>
        <r>
          <rPr>
            <b/>
            <sz val="9"/>
            <color indexed="81"/>
            <rFont val="Tahoma"/>
            <family val="2"/>
          </rPr>
          <t>&lt;[[DEVDeals] - [Associated TC Deal (Seq: 1)] - [TC Property Current Stage (Seq: 1)] - [Buildings (Seq: 78)] Zip Code - Send]&gt;</t>
        </r>
      </text>
    </comment>
    <comment ref="AM308" authorId="0" shapeId="0" xr:uid="{CF2C2CF1-4A0D-42E4-BCEB-94359E0E0451}">
      <text>
        <r>
          <rPr>
            <b/>
            <sz val="9"/>
            <color indexed="81"/>
            <rFont val="Tahoma"/>
            <family val="2"/>
          </rPr>
          <t>&lt;[[DEVDeals] - [Associated TC Deal (Seq: 1)] - [TC Property Current Stage (Seq: 1)] - [Buildings (Seq: 79)] Address 1 - Send]&gt;</t>
        </r>
      </text>
    </comment>
    <comment ref="AP308" authorId="0" shapeId="0" xr:uid="{272EAE57-4FCF-4C8E-BC0A-CF6C54CCE378}">
      <text>
        <r>
          <rPr>
            <b/>
            <sz val="9"/>
            <color indexed="81"/>
            <rFont val="Tahoma"/>
            <family val="2"/>
          </rPr>
          <t>&lt;[[DEVDeals] - [Associated TC Deal (Seq: 1)] - [TC Property Current Stage (Seq: 1)] - [Buildings (Seq: 79)] City - Send]&gt;</t>
        </r>
      </text>
    </comment>
    <comment ref="AQ308" authorId="0" shapeId="0" xr:uid="{46F4865F-D63B-49DB-A9D4-D11C03E185F3}">
      <text>
        <r>
          <rPr>
            <b/>
            <sz val="9"/>
            <color indexed="81"/>
            <rFont val="Tahoma"/>
            <family val="2"/>
          </rPr>
          <t>&lt;[[DEVDeals] - [Associated TC Deal (Seq: 1)] - [TC Property Current Stage (Seq: 1)] - [Buildings (Seq: 79)] Zip Code - Send]&gt;</t>
        </r>
      </text>
    </comment>
    <comment ref="AM309" authorId="0" shapeId="0" xr:uid="{8DB04826-1C1B-4CA8-9772-E758528D0161}">
      <text>
        <r>
          <rPr>
            <b/>
            <sz val="9"/>
            <color indexed="81"/>
            <rFont val="Tahoma"/>
            <family val="2"/>
          </rPr>
          <t>&lt;[[DEVDeals] - [Associated TC Deal (Seq: 1)] - [TC Property Current Stage (Seq: 1)] - [Buildings (Seq: 80)] Address 1 - Send]&gt;</t>
        </r>
      </text>
    </comment>
    <comment ref="AP309" authorId="0" shapeId="0" xr:uid="{A9158CCB-C0D6-47C2-90AC-4EE60805D345}">
      <text>
        <r>
          <rPr>
            <b/>
            <sz val="9"/>
            <color indexed="81"/>
            <rFont val="Tahoma"/>
            <family val="2"/>
          </rPr>
          <t>&lt;[[DEVDeals] - [Associated TC Deal (Seq: 1)] - [TC Property Current Stage (Seq: 1)] - [Buildings (Seq: 80)] City - Send]&gt;</t>
        </r>
      </text>
    </comment>
    <comment ref="AQ309" authorId="0" shapeId="0" xr:uid="{D6944F57-7E07-44F6-8956-A6FCD2B331CA}">
      <text>
        <r>
          <rPr>
            <b/>
            <sz val="9"/>
            <color indexed="81"/>
            <rFont val="Tahoma"/>
            <family val="2"/>
          </rPr>
          <t>&lt;[[DEVDeals] - [Associated TC Deal (Seq: 1)] - [TC Property Current Stage (Seq: 1)] - [Buildings (Seq: 80)] Zip Code - Send]&gt;</t>
        </r>
      </text>
    </comment>
    <comment ref="I323" authorId="0" shapeId="0" xr:uid="{78758018-6235-4F2E-99AB-E2BA944DC64F}">
      <text>
        <r>
          <rPr>
            <b/>
            <sz val="9"/>
            <color indexed="81"/>
            <rFont val="Tahoma"/>
            <family val="2"/>
          </rPr>
          <t>&lt;[[DEVDeals] - [Deal Property (Seq: 1)] - [Locations (Seq: 1)] - [Unit Mix (Seq: 1)] Unit Type - Send]&gt;</t>
        </r>
      </text>
    </comment>
    <comment ref="J323" authorId="0" shapeId="0" xr:uid="{2A180A20-AE12-4E05-8F8E-58B22F25980B}">
      <text>
        <r>
          <rPr>
            <b/>
            <sz val="9"/>
            <color indexed="81"/>
            <rFont val="Tahoma"/>
            <family val="2"/>
          </rPr>
          <t>&lt;[[DEVDeals] - [Deal Property (Seq: 1)] - [Locations (Seq: 1)] - [Unit Mix (Seq: 1)] Unit Mix Ami Percent - Send]&gt;</t>
        </r>
      </text>
    </comment>
    <comment ref="L323" authorId="0" shapeId="0" xr:uid="{0EBEEF15-9D72-434C-A1DB-D3C63A3FE704}">
      <text>
        <r>
          <rPr>
            <b/>
            <sz val="9"/>
            <color indexed="81"/>
            <rFont val="Tahoma"/>
            <family val="2"/>
          </rPr>
          <t>&lt;[[DEVDeals] - [Deal Property (Seq: 1)] - [Locations (Seq: 1)] - [Unit Mix (Seq: 1)] Num Units - Send]&gt;</t>
        </r>
      </text>
    </comment>
    <comment ref="M323" authorId="0" shapeId="0" xr:uid="{65724E23-7814-4ACC-B60A-3B3605EB35EF}">
      <text>
        <r>
          <rPr>
            <b/>
            <sz val="9"/>
            <color indexed="81"/>
            <rFont val="Tahoma"/>
            <family val="2"/>
          </rPr>
          <t>&lt;[[DEVDeals] - [Deal Property (Seq: 1)] - [Locations (Seq: 1)] - [Unit Mix (Seq: 1)] - [Unit Mix - User Defined Field Values (Seq: 1)] Proforma Income - Is Deed Restricted - Send]&gt;</t>
        </r>
      </text>
    </comment>
    <comment ref="N323" authorId="0" shapeId="0" xr:uid="{7C8A44E1-B49A-46E3-97DF-13BE89FD2357}">
      <text>
        <r>
          <rPr>
            <b/>
            <sz val="9"/>
            <color indexed="81"/>
            <rFont val="Tahoma"/>
            <family val="2"/>
          </rPr>
          <t>&lt;[[DEVDeals] - [Deal Property (Seq: 1)] - [Locations (Seq: 1)] - [Unit Mix (Seq: 1)] Square Footage - Send]&gt;</t>
        </r>
      </text>
    </comment>
    <comment ref="AO323" authorId="0" shapeId="0" xr:uid="{1C057843-F0AC-4BE1-876B-0F5D899D6776}">
      <text>
        <r>
          <rPr>
            <b/>
            <sz val="9"/>
            <color indexed="81"/>
            <rFont val="Tahoma"/>
            <family val="2"/>
          </rPr>
          <t>&lt;[[DEVDeals] - [Associated TC Deal (Seq: 1)] - [TC Property Current Stage (Seq: 1)] - [Unit Mix (Seq: 1)] TC Unit Mix Type - Send]&gt;</t>
        </r>
      </text>
    </comment>
    <comment ref="AR323" authorId="0" shapeId="0" xr:uid="{236C5C56-F21B-4E88-9C72-EB3A1ADAF9CE}">
      <text>
        <r>
          <rPr>
            <b/>
            <sz val="9"/>
            <color indexed="81"/>
            <rFont val="Tahoma"/>
            <family val="2"/>
          </rPr>
          <t>&lt;[[DEVDeals] - [Associated TC Deal (Seq: 1)] - [TC Property Current Stage (Seq: 1)] - [Unit Mix (Seq: 1)] Num Units - Send]&gt;</t>
        </r>
      </text>
    </comment>
    <comment ref="AT323" authorId="0" shapeId="0" xr:uid="{0486A23F-503F-40C0-9E36-2E0EC2B3EF7A}">
      <text>
        <r>
          <rPr>
            <b/>
            <sz val="9"/>
            <color indexed="81"/>
            <rFont val="Tahoma"/>
            <family val="2"/>
          </rPr>
          <t>&lt;[[DEVDeals] - [Associated TC Deal (Seq: 1)] - [TC Property Current Stage (Seq: 1)] - [Unit Mix (Seq: 1)] Net Rentable Sq Ft - Send]&gt;</t>
        </r>
      </text>
    </comment>
    <comment ref="BA323" authorId="0" shapeId="0" xr:uid="{2D26C300-42A0-422C-BAF0-F495BA4FB821}">
      <text>
        <r>
          <rPr>
            <b/>
            <sz val="9"/>
            <color indexed="81"/>
            <rFont val="Tahoma"/>
            <family val="2"/>
          </rPr>
          <t>&lt;[[DEVDeals] - [Associated TC Deal (Seq: 1)] - [TC Property Current Stage (Seq: 1)] - [Unit Mix (Seq: 1)] Monthly Rent Per Unit - Send]&gt;</t>
        </r>
      </text>
    </comment>
    <comment ref="I324" authorId="0" shapeId="0" xr:uid="{3B6D88AD-DE47-48A5-ACB3-565ABB97A9D7}">
      <text>
        <r>
          <rPr>
            <b/>
            <sz val="9"/>
            <color indexed="81"/>
            <rFont val="Tahoma"/>
            <family val="2"/>
          </rPr>
          <t>&lt;[[DEVDeals] - [Deal Property (Seq: 1)] - [Locations (Seq: 1)] - [Unit Mix (Seq: 2)] Unit Type - Send]&gt;</t>
        </r>
      </text>
    </comment>
    <comment ref="J324" authorId="0" shapeId="0" xr:uid="{B7DC02CA-024D-47E1-8EC9-E0F740B40DCE}">
      <text>
        <r>
          <rPr>
            <b/>
            <sz val="9"/>
            <color indexed="81"/>
            <rFont val="Tahoma"/>
            <family val="2"/>
          </rPr>
          <t>&lt;[[DEVDeals] - [Deal Property (Seq: 1)] - [Locations (Seq: 1)] - [Unit Mix (Seq: 2)] Unit Mix Ami Percent - Send]&gt;</t>
        </r>
      </text>
    </comment>
    <comment ref="L324" authorId="0" shapeId="0" xr:uid="{2F7E4206-F002-491A-B7F5-9E81599FD02E}">
      <text>
        <r>
          <rPr>
            <b/>
            <sz val="9"/>
            <color indexed="81"/>
            <rFont val="Tahoma"/>
            <family val="2"/>
          </rPr>
          <t>&lt;[[DEVDeals] - [Deal Property (Seq: 1)] - [Locations (Seq: 1)] - [Unit Mix (Seq: 2)] Num Units - Send]&gt;</t>
        </r>
      </text>
    </comment>
    <comment ref="M324" authorId="0" shapeId="0" xr:uid="{E7C03A40-D88A-4D24-922B-FE6BB6519AA8}">
      <text>
        <r>
          <rPr>
            <b/>
            <sz val="9"/>
            <color indexed="81"/>
            <rFont val="Tahoma"/>
            <family val="2"/>
          </rPr>
          <t>&lt;[[DEVDeals] - [Deal Property (Seq: 1)] - [Locations (Seq: 1)] - [Unit Mix (Seq: 2)] - [Unit Mix - User Defined Field Values (Seq: 1)] Proforma Income - Is Deed Restricted - Send]&gt;</t>
        </r>
      </text>
    </comment>
    <comment ref="N324" authorId="0" shapeId="0" xr:uid="{D864E98E-E943-4F75-AFE1-D2208B7BF8C5}">
      <text>
        <r>
          <rPr>
            <b/>
            <sz val="9"/>
            <color indexed="81"/>
            <rFont val="Tahoma"/>
            <family val="2"/>
          </rPr>
          <t>&lt;[[DEVDeals] - [Deal Property (Seq: 1)] - [Locations (Seq: 1)] - [Unit Mix (Seq: 2)] Square Footage - Send]&gt;</t>
        </r>
      </text>
    </comment>
    <comment ref="AO324" authorId="0" shapeId="0" xr:uid="{DBA96869-2000-425C-84EB-73A57CEB8646}">
      <text>
        <r>
          <rPr>
            <b/>
            <sz val="9"/>
            <color indexed="81"/>
            <rFont val="Tahoma"/>
            <family val="2"/>
          </rPr>
          <t>&lt;[[DEVDeals] - [Associated TC Deal (Seq: 1)] - [TC Property Current Stage (Seq: 1)] - [Unit Mix (Seq: 2)] TC Unit Mix Type - Send]&gt;</t>
        </r>
      </text>
    </comment>
    <comment ref="AR324" authorId="0" shapeId="0" xr:uid="{422555A1-B23C-4114-9BA2-1D2110BDD315}">
      <text>
        <r>
          <rPr>
            <b/>
            <sz val="9"/>
            <color indexed="81"/>
            <rFont val="Tahoma"/>
            <family val="2"/>
          </rPr>
          <t>&lt;[[DEVDeals] - [Associated TC Deal (Seq: 1)] - [TC Property Current Stage (Seq: 1)] - [Unit Mix (Seq: 2)] Num Units - Send]&gt;</t>
        </r>
      </text>
    </comment>
    <comment ref="AT324" authorId="0" shapeId="0" xr:uid="{9A140890-2779-408A-B3D0-559A7EC0A76B}">
      <text>
        <r>
          <rPr>
            <b/>
            <sz val="9"/>
            <color indexed="81"/>
            <rFont val="Tahoma"/>
            <family val="2"/>
          </rPr>
          <t>&lt;[[DEVDeals] - [Associated TC Deal (Seq: 1)] - [TC Property Current Stage (Seq: 1)] - [Unit Mix (Seq: 2)] Net Rentable Sq Ft - Send]&gt;</t>
        </r>
      </text>
    </comment>
    <comment ref="BA324" authorId="0" shapeId="0" xr:uid="{09EDE845-9621-4687-8A33-1E34DE04B549}">
      <text>
        <r>
          <rPr>
            <b/>
            <sz val="9"/>
            <color indexed="81"/>
            <rFont val="Tahoma"/>
            <family val="2"/>
          </rPr>
          <t>&lt;[[DEVDeals] - [Associated TC Deal (Seq: 1)] - [TC Property Current Stage (Seq: 1)] - [Unit Mix (Seq: 2)] Monthly Rent Per Unit - Send]&gt;</t>
        </r>
      </text>
    </comment>
    <comment ref="I325" authorId="0" shapeId="0" xr:uid="{E63892B5-8727-45A6-8DCE-26F389F7EC19}">
      <text>
        <r>
          <rPr>
            <b/>
            <sz val="9"/>
            <color indexed="81"/>
            <rFont val="Tahoma"/>
            <family val="2"/>
          </rPr>
          <t>&lt;[[DEVDeals] - [Deal Property (Seq: 1)] - [Locations (Seq: 1)] - [Unit Mix (Seq: 3)] Unit Type - Send]&gt;</t>
        </r>
      </text>
    </comment>
    <comment ref="J325" authorId="0" shapeId="0" xr:uid="{2747390B-78BC-40A1-9082-68ADFADCA2E8}">
      <text>
        <r>
          <rPr>
            <b/>
            <sz val="9"/>
            <color indexed="81"/>
            <rFont val="Tahoma"/>
            <family val="2"/>
          </rPr>
          <t>&lt;[[DEVDeals] - [Deal Property (Seq: 1)] - [Locations (Seq: 1)] - [Unit Mix (Seq: 3)] Unit Mix Ami Percent - Send]&gt;</t>
        </r>
      </text>
    </comment>
    <comment ref="L325" authorId="0" shapeId="0" xr:uid="{DCD90CB1-9AB0-4534-A07A-593C613267F9}">
      <text>
        <r>
          <rPr>
            <b/>
            <sz val="9"/>
            <color indexed="81"/>
            <rFont val="Tahoma"/>
            <family val="2"/>
          </rPr>
          <t>&lt;[[DEVDeals] - [Deal Property (Seq: 1)] - [Locations (Seq: 1)] - [Unit Mix (Seq: 3)] Num Units - Send]&gt;</t>
        </r>
      </text>
    </comment>
    <comment ref="M325" authorId="0" shapeId="0" xr:uid="{2474EDF3-2028-41D0-A76E-D2C5DE3EF99D}">
      <text>
        <r>
          <rPr>
            <b/>
            <sz val="9"/>
            <color indexed="81"/>
            <rFont val="Tahoma"/>
            <family val="2"/>
          </rPr>
          <t>&lt;[[DEVDeals] - [Deal Property (Seq: 1)] - [Locations (Seq: 1)] - [Unit Mix (Seq: 3)] - [Unit Mix - User Defined Field Values (Seq: 1)] Proforma Income - Is Deed Restricted - Send]&gt;</t>
        </r>
      </text>
    </comment>
    <comment ref="N325" authorId="0" shapeId="0" xr:uid="{70377B73-0908-463D-9B08-80586325BC14}">
      <text>
        <r>
          <rPr>
            <b/>
            <sz val="9"/>
            <color indexed="81"/>
            <rFont val="Tahoma"/>
            <family val="2"/>
          </rPr>
          <t>&lt;[[DEVDeals] - [Deal Property (Seq: 1)] - [Locations (Seq: 1)] - [Unit Mix (Seq: 3)] Square Footage - Send]&gt;</t>
        </r>
      </text>
    </comment>
    <comment ref="AO325" authorId="0" shapeId="0" xr:uid="{57D950A2-10D8-4CA9-9038-9B5E0E157185}">
      <text>
        <r>
          <rPr>
            <b/>
            <sz val="9"/>
            <color indexed="81"/>
            <rFont val="Tahoma"/>
            <family val="2"/>
          </rPr>
          <t>&lt;[[DEVDeals] - [Associated TC Deal (Seq: 1)] - [TC Property Current Stage (Seq: 1)] - [Unit Mix (Seq: 3)] TC Unit Mix Type - Send]&gt;</t>
        </r>
      </text>
    </comment>
    <comment ref="AR325" authorId="0" shapeId="0" xr:uid="{07FFE586-B6B7-420D-91E8-3A4558C39B56}">
      <text>
        <r>
          <rPr>
            <b/>
            <sz val="9"/>
            <color indexed="81"/>
            <rFont val="Tahoma"/>
            <family val="2"/>
          </rPr>
          <t>&lt;[[DEVDeals] - [Associated TC Deal (Seq: 1)] - [TC Property Current Stage (Seq: 1)] - [Unit Mix (Seq: 3)] Num Units - Send]&gt;</t>
        </r>
      </text>
    </comment>
    <comment ref="AT325" authorId="0" shapeId="0" xr:uid="{AC324863-720D-4AF6-A7EA-33149D8CBD33}">
      <text>
        <r>
          <rPr>
            <b/>
            <sz val="9"/>
            <color indexed="81"/>
            <rFont val="Tahoma"/>
            <family val="2"/>
          </rPr>
          <t>&lt;[[DEVDeals] - [Associated TC Deal (Seq: 1)] - [TC Property Current Stage (Seq: 1)] - [Unit Mix (Seq: 3)] Net Rentable Sq Ft - Send]&gt;</t>
        </r>
      </text>
    </comment>
    <comment ref="BA325" authorId="0" shapeId="0" xr:uid="{28BE7A71-D25D-48F1-890B-A7114A5D1C1F}">
      <text>
        <r>
          <rPr>
            <b/>
            <sz val="9"/>
            <color indexed="81"/>
            <rFont val="Tahoma"/>
            <family val="2"/>
          </rPr>
          <t>&lt;[[DEVDeals] - [Associated TC Deal (Seq: 1)] - [TC Property Current Stage (Seq: 1)] - [Unit Mix (Seq: 3)] Monthly Rent Per Unit - Send]&gt;</t>
        </r>
      </text>
    </comment>
    <comment ref="I326" authorId="0" shapeId="0" xr:uid="{F5BAB21C-1B5A-4F6D-8A3F-E87DC5718D2E}">
      <text>
        <r>
          <rPr>
            <b/>
            <sz val="9"/>
            <color indexed="81"/>
            <rFont val="Tahoma"/>
            <family val="2"/>
          </rPr>
          <t>&lt;[[DEVDeals] - [Deal Property (Seq: 1)] - [Locations (Seq: 1)] - [Unit Mix (Seq: 4)] Unit Type - Send]&gt;</t>
        </r>
      </text>
    </comment>
    <comment ref="J326" authorId="0" shapeId="0" xr:uid="{4A3F3D79-AC3C-4845-9D5C-510591D8C0BB}">
      <text>
        <r>
          <rPr>
            <b/>
            <sz val="9"/>
            <color indexed="81"/>
            <rFont val="Tahoma"/>
            <family val="2"/>
          </rPr>
          <t>&lt;[[DEVDeals] - [Deal Property (Seq: 1)] - [Locations (Seq: 1)] - [Unit Mix (Seq: 4)] Unit Mix Ami Percent - Send]&gt;</t>
        </r>
      </text>
    </comment>
    <comment ref="L326" authorId="0" shapeId="0" xr:uid="{FFB64B8C-5824-4E69-A477-B7F58860FB10}">
      <text>
        <r>
          <rPr>
            <b/>
            <sz val="9"/>
            <color indexed="81"/>
            <rFont val="Tahoma"/>
            <family val="2"/>
          </rPr>
          <t>&lt;[[DEVDeals] - [Deal Property (Seq: 1)] - [Locations (Seq: 1)] - [Unit Mix (Seq: 4)] Num Units - Send]&gt;</t>
        </r>
      </text>
    </comment>
    <comment ref="M326" authorId="0" shapeId="0" xr:uid="{CD44CAE4-E877-453E-ABDA-441EFC9036E2}">
      <text>
        <r>
          <rPr>
            <b/>
            <sz val="9"/>
            <color indexed="81"/>
            <rFont val="Tahoma"/>
            <family val="2"/>
          </rPr>
          <t>&lt;[[DEVDeals] - [Deal Property (Seq: 1)] - [Locations (Seq: 1)] - [Unit Mix (Seq: 4)] - [Unit Mix - User Defined Field Values (Seq: 1)] Proforma Income - Is Deed Restricted - Send]&gt;</t>
        </r>
      </text>
    </comment>
    <comment ref="N326" authorId="0" shapeId="0" xr:uid="{D55BC34C-CF4E-47DD-B858-ACB714962D75}">
      <text>
        <r>
          <rPr>
            <b/>
            <sz val="9"/>
            <color indexed="81"/>
            <rFont val="Tahoma"/>
            <family val="2"/>
          </rPr>
          <t>&lt;[[DEVDeals] - [Deal Property (Seq: 1)] - [Locations (Seq: 1)] - [Unit Mix (Seq: 4)] Square Footage - Send]&gt;</t>
        </r>
      </text>
    </comment>
    <comment ref="AO326" authorId="0" shapeId="0" xr:uid="{F0372DAD-3BC2-4199-9AE1-DEC6A6C10385}">
      <text>
        <r>
          <rPr>
            <b/>
            <sz val="9"/>
            <color indexed="81"/>
            <rFont val="Tahoma"/>
            <family val="2"/>
          </rPr>
          <t>&lt;[[DEVDeals] - [Associated TC Deal (Seq: 1)] - [TC Property Current Stage (Seq: 1)] - [Unit Mix (Seq: 4)] TC Unit Mix Type - Send]&gt;</t>
        </r>
      </text>
    </comment>
    <comment ref="AR326" authorId="0" shapeId="0" xr:uid="{EB65B5F3-7603-428A-9654-D7EEB5CD4B57}">
      <text>
        <r>
          <rPr>
            <b/>
            <sz val="9"/>
            <color indexed="81"/>
            <rFont val="Tahoma"/>
            <family val="2"/>
          </rPr>
          <t>&lt;[[DEVDeals] - [Associated TC Deal (Seq: 1)] - [TC Property Current Stage (Seq: 1)] - [Unit Mix (Seq: 4)] Num Units - Send]&gt;</t>
        </r>
      </text>
    </comment>
    <comment ref="AT326" authorId="0" shapeId="0" xr:uid="{4B7709BD-6266-4836-9C2D-AE088C4F1577}">
      <text>
        <r>
          <rPr>
            <b/>
            <sz val="9"/>
            <color indexed="81"/>
            <rFont val="Tahoma"/>
            <family val="2"/>
          </rPr>
          <t>&lt;[[DEVDeals] - [Associated TC Deal (Seq: 1)] - [TC Property Current Stage (Seq: 1)] - [Unit Mix (Seq: 4)] Net Rentable Sq Ft - Send]&gt;</t>
        </r>
      </text>
    </comment>
    <comment ref="BA326" authorId="0" shapeId="0" xr:uid="{6C0B473D-63BA-42EB-A612-DD7E251805E6}">
      <text>
        <r>
          <rPr>
            <b/>
            <sz val="9"/>
            <color indexed="81"/>
            <rFont val="Tahoma"/>
            <family val="2"/>
          </rPr>
          <t>&lt;[[DEVDeals] - [Associated TC Deal (Seq: 1)] - [TC Property Current Stage (Seq: 1)] - [Unit Mix (Seq: 4)] Monthly Rent Per Unit - Send]&gt;</t>
        </r>
      </text>
    </comment>
    <comment ref="I327" authorId="0" shapeId="0" xr:uid="{C8715C40-CF89-47FB-860E-A5CCC5ED860F}">
      <text>
        <r>
          <rPr>
            <b/>
            <sz val="9"/>
            <color indexed="81"/>
            <rFont val="Tahoma"/>
            <family val="2"/>
          </rPr>
          <t>&lt;[[DEVDeals] - [Deal Property (Seq: 1)] - [Locations (Seq: 1)] - [Unit Mix (Seq: 5)] Unit Type - Send]&gt;</t>
        </r>
      </text>
    </comment>
    <comment ref="J327" authorId="0" shapeId="0" xr:uid="{E1450E60-A16E-4D1C-A9E0-BB96CCE3DD4A}">
      <text>
        <r>
          <rPr>
            <b/>
            <sz val="9"/>
            <color indexed="81"/>
            <rFont val="Tahoma"/>
            <family val="2"/>
          </rPr>
          <t>&lt;[[DEVDeals] - [Deal Property (Seq: 1)] - [Locations (Seq: 1)] - [Unit Mix (Seq: 5)] Unit Mix Ami Percent - Send]&gt;</t>
        </r>
      </text>
    </comment>
    <comment ref="L327" authorId="0" shapeId="0" xr:uid="{E3705699-A668-4727-8AAD-161FF34D4FB0}">
      <text>
        <r>
          <rPr>
            <b/>
            <sz val="9"/>
            <color indexed="81"/>
            <rFont val="Tahoma"/>
            <family val="2"/>
          </rPr>
          <t>&lt;[[DEVDeals] - [Deal Property (Seq: 1)] - [Locations (Seq: 1)] - [Unit Mix (Seq: 5)] Num Units - Send]&gt;</t>
        </r>
      </text>
    </comment>
    <comment ref="M327" authorId="0" shapeId="0" xr:uid="{854813D5-77BF-4746-B72B-E091D7C79FA5}">
      <text>
        <r>
          <rPr>
            <b/>
            <sz val="9"/>
            <color indexed="81"/>
            <rFont val="Tahoma"/>
            <family val="2"/>
          </rPr>
          <t>&lt;[[DEVDeals] - [Deal Property (Seq: 1)] - [Locations (Seq: 1)] - [Unit Mix (Seq: 5)] - [Unit Mix - User Defined Field Values (Seq: 1)] Proforma Income - Is Deed Restricted - Send]&gt;</t>
        </r>
      </text>
    </comment>
    <comment ref="N327" authorId="0" shapeId="0" xr:uid="{E059ED32-28A2-4131-966A-C9DC09056BFC}">
      <text>
        <r>
          <rPr>
            <b/>
            <sz val="9"/>
            <color indexed="81"/>
            <rFont val="Tahoma"/>
            <family val="2"/>
          </rPr>
          <t>&lt;[[DEVDeals] - [Deal Property (Seq: 1)] - [Locations (Seq: 1)] - [Unit Mix (Seq: 5)] Square Footage - Send]&gt;</t>
        </r>
      </text>
    </comment>
    <comment ref="AO327" authorId="0" shapeId="0" xr:uid="{115821F5-2C21-4F88-910D-A2D18F141020}">
      <text>
        <r>
          <rPr>
            <b/>
            <sz val="9"/>
            <color indexed="81"/>
            <rFont val="Tahoma"/>
            <family val="2"/>
          </rPr>
          <t>&lt;[[DEVDeals] - [Associated TC Deal (Seq: 1)] - [TC Property Current Stage (Seq: 1)] - [Unit Mix (Seq: 5)] TC Unit Mix Type - Send]&gt;</t>
        </r>
      </text>
    </comment>
    <comment ref="AR327" authorId="0" shapeId="0" xr:uid="{2700F756-C9F8-4CC7-A451-C1BF1D718789}">
      <text>
        <r>
          <rPr>
            <b/>
            <sz val="9"/>
            <color indexed="81"/>
            <rFont val="Tahoma"/>
            <family val="2"/>
          </rPr>
          <t>&lt;[[DEVDeals] - [Associated TC Deal (Seq: 1)] - [TC Property Current Stage (Seq: 1)] - [Unit Mix (Seq: 5)] Num Units - Send]&gt;</t>
        </r>
      </text>
    </comment>
    <comment ref="AT327" authorId="0" shapeId="0" xr:uid="{2E3AF4DD-6A4C-4FA4-B23A-446A09B2207C}">
      <text>
        <r>
          <rPr>
            <b/>
            <sz val="9"/>
            <color indexed="81"/>
            <rFont val="Tahoma"/>
            <family val="2"/>
          </rPr>
          <t>&lt;[[DEVDeals] - [Associated TC Deal (Seq: 1)] - [TC Property Current Stage (Seq: 1)] - [Unit Mix (Seq: 5)] Net Rentable Sq Ft - Send]&gt;</t>
        </r>
      </text>
    </comment>
    <comment ref="BA327" authorId="0" shapeId="0" xr:uid="{88221AD6-82F7-442C-8F59-B59296DEB8D0}">
      <text>
        <r>
          <rPr>
            <b/>
            <sz val="9"/>
            <color indexed="81"/>
            <rFont val="Tahoma"/>
            <family val="2"/>
          </rPr>
          <t>&lt;[[DEVDeals] - [Associated TC Deal (Seq: 1)] - [TC Property Current Stage (Seq: 1)] - [Unit Mix (Seq: 5)] Monthly Rent Per Unit - Send]&gt;</t>
        </r>
      </text>
    </comment>
    <comment ref="I328" authorId="0" shapeId="0" xr:uid="{76720AF0-ECA8-4449-ACE5-CCF57CF221EC}">
      <text>
        <r>
          <rPr>
            <b/>
            <sz val="9"/>
            <color indexed="81"/>
            <rFont val="Tahoma"/>
            <family val="2"/>
          </rPr>
          <t>&lt;[[DEVDeals] - [Deal Property (Seq: 1)] - [Locations (Seq: 1)] - [Unit Mix (Seq: 6)] Unit Type - Send]&gt;</t>
        </r>
      </text>
    </comment>
    <comment ref="J328" authorId="0" shapeId="0" xr:uid="{94ACD49F-7CDE-4C29-9E5C-502CC4EE824C}">
      <text>
        <r>
          <rPr>
            <b/>
            <sz val="9"/>
            <color indexed="81"/>
            <rFont val="Tahoma"/>
            <family val="2"/>
          </rPr>
          <t>&lt;[[DEVDeals] - [Deal Property (Seq: 1)] - [Locations (Seq: 1)] - [Unit Mix (Seq: 6)] Unit Mix Ami Percent - Send]&gt;</t>
        </r>
      </text>
    </comment>
    <comment ref="L328" authorId="0" shapeId="0" xr:uid="{32228D37-3ACB-4AC4-9F9D-5097D550AF81}">
      <text>
        <r>
          <rPr>
            <b/>
            <sz val="9"/>
            <color indexed="81"/>
            <rFont val="Tahoma"/>
            <family val="2"/>
          </rPr>
          <t>&lt;[[DEVDeals] - [Deal Property (Seq: 1)] - [Locations (Seq: 1)] - [Unit Mix (Seq: 6)] Num Units - Send]&gt;</t>
        </r>
      </text>
    </comment>
    <comment ref="M328" authorId="0" shapeId="0" xr:uid="{84EC19BB-76F7-40A8-90D8-A865411B9D9F}">
      <text>
        <r>
          <rPr>
            <b/>
            <sz val="9"/>
            <color indexed="81"/>
            <rFont val="Tahoma"/>
            <family val="2"/>
          </rPr>
          <t>&lt;[[DEVDeals] - [Deal Property (Seq: 1)] - [Locations (Seq: 1)] - [Unit Mix (Seq: 6)] - [Unit Mix - User Defined Field Values (Seq: 1)] Proforma Income - Is Deed Restricted - Send]&gt;</t>
        </r>
      </text>
    </comment>
    <comment ref="N328" authorId="0" shapeId="0" xr:uid="{87C58DF3-42C6-45E9-B62D-7E6F342F676A}">
      <text>
        <r>
          <rPr>
            <b/>
            <sz val="9"/>
            <color indexed="81"/>
            <rFont val="Tahoma"/>
            <family val="2"/>
          </rPr>
          <t>&lt;[[DEVDeals] - [Deal Property (Seq: 1)] - [Locations (Seq: 1)] - [Unit Mix (Seq: 6)] Square Footage - Send]&gt;</t>
        </r>
      </text>
    </comment>
    <comment ref="AO328" authorId="0" shapeId="0" xr:uid="{C162F70F-E5CD-4B9F-9058-DBF43EA786AF}">
      <text>
        <r>
          <rPr>
            <b/>
            <sz val="9"/>
            <color indexed="81"/>
            <rFont val="Tahoma"/>
            <family val="2"/>
          </rPr>
          <t>&lt;[[DEVDeals] - [Associated TC Deal (Seq: 1)] - [TC Property Current Stage (Seq: 1)] - [Unit Mix (Seq: 6)] TC Unit Mix Type - Send]&gt;</t>
        </r>
      </text>
    </comment>
    <comment ref="AR328" authorId="0" shapeId="0" xr:uid="{E1633CD7-031C-4559-8D6D-98A06A6883DE}">
      <text>
        <r>
          <rPr>
            <b/>
            <sz val="9"/>
            <color indexed="81"/>
            <rFont val="Tahoma"/>
            <family val="2"/>
          </rPr>
          <t>&lt;[[DEVDeals] - [Associated TC Deal (Seq: 1)] - [TC Property Current Stage (Seq: 1)] - [Unit Mix (Seq: 6)] Num Units - Send]&gt;</t>
        </r>
      </text>
    </comment>
    <comment ref="AT328" authorId="0" shapeId="0" xr:uid="{48022A63-2CC9-4EA8-B8A3-952D4C8564A1}">
      <text>
        <r>
          <rPr>
            <b/>
            <sz val="9"/>
            <color indexed="81"/>
            <rFont val="Tahoma"/>
            <family val="2"/>
          </rPr>
          <t>&lt;[[DEVDeals] - [Associated TC Deal (Seq: 1)] - [TC Property Current Stage (Seq: 1)] - [Unit Mix (Seq: 6)] Net Rentable Sq Ft - Send]&gt;</t>
        </r>
      </text>
    </comment>
    <comment ref="BA328" authorId="0" shapeId="0" xr:uid="{BDBDA727-DED3-4044-AB99-22A7F4AABC47}">
      <text>
        <r>
          <rPr>
            <b/>
            <sz val="9"/>
            <color indexed="81"/>
            <rFont val="Tahoma"/>
            <family val="2"/>
          </rPr>
          <t>&lt;[[DEVDeals] - [Associated TC Deal (Seq: 1)] - [TC Property Current Stage (Seq: 1)] - [Unit Mix (Seq: 6)] Monthly Rent Per Unit - Send]&gt;</t>
        </r>
      </text>
    </comment>
    <comment ref="I329" authorId="0" shapeId="0" xr:uid="{CC7A7FA4-AC14-436A-A062-0B269BD0D2A4}">
      <text>
        <r>
          <rPr>
            <b/>
            <sz val="9"/>
            <color indexed="81"/>
            <rFont val="Tahoma"/>
            <family val="2"/>
          </rPr>
          <t>&lt;[[DEVDeals] - [Deal Property (Seq: 1)] - [Locations (Seq: 1)] - [Unit Mix (Seq: 7)] Unit Type - Send]&gt;</t>
        </r>
      </text>
    </comment>
    <comment ref="J329" authorId="0" shapeId="0" xr:uid="{4F97878C-1C15-4846-AAA8-01B21977BBE2}">
      <text>
        <r>
          <rPr>
            <b/>
            <sz val="9"/>
            <color indexed="81"/>
            <rFont val="Tahoma"/>
            <family val="2"/>
          </rPr>
          <t>&lt;[[DEVDeals] - [Deal Property (Seq: 1)] - [Locations (Seq: 1)] - [Unit Mix (Seq: 7)] Unit Mix Ami Percent - Send]&gt;</t>
        </r>
      </text>
    </comment>
    <comment ref="L329" authorId="0" shapeId="0" xr:uid="{E16A7C3E-E774-4D15-816D-DCC546A9C21B}">
      <text>
        <r>
          <rPr>
            <b/>
            <sz val="9"/>
            <color indexed="81"/>
            <rFont val="Tahoma"/>
            <family val="2"/>
          </rPr>
          <t>&lt;[[DEVDeals] - [Deal Property (Seq: 1)] - [Locations (Seq: 1)] - [Unit Mix (Seq: 7)] Num Units - Send]&gt;</t>
        </r>
      </text>
    </comment>
    <comment ref="M329" authorId="0" shapeId="0" xr:uid="{819A4A6C-0C92-4056-AB56-9EF7BD51D7B5}">
      <text>
        <r>
          <rPr>
            <b/>
            <sz val="9"/>
            <color indexed="81"/>
            <rFont val="Tahoma"/>
            <family val="2"/>
          </rPr>
          <t>&lt;[[DEVDeals] - [Deal Property (Seq: 1)] - [Locations (Seq: 1)] - [Unit Mix (Seq: 7)] - [Unit Mix - User Defined Field Values (Seq: 1)] Proforma Income - Is Deed Restricted - Send]&gt;</t>
        </r>
      </text>
    </comment>
    <comment ref="N329" authorId="0" shapeId="0" xr:uid="{CB7A2D59-0565-4CCE-9A50-8B3FAE810E2C}">
      <text>
        <r>
          <rPr>
            <b/>
            <sz val="9"/>
            <color indexed="81"/>
            <rFont val="Tahoma"/>
            <family val="2"/>
          </rPr>
          <t>&lt;[[DEVDeals] - [Deal Property (Seq: 1)] - [Locations (Seq: 1)] - [Unit Mix (Seq: 7)] Square Footage - Send]&gt;</t>
        </r>
      </text>
    </comment>
    <comment ref="AO329" authorId="0" shapeId="0" xr:uid="{A415F5CE-8FEC-4737-AB88-92C602EE8CA8}">
      <text>
        <r>
          <rPr>
            <b/>
            <sz val="9"/>
            <color indexed="81"/>
            <rFont val="Tahoma"/>
            <family val="2"/>
          </rPr>
          <t>&lt;[[DEVDeals] - [Associated TC Deal (Seq: 1)] - [TC Property Current Stage (Seq: 1)] - [Unit Mix (Seq: 7)] TC Unit Mix Type - Send]&gt;</t>
        </r>
      </text>
    </comment>
    <comment ref="AR329" authorId="0" shapeId="0" xr:uid="{43FEC846-63C0-47EA-8883-3F0FCF469707}">
      <text>
        <r>
          <rPr>
            <b/>
            <sz val="9"/>
            <color indexed="81"/>
            <rFont val="Tahoma"/>
            <family val="2"/>
          </rPr>
          <t>&lt;[[DEVDeals] - [Associated TC Deal (Seq: 1)] - [TC Property Current Stage (Seq: 1)] - [Unit Mix (Seq: 7)] Num Units - Send]&gt;</t>
        </r>
      </text>
    </comment>
    <comment ref="AT329" authorId="0" shapeId="0" xr:uid="{4AC927AC-473F-48C8-BCFE-839015465B52}">
      <text>
        <r>
          <rPr>
            <b/>
            <sz val="9"/>
            <color indexed="81"/>
            <rFont val="Tahoma"/>
            <family val="2"/>
          </rPr>
          <t>&lt;[[DEVDeals] - [Associated TC Deal (Seq: 1)] - [TC Property Current Stage (Seq: 1)] - [Unit Mix (Seq: 7)] Net Rentable Sq Ft - Send]&gt;</t>
        </r>
      </text>
    </comment>
    <comment ref="BA329" authorId="0" shapeId="0" xr:uid="{08567F8E-8425-4EE6-A075-BE4BD2D6F49D}">
      <text>
        <r>
          <rPr>
            <b/>
            <sz val="9"/>
            <color indexed="81"/>
            <rFont val="Tahoma"/>
            <family val="2"/>
          </rPr>
          <t>&lt;[[DEVDeals] - [Associated TC Deal (Seq: 1)] - [TC Property Current Stage (Seq: 1)] - [Unit Mix (Seq: 7)] Monthly Rent Per Unit - Send]&gt;</t>
        </r>
      </text>
    </comment>
    <comment ref="I330" authorId="0" shapeId="0" xr:uid="{93D6C8F0-A1DB-44DA-9D7D-07273AF95B55}">
      <text>
        <r>
          <rPr>
            <b/>
            <sz val="9"/>
            <color indexed="81"/>
            <rFont val="Tahoma"/>
            <family val="2"/>
          </rPr>
          <t>&lt;[[DEVDeals] - [Deal Property (Seq: 1)] - [Locations (Seq: 1)] - [Unit Mix (Seq: 8)] Unit Type - Send]&gt;</t>
        </r>
      </text>
    </comment>
    <comment ref="J330" authorId="0" shapeId="0" xr:uid="{94795CE1-F10F-4542-A02D-4DD3D882F5FF}">
      <text>
        <r>
          <rPr>
            <b/>
            <sz val="9"/>
            <color indexed="81"/>
            <rFont val="Tahoma"/>
            <family val="2"/>
          </rPr>
          <t>&lt;[[DEVDeals] - [Deal Property (Seq: 1)] - [Locations (Seq: 1)] - [Unit Mix (Seq: 8)] Unit Mix Ami Percent - Send]&gt;</t>
        </r>
      </text>
    </comment>
    <comment ref="L330" authorId="0" shapeId="0" xr:uid="{0297E9B6-5B2A-4F42-99D9-FBC566D8AE13}">
      <text>
        <r>
          <rPr>
            <b/>
            <sz val="9"/>
            <color indexed="81"/>
            <rFont val="Tahoma"/>
            <family val="2"/>
          </rPr>
          <t>&lt;[[DEVDeals] - [Deal Property (Seq: 1)] - [Locations (Seq: 1)] - [Unit Mix (Seq: 8)] Num Units - Send]&gt;</t>
        </r>
      </text>
    </comment>
    <comment ref="M330" authorId="0" shapeId="0" xr:uid="{3B1643D9-5301-491A-9CB3-4DB9D34C914A}">
      <text>
        <r>
          <rPr>
            <b/>
            <sz val="9"/>
            <color indexed="81"/>
            <rFont val="Tahoma"/>
            <family val="2"/>
          </rPr>
          <t>&lt;[[DEVDeals] - [Deal Property (Seq: 1)] - [Locations (Seq: 1)] - [Unit Mix (Seq: 8)] - [Unit Mix - User Defined Field Values (Seq: 1)] Proforma Income - Is Deed Restricted - Send]&gt;</t>
        </r>
      </text>
    </comment>
    <comment ref="N330" authorId="0" shapeId="0" xr:uid="{7BD8A5A9-407C-4A15-988D-2A7ACBD90EC8}">
      <text>
        <r>
          <rPr>
            <b/>
            <sz val="9"/>
            <color indexed="81"/>
            <rFont val="Tahoma"/>
            <family val="2"/>
          </rPr>
          <t>&lt;[[DEVDeals] - [Deal Property (Seq: 1)] - [Locations (Seq: 1)] - [Unit Mix (Seq: 8)] Square Footage - Send]&gt;</t>
        </r>
      </text>
    </comment>
    <comment ref="AO330" authorId="0" shapeId="0" xr:uid="{EE279006-D689-4708-B47C-99EE7789E33F}">
      <text>
        <r>
          <rPr>
            <b/>
            <sz val="9"/>
            <color indexed="81"/>
            <rFont val="Tahoma"/>
            <family val="2"/>
          </rPr>
          <t>&lt;[[DEVDeals] - [Associated TC Deal (Seq: 1)] - [TC Property Current Stage (Seq: 1)] - [Unit Mix (Seq: 8)] TC Unit Mix Type - Send]&gt;</t>
        </r>
      </text>
    </comment>
    <comment ref="AR330" authorId="0" shapeId="0" xr:uid="{AB94A9E6-0CD7-46C7-8E91-3B48EFFA4365}">
      <text>
        <r>
          <rPr>
            <b/>
            <sz val="9"/>
            <color indexed="81"/>
            <rFont val="Tahoma"/>
            <family val="2"/>
          </rPr>
          <t>&lt;[[DEVDeals] - [Associated TC Deal (Seq: 1)] - [TC Property Current Stage (Seq: 1)] - [Unit Mix (Seq: 8)] Num Units - Send]&gt;</t>
        </r>
      </text>
    </comment>
    <comment ref="AT330" authorId="0" shapeId="0" xr:uid="{940C0AB4-AE78-4316-8368-B3DFCE214312}">
      <text>
        <r>
          <rPr>
            <b/>
            <sz val="9"/>
            <color indexed="81"/>
            <rFont val="Tahoma"/>
            <family val="2"/>
          </rPr>
          <t>&lt;[[DEVDeals] - [Associated TC Deal (Seq: 1)] - [TC Property Current Stage (Seq: 1)] - [Unit Mix (Seq: 8)] Net Rentable Sq Ft - Send]&gt;</t>
        </r>
      </text>
    </comment>
    <comment ref="BA330" authorId="0" shapeId="0" xr:uid="{DA9000F0-2B8C-41DB-ACBF-A21C381074CF}">
      <text>
        <r>
          <rPr>
            <b/>
            <sz val="9"/>
            <color indexed="81"/>
            <rFont val="Tahoma"/>
            <family val="2"/>
          </rPr>
          <t>&lt;[[DEVDeals] - [Associated TC Deal (Seq: 1)] - [TC Property Current Stage (Seq: 1)] - [Unit Mix (Seq: 8)] Monthly Rent Per Unit - Send]&gt;</t>
        </r>
      </text>
    </comment>
    <comment ref="I331" authorId="0" shapeId="0" xr:uid="{34F56A03-48C8-4EFA-B27D-597B2915DA0F}">
      <text>
        <r>
          <rPr>
            <b/>
            <sz val="9"/>
            <color indexed="81"/>
            <rFont val="Tahoma"/>
            <family val="2"/>
          </rPr>
          <t>&lt;[[DEVDeals] - [Deal Property (Seq: 1)] - [Locations (Seq: 1)] - [Unit Mix (Seq: 9)] Unit Type - Send]&gt;</t>
        </r>
      </text>
    </comment>
    <comment ref="J331" authorId="0" shapeId="0" xr:uid="{D84AF845-B767-46B7-8577-1A601B556F08}">
      <text>
        <r>
          <rPr>
            <b/>
            <sz val="9"/>
            <color indexed="81"/>
            <rFont val="Tahoma"/>
            <family val="2"/>
          </rPr>
          <t>&lt;[[DEVDeals] - [Deal Property (Seq: 1)] - [Locations (Seq: 1)] - [Unit Mix (Seq: 9)] Unit Mix Ami Percent - Send]&gt;</t>
        </r>
      </text>
    </comment>
    <comment ref="L331" authorId="0" shapeId="0" xr:uid="{6C00315A-AA21-4D93-83FF-0AA00ABCB532}">
      <text>
        <r>
          <rPr>
            <b/>
            <sz val="9"/>
            <color indexed="81"/>
            <rFont val="Tahoma"/>
            <family val="2"/>
          </rPr>
          <t>&lt;[[DEVDeals] - [Deal Property (Seq: 1)] - [Locations (Seq: 1)] - [Unit Mix (Seq: 9)] Num Units - Send]&gt;</t>
        </r>
      </text>
    </comment>
    <comment ref="M331" authorId="0" shapeId="0" xr:uid="{639ED6C4-3B36-4C13-9CC5-27315500503A}">
      <text>
        <r>
          <rPr>
            <b/>
            <sz val="9"/>
            <color indexed="81"/>
            <rFont val="Tahoma"/>
            <family val="2"/>
          </rPr>
          <t>&lt;[[DEVDeals] - [Deal Property (Seq: 1)] - [Locations (Seq: 1)] - [Unit Mix (Seq: 9)] - [Unit Mix - User Defined Field Values (Seq: 1)] Proforma Income - Is Deed Restricted - Send]&gt;</t>
        </r>
      </text>
    </comment>
    <comment ref="N331" authorId="0" shapeId="0" xr:uid="{740AD33C-4E61-4781-9593-F248ABD63DED}">
      <text>
        <r>
          <rPr>
            <b/>
            <sz val="9"/>
            <color indexed="81"/>
            <rFont val="Tahoma"/>
            <family val="2"/>
          </rPr>
          <t>&lt;[[DEVDeals] - [Deal Property (Seq: 1)] - [Locations (Seq: 1)] - [Unit Mix (Seq: 9)] Square Footage - Send]&gt;</t>
        </r>
      </text>
    </comment>
    <comment ref="AO331" authorId="0" shapeId="0" xr:uid="{64785044-2F81-4C48-9A82-4BBB2245BA1B}">
      <text>
        <r>
          <rPr>
            <b/>
            <sz val="9"/>
            <color indexed="81"/>
            <rFont val="Tahoma"/>
            <family val="2"/>
          </rPr>
          <t>&lt;[[DEVDeals] - [Associated TC Deal (Seq: 1)] - [TC Property Current Stage (Seq: 1)] - [Unit Mix (Seq: 9)] TC Unit Mix Type - Send]&gt;</t>
        </r>
      </text>
    </comment>
    <comment ref="AR331" authorId="0" shapeId="0" xr:uid="{305CAC4E-CA22-4364-9BD1-09163A48E17F}">
      <text>
        <r>
          <rPr>
            <b/>
            <sz val="9"/>
            <color indexed="81"/>
            <rFont val="Tahoma"/>
            <family val="2"/>
          </rPr>
          <t>&lt;[[DEVDeals] - [Associated TC Deal (Seq: 1)] - [TC Property Current Stage (Seq: 1)] - [Unit Mix (Seq: 9)] Num Units - Send]&gt;</t>
        </r>
      </text>
    </comment>
    <comment ref="AT331" authorId="0" shapeId="0" xr:uid="{5885EAD4-ECFF-4587-B6EE-3B9BBF7BA8F8}">
      <text>
        <r>
          <rPr>
            <b/>
            <sz val="9"/>
            <color indexed="81"/>
            <rFont val="Tahoma"/>
            <family val="2"/>
          </rPr>
          <t>&lt;[[DEVDeals] - [Associated TC Deal (Seq: 1)] - [TC Property Current Stage (Seq: 1)] - [Unit Mix (Seq: 9)] Net Rentable Sq Ft - Send]&gt;</t>
        </r>
      </text>
    </comment>
    <comment ref="BA331" authorId="0" shapeId="0" xr:uid="{4378D4B6-66B3-4E9D-A7C0-80CD3B52E6ED}">
      <text>
        <r>
          <rPr>
            <b/>
            <sz val="9"/>
            <color indexed="81"/>
            <rFont val="Tahoma"/>
            <family val="2"/>
          </rPr>
          <t>&lt;[[DEVDeals] - [Associated TC Deal (Seq: 1)] - [TC Property Current Stage (Seq: 1)] - [Unit Mix (Seq: 9)] Monthly Rent Per Unit - Send]&gt;</t>
        </r>
      </text>
    </comment>
    <comment ref="I332" authorId="0" shapeId="0" xr:uid="{913BB62E-38EE-4451-9D91-DCC61AD2BE1D}">
      <text>
        <r>
          <rPr>
            <b/>
            <sz val="9"/>
            <color indexed="81"/>
            <rFont val="Tahoma"/>
            <family val="2"/>
          </rPr>
          <t>&lt;[[DEVDeals] - [Deal Property (Seq: 1)] - [Locations (Seq: 1)] - [Unit Mix (Seq: 10)] Unit Type - Send]&gt;</t>
        </r>
      </text>
    </comment>
    <comment ref="J332" authorId="0" shapeId="0" xr:uid="{F0418D62-F806-430D-A879-C6ED3FA66486}">
      <text>
        <r>
          <rPr>
            <b/>
            <sz val="9"/>
            <color indexed="81"/>
            <rFont val="Tahoma"/>
            <family val="2"/>
          </rPr>
          <t>&lt;[[DEVDeals] - [Deal Property (Seq: 1)] - [Locations (Seq: 1)] - [Unit Mix (Seq: 10)] Unit Mix Ami Percent - Send]&gt;</t>
        </r>
      </text>
    </comment>
    <comment ref="L332" authorId="0" shapeId="0" xr:uid="{67AF465E-98CF-4AC2-9FC6-B816D2EEC48F}">
      <text>
        <r>
          <rPr>
            <b/>
            <sz val="9"/>
            <color indexed="81"/>
            <rFont val="Tahoma"/>
            <family val="2"/>
          </rPr>
          <t>&lt;[[DEVDeals] - [Deal Property (Seq: 1)] - [Locations (Seq: 1)] - [Unit Mix (Seq: 10)] Num Units - Send]&gt;</t>
        </r>
      </text>
    </comment>
    <comment ref="M332" authorId="0" shapeId="0" xr:uid="{C2E8DCA7-25A0-4250-8837-486EA4EB2BC5}">
      <text>
        <r>
          <rPr>
            <b/>
            <sz val="9"/>
            <color indexed="81"/>
            <rFont val="Tahoma"/>
            <family val="2"/>
          </rPr>
          <t>&lt;[[DEVDeals] - [Deal Property (Seq: 1)] - [Locations (Seq: 1)] - [Unit Mix (Seq: 10)] - [Unit Mix - User Defined Field Values (Seq: 1)] Proforma Income - Is Deed Restricted - Send]&gt;</t>
        </r>
      </text>
    </comment>
    <comment ref="N332" authorId="0" shapeId="0" xr:uid="{03C92A35-1F08-4DF4-BD79-A71169F06DB8}">
      <text>
        <r>
          <rPr>
            <b/>
            <sz val="9"/>
            <color indexed="81"/>
            <rFont val="Tahoma"/>
            <family val="2"/>
          </rPr>
          <t>&lt;[[DEVDeals] - [Deal Property (Seq: 1)] - [Locations (Seq: 1)] - [Unit Mix (Seq: 10)] Square Footage - Send]&gt;</t>
        </r>
      </text>
    </comment>
    <comment ref="AO332" authorId="0" shapeId="0" xr:uid="{B4ABD747-DCBA-411D-BD45-698809716A6B}">
      <text>
        <r>
          <rPr>
            <b/>
            <sz val="9"/>
            <color indexed="81"/>
            <rFont val="Tahoma"/>
            <family val="2"/>
          </rPr>
          <t>&lt;[[DEVDeals] - [Associated TC Deal (Seq: 1)] - [TC Property Current Stage (Seq: 1)] - [Unit Mix (Seq: 10)] TC Unit Mix Type - Send]&gt;</t>
        </r>
      </text>
    </comment>
    <comment ref="AR332" authorId="0" shapeId="0" xr:uid="{25EEC711-5654-4F30-AD4C-F1E5BF6BB519}">
      <text>
        <r>
          <rPr>
            <b/>
            <sz val="9"/>
            <color indexed="81"/>
            <rFont val="Tahoma"/>
            <family val="2"/>
          </rPr>
          <t>&lt;[[DEVDeals] - [Associated TC Deal (Seq: 1)] - [TC Property Current Stage (Seq: 1)] - [Unit Mix (Seq: 10)] Num Units - Send]&gt;</t>
        </r>
      </text>
    </comment>
    <comment ref="AT332" authorId="0" shapeId="0" xr:uid="{E20DEA59-A604-49AB-8D36-8F81F5AC477F}">
      <text>
        <r>
          <rPr>
            <b/>
            <sz val="9"/>
            <color indexed="81"/>
            <rFont val="Tahoma"/>
            <family val="2"/>
          </rPr>
          <t>&lt;[[DEVDeals] - [Associated TC Deal (Seq: 1)] - [TC Property Current Stage (Seq: 1)] - [Unit Mix (Seq: 10)] Net Rentable Sq Ft - Send]&gt;</t>
        </r>
      </text>
    </comment>
    <comment ref="BA332" authorId="0" shapeId="0" xr:uid="{D7141D26-6072-4305-80CF-0D32E2B7F914}">
      <text>
        <r>
          <rPr>
            <b/>
            <sz val="9"/>
            <color indexed="81"/>
            <rFont val="Tahoma"/>
            <family val="2"/>
          </rPr>
          <t>&lt;[[DEVDeals] - [Associated TC Deal (Seq: 1)] - [TC Property Current Stage (Seq: 1)] - [Unit Mix (Seq: 10)] Monthly Rent Per Unit - Send]&gt;</t>
        </r>
      </text>
    </comment>
    <comment ref="I333" authorId="0" shapeId="0" xr:uid="{38972BE2-9967-4D7E-98CA-8EF9FEB678EE}">
      <text>
        <r>
          <rPr>
            <b/>
            <sz val="9"/>
            <color indexed="81"/>
            <rFont val="Tahoma"/>
            <family val="2"/>
          </rPr>
          <t>&lt;[[DEVDeals] - [Deal Property (Seq: 1)] - [Locations (Seq: 1)] - [Unit Mix (Seq: 11)] Unit Type - Send]&gt;</t>
        </r>
      </text>
    </comment>
    <comment ref="J333" authorId="0" shapeId="0" xr:uid="{8EFC0052-5265-4696-86B0-410EB9FCF79C}">
      <text>
        <r>
          <rPr>
            <b/>
            <sz val="9"/>
            <color indexed="81"/>
            <rFont val="Tahoma"/>
            <family val="2"/>
          </rPr>
          <t>&lt;[[DEVDeals] - [Deal Property (Seq: 1)] - [Locations (Seq: 1)] - [Unit Mix (Seq: 11)] Unit Mix Ami Percent - Send]&gt;</t>
        </r>
      </text>
    </comment>
    <comment ref="L333" authorId="0" shapeId="0" xr:uid="{37D546F9-F111-42B6-A964-E5483583FAA3}">
      <text>
        <r>
          <rPr>
            <b/>
            <sz val="9"/>
            <color indexed="81"/>
            <rFont val="Tahoma"/>
            <family val="2"/>
          </rPr>
          <t>&lt;[[DEVDeals] - [Deal Property (Seq: 1)] - [Locations (Seq: 1)] - [Unit Mix (Seq: 11)] Num Units - Send]&gt;</t>
        </r>
      </text>
    </comment>
    <comment ref="M333" authorId="0" shapeId="0" xr:uid="{B8CBA0D0-0D15-4EEE-A4DB-256B0A355DCC}">
      <text>
        <r>
          <rPr>
            <b/>
            <sz val="9"/>
            <color indexed="81"/>
            <rFont val="Tahoma"/>
            <family val="2"/>
          </rPr>
          <t>&lt;[[DEVDeals] - [Deal Property (Seq: 1)] - [Locations (Seq: 1)] - [Unit Mix (Seq: 11)] - [Unit Mix - User Defined Field Values (Seq: 1)] Proforma Income - Is Deed Restricted - Send]&gt;</t>
        </r>
      </text>
    </comment>
    <comment ref="N333" authorId="0" shapeId="0" xr:uid="{C9547CD5-6ECC-42EC-935E-257D3E231CD3}">
      <text>
        <r>
          <rPr>
            <b/>
            <sz val="9"/>
            <color indexed="81"/>
            <rFont val="Tahoma"/>
            <family val="2"/>
          </rPr>
          <t>&lt;[[DEVDeals] - [Deal Property (Seq: 1)] - [Locations (Seq: 1)] - [Unit Mix (Seq: 11)] Square Footage - Send]&gt;</t>
        </r>
      </text>
    </comment>
    <comment ref="AO333" authorId="0" shapeId="0" xr:uid="{80836B35-4A2D-4CF7-937D-915B92244D30}">
      <text>
        <r>
          <rPr>
            <b/>
            <sz val="9"/>
            <color indexed="81"/>
            <rFont val="Tahoma"/>
            <family val="2"/>
          </rPr>
          <t>&lt;[[DEVDeals] - [Associated TC Deal (Seq: 1)] - [TC Property Current Stage (Seq: 1)] - [Unit Mix (Seq: 11)] TC Unit Mix Type - Send]&gt;</t>
        </r>
      </text>
    </comment>
    <comment ref="AR333" authorId="0" shapeId="0" xr:uid="{8DAC9DF0-7D73-4E2E-A8F5-E034E6442B72}">
      <text>
        <r>
          <rPr>
            <b/>
            <sz val="9"/>
            <color indexed="81"/>
            <rFont val="Tahoma"/>
            <family val="2"/>
          </rPr>
          <t>&lt;[[DEVDeals] - [Associated TC Deal (Seq: 1)] - [TC Property Current Stage (Seq: 1)] - [Unit Mix (Seq: 11)] Num Units - Send]&gt;</t>
        </r>
      </text>
    </comment>
    <comment ref="AT333" authorId="0" shapeId="0" xr:uid="{78BD1DB5-B779-4929-B1C8-D624EE749721}">
      <text>
        <r>
          <rPr>
            <b/>
            <sz val="9"/>
            <color indexed="81"/>
            <rFont val="Tahoma"/>
            <family val="2"/>
          </rPr>
          <t>&lt;[[DEVDeals] - [Associated TC Deal (Seq: 1)] - [TC Property Current Stage (Seq: 1)] - [Unit Mix (Seq: 11)] Net Rentable Sq Ft - Send]&gt;</t>
        </r>
      </text>
    </comment>
    <comment ref="BA333" authorId="0" shapeId="0" xr:uid="{249E7645-05A9-4653-924A-05F3F77994DD}">
      <text>
        <r>
          <rPr>
            <b/>
            <sz val="9"/>
            <color indexed="81"/>
            <rFont val="Tahoma"/>
            <family val="2"/>
          </rPr>
          <t>&lt;[[DEVDeals] - [Associated TC Deal (Seq: 1)] - [TC Property Current Stage (Seq: 1)] - [Unit Mix (Seq: 11)] Monthly Rent Per Unit - Send]&gt;</t>
        </r>
      </text>
    </comment>
    <comment ref="I334" authorId="0" shapeId="0" xr:uid="{3B3D33BD-C72C-4092-A1B9-2DB22A58CE03}">
      <text>
        <r>
          <rPr>
            <b/>
            <sz val="9"/>
            <color indexed="81"/>
            <rFont val="Tahoma"/>
            <family val="2"/>
          </rPr>
          <t>&lt;[[DEVDeals] - [Deal Property (Seq: 1)] - [Locations (Seq: 1)] - [Unit Mix (Seq: 12)] Unit Type - Send]&gt;</t>
        </r>
      </text>
    </comment>
    <comment ref="J334" authorId="0" shapeId="0" xr:uid="{06986A19-006A-42EC-B129-A3DBE72ECA38}">
      <text>
        <r>
          <rPr>
            <b/>
            <sz val="9"/>
            <color indexed="81"/>
            <rFont val="Tahoma"/>
            <family val="2"/>
          </rPr>
          <t>&lt;[[DEVDeals] - [Deal Property (Seq: 1)] - [Locations (Seq: 1)] - [Unit Mix (Seq: 12)] Unit Mix Ami Percent - Send]&gt;</t>
        </r>
      </text>
    </comment>
    <comment ref="L334" authorId="0" shapeId="0" xr:uid="{11AB3AFA-E90B-4756-BE6C-0AA1F1D1B326}">
      <text>
        <r>
          <rPr>
            <b/>
            <sz val="9"/>
            <color indexed="81"/>
            <rFont val="Tahoma"/>
            <family val="2"/>
          </rPr>
          <t>&lt;[[DEVDeals] - [Deal Property (Seq: 1)] - [Locations (Seq: 1)] - [Unit Mix (Seq: 12)] Num Units - Send]&gt;</t>
        </r>
      </text>
    </comment>
    <comment ref="M334" authorId="0" shapeId="0" xr:uid="{C420846A-671C-4E7E-B1DE-CF57DC88DEE1}">
      <text>
        <r>
          <rPr>
            <b/>
            <sz val="9"/>
            <color indexed="81"/>
            <rFont val="Tahoma"/>
            <family val="2"/>
          </rPr>
          <t>&lt;[[DEVDeals] - [Deal Property (Seq: 1)] - [Locations (Seq: 1)] - [Unit Mix (Seq: 12)] - [Unit Mix - User Defined Field Values (Seq: 1)] Proforma Income - Is Deed Restricted - Send]&gt;</t>
        </r>
      </text>
    </comment>
    <comment ref="N334" authorId="0" shapeId="0" xr:uid="{C4FEAB69-C588-4ED8-AE0D-1A51F12F2053}">
      <text>
        <r>
          <rPr>
            <b/>
            <sz val="9"/>
            <color indexed="81"/>
            <rFont val="Tahoma"/>
            <family val="2"/>
          </rPr>
          <t>&lt;[[DEVDeals] - [Deal Property (Seq: 1)] - [Locations (Seq: 1)] - [Unit Mix (Seq: 12)] Square Footage - Send]&gt;</t>
        </r>
      </text>
    </comment>
    <comment ref="AO334" authorId="0" shapeId="0" xr:uid="{8701E455-B14D-4A9E-897B-EF3A85F1FE3C}">
      <text>
        <r>
          <rPr>
            <b/>
            <sz val="9"/>
            <color indexed="81"/>
            <rFont val="Tahoma"/>
            <family val="2"/>
          </rPr>
          <t>&lt;[[DEVDeals] - [Associated TC Deal (Seq: 1)] - [TC Property Current Stage (Seq: 1)] - [Unit Mix (Seq: 12)] TC Unit Mix Type - Send]&gt;</t>
        </r>
      </text>
    </comment>
    <comment ref="AR334" authorId="0" shapeId="0" xr:uid="{BCE764ED-6313-4621-8DA1-E67BB5964B9E}">
      <text>
        <r>
          <rPr>
            <b/>
            <sz val="9"/>
            <color indexed="81"/>
            <rFont val="Tahoma"/>
            <family val="2"/>
          </rPr>
          <t>&lt;[[DEVDeals] - [Associated TC Deal (Seq: 1)] - [TC Property Current Stage (Seq: 1)] - [Unit Mix (Seq: 12)] Num Units - Send]&gt;</t>
        </r>
      </text>
    </comment>
    <comment ref="AT334" authorId="0" shapeId="0" xr:uid="{436CFE9C-7E10-47BB-BD3C-715DDCDD79ED}">
      <text>
        <r>
          <rPr>
            <b/>
            <sz val="9"/>
            <color indexed="81"/>
            <rFont val="Tahoma"/>
            <family val="2"/>
          </rPr>
          <t>&lt;[[DEVDeals] - [Associated TC Deal (Seq: 1)] - [TC Property Current Stage (Seq: 1)] - [Unit Mix (Seq: 12)] Net Rentable Sq Ft - Send]&gt;</t>
        </r>
      </text>
    </comment>
    <comment ref="BA334" authorId="0" shapeId="0" xr:uid="{BB537F96-D025-44F6-A75C-9FB964C1A12C}">
      <text>
        <r>
          <rPr>
            <b/>
            <sz val="9"/>
            <color indexed="81"/>
            <rFont val="Tahoma"/>
            <family val="2"/>
          </rPr>
          <t>&lt;[[DEVDeals] - [Associated TC Deal (Seq: 1)] - [TC Property Current Stage (Seq: 1)] - [Unit Mix (Seq: 12)] Monthly Rent Per Unit - Send]&gt;</t>
        </r>
      </text>
    </comment>
    <comment ref="I335" authorId="0" shapeId="0" xr:uid="{1B623474-4C93-488E-93DA-146FF2CC3A95}">
      <text>
        <r>
          <rPr>
            <b/>
            <sz val="9"/>
            <color indexed="81"/>
            <rFont val="Tahoma"/>
            <family val="2"/>
          </rPr>
          <t>&lt;[[DEVDeals] - [Deal Property (Seq: 1)] - [Locations (Seq: 1)] - [Unit Mix (Seq: 13)] Unit Type - Send]&gt;</t>
        </r>
      </text>
    </comment>
    <comment ref="J335" authorId="0" shapeId="0" xr:uid="{4ADA4505-103C-4757-810B-9AF0F7AE60CE}">
      <text>
        <r>
          <rPr>
            <b/>
            <sz val="9"/>
            <color indexed="81"/>
            <rFont val="Tahoma"/>
            <family val="2"/>
          </rPr>
          <t>&lt;[[DEVDeals] - [Deal Property (Seq: 1)] - [Locations (Seq: 1)] - [Unit Mix (Seq: 13)] Unit Mix Ami Percent - Send]&gt;</t>
        </r>
      </text>
    </comment>
    <comment ref="L335" authorId="0" shapeId="0" xr:uid="{6DB95809-2407-4DC5-A312-A1C7A5A8A903}">
      <text>
        <r>
          <rPr>
            <b/>
            <sz val="9"/>
            <color indexed="81"/>
            <rFont val="Tahoma"/>
            <family val="2"/>
          </rPr>
          <t>&lt;[[DEVDeals] - [Deal Property (Seq: 1)] - [Locations (Seq: 1)] - [Unit Mix (Seq: 13)] Num Units - Send]&gt;</t>
        </r>
      </text>
    </comment>
    <comment ref="M335" authorId="0" shapeId="0" xr:uid="{82DA49BA-048D-48EC-93E8-BA1026D04FDA}">
      <text>
        <r>
          <rPr>
            <b/>
            <sz val="9"/>
            <color indexed="81"/>
            <rFont val="Tahoma"/>
            <family val="2"/>
          </rPr>
          <t>&lt;[[DEVDeals] - [Deal Property (Seq: 1)] - [Locations (Seq: 1)] - [Unit Mix (Seq: 13)] - [Unit Mix - User Defined Field Values (Seq: 1)] Proforma Income - Is Deed Restricted - Send]&gt;</t>
        </r>
      </text>
    </comment>
    <comment ref="N335" authorId="0" shapeId="0" xr:uid="{9F209F34-5ECF-4BE9-9E36-ED1E7E35D7F3}">
      <text>
        <r>
          <rPr>
            <b/>
            <sz val="9"/>
            <color indexed="81"/>
            <rFont val="Tahoma"/>
            <family val="2"/>
          </rPr>
          <t>&lt;[[DEVDeals] - [Deal Property (Seq: 1)] - [Locations (Seq: 1)] - [Unit Mix (Seq: 13)] Square Footage - Send]&gt;</t>
        </r>
      </text>
    </comment>
    <comment ref="AO335" authorId="0" shapeId="0" xr:uid="{ED524016-1557-49DA-9FA6-E5D8FEB834F9}">
      <text>
        <r>
          <rPr>
            <b/>
            <sz val="9"/>
            <color indexed="81"/>
            <rFont val="Tahoma"/>
            <family val="2"/>
          </rPr>
          <t>&lt;[[DEVDeals] - [Associated TC Deal (Seq: 1)] - [TC Property Current Stage (Seq: 1)] - [Unit Mix (Seq: 13)] TC Unit Mix Type - Send]&gt;</t>
        </r>
      </text>
    </comment>
    <comment ref="AR335" authorId="0" shapeId="0" xr:uid="{286EB707-B55A-42AF-9807-3F120CB6E981}">
      <text>
        <r>
          <rPr>
            <b/>
            <sz val="9"/>
            <color indexed="81"/>
            <rFont val="Tahoma"/>
            <family val="2"/>
          </rPr>
          <t>&lt;[[DEVDeals] - [Associated TC Deal (Seq: 1)] - [TC Property Current Stage (Seq: 1)] - [Unit Mix (Seq: 13)] Num Units - Send]&gt;</t>
        </r>
      </text>
    </comment>
    <comment ref="AT335" authorId="0" shapeId="0" xr:uid="{EAE62B70-F465-4F58-A1B4-00D940AD8098}">
      <text>
        <r>
          <rPr>
            <b/>
            <sz val="9"/>
            <color indexed="81"/>
            <rFont val="Tahoma"/>
            <family val="2"/>
          </rPr>
          <t>&lt;[[DEVDeals] - [Associated TC Deal (Seq: 1)] - [TC Property Current Stage (Seq: 1)] - [Unit Mix (Seq: 13)] Net Rentable Sq Ft - Send]&gt;</t>
        </r>
      </text>
    </comment>
    <comment ref="BA335" authorId="0" shapeId="0" xr:uid="{615503F2-7282-4479-9357-99315636AE54}">
      <text>
        <r>
          <rPr>
            <b/>
            <sz val="9"/>
            <color indexed="81"/>
            <rFont val="Tahoma"/>
            <family val="2"/>
          </rPr>
          <t>&lt;[[DEVDeals] - [Associated TC Deal (Seq: 1)] - [TC Property Current Stage (Seq: 1)] - [Unit Mix (Seq: 13)] Monthly Rent Per Unit - Send]&gt;</t>
        </r>
      </text>
    </comment>
    <comment ref="I336" authorId="0" shapeId="0" xr:uid="{FEF14856-81D2-4840-B56F-DD5573F6BDC8}">
      <text>
        <r>
          <rPr>
            <b/>
            <sz val="9"/>
            <color indexed="81"/>
            <rFont val="Tahoma"/>
            <family val="2"/>
          </rPr>
          <t>&lt;[[DEVDeals] - [Deal Property (Seq: 1)] - [Locations (Seq: 1)] - [Unit Mix (Seq: 14)] Unit Type - Send]&gt;</t>
        </r>
      </text>
    </comment>
    <comment ref="J336" authorId="0" shapeId="0" xr:uid="{7CDC3082-0D08-4789-8C10-8D30632CDF3C}">
      <text>
        <r>
          <rPr>
            <b/>
            <sz val="9"/>
            <color indexed="81"/>
            <rFont val="Tahoma"/>
            <family val="2"/>
          </rPr>
          <t>&lt;[[DEVDeals] - [Deal Property (Seq: 1)] - [Locations (Seq: 1)] - [Unit Mix (Seq: 14)] Unit Mix Ami Percent - Send]&gt;</t>
        </r>
      </text>
    </comment>
    <comment ref="L336" authorId="0" shapeId="0" xr:uid="{0ACDE643-5462-4691-967B-7AB057A19920}">
      <text>
        <r>
          <rPr>
            <b/>
            <sz val="9"/>
            <color indexed="81"/>
            <rFont val="Tahoma"/>
            <family val="2"/>
          </rPr>
          <t>&lt;[[DEVDeals] - [Deal Property (Seq: 1)] - [Locations (Seq: 1)] - [Unit Mix (Seq: 14)] Num Units - Send]&gt;</t>
        </r>
      </text>
    </comment>
    <comment ref="M336" authorId="0" shapeId="0" xr:uid="{952BC52A-E3B2-4BA4-95DE-B2E57ADF957C}">
      <text>
        <r>
          <rPr>
            <b/>
            <sz val="9"/>
            <color indexed="81"/>
            <rFont val="Tahoma"/>
            <family val="2"/>
          </rPr>
          <t>&lt;[[DEVDeals] - [Deal Property (Seq: 1)] - [Locations (Seq: 1)] - [Unit Mix (Seq: 14)] - [Unit Mix - User Defined Field Values (Seq: 1)] Proforma Income - Is Deed Restricted - Send]&gt;</t>
        </r>
      </text>
    </comment>
    <comment ref="N336" authorId="0" shapeId="0" xr:uid="{3145EA0F-4043-4F74-BBBC-DE331097287D}">
      <text>
        <r>
          <rPr>
            <b/>
            <sz val="9"/>
            <color indexed="81"/>
            <rFont val="Tahoma"/>
            <family val="2"/>
          </rPr>
          <t>&lt;[[DEVDeals] - [Deal Property (Seq: 1)] - [Locations (Seq: 1)] - [Unit Mix (Seq: 14)] Square Footage - Send]&gt;</t>
        </r>
      </text>
    </comment>
    <comment ref="AO336" authorId="0" shapeId="0" xr:uid="{7C9FB245-2D47-43E2-9524-931F51A86C92}">
      <text>
        <r>
          <rPr>
            <b/>
            <sz val="9"/>
            <color indexed="81"/>
            <rFont val="Tahoma"/>
            <family val="2"/>
          </rPr>
          <t>&lt;[[DEVDeals] - [Associated TC Deal (Seq: 1)] - [TC Property Current Stage (Seq: 1)] - [Unit Mix (Seq: 14)] TC Unit Mix Type - Send]&gt;</t>
        </r>
      </text>
    </comment>
    <comment ref="AR336" authorId="0" shapeId="0" xr:uid="{4DBFD31B-85D7-44CC-99B0-0BAC746A5305}">
      <text>
        <r>
          <rPr>
            <b/>
            <sz val="9"/>
            <color indexed="81"/>
            <rFont val="Tahoma"/>
            <family val="2"/>
          </rPr>
          <t>&lt;[[DEVDeals] - [Associated TC Deal (Seq: 1)] - [TC Property Current Stage (Seq: 1)] - [Unit Mix (Seq: 14)] Num Units - Send]&gt;</t>
        </r>
      </text>
    </comment>
    <comment ref="AT336" authorId="0" shapeId="0" xr:uid="{22D24F75-5946-4E67-9477-85C3B6DEA0D8}">
      <text>
        <r>
          <rPr>
            <b/>
            <sz val="9"/>
            <color indexed="81"/>
            <rFont val="Tahoma"/>
            <family val="2"/>
          </rPr>
          <t>&lt;[[DEVDeals] - [Associated TC Deal (Seq: 1)] - [TC Property Current Stage (Seq: 1)] - [Unit Mix (Seq: 14)] Net Rentable Sq Ft - Send]&gt;</t>
        </r>
      </text>
    </comment>
    <comment ref="BA336" authorId="0" shapeId="0" xr:uid="{D2BB8FAF-719C-4EF4-97C5-0BEEC8B9D120}">
      <text>
        <r>
          <rPr>
            <b/>
            <sz val="9"/>
            <color indexed="81"/>
            <rFont val="Tahoma"/>
            <family val="2"/>
          </rPr>
          <t>&lt;[[DEVDeals] - [Associated TC Deal (Seq: 1)] - [TC Property Current Stage (Seq: 1)] - [Unit Mix (Seq: 14)] Monthly Rent Per Unit - Send]&gt;</t>
        </r>
      </text>
    </comment>
    <comment ref="I337" authorId="0" shapeId="0" xr:uid="{7BC54B62-2ABE-4FB3-A831-DEA6F6D2882A}">
      <text>
        <r>
          <rPr>
            <b/>
            <sz val="9"/>
            <color indexed="81"/>
            <rFont val="Tahoma"/>
            <family val="2"/>
          </rPr>
          <t>&lt;[[DEVDeals] - [Deal Property (Seq: 1)] - [Locations (Seq: 1)] - [Unit Mix (Seq: 15)] Unit Type - Send]&gt;</t>
        </r>
      </text>
    </comment>
    <comment ref="J337" authorId="0" shapeId="0" xr:uid="{92DE4876-A67A-4312-8D8A-94C48DFE2A3A}">
      <text>
        <r>
          <rPr>
            <b/>
            <sz val="9"/>
            <color indexed="81"/>
            <rFont val="Tahoma"/>
            <family val="2"/>
          </rPr>
          <t>&lt;[[DEVDeals] - [Deal Property (Seq: 1)] - [Locations (Seq: 1)] - [Unit Mix (Seq: 15)] Unit Mix Ami Percent - Send]&gt;</t>
        </r>
      </text>
    </comment>
    <comment ref="L337" authorId="0" shapeId="0" xr:uid="{03FE1EB0-A89E-40B2-B360-E21ADFA0703B}">
      <text>
        <r>
          <rPr>
            <b/>
            <sz val="9"/>
            <color indexed="81"/>
            <rFont val="Tahoma"/>
            <family val="2"/>
          </rPr>
          <t>&lt;[[DEVDeals] - [Deal Property (Seq: 1)] - [Locations (Seq: 1)] - [Unit Mix (Seq: 15)] Num Units - Send]&gt;</t>
        </r>
      </text>
    </comment>
    <comment ref="M337" authorId="0" shapeId="0" xr:uid="{8B3BD27E-1DB3-480A-B1FA-A7CDDDA42D49}">
      <text>
        <r>
          <rPr>
            <b/>
            <sz val="9"/>
            <color indexed="81"/>
            <rFont val="Tahoma"/>
            <family val="2"/>
          </rPr>
          <t>&lt;[[DEVDeals] - [Deal Property (Seq: 1)] - [Locations (Seq: 1)] - [Unit Mix (Seq: 15)] - [Unit Mix - User Defined Field Values (Seq: 1)] Proforma Income - Is Deed Restricted - Send]&gt;</t>
        </r>
      </text>
    </comment>
    <comment ref="N337" authorId="0" shapeId="0" xr:uid="{64280F94-9069-4ADE-9276-E8A734D47EBF}">
      <text>
        <r>
          <rPr>
            <b/>
            <sz val="9"/>
            <color indexed="81"/>
            <rFont val="Tahoma"/>
            <family val="2"/>
          </rPr>
          <t>&lt;[[DEVDeals] - [Deal Property (Seq: 1)] - [Locations (Seq: 1)] - [Unit Mix (Seq: 15)] Square Footage - Send]&gt;</t>
        </r>
      </text>
    </comment>
    <comment ref="AO337" authorId="0" shapeId="0" xr:uid="{A19EC891-3B06-4773-AE8A-D3741A95278E}">
      <text>
        <r>
          <rPr>
            <b/>
            <sz val="9"/>
            <color indexed="81"/>
            <rFont val="Tahoma"/>
            <family val="2"/>
          </rPr>
          <t>&lt;[[DEVDeals] - [Associated TC Deal (Seq: 1)] - [TC Property Current Stage (Seq: 1)] - [Unit Mix (Seq: 15)] TC Unit Mix Type - Send]&gt;</t>
        </r>
      </text>
    </comment>
    <comment ref="AR337" authorId="0" shapeId="0" xr:uid="{8BD25EB2-34D8-4A35-8FDB-CF539A5FE4FA}">
      <text>
        <r>
          <rPr>
            <b/>
            <sz val="9"/>
            <color indexed="81"/>
            <rFont val="Tahoma"/>
            <family val="2"/>
          </rPr>
          <t>&lt;[[DEVDeals] - [Associated TC Deal (Seq: 1)] - [TC Property Current Stage (Seq: 1)] - [Unit Mix (Seq: 15)] Num Units - Send]&gt;</t>
        </r>
      </text>
    </comment>
    <comment ref="AT337" authorId="0" shapeId="0" xr:uid="{BDEB4551-4C54-4AE3-A006-410A65647A46}">
      <text>
        <r>
          <rPr>
            <b/>
            <sz val="9"/>
            <color indexed="81"/>
            <rFont val="Tahoma"/>
            <family val="2"/>
          </rPr>
          <t>&lt;[[DEVDeals] - [Associated TC Deal (Seq: 1)] - [TC Property Current Stage (Seq: 1)] - [Unit Mix (Seq: 15)] Net Rentable Sq Ft - Send]&gt;</t>
        </r>
      </text>
    </comment>
    <comment ref="BA337" authorId="0" shapeId="0" xr:uid="{1F36BC4F-58AE-4382-93D0-5FBF177580C3}">
      <text>
        <r>
          <rPr>
            <b/>
            <sz val="9"/>
            <color indexed="81"/>
            <rFont val="Tahoma"/>
            <family val="2"/>
          </rPr>
          <t>&lt;[[DEVDeals] - [Associated TC Deal (Seq: 1)] - [TC Property Current Stage (Seq: 1)] - [Unit Mix (Seq: 15)] Monthly Rent Per Unit - Send]&gt;</t>
        </r>
      </text>
    </comment>
    <comment ref="I338" authorId="0" shapeId="0" xr:uid="{252E4562-EA3A-4D8E-991F-E845E8E2A912}">
      <text>
        <r>
          <rPr>
            <b/>
            <sz val="9"/>
            <color indexed="81"/>
            <rFont val="Tahoma"/>
            <family val="2"/>
          </rPr>
          <t>&lt;[[DEVDeals] - [Deal Property (Seq: 1)] - [Locations (Seq: 1)] - [Unit Mix (Seq: 16)] Unit Type - Send]&gt;</t>
        </r>
      </text>
    </comment>
    <comment ref="J338" authorId="0" shapeId="0" xr:uid="{65C5AA32-3D02-4A52-A503-91FF8CE6CFAD}">
      <text>
        <r>
          <rPr>
            <b/>
            <sz val="9"/>
            <color indexed="81"/>
            <rFont val="Tahoma"/>
            <family val="2"/>
          </rPr>
          <t>&lt;[[DEVDeals] - [Deal Property (Seq: 1)] - [Locations (Seq: 1)] - [Unit Mix (Seq: 16)] Unit Mix Ami Percent - Send]&gt;</t>
        </r>
      </text>
    </comment>
    <comment ref="L338" authorId="0" shapeId="0" xr:uid="{78CF121A-2F3F-4A60-B0B7-CD2B2AA7FFDC}">
      <text>
        <r>
          <rPr>
            <b/>
            <sz val="9"/>
            <color indexed="81"/>
            <rFont val="Tahoma"/>
            <family val="2"/>
          </rPr>
          <t>&lt;[[DEVDeals] - [Deal Property (Seq: 1)] - [Locations (Seq: 1)] - [Unit Mix (Seq: 16)] Num Units - Send]&gt;</t>
        </r>
      </text>
    </comment>
    <comment ref="M338" authorId="0" shapeId="0" xr:uid="{31363215-5DF6-4C16-A8D3-59BA8A5B53A2}">
      <text>
        <r>
          <rPr>
            <b/>
            <sz val="9"/>
            <color indexed="81"/>
            <rFont val="Tahoma"/>
            <family val="2"/>
          </rPr>
          <t>&lt;[[DEVDeals] - [Deal Property (Seq: 1)] - [Locations (Seq: 1)] - [Unit Mix (Seq: 16)] - [Unit Mix - User Defined Field Values (Seq: 1)] Proforma Income - Is Deed Restricted - Send]&gt;</t>
        </r>
      </text>
    </comment>
    <comment ref="N338" authorId="0" shapeId="0" xr:uid="{54937FEF-EBC4-4BCF-91A9-51DFF8A048DB}">
      <text>
        <r>
          <rPr>
            <b/>
            <sz val="9"/>
            <color indexed="81"/>
            <rFont val="Tahoma"/>
            <family val="2"/>
          </rPr>
          <t>&lt;[[DEVDeals] - [Deal Property (Seq: 1)] - [Locations (Seq: 1)] - [Unit Mix (Seq: 16)] Square Footage - Send]&gt;</t>
        </r>
      </text>
    </comment>
    <comment ref="AO338" authorId="0" shapeId="0" xr:uid="{A493C770-869E-4D70-9798-D8E95199B9E3}">
      <text>
        <r>
          <rPr>
            <b/>
            <sz val="9"/>
            <color indexed="81"/>
            <rFont val="Tahoma"/>
            <family val="2"/>
          </rPr>
          <t>&lt;[[DEVDeals] - [Associated TC Deal (Seq: 1)] - [TC Property Current Stage (Seq: 1)] - [Unit Mix (Seq: 16)] TC Unit Mix Type - Send]&gt;</t>
        </r>
      </text>
    </comment>
    <comment ref="AR338" authorId="0" shapeId="0" xr:uid="{5F6A399A-6636-4B79-88DB-34C609791C47}">
      <text>
        <r>
          <rPr>
            <b/>
            <sz val="9"/>
            <color indexed="81"/>
            <rFont val="Tahoma"/>
            <family val="2"/>
          </rPr>
          <t>&lt;[[DEVDeals] - [Associated TC Deal (Seq: 1)] - [TC Property Current Stage (Seq: 1)] - [Unit Mix (Seq: 16)] Num Units - Send]&gt;</t>
        </r>
      </text>
    </comment>
    <comment ref="AT338" authorId="0" shapeId="0" xr:uid="{43C2BE00-F7E2-4B5D-9370-53EC0AE6A1F6}">
      <text>
        <r>
          <rPr>
            <b/>
            <sz val="9"/>
            <color indexed="81"/>
            <rFont val="Tahoma"/>
            <family val="2"/>
          </rPr>
          <t>&lt;[[DEVDeals] - [Associated TC Deal (Seq: 1)] - [TC Property Current Stage (Seq: 1)] - [Unit Mix (Seq: 16)] Net Rentable Sq Ft - Send]&gt;</t>
        </r>
      </text>
    </comment>
    <comment ref="BA338" authorId="0" shapeId="0" xr:uid="{73DE963D-03AC-4466-9E99-C3B564817385}">
      <text>
        <r>
          <rPr>
            <b/>
            <sz val="9"/>
            <color indexed="81"/>
            <rFont val="Tahoma"/>
            <family val="2"/>
          </rPr>
          <t>&lt;[[DEVDeals] - [Associated TC Deal (Seq: 1)] - [TC Property Current Stage (Seq: 1)] - [Unit Mix (Seq: 16)] Monthly Rent Per Unit - Send]&gt;</t>
        </r>
      </text>
    </comment>
    <comment ref="I339" authorId="0" shapeId="0" xr:uid="{E5E698FE-4FE5-4FD9-800C-26F0E9E32F54}">
      <text>
        <r>
          <rPr>
            <b/>
            <sz val="9"/>
            <color indexed="81"/>
            <rFont val="Tahoma"/>
            <family val="2"/>
          </rPr>
          <t>&lt;[[DEVDeals] - [Deal Property (Seq: 1)] - [Locations (Seq: 1)] - [Unit Mix (Seq: 17)] Unit Type - Send]&gt;</t>
        </r>
      </text>
    </comment>
    <comment ref="J339" authorId="0" shapeId="0" xr:uid="{BA3628FF-821D-42ED-A72E-84133F869EB4}">
      <text>
        <r>
          <rPr>
            <b/>
            <sz val="9"/>
            <color indexed="81"/>
            <rFont val="Tahoma"/>
            <family val="2"/>
          </rPr>
          <t>&lt;[[DEVDeals] - [Deal Property (Seq: 1)] - [Locations (Seq: 1)] - [Unit Mix (Seq: 17)] Unit Mix Ami Percent - Send]&gt;</t>
        </r>
      </text>
    </comment>
    <comment ref="L339" authorId="0" shapeId="0" xr:uid="{A4121608-F2CC-4146-AAEE-E2F0F65DD51C}">
      <text>
        <r>
          <rPr>
            <b/>
            <sz val="9"/>
            <color indexed="81"/>
            <rFont val="Tahoma"/>
            <family val="2"/>
          </rPr>
          <t>&lt;[[DEVDeals] - [Deal Property (Seq: 1)] - [Locations (Seq: 1)] - [Unit Mix (Seq: 17)] Num Units - Send]&gt;</t>
        </r>
      </text>
    </comment>
    <comment ref="M339" authorId="0" shapeId="0" xr:uid="{B610DDB5-78A5-475C-98A3-4E938A2C336E}">
      <text>
        <r>
          <rPr>
            <b/>
            <sz val="9"/>
            <color indexed="81"/>
            <rFont val="Tahoma"/>
            <family val="2"/>
          </rPr>
          <t>&lt;[[DEVDeals] - [Deal Property (Seq: 1)] - [Locations (Seq: 1)] - [Unit Mix (Seq: 17)] - [Unit Mix - User Defined Field Values (Seq: 1)] Proforma Income - Is Deed Restricted - Send]&gt;</t>
        </r>
      </text>
    </comment>
    <comment ref="N339" authorId="0" shapeId="0" xr:uid="{5D2684AE-59A8-4B0D-8CD4-58649EAF0BE3}">
      <text>
        <r>
          <rPr>
            <b/>
            <sz val="9"/>
            <color indexed="81"/>
            <rFont val="Tahoma"/>
            <family val="2"/>
          </rPr>
          <t>&lt;[[DEVDeals] - [Deal Property (Seq: 1)] - [Locations (Seq: 1)] - [Unit Mix (Seq: 17)] Square Footage - Send]&gt;</t>
        </r>
      </text>
    </comment>
    <comment ref="AO339" authorId="0" shapeId="0" xr:uid="{9B4B7BBD-090F-4D30-A5C4-3268D90EC51A}">
      <text>
        <r>
          <rPr>
            <b/>
            <sz val="9"/>
            <color indexed="81"/>
            <rFont val="Tahoma"/>
            <family val="2"/>
          </rPr>
          <t>&lt;[[DEVDeals] - [Associated TC Deal (Seq: 1)] - [TC Property Current Stage (Seq: 1)] - [Unit Mix (Seq: 17)] TC Unit Mix Type - Send]&gt;</t>
        </r>
      </text>
    </comment>
    <comment ref="AR339" authorId="0" shapeId="0" xr:uid="{95457FC3-64AE-45CB-BC38-28595397D69C}">
      <text>
        <r>
          <rPr>
            <b/>
            <sz val="9"/>
            <color indexed="81"/>
            <rFont val="Tahoma"/>
            <family val="2"/>
          </rPr>
          <t>&lt;[[DEVDeals] - [Associated TC Deal (Seq: 1)] - [TC Property Current Stage (Seq: 1)] - [Unit Mix (Seq: 17)] Num Units - Send]&gt;</t>
        </r>
      </text>
    </comment>
    <comment ref="AT339" authorId="0" shapeId="0" xr:uid="{EF739AC1-57C7-426F-ABD1-50272AD46222}">
      <text>
        <r>
          <rPr>
            <b/>
            <sz val="9"/>
            <color indexed="81"/>
            <rFont val="Tahoma"/>
            <family val="2"/>
          </rPr>
          <t>&lt;[[DEVDeals] - [Associated TC Deal (Seq: 1)] - [TC Property Current Stage (Seq: 1)] - [Unit Mix (Seq: 17)] Net Rentable Sq Ft - Send]&gt;</t>
        </r>
      </text>
    </comment>
    <comment ref="BA339" authorId="0" shapeId="0" xr:uid="{6282F780-6923-411F-B8FA-231CB7B1A44F}">
      <text>
        <r>
          <rPr>
            <b/>
            <sz val="9"/>
            <color indexed="81"/>
            <rFont val="Tahoma"/>
            <family val="2"/>
          </rPr>
          <t>&lt;[[DEVDeals] - [Associated TC Deal (Seq: 1)] - [TC Property Current Stage (Seq: 1)] - [Unit Mix (Seq: 17)] Monthly Rent Per Unit - Send]&gt;</t>
        </r>
      </text>
    </comment>
    <comment ref="I340" authorId="0" shapeId="0" xr:uid="{178ED460-817E-425F-966D-83E342FF26AE}">
      <text>
        <r>
          <rPr>
            <b/>
            <sz val="9"/>
            <color indexed="81"/>
            <rFont val="Tahoma"/>
            <family val="2"/>
          </rPr>
          <t>&lt;[[DEVDeals] - [Deal Property (Seq: 1)] - [Locations (Seq: 1)] - [Unit Mix (Seq: 18)] Unit Type - Send]&gt;</t>
        </r>
      </text>
    </comment>
    <comment ref="J340" authorId="0" shapeId="0" xr:uid="{E53F096C-AFC4-4F5C-8467-E48CBE9A878F}">
      <text>
        <r>
          <rPr>
            <b/>
            <sz val="9"/>
            <color indexed="81"/>
            <rFont val="Tahoma"/>
            <family val="2"/>
          </rPr>
          <t>&lt;[[DEVDeals] - [Deal Property (Seq: 1)] - [Locations (Seq: 1)] - [Unit Mix (Seq: 18)] Unit Mix Ami Percent - Send]&gt;</t>
        </r>
      </text>
    </comment>
    <comment ref="L340" authorId="0" shapeId="0" xr:uid="{823846A8-2167-441E-8310-7EF93BA6C6CB}">
      <text>
        <r>
          <rPr>
            <b/>
            <sz val="9"/>
            <color indexed="81"/>
            <rFont val="Tahoma"/>
            <family val="2"/>
          </rPr>
          <t>&lt;[[DEVDeals] - [Deal Property (Seq: 1)] - [Locations (Seq: 1)] - [Unit Mix (Seq: 18)] Num Units - Send]&gt;</t>
        </r>
      </text>
    </comment>
    <comment ref="M340" authorId="0" shapeId="0" xr:uid="{6773DA94-A402-4C5C-90BF-7074FE69D2B7}">
      <text>
        <r>
          <rPr>
            <b/>
            <sz val="9"/>
            <color indexed="81"/>
            <rFont val="Tahoma"/>
            <family val="2"/>
          </rPr>
          <t>&lt;[[DEVDeals] - [Deal Property (Seq: 1)] - [Locations (Seq: 1)] - [Unit Mix (Seq: 18)] - [Unit Mix - User Defined Field Values (Seq: 1)] Proforma Income - Is Deed Restricted - Send]&gt;</t>
        </r>
      </text>
    </comment>
    <comment ref="N340" authorId="0" shapeId="0" xr:uid="{E77C95F2-4CEA-4848-BE16-12811B282233}">
      <text>
        <r>
          <rPr>
            <b/>
            <sz val="9"/>
            <color indexed="81"/>
            <rFont val="Tahoma"/>
            <family val="2"/>
          </rPr>
          <t>&lt;[[DEVDeals] - [Deal Property (Seq: 1)] - [Locations (Seq: 1)] - [Unit Mix (Seq: 18)] Square Footage - Send]&gt;</t>
        </r>
      </text>
    </comment>
    <comment ref="AO340" authorId="0" shapeId="0" xr:uid="{50F513EA-0CEC-4DF5-9AE6-171E7CF540B6}">
      <text>
        <r>
          <rPr>
            <b/>
            <sz val="9"/>
            <color indexed="81"/>
            <rFont val="Tahoma"/>
            <family val="2"/>
          </rPr>
          <t>&lt;[[DEVDeals] - [Associated TC Deal (Seq: 1)] - [TC Property Current Stage (Seq: 1)] - [Unit Mix (Seq: 18)] TC Unit Mix Type - Send]&gt;</t>
        </r>
      </text>
    </comment>
    <comment ref="AR340" authorId="0" shapeId="0" xr:uid="{3D8ECBFA-1648-47A0-9A0B-A7F3FD970AC4}">
      <text>
        <r>
          <rPr>
            <b/>
            <sz val="9"/>
            <color indexed="81"/>
            <rFont val="Tahoma"/>
            <family val="2"/>
          </rPr>
          <t>&lt;[[DEVDeals] - [Associated TC Deal (Seq: 1)] - [TC Property Current Stage (Seq: 1)] - [Unit Mix (Seq: 18)] Num Units - Send]&gt;</t>
        </r>
      </text>
    </comment>
    <comment ref="AT340" authorId="0" shapeId="0" xr:uid="{AEB20BC3-5F2B-4BC8-8D2E-34F98F119E63}">
      <text>
        <r>
          <rPr>
            <b/>
            <sz val="9"/>
            <color indexed="81"/>
            <rFont val="Tahoma"/>
            <family val="2"/>
          </rPr>
          <t>&lt;[[DEVDeals] - [Associated TC Deal (Seq: 1)] - [TC Property Current Stage (Seq: 1)] - [Unit Mix (Seq: 18)] Net Rentable Sq Ft - Send]&gt;</t>
        </r>
      </text>
    </comment>
    <comment ref="BA340" authorId="0" shapeId="0" xr:uid="{592341E2-59E7-4FE1-B314-E62079247D45}">
      <text>
        <r>
          <rPr>
            <b/>
            <sz val="9"/>
            <color indexed="81"/>
            <rFont val="Tahoma"/>
            <family val="2"/>
          </rPr>
          <t>&lt;[[DEVDeals] - [Associated TC Deal (Seq: 1)] - [TC Property Current Stage (Seq: 1)] - [Unit Mix (Seq: 18)] Monthly Rent Per Unit - Send]&gt;</t>
        </r>
      </text>
    </comment>
    <comment ref="I341" authorId="0" shapeId="0" xr:uid="{ECC44009-C2C5-42D8-B293-791B1762E3EB}">
      <text>
        <r>
          <rPr>
            <b/>
            <sz val="9"/>
            <color indexed="81"/>
            <rFont val="Tahoma"/>
            <family val="2"/>
          </rPr>
          <t>&lt;[[DEVDeals] - [Deal Property (Seq: 1)] - [Locations (Seq: 1)] - [Unit Mix (Seq: 19)] Unit Type - Send]&gt;</t>
        </r>
      </text>
    </comment>
    <comment ref="J341" authorId="0" shapeId="0" xr:uid="{DEFA02D8-CBE6-44FE-9ACC-42D50C1F8F8C}">
      <text>
        <r>
          <rPr>
            <b/>
            <sz val="9"/>
            <color indexed="81"/>
            <rFont val="Tahoma"/>
            <family val="2"/>
          </rPr>
          <t>&lt;[[DEVDeals] - [Deal Property (Seq: 1)] - [Locations (Seq: 1)] - [Unit Mix (Seq: 19)] Unit Mix Ami Percent - Send]&gt;</t>
        </r>
      </text>
    </comment>
    <comment ref="L341" authorId="0" shapeId="0" xr:uid="{67C96F0E-F7F5-4E02-B4C8-C2D051492707}">
      <text>
        <r>
          <rPr>
            <b/>
            <sz val="9"/>
            <color indexed="81"/>
            <rFont val="Tahoma"/>
            <family val="2"/>
          </rPr>
          <t>&lt;[[DEVDeals] - [Deal Property (Seq: 1)] - [Locations (Seq: 1)] - [Unit Mix (Seq: 19)] Num Units - Send]&gt;</t>
        </r>
      </text>
    </comment>
    <comment ref="M341" authorId="0" shapeId="0" xr:uid="{362D9BD4-D729-4CB9-8C09-DA095634375E}">
      <text>
        <r>
          <rPr>
            <b/>
            <sz val="9"/>
            <color indexed="81"/>
            <rFont val="Tahoma"/>
            <family val="2"/>
          </rPr>
          <t>&lt;[[DEVDeals] - [Deal Property (Seq: 1)] - [Locations (Seq: 1)] - [Unit Mix (Seq: 19)] - [Unit Mix - User Defined Field Values (Seq: 1)] Proforma Income - Is Deed Restricted - Send]&gt;</t>
        </r>
      </text>
    </comment>
    <comment ref="N341" authorId="0" shapeId="0" xr:uid="{8F838851-D105-4B74-A4FF-E83C4DDD0D3C}">
      <text>
        <r>
          <rPr>
            <b/>
            <sz val="9"/>
            <color indexed="81"/>
            <rFont val="Tahoma"/>
            <family val="2"/>
          </rPr>
          <t>&lt;[[DEVDeals] - [Deal Property (Seq: 1)] - [Locations (Seq: 1)] - [Unit Mix (Seq: 19)] Square Footage - Send]&gt;</t>
        </r>
      </text>
    </comment>
    <comment ref="AO341" authorId="0" shapeId="0" xr:uid="{266BD50C-DE05-40EA-A139-DB063D2CA632}">
      <text>
        <r>
          <rPr>
            <b/>
            <sz val="9"/>
            <color indexed="81"/>
            <rFont val="Tahoma"/>
            <family val="2"/>
          </rPr>
          <t>&lt;[[DEVDeals] - [Associated TC Deal (Seq: 1)] - [TC Property Current Stage (Seq: 1)] - [Unit Mix (Seq: 19)] TC Unit Mix Type - Send]&gt;</t>
        </r>
      </text>
    </comment>
    <comment ref="AR341" authorId="0" shapeId="0" xr:uid="{D243411E-6D8B-4F8B-A015-2DC8F36B5A37}">
      <text>
        <r>
          <rPr>
            <b/>
            <sz val="9"/>
            <color indexed="81"/>
            <rFont val="Tahoma"/>
            <family val="2"/>
          </rPr>
          <t>&lt;[[DEVDeals] - [Associated TC Deal (Seq: 1)] - [TC Property Current Stage (Seq: 1)] - [Unit Mix (Seq: 19)] Num Units - Send]&gt;</t>
        </r>
      </text>
    </comment>
    <comment ref="AT341" authorId="0" shapeId="0" xr:uid="{023DE849-A071-4E65-8A82-18FEFF5F44A2}">
      <text>
        <r>
          <rPr>
            <b/>
            <sz val="9"/>
            <color indexed="81"/>
            <rFont val="Tahoma"/>
            <family val="2"/>
          </rPr>
          <t>&lt;[[DEVDeals] - [Associated TC Deal (Seq: 1)] - [TC Property Current Stage (Seq: 1)] - [Unit Mix (Seq: 19)] Net Rentable Sq Ft - Send]&gt;</t>
        </r>
      </text>
    </comment>
    <comment ref="BA341" authorId="0" shapeId="0" xr:uid="{2387FF1A-285B-482D-9BDD-D9B2044B7EFD}">
      <text>
        <r>
          <rPr>
            <b/>
            <sz val="9"/>
            <color indexed="81"/>
            <rFont val="Tahoma"/>
            <family val="2"/>
          </rPr>
          <t>&lt;[[DEVDeals] - [Associated TC Deal (Seq: 1)] - [TC Property Current Stage (Seq: 1)] - [Unit Mix (Seq: 19)] Monthly Rent Per Unit - Send]&gt;</t>
        </r>
      </text>
    </comment>
    <comment ref="I342" authorId="0" shapeId="0" xr:uid="{6F1CD8F7-82C3-4D2B-B6D0-E65298F44DEC}">
      <text>
        <r>
          <rPr>
            <b/>
            <sz val="9"/>
            <color indexed="81"/>
            <rFont val="Tahoma"/>
            <family val="2"/>
          </rPr>
          <t>&lt;[[DEVDeals] - [Deal Property (Seq: 1)] - [Locations (Seq: 1)] - [Unit Mix (Seq: 20)] Unit Type - Send]&gt;</t>
        </r>
      </text>
    </comment>
    <comment ref="J342" authorId="0" shapeId="0" xr:uid="{42BD0E55-EAF5-42F9-A95C-CB870D272012}">
      <text>
        <r>
          <rPr>
            <b/>
            <sz val="9"/>
            <color indexed="81"/>
            <rFont val="Tahoma"/>
            <family val="2"/>
          </rPr>
          <t>&lt;[[DEVDeals] - [Deal Property (Seq: 1)] - [Locations (Seq: 1)] - [Unit Mix (Seq: 20)] Unit Mix Ami Percent - Send]&gt;</t>
        </r>
      </text>
    </comment>
    <comment ref="L342" authorId="0" shapeId="0" xr:uid="{709C8D66-D12F-4427-B302-93E995DB1F6A}">
      <text>
        <r>
          <rPr>
            <b/>
            <sz val="9"/>
            <color indexed="81"/>
            <rFont val="Tahoma"/>
            <family val="2"/>
          </rPr>
          <t>&lt;[[DEVDeals] - [Deal Property (Seq: 1)] - [Locations (Seq: 1)] - [Unit Mix (Seq: 20)] Num Units - Send]&gt;</t>
        </r>
      </text>
    </comment>
    <comment ref="M342" authorId="0" shapeId="0" xr:uid="{CE2AB097-ECBA-4447-AAAD-9927FD8CD540}">
      <text>
        <r>
          <rPr>
            <b/>
            <sz val="9"/>
            <color indexed="81"/>
            <rFont val="Tahoma"/>
            <family val="2"/>
          </rPr>
          <t>&lt;[[DEVDeals] - [Deal Property (Seq: 1)] - [Locations (Seq: 1)] - [Unit Mix (Seq: 20)] - [Unit Mix - User Defined Field Values (Seq: 1)] Proforma Income - Is Deed Restricted - Send]&gt;</t>
        </r>
      </text>
    </comment>
    <comment ref="N342" authorId="0" shapeId="0" xr:uid="{DC794315-9B53-4FFC-8C3E-51AE1C34CDEE}">
      <text>
        <r>
          <rPr>
            <b/>
            <sz val="9"/>
            <color indexed="81"/>
            <rFont val="Tahoma"/>
            <family val="2"/>
          </rPr>
          <t>&lt;[[DEVDeals] - [Deal Property (Seq: 1)] - [Locations (Seq: 1)] - [Unit Mix (Seq: 20)] Square Footage - Send]&gt;</t>
        </r>
      </text>
    </comment>
    <comment ref="AO342" authorId="0" shapeId="0" xr:uid="{1F1CF4AF-88F2-48DC-9C21-854EB1EDE9CB}">
      <text>
        <r>
          <rPr>
            <b/>
            <sz val="9"/>
            <color indexed="81"/>
            <rFont val="Tahoma"/>
            <family val="2"/>
          </rPr>
          <t>&lt;[[DEVDeals] - [Associated TC Deal (Seq: 1)] - [TC Property Current Stage (Seq: 1)] - [Unit Mix (Seq: 20)] TC Unit Mix Type - Send]&gt;</t>
        </r>
      </text>
    </comment>
    <comment ref="AR342" authorId="0" shapeId="0" xr:uid="{0F136C3E-4E5C-4772-8F17-6B9B433ED1AC}">
      <text>
        <r>
          <rPr>
            <b/>
            <sz val="9"/>
            <color indexed="81"/>
            <rFont val="Tahoma"/>
            <family val="2"/>
          </rPr>
          <t>&lt;[[DEVDeals] - [Associated TC Deal (Seq: 1)] - [TC Property Current Stage (Seq: 1)] - [Unit Mix (Seq: 20)] Num Units - Send]&gt;</t>
        </r>
      </text>
    </comment>
    <comment ref="AT342" authorId="0" shapeId="0" xr:uid="{79768D29-4517-4C38-97A1-7952EEECBFB0}">
      <text>
        <r>
          <rPr>
            <b/>
            <sz val="9"/>
            <color indexed="81"/>
            <rFont val="Tahoma"/>
            <family val="2"/>
          </rPr>
          <t>&lt;[[DEVDeals] - [Associated TC Deal (Seq: 1)] - [TC Property Current Stage (Seq: 1)] - [Unit Mix (Seq: 20)] Net Rentable Sq Ft - Send]&gt;</t>
        </r>
      </text>
    </comment>
    <comment ref="BA342" authorId="0" shapeId="0" xr:uid="{59759D56-C034-49C7-B4ED-718441A88640}">
      <text>
        <r>
          <rPr>
            <b/>
            <sz val="9"/>
            <color indexed="81"/>
            <rFont val="Tahoma"/>
            <family val="2"/>
          </rPr>
          <t>&lt;[[DEVDeals] - [Associated TC Deal (Seq: 1)] - [TC Property Current Stage (Seq: 1)] - [Unit Mix (Seq: 20)] Monthly Rent Per Unit - Send]&gt;</t>
        </r>
      </text>
    </comment>
    <comment ref="I343" authorId="0" shapeId="0" xr:uid="{1CC2C37D-2313-4A31-8A37-8CD40C6C4825}">
      <text>
        <r>
          <rPr>
            <b/>
            <sz val="9"/>
            <color indexed="81"/>
            <rFont val="Tahoma"/>
            <family val="2"/>
          </rPr>
          <t>&lt;[[DEVDeals] - [Deal Property (Seq: 1)] - [Locations (Seq: 1)] - [Unit Mix (Seq: 21)] Unit Type - Send]&gt;</t>
        </r>
      </text>
    </comment>
    <comment ref="J343" authorId="0" shapeId="0" xr:uid="{02987F7F-6C98-494B-9FB6-1656FFC8CD40}">
      <text>
        <r>
          <rPr>
            <b/>
            <sz val="9"/>
            <color indexed="81"/>
            <rFont val="Tahoma"/>
            <family val="2"/>
          </rPr>
          <t>&lt;[[DEVDeals] - [Deal Property (Seq: 1)] - [Locations (Seq: 1)] - [Unit Mix (Seq: 21)] Unit Mix Ami Percent - Send]&gt;</t>
        </r>
      </text>
    </comment>
    <comment ref="L343" authorId="0" shapeId="0" xr:uid="{B6081EB9-B901-423A-B694-DFCB9BDA7AC4}">
      <text>
        <r>
          <rPr>
            <b/>
            <sz val="9"/>
            <color indexed="81"/>
            <rFont val="Tahoma"/>
            <family val="2"/>
          </rPr>
          <t>&lt;[[DEVDeals] - [Deal Property (Seq: 1)] - [Locations (Seq: 1)] - [Unit Mix (Seq: 21)] Num Units - Send]&gt;</t>
        </r>
      </text>
    </comment>
    <comment ref="M343" authorId="0" shapeId="0" xr:uid="{15EDC7DA-85E9-4790-ABF5-85F2156BCBE4}">
      <text>
        <r>
          <rPr>
            <b/>
            <sz val="9"/>
            <color indexed="81"/>
            <rFont val="Tahoma"/>
            <family val="2"/>
          </rPr>
          <t>&lt;[[DEVDeals] - [Deal Property (Seq: 1)] - [Locations (Seq: 1)] - [Unit Mix (Seq: 21)] - [Unit Mix - User Defined Field Values (Seq: 1)] Proforma Income - Is Deed Restricted - Send]&gt;</t>
        </r>
      </text>
    </comment>
    <comment ref="N343" authorId="0" shapeId="0" xr:uid="{0826EA1E-B7DC-433A-BC6C-F964D5B0E3FD}">
      <text>
        <r>
          <rPr>
            <b/>
            <sz val="9"/>
            <color indexed="81"/>
            <rFont val="Tahoma"/>
            <family val="2"/>
          </rPr>
          <t>&lt;[[DEVDeals] - [Deal Property (Seq: 1)] - [Locations (Seq: 1)] - [Unit Mix (Seq: 21)] Square Footage - Send]&gt;</t>
        </r>
      </text>
    </comment>
    <comment ref="AO343" authorId="0" shapeId="0" xr:uid="{B81CF5C1-4FDE-4332-A1AC-10F7FED9628F}">
      <text>
        <r>
          <rPr>
            <b/>
            <sz val="9"/>
            <color indexed="81"/>
            <rFont val="Tahoma"/>
            <family val="2"/>
          </rPr>
          <t>&lt;[[DEVDeals] - [Associated TC Deal (Seq: 1)] - [TC Property Current Stage (Seq: 1)] - [Unit Mix (Seq: 21)] TC Unit Mix Type - Send]&gt;</t>
        </r>
      </text>
    </comment>
    <comment ref="AR343" authorId="0" shapeId="0" xr:uid="{421F30D0-9575-45DE-9AF2-56764A73ADC0}">
      <text>
        <r>
          <rPr>
            <b/>
            <sz val="9"/>
            <color indexed="81"/>
            <rFont val="Tahoma"/>
            <family val="2"/>
          </rPr>
          <t>&lt;[[DEVDeals] - [Associated TC Deal (Seq: 1)] - [TC Property Current Stage (Seq: 1)] - [Unit Mix (Seq: 21)] Num Units - Send]&gt;</t>
        </r>
      </text>
    </comment>
    <comment ref="AT343" authorId="0" shapeId="0" xr:uid="{AC5B8B59-3D11-4DC5-9AB8-B88EEDE2038C}">
      <text>
        <r>
          <rPr>
            <b/>
            <sz val="9"/>
            <color indexed="81"/>
            <rFont val="Tahoma"/>
            <family val="2"/>
          </rPr>
          <t>&lt;[[DEVDeals] - [Associated TC Deal (Seq: 1)] - [TC Property Current Stage (Seq: 1)] - [Unit Mix (Seq: 21)] Net Rentable Sq Ft - Send]&gt;</t>
        </r>
      </text>
    </comment>
    <comment ref="BA343" authorId="0" shapeId="0" xr:uid="{5B272F58-3E18-4D80-9A34-F4D521D5DD68}">
      <text>
        <r>
          <rPr>
            <b/>
            <sz val="9"/>
            <color indexed="81"/>
            <rFont val="Tahoma"/>
            <family val="2"/>
          </rPr>
          <t>&lt;[[DEVDeals] - [Associated TC Deal (Seq: 1)] - [TC Property Current Stage (Seq: 1)] - [Unit Mix (Seq: 21)] Monthly Rent Per Unit - Send]&gt;</t>
        </r>
      </text>
    </comment>
    <comment ref="I344" authorId="0" shapeId="0" xr:uid="{5423E00F-5061-4442-AD6A-6794C14478F7}">
      <text>
        <r>
          <rPr>
            <b/>
            <sz val="9"/>
            <color indexed="81"/>
            <rFont val="Tahoma"/>
            <family val="2"/>
          </rPr>
          <t>&lt;[[DEVDeals] - [Deal Property (Seq: 1)] - [Locations (Seq: 1)] - [Unit Mix (Seq: 22)] Unit Type - Send]&gt;</t>
        </r>
      </text>
    </comment>
    <comment ref="J344" authorId="0" shapeId="0" xr:uid="{371B8410-1D13-4263-A23B-523C7CE9A2FA}">
      <text>
        <r>
          <rPr>
            <b/>
            <sz val="9"/>
            <color indexed="81"/>
            <rFont val="Tahoma"/>
            <family val="2"/>
          </rPr>
          <t>&lt;[[DEVDeals] - [Deal Property (Seq: 1)] - [Locations (Seq: 1)] - [Unit Mix (Seq: 22)] Unit Mix Ami Percent - Send]&gt;</t>
        </r>
      </text>
    </comment>
    <comment ref="L344" authorId="0" shapeId="0" xr:uid="{9887EEC6-3EA5-44E7-95E4-C99080C82C6C}">
      <text>
        <r>
          <rPr>
            <b/>
            <sz val="9"/>
            <color indexed="81"/>
            <rFont val="Tahoma"/>
            <family val="2"/>
          </rPr>
          <t>&lt;[[DEVDeals] - [Deal Property (Seq: 1)] - [Locations (Seq: 1)] - [Unit Mix (Seq: 22)] Num Units - Send]&gt;</t>
        </r>
      </text>
    </comment>
    <comment ref="M344" authorId="0" shapeId="0" xr:uid="{9CE01EB7-A2F9-4D13-A99B-560F15994CC9}">
      <text>
        <r>
          <rPr>
            <b/>
            <sz val="9"/>
            <color indexed="81"/>
            <rFont val="Tahoma"/>
            <family val="2"/>
          </rPr>
          <t>&lt;[[DEVDeals] - [Deal Property (Seq: 1)] - [Locations (Seq: 1)] - [Unit Mix (Seq: 22)] - [Unit Mix - User Defined Field Values (Seq: 1)] Proforma Income - Is Deed Restricted - Send]&gt;</t>
        </r>
      </text>
    </comment>
    <comment ref="N344" authorId="0" shapeId="0" xr:uid="{90D1731D-A586-477D-93D9-60CAB67BE769}">
      <text>
        <r>
          <rPr>
            <b/>
            <sz val="9"/>
            <color indexed="81"/>
            <rFont val="Tahoma"/>
            <family val="2"/>
          </rPr>
          <t>&lt;[[DEVDeals] - [Deal Property (Seq: 1)] - [Locations (Seq: 1)] - [Unit Mix (Seq: 22)] Square Footage - Send]&gt;</t>
        </r>
      </text>
    </comment>
    <comment ref="AO344" authorId="0" shapeId="0" xr:uid="{29A92445-AEA5-4545-850C-0F2E28EF9082}">
      <text>
        <r>
          <rPr>
            <b/>
            <sz val="9"/>
            <color indexed="81"/>
            <rFont val="Tahoma"/>
            <family val="2"/>
          </rPr>
          <t>&lt;[[DEVDeals] - [Associated TC Deal (Seq: 1)] - [TC Property Current Stage (Seq: 1)] - [Unit Mix (Seq: 22)] TC Unit Mix Type - Send]&gt;</t>
        </r>
      </text>
    </comment>
    <comment ref="AR344" authorId="0" shapeId="0" xr:uid="{0981AB26-8379-41A0-90CF-117526C786AB}">
      <text>
        <r>
          <rPr>
            <b/>
            <sz val="9"/>
            <color indexed="81"/>
            <rFont val="Tahoma"/>
            <family val="2"/>
          </rPr>
          <t>&lt;[[DEVDeals] - [Associated TC Deal (Seq: 1)] - [TC Property Current Stage (Seq: 1)] - [Unit Mix (Seq: 22)] Num Units - Send]&gt;</t>
        </r>
      </text>
    </comment>
    <comment ref="AT344" authorId="0" shapeId="0" xr:uid="{6CAE090E-B517-47E5-A937-62D4BC69CD86}">
      <text>
        <r>
          <rPr>
            <b/>
            <sz val="9"/>
            <color indexed="81"/>
            <rFont val="Tahoma"/>
            <family val="2"/>
          </rPr>
          <t>&lt;[[DEVDeals] - [Associated TC Deal (Seq: 1)] - [TC Property Current Stage (Seq: 1)] - [Unit Mix (Seq: 22)] Net Rentable Sq Ft - Send]&gt;</t>
        </r>
      </text>
    </comment>
    <comment ref="BA344" authorId="0" shapeId="0" xr:uid="{68D98204-B6EF-48FC-9923-F36E7D50EA90}">
      <text>
        <r>
          <rPr>
            <b/>
            <sz val="9"/>
            <color indexed="81"/>
            <rFont val="Tahoma"/>
            <family val="2"/>
          </rPr>
          <t>&lt;[[DEVDeals] - [Associated TC Deal (Seq: 1)] - [TC Property Current Stage (Seq: 1)] - [Unit Mix (Seq: 22)] Monthly Rent Per Unit - Send]&gt;</t>
        </r>
      </text>
    </comment>
    <comment ref="I345" authorId="0" shapeId="0" xr:uid="{070172DA-223B-4BFE-9184-DE974027D080}">
      <text>
        <r>
          <rPr>
            <b/>
            <sz val="9"/>
            <color indexed="81"/>
            <rFont val="Tahoma"/>
            <family val="2"/>
          </rPr>
          <t>&lt;[[DEVDeals] - [Deal Property (Seq: 1)] - [Locations (Seq: 1)] - [Unit Mix (Seq: 23)] Unit Type - Send]&gt;</t>
        </r>
      </text>
    </comment>
    <comment ref="J345" authorId="0" shapeId="0" xr:uid="{BC47B57F-522D-4551-8A5F-FDAC01561F9B}">
      <text>
        <r>
          <rPr>
            <b/>
            <sz val="9"/>
            <color indexed="81"/>
            <rFont val="Tahoma"/>
            <family val="2"/>
          </rPr>
          <t>&lt;[[DEVDeals] - [Deal Property (Seq: 1)] - [Locations (Seq: 1)] - [Unit Mix (Seq: 23)] Unit Mix Ami Percent - Send]&gt;</t>
        </r>
      </text>
    </comment>
    <comment ref="L345" authorId="0" shapeId="0" xr:uid="{96FC4E3A-C422-4FB4-A475-5F8980BC0D12}">
      <text>
        <r>
          <rPr>
            <b/>
            <sz val="9"/>
            <color indexed="81"/>
            <rFont val="Tahoma"/>
            <family val="2"/>
          </rPr>
          <t>&lt;[[DEVDeals] - [Deal Property (Seq: 1)] - [Locations (Seq: 1)] - [Unit Mix (Seq: 23)] Num Units - Send]&gt;</t>
        </r>
      </text>
    </comment>
    <comment ref="M345" authorId="0" shapeId="0" xr:uid="{22BC0E96-A903-45EC-A725-9414AEA7FC78}">
      <text>
        <r>
          <rPr>
            <b/>
            <sz val="9"/>
            <color indexed="81"/>
            <rFont val="Tahoma"/>
            <family val="2"/>
          </rPr>
          <t>&lt;[[DEVDeals] - [Deal Property (Seq: 1)] - [Locations (Seq: 1)] - [Unit Mix (Seq: 23)] - [Unit Mix - User Defined Field Values (Seq: 1)] Proforma Income - Is Deed Restricted - Send]&gt;</t>
        </r>
      </text>
    </comment>
    <comment ref="N345" authorId="0" shapeId="0" xr:uid="{388E2409-078E-4AFE-A465-1009D86D7D7D}">
      <text>
        <r>
          <rPr>
            <b/>
            <sz val="9"/>
            <color indexed="81"/>
            <rFont val="Tahoma"/>
            <family val="2"/>
          </rPr>
          <t>&lt;[[DEVDeals] - [Deal Property (Seq: 1)] - [Locations (Seq: 1)] - [Unit Mix (Seq: 23)] Square Footage - Send]&gt;</t>
        </r>
      </text>
    </comment>
    <comment ref="AO345" authorId="0" shapeId="0" xr:uid="{B5F2ABA9-9D87-4AC9-98F1-A4D48D518521}">
      <text>
        <r>
          <rPr>
            <b/>
            <sz val="9"/>
            <color indexed="81"/>
            <rFont val="Tahoma"/>
            <family val="2"/>
          </rPr>
          <t>&lt;[[DEVDeals] - [Associated TC Deal (Seq: 1)] - [TC Property Current Stage (Seq: 1)] - [Unit Mix (Seq: 23)] TC Unit Mix Type - Send]&gt;</t>
        </r>
      </text>
    </comment>
    <comment ref="AR345" authorId="0" shapeId="0" xr:uid="{0D451C98-E9A8-47A7-9BB2-0C954E1BCBCF}">
      <text>
        <r>
          <rPr>
            <b/>
            <sz val="9"/>
            <color indexed="81"/>
            <rFont val="Tahoma"/>
            <family val="2"/>
          </rPr>
          <t>&lt;[[DEVDeals] - [Associated TC Deal (Seq: 1)] - [TC Property Current Stage (Seq: 1)] - [Unit Mix (Seq: 23)] Num Units - Send]&gt;</t>
        </r>
      </text>
    </comment>
    <comment ref="AT345" authorId="0" shapeId="0" xr:uid="{5AF6BC6C-7F35-4840-8ADE-4E204567B5EC}">
      <text>
        <r>
          <rPr>
            <b/>
            <sz val="9"/>
            <color indexed="81"/>
            <rFont val="Tahoma"/>
            <family val="2"/>
          </rPr>
          <t>&lt;[[DEVDeals] - [Associated TC Deal (Seq: 1)] - [TC Property Current Stage (Seq: 1)] - [Unit Mix (Seq: 23)] Net Rentable Sq Ft - Send]&gt;</t>
        </r>
      </text>
    </comment>
    <comment ref="BA345" authorId="0" shapeId="0" xr:uid="{7FBA2F45-D956-4AC2-ACFA-B9ADB29AACFA}">
      <text>
        <r>
          <rPr>
            <b/>
            <sz val="9"/>
            <color indexed="81"/>
            <rFont val="Tahoma"/>
            <family val="2"/>
          </rPr>
          <t>&lt;[[DEVDeals] - [Associated TC Deal (Seq: 1)] - [TC Property Current Stage (Seq: 1)] - [Unit Mix (Seq: 23)] Monthly Rent Per Unit - Send]&gt;</t>
        </r>
      </text>
    </comment>
    <comment ref="I346" authorId="0" shapeId="0" xr:uid="{93247911-A782-4545-BF5E-9CF0FFDF0EEE}">
      <text>
        <r>
          <rPr>
            <b/>
            <sz val="9"/>
            <color indexed="81"/>
            <rFont val="Tahoma"/>
            <family val="2"/>
          </rPr>
          <t>&lt;[[DEVDeals] - [Deal Property (Seq: 1)] - [Locations (Seq: 1)] - [Unit Mix (Seq: 24)] Unit Type - Send]&gt;</t>
        </r>
      </text>
    </comment>
    <comment ref="J346" authorId="0" shapeId="0" xr:uid="{C82ED82B-05E1-4196-B6D2-CDB9748F04BF}">
      <text>
        <r>
          <rPr>
            <b/>
            <sz val="9"/>
            <color indexed="81"/>
            <rFont val="Tahoma"/>
            <family val="2"/>
          </rPr>
          <t>&lt;[[DEVDeals] - [Deal Property (Seq: 1)] - [Locations (Seq: 1)] - [Unit Mix (Seq: 24)] Unit Mix Ami Percent - Send]&gt;</t>
        </r>
      </text>
    </comment>
    <comment ref="L346" authorId="0" shapeId="0" xr:uid="{C0E1BECE-3433-4686-BE5C-4DC69DB1BC5F}">
      <text>
        <r>
          <rPr>
            <b/>
            <sz val="9"/>
            <color indexed="81"/>
            <rFont val="Tahoma"/>
            <family val="2"/>
          </rPr>
          <t>&lt;[[DEVDeals] - [Deal Property (Seq: 1)] - [Locations (Seq: 1)] - [Unit Mix (Seq: 24)] Num Units - Send]&gt;</t>
        </r>
      </text>
    </comment>
    <comment ref="M346" authorId="0" shapeId="0" xr:uid="{AAAFB191-A717-435B-A926-44A85277F90E}">
      <text>
        <r>
          <rPr>
            <b/>
            <sz val="9"/>
            <color indexed="81"/>
            <rFont val="Tahoma"/>
            <family val="2"/>
          </rPr>
          <t>&lt;[[DEVDeals] - [Deal Property (Seq: 1)] - [Locations (Seq: 1)] - [Unit Mix (Seq: 24)] - [Unit Mix - User Defined Field Values (Seq: 1)] Proforma Income - Is Deed Restricted - Send]&gt;</t>
        </r>
      </text>
    </comment>
    <comment ref="N346" authorId="0" shapeId="0" xr:uid="{E72BAF22-F0E7-4AEC-A1D7-D8FD792172AB}">
      <text>
        <r>
          <rPr>
            <b/>
            <sz val="9"/>
            <color indexed="81"/>
            <rFont val="Tahoma"/>
            <family val="2"/>
          </rPr>
          <t>&lt;[[DEVDeals] - [Deal Property (Seq: 1)] - [Locations (Seq: 1)] - [Unit Mix (Seq: 24)] Square Footage - Send]&gt;</t>
        </r>
      </text>
    </comment>
    <comment ref="AO346" authorId="0" shapeId="0" xr:uid="{6A41B76C-26E2-4740-B68B-0AF77CF8931A}">
      <text>
        <r>
          <rPr>
            <b/>
            <sz val="9"/>
            <color indexed="81"/>
            <rFont val="Tahoma"/>
            <family val="2"/>
          </rPr>
          <t>&lt;[[DEVDeals] - [Associated TC Deal (Seq: 1)] - [TC Property Current Stage (Seq: 1)] - [Unit Mix (Seq: 24)] TC Unit Mix Type - Send]&gt;</t>
        </r>
      </text>
    </comment>
    <comment ref="AR346" authorId="0" shapeId="0" xr:uid="{D909638B-5B34-40FF-B4ED-9BE9CBC13EFA}">
      <text>
        <r>
          <rPr>
            <b/>
            <sz val="9"/>
            <color indexed="81"/>
            <rFont val="Tahoma"/>
            <family val="2"/>
          </rPr>
          <t>&lt;[[DEVDeals] - [Associated TC Deal (Seq: 1)] - [TC Property Current Stage (Seq: 1)] - [Unit Mix (Seq: 24)] Num Units - Send]&gt;</t>
        </r>
      </text>
    </comment>
    <comment ref="AT346" authorId="0" shapeId="0" xr:uid="{B295D05F-70CA-4731-A8AA-DD5E24F10CE1}">
      <text>
        <r>
          <rPr>
            <b/>
            <sz val="9"/>
            <color indexed="81"/>
            <rFont val="Tahoma"/>
            <family val="2"/>
          </rPr>
          <t>&lt;[[DEVDeals] - [Associated TC Deal (Seq: 1)] - [TC Property Current Stage (Seq: 1)] - [Unit Mix (Seq: 24)] Net Rentable Sq Ft - Send]&gt;</t>
        </r>
      </text>
    </comment>
    <comment ref="BA346" authorId="0" shapeId="0" xr:uid="{7E9E652C-BEEE-45FF-A45E-09A1212DBFE7}">
      <text>
        <r>
          <rPr>
            <b/>
            <sz val="9"/>
            <color indexed="81"/>
            <rFont val="Tahoma"/>
            <family val="2"/>
          </rPr>
          <t>&lt;[[DEVDeals] - [Associated TC Deal (Seq: 1)] - [TC Property Current Stage (Seq: 1)] - [Unit Mix (Seq: 24)] Monthly Rent Per Unit - Send]&gt;</t>
        </r>
      </text>
    </comment>
    <comment ref="I347" authorId="0" shapeId="0" xr:uid="{46FFB08D-0675-43BA-84EE-82D5642F1EFF}">
      <text>
        <r>
          <rPr>
            <b/>
            <sz val="9"/>
            <color indexed="81"/>
            <rFont val="Tahoma"/>
            <family val="2"/>
          </rPr>
          <t>&lt;[[DEVDeals] - [Deal Property (Seq: 1)] - [Locations (Seq: 1)] - [Unit Mix (Seq: 25)] Unit Type - Send]&gt;</t>
        </r>
      </text>
    </comment>
    <comment ref="J347" authorId="0" shapeId="0" xr:uid="{9F2B8192-243E-4BB1-B0AC-09C8560AC606}">
      <text>
        <r>
          <rPr>
            <b/>
            <sz val="9"/>
            <color indexed="81"/>
            <rFont val="Tahoma"/>
            <family val="2"/>
          </rPr>
          <t>&lt;[[DEVDeals] - [Deal Property (Seq: 1)] - [Locations (Seq: 1)] - [Unit Mix (Seq: 25)] Unit Mix Ami Percent - Send]&gt;</t>
        </r>
      </text>
    </comment>
    <comment ref="L347" authorId="0" shapeId="0" xr:uid="{7EF3367D-9490-40F3-85D4-D025A61DE8F3}">
      <text>
        <r>
          <rPr>
            <b/>
            <sz val="9"/>
            <color indexed="81"/>
            <rFont val="Tahoma"/>
            <family val="2"/>
          </rPr>
          <t>&lt;[[DEVDeals] - [Deal Property (Seq: 1)] - [Locations (Seq: 1)] - [Unit Mix (Seq: 25)] Num Units - Send]&gt;</t>
        </r>
      </text>
    </comment>
    <comment ref="M347" authorId="0" shapeId="0" xr:uid="{F23E8A16-32AB-4558-B420-811320E2D30B}">
      <text>
        <r>
          <rPr>
            <b/>
            <sz val="9"/>
            <color indexed="81"/>
            <rFont val="Tahoma"/>
            <family val="2"/>
          </rPr>
          <t>&lt;[[DEVDeals] - [Deal Property (Seq: 1)] - [Locations (Seq: 1)] - [Unit Mix (Seq: 25)] - [Unit Mix - User Defined Field Values (Seq: 1)] Proforma Income - Is Deed Restricted - Send]&gt;</t>
        </r>
      </text>
    </comment>
    <comment ref="N347" authorId="0" shapeId="0" xr:uid="{87AFF7E4-71CA-41FB-A0D9-EB32DDFC8E2E}">
      <text>
        <r>
          <rPr>
            <b/>
            <sz val="9"/>
            <color indexed="81"/>
            <rFont val="Tahoma"/>
            <family val="2"/>
          </rPr>
          <t>&lt;[[DEVDeals] - [Deal Property (Seq: 1)] - [Locations (Seq: 1)] - [Unit Mix (Seq: 25)] Square Footage - Send]&gt;</t>
        </r>
      </text>
    </comment>
    <comment ref="AO347" authorId="0" shapeId="0" xr:uid="{198DC878-5789-4C6D-95E3-37B39DBC904E}">
      <text>
        <r>
          <rPr>
            <b/>
            <sz val="9"/>
            <color indexed="81"/>
            <rFont val="Tahoma"/>
            <family val="2"/>
          </rPr>
          <t>&lt;[[DEVDeals] - [Associated TC Deal (Seq: 1)] - [TC Property Current Stage (Seq: 1)] - [Unit Mix (Seq: 25)] TC Unit Mix Type - Send]&gt;</t>
        </r>
      </text>
    </comment>
    <comment ref="AR347" authorId="0" shapeId="0" xr:uid="{0F2FBEC1-6584-4A11-B0B6-462E58E79AEB}">
      <text>
        <r>
          <rPr>
            <b/>
            <sz val="9"/>
            <color indexed="81"/>
            <rFont val="Tahoma"/>
            <family val="2"/>
          </rPr>
          <t>&lt;[[DEVDeals] - [Associated TC Deal (Seq: 1)] - [TC Property Current Stage (Seq: 1)] - [Unit Mix (Seq: 25)] Num Units - Send]&gt;</t>
        </r>
      </text>
    </comment>
    <comment ref="AT347" authorId="0" shapeId="0" xr:uid="{8EDF029C-1FA8-433F-A520-B5D620396032}">
      <text>
        <r>
          <rPr>
            <b/>
            <sz val="9"/>
            <color indexed="81"/>
            <rFont val="Tahoma"/>
            <family val="2"/>
          </rPr>
          <t>&lt;[[DEVDeals] - [Associated TC Deal (Seq: 1)] - [TC Property Current Stage (Seq: 1)] - [Unit Mix (Seq: 25)] Net Rentable Sq Ft - Send]&gt;</t>
        </r>
      </text>
    </comment>
    <comment ref="BA347" authorId="0" shapeId="0" xr:uid="{010164FF-546F-4EEB-ACF2-62B218FFCA2B}">
      <text>
        <r>
          <rPr>
            <b/>
            <sz val="9"/>
            <color indexed="81"/>
            <rFont val="Tahoma"/>
            <family val="2"/>
          </rPr>
          <t>&lt;[[DEVDeals] - [Associated TC Deal (Seq: 1)] - [TC Property Current Stage (Seq: 1)] - [Unit Mix (Seq: 25)] Monthly Rent Per Unit - Send]&gt;</t>
        </r>
      </text>
    </comment>
    <comment ref="I348" authorId="0" shapeId="0" xr:uid="{EAA219A7-D030-49AC-A5B8-34E00F17E5FB}">
      <text>
        <r>
          <rPr>
            <b/>
            <sz val="9"/>
            <color indexed="81"/>
            <rFont val="Tahoma"/>
            <family val="2"/>
          </rPr>
          <t>&lt;[[DEVDeals] - [Deal Property (Seq: 1)] - [Locations (Seq: 1)] - [Unit Mix (Seq: 26)] Unit Type - Send]&gt;</t>
        </r>
      </text>
    </comment>
    <comment ref="J348" authorId="0" shapeId="0" xr:uid="{A9393289-9B74-464C-A6EE-AAD4E94E4497}">
      <text>
        <r>
          <rPr>
            <b/>
            <sz val="9"/>
            <color indexed="81"/>
            <rFont val="Tahoma"/>
            <family val="2"/>
          </rPr>
          <t>&lt;[[DEVDeals] - [Deal Property (Seq: 1)] - [Locations (Seq: 1)] - [Unit Mix (Seq: 26)] Unit Mix Ami Percent - Send]&gt;</t>
        </r>
      </text>
    </comment>
    <comment ref="L348" authorId="0" shapeId="0" xr:uid="{E6D8CBF0-70A0-4974-9F75-8EC256DE4A2B}">
      <text>
        <r>
          <rPr>
            <b/>
            <sz val="9"/>
            <color indexed="81"/>
            <rFont val="Tahoma"/>
            <family val="2"/>
          </rPr>
          <t>&lt;[[DEVDeals] - [Deal Property (Seq: 1)] - [Locations (Seq: 1)] - [Unit Mix (Seq: 26)] Num Units - Send]&gt;</t>
        </r>
      </text>
    </comment>
    <comment ref="M348" authorId="0" shapeId="0" xr:uid="{8282E141-64B1-403B-BD2F-03F2BDCC7D83}">
      <text>
        <r>
          <rPr>
            <b/>
            <sz val="9"/>
            <color indexed="81"/>
            <rFont val="Tahoma"/>
            <family val="2"/>
          </rPr>
          <t>&lt;[[DEVDeals] - [Deal Property (Seq: 1)] - [Locations (Seq: 1)] - [Unit Mix (Seq: 26)] - [Unit Mix - User Defined Field Values (Seq: 1)] Proforma Income - Is Deed Restricted - Send]&gt;</t>
        </r>
      </text>
    </comment>
    <comment ref="N348" authorId="0" shapeId="0" xr:uid="{BBD04EE3-30DA-4446-9584-5C3EEFF145CD}">
      <text>
        <r>
          <rPr>
            <b/>
            <sz val="9"/>
            <color indexed="81"/>
            <rFont val="Tahoma"/>
            <family val="2"/>
          </rPr>
          <t>&lt;[[DEVDeals] - [Deal Property (Seq: 1)] - [Locations (Seq: 1)] - [Unit Mix (Seq: 26)] Square Footage - Send]&gt;</t>
        </r>
      </text>
    </comment>
    <comment ref="AO348" authorId="0" shapeId="0" xr:uid="{647692DE-7F94-4428-9524-D5CE90F67C67}">
      <text>
        <r>
          <rPr>
            <b/>
            <sz val="9"/>
            <color indexed="81"/>
            <rFont val="Tahoma"/>
            <family val="2"/>
          </rPr>
          <t>&lt;[[DEVDeals] - [Associated TC Deal (Seq: 1)] - [TC Property Current Stage (Seq: 1)] - [Unit Mix (Seq: 26)] TC Unit Mix Type - Send]&gt;</t>
        </r>
      </text>
    </comment>
    <comment ref="AR348" authorId="0" shapeId="0" xr:uid="{C1EB7652-B187-4A30-A5F0-7757C384CB5C}">
      <text>
        <r>
          <rPr>
            <b/>
            <sz val="9"/>
            <color indexed="81"/>
            <rFont val="Tahoma"/>
            <family val="2"/>
          </rPr>
          <t>&lt;[[DEVDeals] - [Associated TC Deal (Seq: 1)] - [TC Property Current Stage (Seq: 1)] - [Unit Mix (Seq: 26)] Num Units - Send]&gt;</t>
        </r>
      </text>
    </comment>
    <comment ref="AT348" authorId="0" shapeId="0" xr:uid="{21715DBE-CC04-4467-8AFB-2B8C1514E176}">
      <text>
        <r>
          <rPr>
            <b/>
            <sz val="9"/>
            <color indexed="81"/>
            <rFont val="Tahoma"/>
            <family val="2"/>
          </rPr>
          <t>&lt;[[DEVDeals] - [Associated TC Deal (Seq: 1)] - [TC Property Current Stage (Seq: 1)] - [Unit Mix (Seq: 26)] Net Rentable Sq Ft - Send]&gt;</t>
        </r>
      </text>
    </comment>
    <comment ref="BA348" authorId="0" shapeId="0" xr:uid="{1F64AA6D-9E46-44B5-8F71-67330138A8E8}">
      <text>
        <r>
          <rPr>
            <b/>
            <sz val="9"/>
            <color indexed="81"/>
            <rFont val="Tahoma"/>
            <family val="2"/>
          </rPr>
          <t>&lt;[[DEVDeals] - [Associated TC Deal (Seq: 1)] - [TC Property Current Stage (Seq: 1)] - [Unit Mix (Seq: 26)] Monthly Rent Per Unit - Send]&gt;</t>
        </r>
      </text>
    </comment>
    <comment ref="I349" authorId="0" shapeId="0" xr:uid="{BE5BB2A1-A400-4E6B-A7D2-4AEF445B98DE}">
      <text>
        <r>
          <rPr>
            <b/>
            <sz val="9"/>
            <color indexed="81"/>
            <rFont val="Tahoma"/>
            <family val="2"/>
          </rPr>
          <t>&lt;[[DEVDeals] - [Deal Property (Seq: 1)] - [Locations (Seq: 1)] - [Unit Mix (Seq: 27)] Unit Type - Send]&gt;</t>
        </r>
      </text>
    </comment>
    <comment ref="J349" authorId="0" shapeId="0" xr:uid="{693D3429-9DD3-4884-9C43-CC34D2DF2983}">
      <text>
        <r>
          <rPr>
            <b/>
            <sz val="9"/>
            <color indexed="81"/>
            <rFont val="Tahoma"/>
            <family val="2"/>
          </rPr>
          <t>&lt;[[DEVDeals] - [Deal Property (Seq: 1)] - [Locations (Seq: 1)] - [Unit Mix (Seq: 27)] Unit Mix Ami Percent - Send]&gt;</t>
        </r>
      </text>
    </comment>
    <comment ref="L349" authorId="0" shapeId="0" xr:uid="{DE92A2A8-085F-40FA-99E2-979A0CA5F90E}">
      <text>
        <r>
          <rPr>
            <b/>
            <sz val="9"/>
            <color indexed="81"/>
            <rFont val="Tahoma"/>
            <family val="2"/>
          </rPr>
          <t>&lt;[[DEVDeals] - [Deal Property (Seq: 1)] - [Locations (Seq: 1)] - [Unit Mix (Seq: 27)] Num Units - Send]&gt;</t>
        </r>
      </text>
    </comment>
    <comment ref="M349" authorId="0" shapeId="0" xr:uid="{1E946F5F-3B7B-46BD-A3E6-FB2D936ECFA9}">
      <text>
        <r>
          <rPr>
            <b/>
            <sz val="9"/>
            <color indexed="81"/>
            <rFont val="Tahoma"/>
            <family val="2"/>
          </rPr>
          <t>&lt;[[DEVDeals] - [Deal Property (Seq: 1)] - [Locations (Seq: 1)] - [Unit Mix (Seq: 27)] - [Unit Mix - User Defined Field Values (Seq: 1)] Proforma Income - Is Deed Restricted - Send]&gt;</t>
        </r>
      </text>
    </comment>
    <comment ref="N349" authorId="0" shapeId="0" xr:uid="{F2F9BB7C-5187-431A-95C6-1963B0A2E89D}">
      <text>
        <r>
          <rPr>
            <b/>
            <sz val="9"/>
            <color indexed="81"/>
            <rFont val="Tahoma"/>
            <family val="2"/>
          </rPr>
          <t>&lt;[[DEVDeals] - [Deal Property (Seq: 1)] - [Locations (Seq: 1)] - [Unit Mix (Seq: 27)] Square Footage - Send]&gt;</t>
        </r>
      </text>
    </comment>
    <comment ref="AO349" authorId="0" shapeId="0" xr:uid="{A743AD47-7FD9-4811-A1B2-A10CF449C386}">
      <text>
        <r>
          <rPr>
            <b/>
            <sz val="9"/>
            <color indexed="81"/>
            <rFont val="Tahoma"/>
            <family val="2"/>
          </rPr>
          <t>&lt;[[DEVDeals] - [Associated TC Deal (Seq: 1)] - [TC Property Current Stage (Seq: 1)] - [Unit Mix (Seq: 27)] TC Unit Mix Type - Send]&gt;</t>
        </r>
      </text>
    </comment>
    <comment ref="AR349" authorId="0" shapeId="0" xr:uid="{2E999ECD-F2B0-4EF1-BDF7-BAF01EAFA1A6}">
      <text>
        <r>
          <rPr>
            <b/>
            <sz val="9"/>
            <color indexed="81"/>
            <rFont val="Tahoma"/>
            <family val="2"/>
          </rPr>
          <t>&lt;[[DEVDeals] - [Associated TC Deal (Seq: 1)] - [TC Property Current Stage (Seq: 1)] - [Unit Mix (Seq: 27)] Num Units - Send]&gt;</t>
        </r>
      </text>
    </comment>
    <comment ref="AT349" authorId="0" shapeId="0" xr:uid="{87EF0587-182B-4D49-844F-5213317B430F}">
      <text>
        <r>
          <rPr>
            <b/>
            <sz val="9"/>
            <color indexed="81"/>
            <rFont val="Tahoma"/>
            <family val="2"/>
          </rPr>
          <t>&lt;[[DEVDeals] - [Associated TC Deal (Seq: 1)] - [TC Property Current Stage (Seq: 1)] - [Unit Mix (Seq: 27)] Net Rentable Sq Ft - Send]&gt;</t>
        </r>
      </text>
    </comment>
    <comment ref="BA349" authorId="0" shapeId="0" xr:uid="{8219009B-3E4E-4AA0-A11A-C92E6E28D654}">
      <text>
        <r>
          <rPr>
            <b/>
            <sz val="9"/>
            <color indexed="81"/>
            <rFont val="Tahoma"/>
            <family val="2"/>
          </rPr>
          <t>&lt;[[DEVDeals] - [Associated TC Deal (Seq: 1)] - [TC Property Current Stage (Seq: 1)] - [Unit Mix (Seq: 27)] Monthly Rent Per Unit - Send]&gt;</t>
        </r>
      </text>
    </comment>
    <comment ref="I350" authorId="0" shapeId="0" xr:uid="{D995EE0B-639D-469D-887A-E7EB2C3C9251}">
      <text>
        <r>
          <rPr>
            <b/>
            <sz val="9"/>
            <color indexed="81"/>
            <rFont val="Tahoma"/>
            <family val="2"/>
          </rPr>
          <t>&lt;[[DEVDeals] - [Deal Property (Seq: 1)] - [Locations (Seq: 1)] - [Unit Mix (Seq: 28)] Unit Type - Send]&gt;</t>
        </r>
      </text>
    </comment>
    <comment ref="J350" authorId="0" shapeId="0" xr:uid="{50AFFDC4-A096-4F6C-B896-04544AAB138A}">
      <text>
        <r>
          <rPr>
            <b/>
            <sz val="9"/>
            <color indexed="81"/>
            <rFont val="Tahoma"/>
            <family val="2"/>
          </rPr>
          <t>&lt;[[DEVDeals] - [Deal Property (Seq: 1)] - [Locations (Seq: 1)] - [Unit Mix (Seq: 28)] Unit Mix Ami Percent - Send]&gt;</t>
        </r>
      </text>
    </comment>
    <comment ref="L350" authorId="0" shapeId="0" xr:uid="{3B1F884A-5AD3-4B4E-AFF1-A9EC191E862E}">
      <text>
        <r>
          <rPr>
            <b/>
            <sz val="9"/>
            <color indexed="81"/>
            <rFont val="Tahoma"/>
            <family val="2"/>
          </rPr>
          <t>&lt;[[DEVDeals] - [Deal Property (Seq: 1)] - [Locations (Seq: 1)] - [Unit Mix (Seq: 28)] Num Units - Send]&gt;</t>
        </r>
      </text>
    </comment>
    <comment ref="M350" authorId="0" shapeId="0" xr:uid="{200DAD0D-B694-45B9-BDE1-C85C7B6AE107}">
      <text>
        <r>
          <rPr>
            <b/>
            <sz val="9"/>
            <color indexed="81"/>
            <rFont val="Tahoma"/>
            <family val="2"/>
          </rPr>
          <t>&lt;[[DEVDeals] - [Deal Property (Seq: 1)] - [Locations (Seq: 1)] - [Unit Mix (Seq: 28)] - [Unit Mix - User Defined Field Values (Seq: 1)] Proforma Income - Is Deed Restricted - Send]&gt;</t>
        </r>
      </text>
    </comment>
    <comment ref="N350" authorId="0" shapeId="0" xr:uid="{4F283EAA-454D-4B9D-9D36-B06069F8680E}">
      <text>
        <r>
          <rPr>
            <b/>
            <sz val="9"/>
            <color indexed="81"/>
            <rFont val="Tahoma"/>
            <family val="2"/>
          </rPr>
          <t>&lt;[[DEVDeals] - [Deal Property (Seq: 1)] - [Locations (Seq: 1)] - [Unit Mix (Seq: 28)] Square Footage - Send]&gt;</t>
        </r>
      </text>
    </comment>
    <comment ref="AO350" authorId="0" shapeId="0" xr:uid="{E16E681A-0DB0-49FA-8E97-B5D792B3F7D4}">
      <text>
        <r>
          <rPr>
            <b/>
            <sz val="9"/>
            <color indexed="81"/>
            <rFont val="Tahoma"/>
            <family val="2"/>
          </rPr>
          <t>&lt;[[DEVDeals] - [Associated TC Deal (Seq: 1)] - [TC Property Current Stage (Seq: 1)] - [Unit Mix (Seq: 28)] TC Unit Mix Type - Send]&gt;</t>
        </r>
      </text>
    </comment>
    <comment ref="AR350" authorId="0" shapeId="0" xr:uid="{F027B4B2-78D5-4656-8A8F-9A2E7554902A}">
      <text>
        <r>
          <rPr>
            <b/>
            <sz val="9"/>
            <color indexed="81"/>
            <rFont val="Tahoma"/>
            <family val="2"/>
          </rPr>
          <t>&lt;[[DEVDeals] - [Associated TC Deal (Seq: 1)] - [TC Property Current Stage (Seq: 1)] - [Unit Mix (Seq: 28)] Num Units - Send]&gt;</t>
        </r>
      </text>
    </comment>
    <comment ref="AT350" authorId="0" shapeId="0" xr:uid="{C9A41EFA-C980-4A58-8001-6FF03B582B46}">
      <text>
        <r>
          <rPr>
            <b/>
            <sz val="9"/>
            <color indexed="81"/>
            <rFont val="Tahoma"/>
            <family val="2"/>
          </rPr>
          <t>&lt;[[DEVDeals] - [Associated TC Deal (Seq: 1)] - [TC Property Current Stage (Seq: 1)] - [Unit Mix (Seq: 28)] Net Rentable Sq Ft - Send]&gt;</t>
        </r>
      </text>
    </comment>
    <comment ref="BA350" authorId="0" shapeId="0" xr:uid="{CCCD4B33-D98D-47CD-A50B-E84C576C7C9B}">
      <text>
        <r>
          <rPr>
            <b/>
            <sz val="9"/>
            <color indexed="81"/>
            <rFont val="Tahoma"/>
            <family val="2"/>
          </rPr>
          <t>&lt;[[DEVDeals] - [Associated TC Deal (Seq: 1)] - [TC Property Current Stage (Seq: 1)] - [Unit Mix (Seq: 28)] Monthly Rent Per Unit - Send]&gt;</t>
        </r>
      </text>
    </comment>
    <comment ref="I351" authorId="0" shapeId="0" xr:uid="{624F1C89-8041-4173-84D3-F85D4407BDEF}">
      <text>
        <r>
          <rPr>
            <b/>
            <sz val="9"/>
            <color indexed="81"/>
            <rFont val="Tahoma"/>
            <family val="2"/>
          </rPr>
          <t>&lt;[[DEVDeals] - [Deal Property (Seq: 1)] - [Locations (Seq: 1)] - [Unit Mix (Seq: 29)] Unit Type - Send]&gt;</t>
        </r>
      </text>
    </comment>
    <comment ref="J351" authorId="0" shapeId="0" xr:uid="{44004569-38D6-46D1-AE4A-2F25B6B7BDCB}">
      <text>
        <r>
          <rPr>
            <b/>
            <sz val="9"/>
            <color indexed="81"/>
            <rFont val="Tahoma"/>
            <family val="2"/>
          </rPr>
          <t>&lt;[[DEVDeals] - [Deal Property (Seq: 1)] - [Locations (Seq: 1)] - [Unit Mix (Seq: 29)] Unit Mix Ami Percent - Send]&gt;</t>
        </r>
      </text>
    </comment>
    <comment ref="L351" authorId="0" shapeId="0" xr:uid="{E0E417DC-9722-4019-9A72-2B4BBB5486D3}">
      <text>
        <r>
          <rPr>
            <b/>
            <sz val="9"/>
            <color indexed="81"/>
            <rFont val="Tahoma"/>
            <family val="2"/>
          </rPr>
          <t>&lt;[[DEVDeals] - [Deal Property (Seq: 1)] - [Locations (Seq: 1)] - [Unit Mix (Seq: 29)] Num Units - Send]&gt;</t>
        </r>
      </text>
    </comment>
    <comment ref="M351" authorId="0" shapeId="0" xr:uid="{98DB56F6-3430-4C4D-95AC-0D0F0935B2E1}">
      <text>
        <r>
          <rPr>
            <b/>
            <sz val="9"/>
            <color indexed="81"/>
            <rFont val="Tahoma"/>
            <family val="2"/>
          </rPr>
          <t>&lt;[[DEVDeals] - [Deal Property (Seq: 1)] - [Locations (Seq: 1)] - [Unit Mix (Seq: 29)] - [Unit Mix - User Defined Field Values (Seq: 1)] Proforma Income - Is Deed Restricted - Send]&gt;</t>
        </r>
      </text>
    </comment>
    <comment ref="N351" authorId="0" shapeId="0" xr:uid="{BC0F3949-B883-45DB-BD8F-A9C6ED17A8BF}">
      <text>
        <r>
          <rPr>
            <b/>
            <sz val="9"/>
            <color indexed="81"/>
            <rFont val="Tahoma"/>
            <family val="2"/>
          </rPr>
          <t>&lt;[[DEVDeals] - [Deal Property (Seq: 1)] - [Locations (Seq: 1)] - [Unit Mix (Seq: 29)] Square Footage - Send]&gt;</t>
        </r>
      </text>
    </comment>
    <comment ref="AO351" authorId="0" shapeId="0" xr:uid="{6C6F6EC0-24D1-4DEB-BCB7-FFA30D9D8C4D}">
      <text>
        <r>
          <rPr>
            <b/>
            <sz val="9"/>
            <color indexed="81"/>
            <rFont val="Tahoma"/>
            <family val="2"/>
          </rPr>
          <t>&lt;[[DEVDeals] - [Associated TC Deal (Seq: 1)] - [TC Property Current Stage (Seq: 1)] - [Unit Mix (Seq: 29)] TC Unit Mix Type - Send]&gt;</t>
        </r>
      </text>
    </comment>
    <comment ref="AR351" authorId="0" shapeId="0" xr:uid="{D1CBD5AB-1A46-44BD-968D-6E4B522B001A}">
      <text>
        <r>
          <rPr>
            <b/>
            <sz val="9"/>
            <color indexed="81"/>
            <rFont val="Tahoma"/>
            <family val="2"/>
          </rPr>
          <t>&lt;[[DEVDeals] - [Associated TC Deal (Seq: 1)] - [TC Property Current Stage (Seq: 1)] - [Unit Mix (Seq: 29)] Num Units - Send]&gt;</t>
        </r>
      </text>
    </comment>
    <comment ref="AT351" authorId="0" shapeId="0" xr:uid="{FB005D1E-34EA-4B8A-BF20-7B8CE48871C5}">
      <text>
        <r>
          <rPr>
            <b/>
            <sz val="9"/>
            <color indexed="81"/>
            <rFont val="Tahoma"/>
            <family val="2"/>
          </rPr>
          <t>&lt;[[DEVDeals] - [Associated TC Deal (Seq: 1)] - [TC Property Current Stage (Seq: 1)] - [Unit Mix (Seq: 29)] Net Rentable Sq Ft - Send]&gt;</t>
        </r>
      </text>
    </comment>
    <comment ref="BA351" authorId="0" shapeId="0" xr:uid="{3AE7ED5C-9A62-466B-A046-FB2E0391B64E}">
      <text>
        <r>
          <rPr>
            <b/>
            <sz val="9"/>
            <color indexed="81"/>
            <rFont val="Tahoma"/>
            <family val="2"/>
          </rPr>
          <t>&lt;[[DEVDeals] - [Associated TC Deal (Seq: 1)] - [TC Property Current Stage (Seq: 1)] - [Unit Mix (Seq: 29)] Monthly Rent Per Unit - Send]&gt;</t>
        </r>
      </text>
    </comment>
    <comment ref="I352" authorId="0" shapeId="0" xr:uid="{74AE7276-7D6F-4E53-A56D-328B6B662BB4}">
      <text>
        <r>
          <rPr>
            <b/>
            <sz val="9"/>
            <color indexed="81"/>
            <rFont val="Tahoma"/>
            <family val="2"/>
          </rPr>
          <t>&lt;[[DEVDeals] - [Deal Property (Seq: 1)] - [Locations (Seq: 1)] - [Unit Mix (Seq: 30)] Unit Type - Send]&gt;</t>
        </r>
      </text>
    </comment>
    <comment ref="J352" authorId="0" shapeId="0" xr:uid="{921AFC0D-C769-43AD-B8E8-5925B91F155C}">
      <text>
        <r>
          <rPr>
            <b/>
            <sz val="9"/>
            <color indexed="81"/>
            <rFont val="Tahoma"/>
            <family val="2"/>
          </rPr>
          <t>&lt;[[DEVDeals] - [Deal Property (Seq: 1)] - [Locations (Seq: 1)] - [Unit Mix (Seq: 30)] Unit Mix Ami Percent - Send]&gt;</t>
        </r>
      </text>
    </comment>
    <comment ref="L352" authorId="0" shapeId="0" xr:uid="{90AD1522-3A3F-4A79-BDB7-58DD06AA6F5F}">
      <text>
        <r>
          <rPr>
            <b/>
            <sz val="9"/>
            <color indexed="81"/>
            <rFont val="Tahoma"/>
            <family val="2"/>
          </rPr>
          <t>&lt;[[DEVDeals] - [Deal Property (Seq: 1)] - [Locations (Seq: 1)] - [Unit Mix (Seq: 30)] Num Units - Send]&gt;</t>
        </r>
      </text>
    </comment>
    <comment ref="M352" authorId="0" shapeId="0" xr:uid="{D0E7B340-472E-4C10-AD08-92EFFFF983DB}">
      <text>
        <r>
          <rPr>
            <b/>
            <sz val="9"/>
            <color indexed="81"/>
            <rFont val="Tahoma"/>
            <family val="2"/>
          </rPr>
          <t>&lt;[[DEVDeals] - [Deal Property (Seq: 1)] - [Locations (Seq: 1)] - [Unit Mix (Seq: 30)] - [Unit Mix - User Defined Field Values (Seq: 1)] Proforma Income - Is Deed Restricted - Send]&gt;</t>
        </r>
      </text>
    </comment>
    <comment ref="N352" authorId="0" shapeId="0" xr:uid="{7E9D5453-5855-422A-B38D-F4389BA6B6CB}">
      <text>
        <r>
          <rPr>
            <b/>
            <sz val="9"/>
            <color indexed="81"/>
            <rFont val="Tahoma"/>
            <family val="2"/>
          </rPr>
          <t>&lt;[[DEVDeals] - [Deal Property (Seq: 1)] - [Locations (Seq: 1)] - [Unit Mix (Seq: 30)] Square Footage - Send]&gt;</t>
        </r>
      </text>
    </comment>
    <comment ref="AO352" authorId="0" shapeId="0" xr:uid="{4E0DC6E5-C560-45E0-B7B6-287315DDB164}">
      <text>
        <r>
          <rPr>
            <b/>
            <sz val="9"/>
            <color indexed="81"/>
            <rFont val="Tahoma"/>
            <family val="2"/>
          </rPr>
          <t>&lt;[[DEVDeals] - [Associated TC Deal (Seq: 1)] - [TC Property Current Stage (Seq: 1)] - [Unit Mix (Seq: 30)] TC Unit Mix Type - Send]&gt;</t>
        </r>
      </text>
    </comment>
    <comment ref="AR352" authorId="0" shapeId="0" xr:uid="{16F2E8C3-90C6-464A-AB25-B773BAA44F7F}">
      <text>
        <r>
          <rPr>
            <b/>
            <sz val="9"/>
            <color indexed="81"/>
            <rFont val="Tahoma"/>
            <family val="2"/>
          </rPr>
          <t>&lt;[[DEVDeals] - [Associated TC Deal (Seq: 1)] - [TC Property Current Stage (Seq: 1)] - [Unit Mix (Seq: 30)] Num Units - Send]&gt;</t>
        </r>
      </text>
    </comment>
    <comment ref="AT352" authorId="0" shapeId="0" xr:uid="{E749A275-9B64-467E-AB28-8F16491550F7}">
      <text>
        <r>
          <rPr>
            <b/>
            <sz val="9"/>
            <color indexed="81"/>
            <rFont val="Tahoma"/>
            <family val="2"/>
          </rPr>
          <t>&lt;[[DEVDeals] - [Associated TC Deal (Seq: 1)] - [TC Property Current Stage (Seq: 1)] - [Unit Mix (Seq: 30)] Net Rentable Sq Ft - Send]&gt;</t>
        </r>
      </text>
    </comment>
    <comment ref="BA352" authorId="0" shapeId="0" xr:uid="{F7E00C4D-E273-4206-83FE-A8CCB181B353}">
      <text>
        <r>
          <rPr>
            <b/>
            <sz val="9"/>
            <color indexed="81"/>
            <rFont val="Tahoma"/>
            <family val="2"/>
          </rPr>
          <t>&lt;[[DEVDeals] - [Associated TC Deal (Seq: 1)] - [TC Property Current Stage (Seq: 1)] - [Unit Mix (Seq: 30)] Monthly Rent Per Unit - Send]&gt;</t>
        </r>
      </text>
    </comment>
    <comment ref="M353" authorId="0" shapeId="0" xr:uid="{03E434F9-C294-43D9-905B-E909EA6A5897}">
      <text>
        <r>
          <rPr>
            <b/>
            <sz val="9"/>
            <color indexed="81"/>
            <rFont val="Tahoma"/>
            <family val="2"/>
          </rPr>
          <t>&lt;[[DEVDeals] - [Deal Property (Seq: 1)] - [Property - User Defined Field Values (Seq: 1)] Unit Mix - Total Deed Restricted Units - Send]&gt;</t>
        </r>
      </text>
    </comment>
    <comment ref="AR353" authorId="0" shapeId="0" xr:uid="{56D3C3A2-52B0-447B-88E9-D5A5D828CE89}">
      <text>
        <r>
          <rPr>
            <b/>
            <sz val="9"/>
            <color indexed="81"/>
            <rFont val="Tahoma"/>
            <family val="2"/>
          </rPr>
          <t>&lt;[[DEVDeals] - [Associated TC Deal (Seq: 1)] - [TC Property Current Stage (Seq: 1)] Total Units - Send]&gt;</t>
        </r>
      </text>
    </comment>
    <comment ref="J357" authorId="0" shapeId="0" xr:uid="{3BA48CA3-3CF1-45BA-999E-56FABB31A27C}">
      <text>
        <r>
          <rPr>
            <b/>
            <sz val="9"/>
            <color indexed="81"/>
            <rFont val="Tahoma"/>
            <family val="2"/>
          </rPr>
          <t>&lt;[[DEVDeals] - [Deal Property (Seq: 1)] Total Units - Send]&gt;</t>
        </r>
      </text>
    </comment>
    <comment ref="I421" authorId="0" shapeId="0" xr:uid="{A934E970-5F83-43A2-A7B2-27D55E5F4B78}">
      <text>
        <r>
          <rPr>
            <b/>
            <sz val="9"/>
            <color indexed="81"/>
            <rFont val="Tahoma"/>
            <family val="2"/>
          </rPr>
          <t>&lt;[[DEVDeals] - [Deal Property (Seq: 1)] - [Property - User Defined Field Values (Seq: 1)] Unit Mix - SRO Market Units - Both]&gt;</t>
        </r>
      </text>
    </comment>
    <comment ref="AM421" authorId="0" shapeId="0" xr:uid="{3A2A1B0C-E7C4-43BB-A6CE-986C51AD235F}">
      <text>
        <r>
          <rPr>
            <b/>
            <sz val="9"/>
            <color indexed="81"/>
            <rFont val="Tahoma"/>
            <family val="2"/>
          </rPr>
          <t>&lt;[[DEVDeals] - [Associated TC Deal (Seq: 1)] - [TC Property Current Stage (Seq: 1)] - [Units (Seq: 1)] TC Unit Type - Send]&gt;</t>
        </r>
      </text>
    </comment>
    <comment ref="AN421" authorId="0" shapeId="0" xr:uid="{A025D4D6-0D13-4420-8DB1-2470418E6FF3}">
      <text>
        <r>
          <rPr>
            <b/>
            <sz val="9"/>
            <color indexed="81"/>
            <rFont val="Tahoma"/>
            <family val="2"/>
          </rPr>
          <t>&lt;[[DEVDeals] - [Associated TC Deal (Seq: 1)] - [TC Property Current Stage (Seq: 1)] - [Units (Seq: 1)] Num TC Units - Send]&gt;</t>
        </r>
      </text>
    </comment>
    <comment ref="AQ421" authorId="0" shapeId="0" xr:uid="{780D1DD9-12C4-40A0-9C90-B6C6B42312DE}">
      <text>
        <r>
          <rPr>
            <b/>
            <sz val="9"/>
            <color indexed="81"/>
            <rFont val="Tahoma"/>
            <family val="2"/>
          </rPr>
          <t>&lt;[[DEVDeals] - [Associated TC Deal (Seq: 1)] - [TC Property Current Stage (Seq: 1)] - [Units (Seq: 1)] Average Sq Feet - Send]&gt;</t>
        </r>
      </text>
    </comment>
    <comment ref="I422" authorId="0" shapeId="0" xr:uid="{18DCCF27-47FF-4267-BDEA-B2D7AA6ED678}">
      <text>
        <r>
          <rPr>
            <b/>
            <sz val="9"/>
            <color indexed="81"/>
            <rFont val="Tahoma"/>
            <family val="2"/>
          </rPr>
          <t>&lt;[[DEVDeals] - [Deal Property (Seq: 1)] - [Property - User Defined Field Values (Seq: 1)] Unit Mix - Efficiency Market Units - Both]&gt;</t>
        </r>
      </text>
    </comment>
    <comment ref="AM422" authorId="0" shapeId="0" xr:uid="{E8B504F5-33B2-4AF7-91B1-F98B95BEB07B}">
      <text>
        <r>
          <rPr>
            <b/>
            <sz val="9"/>
            <color indexed="81"/>
            <rFont val="Tahoma"/>
            <family val="2"/>
          </rPr>
          <t>&lt;[[DEVDeals] - [Associated TC Deal (Seq: 1)] - [TC Property Current Stage (Seq: 1)] - [Units (Seq: 2)] TC Unit Type - Send]&gt;</t>
        </r>
      </text>
    </comment>
    <comment ref="AN422" authorId="0" shapeId="0" xr:uid="{89D4AA54-8407-4F5F-9F1C-64EB0CE9A82F}">
      <text>
        <r>
          <rPr>
            <b/>
            <sz val="9"/>
            <color indexed="81"/>
            <rFont val="Tahoma"/>
            <family val="2"/>
          </rPr>
          <t>&lt;[[DEVDeals] - [Associated TC Deal (Seq: 1)] - [TC Property Current Stage (Seq: 1)] - [Units (Seq: 2)] Num TC Units - Send]&gt;</t>
        </r>
      </text>
    </comment>
    <comment ref="AQ422" authorId="0" shapeId="0" xr:uid="{09786618-A89A-41EF-88D0-D540C507D8C3}">
      <text>
        <r>
          <rPr>
            <b/>
            <sz val="9"/>
            <color indexed="81"/>
            <rFont val="Tahoma"/>
            <family val="2"/>
          </rPr>
          <t>&lt;[[DEVDeals] - [Associated TC Deal (Seq: 1)] - [TC Property Current Stage (Seq: 1)] - [Units (Seq: 2)] Average Sq Feet - Send]&gt;</t>
        </r>
      </text>
    </comment>
    <comment ref="I423" authorId="0" shapeId="0" xr:uid="{0B91488A-9B61-4C48-8B5C-9519773C7FC2}">
      <text>
        <r>
          <rPr>
            <b/>
            <sz val="9"/>
            <color indexed="81"/>
            <rFont val="Tahoma"/>
            <family val="2"/>
          </rPr>
          <t>&lt;[[DEVDeals] - [Deal Property (Seq: 1)] - [Property - User Defined Field Values (Seq: 1)] Unit Mix - 1BR Market Units - Both]&gt;</t>
        </r>
      </text>
    </comment>
    <comment ref="AM423" authorId="0" shapeId="0" xr:uid="{063F8388-1F5A-431B-A0E5-14B1609676E4}">
      <text>
        <r>
          <rPr>
            <b/>
            <sz val="9"/>
            <color indexed="81"/>
            <rFont val="Tahoma"/>
            <family val="2"/>
          </rPr>
          <t>&lt;[[DEVDeals] - [Associated TC Deal (Seq: 1)] - [TC Property Current Stage (Seq: 1)] - [Units (Seq: 3)] TC Unit Type - Send]&gt;</t>
        </r>
      </text>
    </comment>
    <comment ref="AN423" authorId="0" shapeId="0" xr:uid="{ECD24FB5-7EE4-44FA-A83B-55B202CA1723}">
      <text>
        <r>
          <rPr>
            <b/>
            <sz val="9"/>
            <color indexed="81"/>
            <rFont val="Tahoma"/>
            <family val="2"/>
          </rPr>
          <t>&lt;[[DEVDeals] - [Associated TC Deal (Seq: 1)] - [TC Property Current Stage (Seq: 1)] - [Units (Seq: 3)] Num TC Units - Send]&gt;</t>
        </r>
      </text>
    </comment>
    <comment ref="AQ423" authorId="0" shapeId="0" xr:uid="{0CDA44B2-88D2-41AF-849D-2425D58F3854}">
      <text>
        <r>
          <rPr>
            <b/>
            <sz val="9"/>
            <color indexed="81"/>
            <rFont val="Tahoma"/>
            <family val="2"/>
          </rPr>
          <t>&lt;[[DEVDeals] - [Associated TC Deal (Seq: 1)] - [TC Property Current Stage (Seq: 1)] - [Units (Seq: 3)] Average Sq Feet - Send]&gt;</t>
        </r>
      </text>
    </comment>
    <comment ref="I424" authorId="0" shapeId="0" xr:uid="{5D1BD334-3144-4540-8E69-53C3D55342DE}">
      <text>
        <r>
          <rPr>
            <b/>
            <sz val="9"/>
            <color indexed="81"/>
            <rFont val="Tahoma"/>
            <family val="2"/>
          </rPr>
          <t>&lt;[[DEVDeals] - [Deal Property (Seq: 1)] - [Property - User Defined Field Values (Seq: 1)] Unit Mix - 2BR Market Units - Both]&gt;</t>
        </r>
      </text>
    </comment>
    <comment ref="AM424" authorId="0" shapeId="0" xr:uid="{18059CF0-774A-47A3-A1FA-A82745A96CDA}">
      <text>
        <r>
          <rPr>
            <b/>
            <sz val="9"/>
            <color indexed="81"/>
            <rFont val="Tahoma"/>
            <family val="2"/>
          </rPr>
          <t>&lt;[[DEVDeals] - [Associated TC Deal (Seq: 1)] - [TC Property Current Stage (Seq: 1)] - [Units (Seq: 4)] TC Unit Type - Send]&gt;</t>
        </r>
      </text>
    </comment>
    <comment ref="AN424" authorId="0" shapeId="0" xr:uid="{D5B55307-93E7-4D61-B258-0342C96DFB9C}">
      <text>
        <r>
          <rPr>
            <b/>
            <sz val="9"/>
            <color indexed="81"/>
            <rFont val="Tahoma"/>
            <family val="2"/>
          </rPr>
          <t>&lt;[[DEVDeals] - [Associated TC Deal (Seq: 1)] - [TC Property Current Stage (Seq: 1)] - [Units (Seq: 4)] Num TC Units - Send]&gt;</t>
        </r>
      </text>
    </comment>
    <comment ref="AQ424" authorId="0" shapeId="0" xr:uid="{D7F9E0AC-3016-4764-884B-55F2149913E6}">
      <text>
        <r>
          <rPr>
            <b/>
            <sz val="9"/>
            <color indexed="81"/>
            <rFont val="Tahoma"/>
            <family val="2"/>
          </rPr>
          <t>&lt;[[DEVDeals] - [Associated TC Deal (Seq: 1)] - [TC Property Current Stage (Seq: 1)] - [Units (Seq: 4)] Average Sq Feet - Send]&gt;</t>
        </r>
      </text>
    </comment>
    <comment ref="I425" authorId="0" shapeId="0" xr:uid="{DD08B468-8E14-4CC2-A45A-B7CF56DD9C37}">
      <text>
        <r>
          <rPr>
            <b/>
            <sz val="9"/>
            <color indexed="81"/>
            <rFont val="Tahoma"/>
            <family val="2"/>
          </rPr>
          <t>&lt;[[DEVDeals] - [Deal Property (Seq: 1)] - [Property - User Defined Field Values (Seq: 1)] Unit Mix - 3BR Market Units - Both]&gt;</t>
        </r>
      </text>
    </comment>
    <comment ref="AM425" authorId="0" shapeId="0" xr:uid="{FB1DF18D-C2AE-4AFB-93A7-64B1080E0CDE}">
      <text>
        <r>
          <rPr>
            <b/>
            <sz val="9"/>
            <color indexed="81"/>
            <rFont val="Tahoma"/>
            <family val="2"/>
          </rPr>
          <t>&lt;[[DEVDeals] - [Associated TC Deal (Seq: 1)] - [TC Property Current Stage (Seq: 1)] - [Units (Seq: 5)] TC Unit Type - Send]&gt;</t>
        </r>
      </text>
    </comment>
    <comment ref="AN425" authorId="0" shapeId="0" xr:uid="{FDE2F90F-A5AA-480D-B788-9089F3C0C531}">
      <text>
        <r>
          <rPr>
            <b/>
            <sz val="9"/>
            <color indexed="81"/>
            <rFont val="Tahoma"/>
            <family val="2"/>
          </rPr>
          <t>&lt;[[DEVDeals] - [Associated TC Deal (Seq: 1)] - [TC Property Current Stage (Seq: 1)] - [Units (Seq: 5)] Num TC Units - Send]&gt;</t>
        </r>
      </text>
    </comment>
    <comment ref="AQ425" authorId="0" shapeId="0" xr:uid="{E346B6CB-11A5-42BA-82FD-052219780FA2}">
      <text>
        <r>
          <rPr>
            <b/>
            <sz val="9"/>
            <color indexed="81"/>
            <rFont val="Tahoma"/>
            <family val="2"/>
          </rPr>
          <t>&lt;[[DEVDeals] - [Associated TC Deal (Seq: 1)] - [TC Property Current Stage (Seq: 1)] - [Units (Seq: 5)] Average Sq Feet - Send]&gt;</t>
        </r>
      </text>
    </comment>
    <comment ref="I426" authorId="0" shapeId="0" xr:uid="{9CFF0C0F-7EF4-493C-97FA-49B2B3FAAF2B}">
      <text>
        <r>
          <rPr>
            <b/>
            <sz val="9"/>
            <color indexed="81"/>
            <rFont val="Tahoma"/>
            <family val="2"/>
          </rPr>
          <t>&lt;[[DEVDeals] - [Deal Property (Seq: 1)] - [Property - User Defined Field Values (Seq: 1)] Unit Mix - 4BR Market Units - Both]&gt;</t>
        </r>
      </text>
    </comment>
    <comment ref="AM426" authorId="0" shapeId="0" xr:uid="{99A20A37-8CCB-4129-A0DC-9F915B1D8D97}">
      <text>
        <r>
          <rPr>
            <b/>
            <sz val="9"/>
            <color indexed="81"/>
            <rFont val="Tahoma"/>
            <family val="2"/>
          </rPr>
          <t>&lt;[[DEVDeals] - [Associated TC Deal (Seq: 1)] - [TC Property Current Stage (Seq: 1)] - [Units (Seq: 6)] TC Unit Type - Send]&gt;</t>
        </r>
      </text>
    </comment>
    <comment ref="AN426" authorId="0" shapeId="0" xr:uid="{92FCDD32-ACDE-4A5A-B4BD-964615EF21C7}">
      <text>
        <r>
          <rPr>
            <b/>
            <sz val="9"/>
            <color indexed="81"/>
            <rFont val="Tahoma"/>
            <family val="2"/>
          </rPr>
          <t>&lt;[[DEVDeals] - [Associated TC Deal (Seq: 1)] - [TC Property Current Stage (Seq: 1)] - [Units (Seq: 6)] Num TC Units - Send]&gt;</t>
        </r>
      </text>
    </comment>
    <comment ref="AQ426" authorId="0" shapeId="0" xr:uid="{76FCE60F-DB69-4F56-AA0A-E19244414E67}">
      <text>
        <r>
          <rPr>
            <b/>
            <sz val="9"/>
            <color indexed="81"/>
            <rFont val="Tahoma"/>
            <family val="2"/>
          </rPr>
          <t>&lt;[[DEVDeals] - [Associated TC Deal (Seq: 1)] - [TC Property Current Stage (Seq: 1)] - [Units (Seq: 6)] Average Sq Feet - Send]&gt;</t>
        </r>
      </text>
    </comment>
    <comment ref="I427" authorId="0" shapeId="0" xr:uid="{ED0B6A47-A8CC-41CC-87DF-66EE31F8418A}">
      <text>
        <r>
          <rPr>
            <b/>
            <sz val="9"/>
            <color indexed="81"/>
            <rFont val="Tahoma"/>
            <family val="2"/>
          </rPr>
          <t>&lt;[[DEVDeals] - [Deal Property (Seq: 1)] - [Property - User Defined Field Values (Seq: 1)] Unit Mix - 5BR Market Units - Both]&gt;</t>
        </r>
      </text>
    </comment>
    <comment ref="AM427" authorId="0" shapeId="0" xr:uid="{8B2A2F18-CDCB-45E8-831F-262EF9437F9B}">
      <text>
        <r>
          <rPr>
            <b/>
            <sz val="9"/>
            <color indexed="81"/>
            <rFont val="Tahoma"/>
            <family val="2"/>
          </rPr>
          <t>&lt;[[DEVDeals] - [Associated TC Deal (Seq: 1)] - [TC Property Current Stage (Seq: 1)] - [Units (Seq: 7)] TC Unit Type - Send]&gt;</t>
        </r>
      </text>
    </comment>
    <comment ref="AN427" authorId="0" shapeId="0" xr:uid="{DCF7DE62-0B2D-4378-9B33-D1FFD398B63F}">
      <text>
        <r>
          <rPr>
            <b/>
            <sz val="9"/>
            <color indexed="81"/>
            <rFont val="Tahoma"/>
            <family val="2"/>
          </rPr>
          <t>&lt;[[DEVDeals] - [Associated TC Deal (Seq: 1)] - [TC Property Current Stage (Seq: 1)] - [Units (Seq: 7)] Num TC Units - Send]&gt;</t>
        </r>
      </text>
    </comment>
    <comment ref="AQ427" authorId="0" shapeId="0" xr:uid="{D75E6399-80B4-4E43-812D-30E27DF791DC}">
      <text>
        <r>
          <rPr>
            <b/>
            <sz val="9"/>
            <color indexed="81"/>
            <rFont val="Tahoma"/>
            <family val="2"/>
          </rPr>
          <t>&lt;[[DEVDeals] - [Associated TC Deal (Seq: 1)] - [TC Property Current Stage (Seq: 1)] - [Units (Seq: 7)] Average Sq Feet - Send]&gt;</t>
        </r>
      </text>
    </comment>
    <comment ref="AN428" authorId="0" shapeId="0" xr:uid="{C758C6A4-2414-4FF1-8CB1-0B952D0C991E}">
      <text>
        <r>
          <rPr>
            <b/>
            <sz val="9"/>
            <color indexed="81"/>
            <rFont val="Tahoma"/>
            <family val="2"/>
          </rPr>
          <t>&lt;[[DEVDeals] - [Associated TC Deal (Seq: 1)] - [TC Property Current Stage (Seq: 1)] - [Units (Seq: 1)] Total Rental Units - Send]&gt;</t>
        </r>
      </text>
    </comment>
    <comment ref="AP458" authorId="0" shapeId="0" xr:uid="{049FD662-FB8A-41A0-9D26-AC0B95057642}">
      <text>
        <r>
          <rPr>
            <b/>
            <sz val="9"/>
            <color indexed="81"/>
            <rFont val="Tahoma"/>
            <family val="2"/>
          </rPr>
          <t>&lt;[[DEVDeals] - [Associated TC Deal (Seq: 1)] - [TC Property Current Stage (Seq: 1)] Admin Adv Mrktg - Send]&gt;</t>
        </r>
      </text>
    </comment>
    <comment ref="AP461" authorId="0" shapeId="0" xr:uid="{3246ADC2-7BFA-4B6E-8F5E-21D70D48D36B}">
      <text>
        <r>
          <rPr>
            <b/>
            <sz val="9"/>
            <color indexed="81"/>
            <rFont val="Tahoma"/>
            <family val="2"/>
          </rPr>
          <t>&lt;[[DEVDeals] - [Associated TC Deal (Seq: 1)] - [TC Property Current Stage (Seq: 1)] Admin Misc - Send]&gt;</t>
        </r>
      </text>
    </comment>
    <comment ref="AP462" authorId="0" shapeId="0" xr:uid="{44794128-EB77-4B16-BE5C-A147F3C5C1DB}">
      <text>
        <r>
          <rPr>
            <b/>
            <sz val="9"/>
            <color indexed="81"/>
            <rFont val="Tahoma"/>
            <family val="2"/>
          </rPr>
          <t>&lt;[[DEVDeals] - [Associated TC Deal (Seq: 1)] - [TC Property Current Stage (Seq: 1)] Admin Office Salaries - Send]&gt;</t>
        </r>
      </text>
    </comment>
    <comment ref="AP463" authorId="0" shapeId="0" xr:uid="{7030D118-9D84-4B70-832E-6C10A0C5AE4F}">
      <text>
        <r>
          <rPr>
            <b/>
            <sz val="9"/>
            <color indexed="81"/>
            <rFont val="Tahoma"/>
            <family val="2"/>
          </rPr>
          <t>&lt;[[DEVDeals] - [Associated TC Deal (Seq: 1)] - [TC Property Current Stage (Seq: 1)] Admin Office Supplies - Send]&gt;</t>
        </r>
      </text>
    </comment>
    <comment ref="AP464" authorId="0" shapeId="0" xr:uid="{6C417968-6250-4AFD-AD6C-88DCBFC86898}">
      <text>
        <r>
          <rPr>
            <b/>
            <sz val="9"/>
            <color indexed="81"/>
            <rFont val="Tahoma"/>
            <family val="2"/>
          </rPr>
          <t>&lt;[[DEVDeals] - [Associated TC Deal (Seq: 1)] - [TC Property Current Stage (Seq: 1)] Admin Office Model Apt - Send]&gt;</t>
        </r>
      </text>
    </comment>
    <comment ref="AP466" authorId="0" shapeId="0" xr:uid="{2C8A46BE-8BC4-421D-813E-50BB0AC89960}">
      <text>
        <r>
          <rPr>
            <b/>
            <sz val="9"/>
            <color indexed="81"/>
            <rFont val="Tahoma"/>
            <family val="2"/>
          </rPr>
          <t>&lt;[[DEVDeals] - [Associated TC Deal (Seq: 1)] - [TC Property Current Stage (Seq: 1)] Admin Mgt Fee - Send]&gt;</t>
        </r>
      </text>
    </comment>
    <comment ref="AP467" authorId="0" shapeId="0" xr:uid="{BD6E1CD3-8A22-457E-B007-152604C2F04E}">
      <text>
        <r>
          <rPr>
            <b/>
            <sz val="9"/>
            <color indexed="81"/>
            <rFont val="Tahoma"/>
            <family val="2"/>
          </rPr>
          <t>&lt;[[DEVDeals] - [Associated TC Deal (Seq: 1)] - [TC Property Current Stage (Seq: 1)] Admin Mgt Salaries - Send]&gt;</t>
        </r>
      </text>
    </comment>
    <comment ref="AP468" authorId="0" shapeId="0" xr:uid="{432F0CF4-2C16-43D3-A23F-2FB47B57165E}">
      <text>
        <r>
          <rPr>
            <b/>
            <sz val="9"/>
            <color indexed="81"/>
            <rFont val="Tahoma"/>
            <family val="2"/>
          </rPr>
          <t>&lt;[[DEVDeals] - [Associated TC Deal (Seq: 1)] - [TC Property Current Stage (Seq: 1)] Admin Staff Unit - Send]&gt;</t>
        </r>
      </text>
    </comment>
    <comment ref="AP469" authorId="0" shapeId="0" xr:uid="{68FEFB34-ED3D-494A-B2BC-4BFF9EE0D31F}">
      <text>
        <r>
          <rPr>
            <b/>
            <sz val="9"/>
            <color indexed="81"/>
            <rFont val="Tahoma"/>
            <family val="2"/>
          </rPr>
          <t>&lt;[[DEVDeals] - [Associated TC Deal (Seq: 1)] - [TC Property Current Stage (Seq: 1)] Admin Legal - Send]&gt;</t>
        </r>
      </text>
    </comment>
    <comment ref="AP470" authorId="0" shapeId="0" xr:uid="{040A7B6E-7BB1-4935-93FA-A443AA1668A4}">
      <text>
        <r>
          <rPr>
            <b/>
            <sz val="9"/>
            <color indexed="81"/>
            <rFont val="Tahoma"/>
            <family val="2"/>
          </rPr>
          <t>&lt;[[DEVDeals] - [Associated TC Deal (Seq: 1)] - [TC Property Current Stage (Seq: 1)] Admin Auditing - Send]&gt;</t>
        </r>
      </text>
    </comment>
    <comment ref="AP471" authorId="0" shapeId="0" xr:uid="{0DAAF5EB-55BE-48DC-A316-F070C4BCB885}">
      <text>
        <r>
          <rPr>
            <b/>
            <sz val="9"/>
            <color indexed="81"/>
            <rFont val="Tahoma"/>
            <family val="2"/>
          </rPr>
          <t>&lt;[[DEVDeals] - [Associated TC Deal (Seq: 1)] - [TC Property Current Stage (Seq: 1)] Admin Bookkeeping Fees - Send]&gt;</t>
        </r>
      </text>
    </comment>
    <comment ref="AP472" authorId="0" shapeId="0" xr:uid="{C91941C9-B2CF-4F66-8F82-6897B6E8C4AF}">
      <text>
        <r>
          <rPr>
            <b/>
            <sz val="9"/>
            <color indexed="81"/>
            <rFont val="Tahoma"/>
            <family val="2"/>
          </rPr>
          <t>&lt;[[DEVDeals] - [Associated TC Deal (Seq: 1)] - [TC Property Current Stage (Seq: 1)] Admin Telephone Answering Svc - Send]&gt;</t>
        </r>
      </text>
    </comment>
    <comment ref="AP473" authorId="0" shapeId="0" xr:uid="{41B262B0-1D27-47EC-8FB6-D9735549E2D1}">
      <text>
        <r>
          <rPr>
            <b/>
            <sz val="9"/>
            <color indexed="81"/>
            <rFont val="Tahoma"/>
            <family val="2"/>
          </rPr>
          <t>&lt;[[DEVDeals] - [Associated TC Deal (Seq: 1)] - [TC Property Current Stage (Seq: 1)] Admin Tax Credit Monitoring Fee - Send]&gt;</t>
        </r>
      </text>
    </comment>
    <comment ref="AP480" authorId="0" shapeId="0" xr:uid="{B319B6B4-01D1-426B-82A4-BE498BFB1D7E}">
      <text>
        <r>
          <rPr>
            <b/>
            <sz val="9"/>
            <color indexed="81"/>
            <rFont val="Tahoma"/>
            <family val="2"/>
          </rPr>
          <t>&lt;[[DEVDeals] - [Associated TC Deal (Seq: 1)] - [TC Property Current Stage (Seq: 1)] Utilities Fuel Oil - Send]&gt;</t>
        </r>
      </text>
    </comment>
    <comment ref="AP481" authorId="0" shapeId="0" xr:uid="{D2F14096-4621-4AC0-903E-CC7111AE8DE6}">
      <text>
        <r>
          <rPr>
            <b/>
            <sz val="9"/>
            <color indexed="81"/>
            <rFont val="Tahoma"/>
            <family val="2"/>
          </rPr>
          <t>&lt;[[DEVDeals] - [Associated TC Deal (Seq: 1)] - [TC Property Current Stage (Seq: 1)] Utilities Electricity - Send]&gt;</t>
        </r>
      </text>
    </comment>
    <comment ref="AP482" authorId="0" shapeId="0" xr:uid="{3B1BD811-79EE-49F9-A3FB-B54CA8EB538C}">
      <text>
        <r>
          <rPr>
            <b/>
            <sz val="9"/>
            <color indexed="81"/>
            <rFont val="Tahoma"/>
            <family val="2"/>
          </rPr>
          <t>&lt;[[DEVDeals] - [Associated TC Deal (Seq: 1)] - [TC Property Current Stage (Seq: 1)] Utilities Water - Send]&gt;</t>
        </r>
      </text>
    </comment>
    <comment ref="AP483" authorId="0" shapeId="0" xr:uid="{36CFA073-2125-4769-883E-6A1952339463}">
      <text>
        <r>
          <rPr>
            <b/>
            <sz val="9"/>
            <color indexed="81"/>
            <rFont val="Tahoma"/>
            <family val="2"/>
          </rPr>
          <t>&lt;[[DEVDeals] - [Associated TC Deal (Seq: 1)] - [TC Property Current Stage (Seq: 1)] Utilities Gas - Send]&gt;</t>
        </r>
      </text>
    </comment>
    <comment ref="AP484" authorId="0" shapeId="0" xr:uid="{D41CA79F-56CA-4F43-B2FF-63E78171D2D5}">
      <text>
        <r>
          <rPr>
            <b/>
            <sz val="9"/>
            <color indexed="81"/>
            <rFont val="Tahoma"/>
            <family val="2"/>
          </rPr>
          <t>&lt;[[DEVDeals] - [Associated TC Deal (Seq: 1)] - [TC Property Current Stage (Seq: 1)] Utilities Sewer - Send]&gt;</t>
        </r>
      </text>
    </comment>
    <comment ref="AP489" authorId="0" shapeId="0" xr:uid="{7DAB9AF5-B12D-4028-BD4E-7F8046B8777E}">
      <text>
        <r>
          <rPr>
            <b/>
            <sz val="9"/>
            <color indexed="81"/>
            <rFont val="Tahoma"/>
            <family val="2"/>
          </rPr>
          <t>&lt;[[DEVDeals] - [Associated TC Deal (Seq: 1)] - [TC Property Current Stage (Seq: 1)] Oper Janitor Cleaning Payroll - Send]&gt;</t>
        </r>
      </text>
    </comment>
    <comment ref="AP490" authorId="0" shapeId="0" xr:uid="{FE96E815-66F0-47C0-96F4-6F1A7272D10C}">
      <text>
        <r>
          <rPr>
            <b/>
            <sz val="9"/>
            <color indexed="81"/>
            <rFont val="Tahoma"/>
            <family val="2"/>
          </rPr>
          <t>&lt;[[DEVDeals] - [Associated TC Deal (Seq: 1)] - [TC Property Current Stage (Seq: 1)] Oper Janitor Cleaning Supplies - Send]&gt;</t>
        </r>
      </text>
    </comment>
    <comment ref="AP491" authorId="0" shapeId="0" xr:uid="{B2D41FDF-4225-4DA7-8327-B6EDECEBFB82}">
      <text>
        <r>
          <rPr>
            <b/>
            <sz val="9"/>
            <color indexed="81"/>
            <rFont val="Tahoma"/>
            <family val="2"/>
          </rPr>
          <t>&lt;[[DEVDeals] - [Associated TC Deal (Seq: 1)] - [TC Property Current Stage (Seq: 1)] Oper Janitor Cleaning Contract - Send]&gt;</t>
        </r>
      </text>
    </comment>
    <comment ref="AP492" authorId="0" shapeId="0" xr:uid="{CF01F713-B07D-4201-99E7-D7204D041173}">
      <text>
        <r>
          <rPr>
            <b/>
            <sz val="9"/>
            <color indexed="81"/>
            <rFont val="Tahoma"/>
            <family val="2"/>
          </rPr>
          <t>&lt;[[DEVDeals] - [Associated TC Deal (Seq: 1)] - [TC Property Current Stage (Seq: 1)] Oper Exterminating - Send]&gt;</t>
        </r>
      </text>
    </comment>
    <comment ref="AP494" authorId="0" shapeId="0" xr:uid="{3BD79177-41CE-479D-AB30-4CF69A023C5C}">
      <text>
        <r>
          <rPr>
            <b/>
            <sz val="9"/>
            <color indexed="81"/>
            <rFont val="Tahoma"/>
            <family val="2"/>
          </rPr>
          <t>&lt;[[DEVDeals] - [Associated TC Deal (Seq: 1)] - [TC Property Current Stage (Seq: 1)] Oper Misc - Send]&gt;</t>
        </r>
      </text>
    </comment>
    <comment ref="AP495" authorId="0" shapeId="0" xr:uid="{050BFE0C-2880-45A5-9A70-65AF1F0A7E68}">
      <text>
        <r>
          <rPr>
            <b/>
            <sz val="9"/>
            <color indexed="81"/>
            <rFont val="Tahoma"/>
            <family val="2"/>
          </rPr>
          <t>&lt;[[DEVDeals] - [Associated TC Deal (Seq: 1)] - [TC Property Current Stage (Seq: 1)] Oper Trash Removal - Send]&gt;</t>
        </r>
      </text>
    </comment>
    <comment ref="AP496" authorId="0" shapeId="0" xr:uid="{4E71FA9F-D987-4BBA-B293-ECD544B6C3DF}">
      <text>
        <r>
          <rPr>
            <b/>
            <sz val="9"/>
            <color indexed="81"/>
            <rFont val="Tahoma"/>
            <family val="2"/>
          </rPr>
          <t>&lt;[[DEVDeals] - [Associated TC Deal (Seq: 1)] - [TC Property Current Stage (Seq: 1)] Oper Security Payroll - Send]&gt;</t>
        </r>
      </text>
    </comment>
    <comment ref="AP497" authorId="0" shapeId="0" xr:uid="{0322E9B8-DDF5-4D52-B0A1-9CC4AA0195A0}">
      <text>
        <r>
          <rPr>
            <b/>
            <sz val="9"/>
            <color indexed="81"/>
            <rFont val="Tahoma"/>
            <family val="2"/>
          </rPr>
          <t>&lt;[[DEVDeals] - [Associated TC Deal (Seq: 1)] - [TC Property Current Stage (Seq: 1)] Oper Grounds Payroll - Send]&gt;</t>
        </r>
      </text>
    </comment>
    <comment ref="AP498" authorId="0" shapeId="0" xr:uid="{CCEECC8D-537A-4A8A-933A-B11820C01D34}">
      <text>
        <r>
          <rPr>
            <b/>
            <sz val="9"/>
            <color indexed="81"/>
            <rFont val="Tahoma"/>
            <family val="2"/>
          </rPr>
          <t>&lt;[[DEVDeals] - [Associated TC Deal (Seq: 1)] - [TC Property Current Stage (Seq: 1)] Oper Grounds Supplies - Send]&gt;</t>
        </r>
      </text>
    </comment>
    <comment ref="AP499" authorId="0" shapeId="0" xr:uid="{8167162D-337D-4401-A7A8-28952D129A02}">
      <text>
        <r>
          <rPr>
            <b/>
            <sz val="9"/>
            <color indexed="81"/>
            <rFont val="Tahoma"/>
            <family val="2"/>
          </rPr>
          <t>&lt;[[DEVDeals] - [Associated TC Deal (Seq: 1)] - [TC Property Current Stage (Seq: 1)] Oper Grounds Contract - Send]&gt;</t>
        </r>
      </text>
    </comment>
    <comment ref="AP500" authorId="0" shapeId="0" xr:uid="{DA095B34-7376-4C1E-84A9-7082FCACDEB6}">
      <text>
        <r>
          <rPr>
            <b/>
            <sz val="9"/>
            <color indexed="81"/>
            <rFont val="Tahoma"/>
            <family val="2"/>
          </rPr>
          <t>&lt;[[DEVDeals] - [Associated TC Deal (Seq: 1)] - [TC Property Current Stage (Seq: 1)] Oper Maint Repair Payroll - Send]&gt;</t>
        </r>
      </text>
    </comment>
    <comment ref="AP501" authorId="0" shapeId="0" xr:uid="{452A0CF0-4499-4A4C-9B7A-64FD68E7EEE1}">
      <text>
        <r>
          <rPr>
            <b/>
            <sz val="9"/>
            <color indexed="81"/>
            <rFont val="Tahoma"/>
            <family val="2"/>
          </rPr>
          <t>&lt;[[DEVDeals] - [Associated TC Deal (Seq: 1)] - [TC Property Current Stage (Seq: 1)] Oper Repairs Material - Send]&gt;</t>
        </r>
      </text>
    </comment>
    <comment ref="AP502" authorId="0" shapeId="0" xr:uid="{5BCDFE69-E275-4EB6-B58F-84DC543181CC}">
      <text>
        <r>
          <rPr>
            <b/>
            <sz val="9"/>
            <color indexed="81"/>
            <rFont val="Tahoma"/>
            <family val="2"/>
          </rPr>
          <t>&lt;[[DEVDeals] - [Associated TC Deal (Seq: 1)] - [TC Property Current Stage (Seq: 1)] Oper Repairs Contract - Send]&gt;</t>
        </r>
      </text>
    </comment>
    <comment ref="AP505" authorId="0" shapeId="0" xr:uid="{C24E2B11-BD4D-4D38-8284-26D21034FDCB}">
      <text>
        <r>
          <rPr>
            <b/>
            <sz val="9"/>
            <color indexed="81"/>
            <rFont val="Tahoma"/>
            <family val="2"/>
          </rPr>
          <t>&lt;[[DEVDeals] - [Associated TC Deal (Seq: 1)] - [TC Property Current Stage (Seq: 1)] Oper Elevator Maint Contract - Send]&gt;</t>
        </r>
      </text>
    </comment>
    <comment ref="AP506" authorId="0" shapeId="0" xr:uid="{FB7D7237-D4A7-4DF6-8E25-7B879B980E51}">
      <text>
        <r>
          <rPr>
            <b/>
            <sz val="9"/>
            <color indexed="81"/>
            <rFont val="Tahoma"/>
            <family val="2"/>
          </rPr>
          <t>&lt;[[DEVDeals] - [Associated TC Deal (Seq: 1)] - [TC Property Current Stage (Seq: 1)] Oper Heat Cool Maint Repair - Send]&gt;</t>
        </r>
      </text>
    </comment>
    <comment ref="AP508" authorId="0" shapeId="0" xr:uid="{7504302F-9E5F-4565-B19F-A46A8969481F}">
      <text>
        <r>
          <rPr>
            <b/>
            <sz val="9"/>
            <color indexed="81"/>
            <rFont val="Tahoma"/>
            <family val="2"/>
          </rPr>
          <t>&lt;[[DEVDeals] - [Associated TC Deal (Seq: 1)] - [TC Property Current Stage (Seq: 1)] Oper Snow Removal - Send]&gt;</t>
        </r>
      </text>
    </comment>
    <comment ref="AP510" authorId="0" shapeId="0" xr:uid="{F040B250-E78C-46C7-B5E6-D351FC14F201}">
      <text>
        <r>
          <rPr>
            <b/>
            <sz val="9"/>
            <color indexed="81"/>
            <rFont val="Tahoma"/>
            <family val="2"/>
          </rPr>
          <t>&lt;[[DEVDeals] - [Associated TC Deal (Seq: 1)] - [TC Property Current Stage (Seq: 1)] Oper Decorating Payroll Contract - Send]&gt;</t>
        </r>
      </text>
    </comment>
    <comment ref="AP511" authorId="0" shapeId="0" xr:uid="{85EFF674-6A63-4364-A998-A704384FA256}">
      <text>
        <r>
          <rPr>
            <b/>
            <sz val="9"/>
            <color indexed="81"/>
            <rFont val="Tahoma"/>
            <family val="2"/>
          </rPr>
          <t>&lt;[[DEVDeals] - [Associated TC Deal (Seq: 1)] - [TC Property Current Stage (Seq: 1)] Oper Decorating Supplies - Send]&gt;</t>
        </r>
      </text>
    </comment>
    <comment ref="AP517" authorId="0" shapeId="0" xr:uid="{5E44F081-1415-41D7-8352-6BFC214DEBA2}">
      <text>
        <r>
          <rPr>
            <b/>
            <sz val="9"/>
            <color indexed="81"/>
            <rFont val="Tahoma"/>
            <family val="2"/>
          </rPr>
          <t>&lt;[[DEVDeals] - [Associated TC Deal (Seq: 1)] - [TC Property Current Stage (Seq: 1)] TI Real Estate Taxes - Send]&gt;</t>
        </r>
      </text>
    </comment>
    <comment ref="AP518" authorId="0" shapeId="0" xr:uid="{8A5F255F-5D8A-4153-80B0-918894F5ABF0}">
      <text>
        <r>
          <rPr>
            <b/>
            <sz val="9"/>
            <color indexed="81"/>
            <rFont val="Tahoma"/>
            <family val="2"/>
          </rPr>
          <t>&lt;[[DEVDeals] - [Associated TC Deal (Seq: 1)] - [TC Property Current Stage (Seq: 1)] TI Payroll Taxes - Send]&gt;</t>
        </r>
      </text>
    </comment>
    <comment ref="AP519" authorId="0" shapeId="0" xr:uid="{A67C20E7-48FF-4FF8-80A5-30AF8ADD4B78}">
      <text>
        <r>
          <rPr>
            <b/>
            <sz val="9"/>
            <color indexed="81"/>
            <rFont val="Tahoma"/>
            <family val="2"/>
          </rPr>
          <t>&lt;[[DEVDeals] - [Associated TC Deal (Seq: 1)] - [TC Property Current Stage (Seq: 1)] TI Misc - Send]&gt;</t>
        </r>
      </text>
    </comment>
    <comment ref="AP520" authorId="0" shapeId="0" xr:uid="{B4B0498A-ECCD-423E-A6C7-89FD4671DA12}">
      <text>
        <r>
          <rPr>
            <b/>
            <sz val="9"/>
            <color indexed="81"/>
            <rFont val="Tahoma"/>
            <family val="2"/>
          </rPr>
          <t>&lt;[[DEVDeals] - [Associated TC Deal (Seq: 1)] - [TC Property Current Stage (Seq: 1)] TI Prop Liability Insurance - Send]&gt;</t>
        </r>
      </text>
    </comment>
    <comment ref="AP521" authorId="0" shapeId="0" xr:uid="{76B54D01-8AF7-440A-AB64-04B33D8C2535}">
      <text>
        <r>
          <rPr>
            <b/>
            <sz val="9"/>
            <color indexed="81"/>
            <rFont val="Tahoma"/>
            <family val="2"/>
          </rPr>
          <t>&lt;[[DEVDeals] - [Associated TC Deal (Seq: 1)] - [TC Property Current Stage (Seq: 1)] TI Fidelity Bond - Send]&gt;</t>
        </r>
      </text>
    </comment>
    <comment ref="AP522" authorId="0" shapeId="0" xr:uid="{331D2E40-95F9-4FBC-A7B4-0C46F719CFAC}">
      <text>
        <r>
          <rPr>
            <b/>
            <sz val="9"/>
            <color indexed="81"/>
            <rFont val="Tahoma"/>
            <family val="2"/>
          </rPr>
          <t>&lt;[[DEVDeals] - [Associated TC Deal (Seq: 1)] - [TC Property Current Stage (Seq: 1)] TI Workmans Comp - Send]&gt;</t>
        </r>
      </text>
    </comment>
    <comment ref="AP523" authorId="0" shapeId="0" xr:uid="{8A94B049-7306-4997-88EB-24161CA4E1A4}">
      <text>
        <r>
          <rPr>
            <b/>
            <sz val="9"/>
            <color indexed="81"/>
            <rFont val="Tahoma"/>
            <family val="2"/>
          </rPr>
          <t>&lt;[[DEVDeals] - [Associated TC Deal (Seq: 1)] - [TC Property Current Stage (Seq: 1)] TI Health Ins - Send]&gt;</t>
        </r>
      </text>
    </comment>
    <comment ref="AP524" authorId="0" shapeId="0" xr:uid="{2A785A02-DBEC-49E3-B3C1-BAAE62A5EB5D}">
      <text>
        <r>
          <rPr>
            <b/>
            <sz val="9"/>
            <color indexed="81"/>
            <rFont val="Tahoma"/>
            <family val="2"/>
          </rPr>
          <t>&lt;[[DEVDeals] - [Associated TC Deal (Seq: 1)] - [TC Property Current Stage (Seq: 1)] TI Other Insurance - Send]&gt;</t>
        </r>
      </text>
    </comment>
    <comment ref="AP530" authorId="0" shapeId="0" xr:uid="{B4985804-BA0A-41CD-8888-AEC74BC9CBE4}">
      <text>
        <r>
          <rPr>
            <b/>
            <sz val="9"/>
            <color indexed="81"/>
            <rFont val="Tahoma"/>
            <family val="2"/>
          </rPr>
          <t>&lt;[[DEVDeals] - [Associated TC Deal (Seq: 1)] - [TC Property Current Stage (Seq: 1)] Replacement Reserves - Send]&gt;</t>
        </r>
      </text>
    </comment>
    <comment ref="M547" authorId="0" shapeId="0" xr:uid="{8749B93A-B38C-448B-94B9-C6D1646DC834}">
      <text>
        <r>
          <rPr>
            <b/>
            <sz val="9"/>
            <color indexed="81"/>
            <rFont val="Tahoma"/>
            <family val="2"/>
          </rPr>
          <t>&lt;[[DEVDeals] - [Funding (Seq: 1)] All DEV Funding Sources - Send]&gt;</t>
        </r>
      </text>
    </comment>
    <comment ref="N547" authorId="0" shapeId="0" xr:uid="{E118DCD1-08AB-4EA1-A957-5DC9EF29801A}">
      <text>
        <r>
          <rPr>
            <b/>
            <sz val="9"/>
            <color indexed="81"/>
            <rFont val="Tahoma"/>
            <family val="2"/>
          </rPr>
          <t>&lt;[[DEVDeals] - [Funding (Seq: 1)] Rate - Send]&gt;</t>
        </r>
      </text>
    </comment>
    <comment ref="O547" authorId="0" shapeId="0" xr:uid="{19293F61-4E98-4506-8246-E9B465695D0B}">
      <text>
        <r>
          <rPr>
            <b/>
            <sz val="9"/>
            <color indexed="81"/>
            <rFont val="Tahoma"/>
            <family val="2"/>
          </rPr>
          <t>&lt;[[DEVDeals] - [Funding (Seq: 1)] Term - Send]&gt;</t>
        </r>
      </text>
    </comment>
    <comment ref="P547" authorId="0" shapeId="0" xr:uid="{C4F30976-939C-470B-BFF5-AA2D6E49218A}">
      <text>
        <r>
          <rPr>
            <b/>
            <sz val="9"/>
            <color indexed="81"/>
            <rFont val="Tahoma"/>
            <family val="2"/>
          </rPr>
          <t>&lt;[[DEVDeals] - [Funding (Seq: 1)] Amount - Send]&gt;</t>
        </r>
      </text>
    </comment>
    <comment ref="Q547" authorId="0" shapeId="0" xr:uid="{BA43E78D-0301-4FE9-9A68-C3D317483895}">
      <text>
        <r>
          <rPr>
            <b/>
            <sz val="9"/>
            <color indexed="81"/>
            <rFont val="Tahoma"/>
            <family val="2"/>
          </rPr>
          <t>&lt;[[DEVDeals] - [Funding (Seq: 1)] Debt Service - Send]&gt;</t>
        </r>
      </text>
    </comment>
    <comment ref="R547" authorId="0" shapeId="0" xr:uid="{A148DA79-489B-49B6-94DD-2C5E0F868C36}">
      <text>
        <r>
          <rPr>
            <b/>
            <sz val="9"/>
            <color indexed="81"/>
            <rFont val="Tahoma"/>
            <family val="2"/>
          </rPr>
          <t>&lt;[[DEVDeals] - [Funding (Seq: 1)] Program Type - Send]&gt;</t>
        </r>
      </text>
    </comment>
    <comment ref="AM547" authorId="0" shapeId="0" xr:uid="{7EA46947-3059-49AC-A6E1-61D66CFD4106}">
      <text>
        <r>
          <rPr>
            <b/>
            <sz val="9"/>
            <color indexed="81"/>
            <rFont val="Tahoma"/>
            <family val="2"/>
          </rPr>
          <t>&lt;[[DEVDeals] - [Associated TC Deal (Seq: 1)] - [TC Property Current Stage (Seq: 1)] - [Property Financing (Seq: 1)] Source Name - Send]&gt;</t>
        </r>
      </text>
    </comment>
    <comment ref="AN547" authorId="0" shapeId="0" xr:uid="{D3609F05-A6BF-425C-A6A4-08D3AF647DB8}">
      <text>
        <r>
          <rPr>
            <b/>
            <sz val="9"/>
            <color indexed="81"/>
            <rFont val="Tahoma"/>
            <family val="2"/>
          </rPr>
          <t>&lt;[[DEVDeals] - [Associated TC Deal (Seq: 1)] - [TC Property Current Stage (Seq: 1)] - [Property Financing (Seq: 1)] Financing Type - Send]&gt;</t>
        </r>
      </text>
    </comment>
    <comment ref="AO547" authorId="0" shapeId="0" xr:uid="{75A84D79-734F-4063-8134-D2822DB0E3C2}">
      <text>
        <r>
          <rPr>
            <b/>
            <sz val="9"/>
            <color indexed="81"/>
            <rFont val="Tahoma"/>
            <family val="2"/>
          </rPr>
          <t>&lt;[[DEVDeals] - [Associated TC Deal (Seq: 1)] - [TC Property Current Stage (Seq: 1)] - [Property Financing (Seq: 1)] Interest Rate - Send]&gt;</t>
        </r>
      </text>
    </comment>
    <comment ref="AP547" authorId="0" shapeId="0" xr:uid="{02A0B42A-39F6-4DAD-8656-AA95E5A79BD2}">
      <text>
        <r>
          <rPr>
            <b/>
            <sz val="9"/>
            <color indexed="81"/>
            <rFont val="Tahoma"/>
            <family val="2"/>
          </rPr>
          <t>&lt;[[DEVDeals] - [Associated TC Deal (Seq: 1)] - [TC Property Current Stage (Seq: 1)] - [Property Financing (Seq: 1)] Loan Term - Send]&gt;</t>
        </r>
      </text>
    </comment>
    <comment ref="AQ547" authorId="0" shapeId="0" xr:uid="{591AFDB4-B8F1-49D7-A9CB-C76FF7AC93AF}">
      <text>
        <r>
          <rPr>
            <b/>
            <sz val="9"/>
            <color indexed="81"/>
            <rFont val="Tahoma"/>
            <family val="2"/>
          </rPr>
          <t>&lt;[[DEVDeals] - [Associated TC Deal (Seq: 1)] - [TC Property Current Stage (Seq: 1)] - [Property Financing (Seq: 1)] Amount - Send]&gt;</t>
        </r>
      </text>
    </comment>
    <comment ref="AR547" authorId="0" shapeId="0" xr:uid="{C9653040-1CFE-48A4-9032-05C3FF480780}">
      <text>
        <r>
          <rPr>
            <b/>
            <sz val="9"/>
            <color indexed="81"/>
            <rFont val="Tahoma"/>
            <family val="2"/>
          </rPr>
          <t>&lt;[[DEVDeals] - [Associated TC Deal (Seq: 1)] - [TC Property Current Stage (Seq: 1)] - [Property Financing (Seq: 1)] Annual Debt Svc Cost - Send]&gt;</t>
        </r>
      </text>
    </comment>
    <comment ref="M548" authorId="0" shapeId="0" xr:uid="{B1C42591-78F3-46A8-82CB-5B1B1F3862FD}">
      <text>
        <r>
          <rPr>
            <b/>
            <sz val="9"/>
            <color indexed="81"/>
            <rFont val="Tahoma"/>
            <family val="2"/>
          </rPr>
          <t>&lt;[[DEVDeals] - [Funding (Seq: 2)] All DEV Funding Sources - Send]&gt;</t>
        </r>
      </text>
    </comment>
    <comment ref="N548" authorId="0" shapeId="0" xr:uid="{6304909A-6BCB-4483-B1CC-11A5162662C3}">
      <text>
        <r>
          <rPr>
            <b/>
            <sz val="9"/>
            <color indexed="81"/>
            <rFont val="Tahoma"/>
            <family val="2"/>
          </rPr>
          <t>&lt;[[DEVDeals] - [Funding (Seq: 2)] Rate - Send]&gt;</t>
        </r>
      </text>
    </comment>
    <comment ref="O548" authorId="0" shapeId="0" xr:uid="{1742419D-0397-48E2-B215-EA362512C822}">
      <text>
        <r>
          <rPr>
            <b/>
            <sz val="9"/>
            <color indexed="81"/>
            <rFont val="Tahoma"/>
            <family val="2"/>
          </rPr>
          <t>&lt;[[DEVDeals] - [Funding (Seq: 2)] Term - Send]&gt;</t>
        </r>
      </text>
    </comment>
    <comment ref="P548" authorId="0" shapeId="0" xr:uid="{ABFBD234-6FED-4429-9EE9-2FD8C960348B}">
      <text>
        <r>
          <rPr>
            <b/>
            <sz val="9"/>
            <color indexed="81"/>
            <rFont val="Tahoma"/>
            <family val="2"/>
          </rPr>
          <t>&lt;[[DEVDeals] - [Funding (Seq: 2)] Amount - Send]&gt;</t>
        </r>
      </text>
    </comment>
    <comment ref="Q548" authorId="0" shapeId="0" xr:uid="{F96A1FE0-7084-4C9C-84F3-50E2445EAB49}">
      <text>
        <r>
          <rPr>
            <b/>
            <sz val="9"/>
            <color indexed="81"/>
            <rFont val="Tahoma"/>
            <family val="2"/>
          </rPr>
          <t>&lt;[[DEVDeals] - [Funding (Seq: 2)] Debt Service - Send]&gt;</t>
        </r>
      </text>
    </comment>
    <comment ref="R548" authorId="0" shapeId="0" xr:uid="{CBCE81E3-B9BA-43FE-AAC1-4D17672B213A}">
      <text>
        <r>
          <rPr>
            <b/>
            <sz val="9"/>
            <color indexed="81"/>
            <rFont val="Tahoma"/>
            <family val="2"/>
          </rPr>
          <t>&lt;[[DEVDeals] - [Funding (Seq: 2)] Program Type - Send]&gt;</t>
        </r>
      </text>
    </comment>
    <comment ref="AM548" authorId="0" shapeId="0" xr:uid="{AC8A9959-7472-4C63-ADE7-4F12BF1AE83A}">
      <text>
        <r>
          <rPr>
            <b/>
            <sz val="9"/>
            <color indexed="81"/>
            <rFont val="Tahoma"/>
            <family val="2"/>
          </rPr>
          <t>&lt;[[DEVDeals] - [Associated TC Deal (Seq: 1)] - [TC Property Current Stage (Seq: 1)] - [Property Financing (Seq: 2)] Source Name - Send]&gt;</t>
        </r>
      </text>
    </comment>
    <comment ref="AN548" authorId="0" shapeId="0" xr:uid="{6A1BCC82-1085-4DB8-8B37-3E91DACA3DDA}">
      <text>
        <r>
          <rPr>
            <b/>
            <sz val="9"/>
            <color indexed="81"/>
            <rFont val="Tahoma"/>
            <family val="2"/>
          </rPr>
          <t>&lt;[[DEVDeals] - [Associated TC Deal (Seq: 1)] - [TC Property Current Stage (Seq: 1)] - [Property Financing (Seq: 2)] Financing Type - Send]&gt;</t>
        </r>
      </text>
    </comment>
    <comment ref="AO548" authorId="0" shapeId="0" xr:uid="{1EB3497C-A9DB-4F23-B179-89FBCD06DE80}">
      <text>
        <r>
          <rPr>
            <b/>
            <sz val="9"/>
            <color indexed="81"/>
            <rFont val="Tahoma"/>
            <family val="2"/>
          </rPr>
          <t>&lt;[[DEVDeals] - [Associated TC Deal (Seq: 1)] - [TC Property Current Stage (Seq: 1)] - [Property Financing (Seq: 2)] Interest Rate - Send]&gt;</t>
        </r>
      </text>
    </comment>
    <comment ref="AP548" authorId="0" shapeId="0" xr:uid="{CC24F11E-2A49-4767-993A-B110A7468133}">
      <text>
        <r>
          <rPr>
            <b/>
            <sz val="9"/>
            <color indexed="81"/>
            <rFont val="Tahoma"/>
            <family val="2"/>
          </rPr>
          <t>&lt;[[DEVDeals] - [Associated TC Deal (Seq: 1)] - [TC Property Current Stage (Seq: 1)] - [Property Financing (Seq: 2)] Loan Term - Send]&gt;</t>
        </r>
      </text>
    </comment>
    <comment ref="AQ548" authorId="0" shapeId="0" xr:uid="{64DB6D36-C2CD-40C7-AD91-108319183078}">
      <text>
        <r>
          <rPr>
            <b/>
            <sz val="9"/>
            <color indexed="81"/>
            <rFont val="Tahoma"/>
            <family val="2"/>
          </rPr>
          <t>&lt;[[DEVDeals] - [Associated TC Deal (Seq: 1)] - [TC Property Current Stage (Seq: 1)] - [Property Financing (Seq: 2)] Amount - Send]&gt;</t>
        </r>
      </text>
    </comment>
    <comment ref="AR548" authorId="0" shapeId="0" xr:uid="{868F5B54-69D7-4B38-885A-252234861CE9}">
      <text>
        <r>
          <rPr>
            <b/>
            <sz val="9"/>
            <color indexed="81"/>
            <rFont val="Tahoma"/>
            <family val="2"/>
          </rPr>
          <t>&lt;[[DEVDeals] - [Associated TC Deal (Seq: 1)] - [TC Property Current Stage (Seq: 1)] - [Property Financing (Seq: 2)] Annual Debt Svc Cost - Send]&gt;</t>
        </r>
      </text>
    </comment>
    <comment ref="M549" authorId="0" shapeId="0" xr:uid="{8354D455-843C-43BA-A1E1-7E31D7B166C0}">
      <text>
        <r>
          <rPr>
            <b/>
            <sz val="9"/>
            <color indexed="81"/>
            <rFont val="Tahoma"/>
            <family val="2"/>
          </rPr>
          <t>&lt;[[DEVDeals] - [Funding (Seq: 3)] All DEV Funding Sources - Send]&gt;</t>
        </r>
      </text>
    </comment>
    <comment ref="N549" authorId="0" shapeId="0" xr:uid="{6488ED8A-B5E8-4199-9D40-0AA224CAFCA7}">
      <text>
        <r>
          <rPr>
            <b/>
            <sz val="9"/>
            <color indexed="81"/>
            <rFont val="Tahoma"/>
            <family val="2"/>
          </rPr>
          <t>&lt;[[DEVDeals] - [Funding (Seq: 3)] Rate - Send]&gt;</t>
        </r>
      </text>
    </comment>
    <comment ref="O549" authorId="0" shapeId="0" xr:uid="{FAAD2515-720A-43AE-AD4F-A2BB5C836AC0}">
      <text>
        <r>
          <rPr>
            <b/>
            <sz val="9"/>
            <color indexed="81"/>
            <rFont val="Tahoma"/>
            <family val="2"/>
          </rPr>
          <t>&lt;[[DEVDeals] - [Funding (Seq: 3)] Term - Send]&gt;</t>
        </r>
      </text>
    </comment>
    <comment ref="P549" authorId="0" shapeId="0" xr:uid="{E3BC289F-67C5-44E8-9AF5-49401395ECEB}">
      <text>
        <r>
          <rPr>
            <b/>
            <sz val="9"/>
            <color indexed="81"/>
            <rFont val="Tahoma"/>
            <family val="2"/>
          </rPr>
          <t>&lt;[[DEVDeals] - [Funding (Seq: 3)] Amount - Send]&gt;</t>
        </r>
      </text>
    </comment>
    <comment ref="Q549" authorId="0" shapeId="0" xr:uid="{EFF55546-5FC1-41ED-AE31-10FE1EB463BE}">
      <text>
        <r>
          <rPr>
            <b/>
            <sz val="9"/>
            <color indexed="81"/>
            <rFont val="Tahoma"/>
            <family val="2"/>
          </rPr>
          <t>&lt;[[DEVDeals] - [Funding (Seq: 3)] Debt Service - Send]&gt;</t>
        </r>
      </text>
    </comment>
    <comment ref="R549" authorId="0" shapeId="0" xr:uid="{EC79A6CA-059B-4FED-A089-EDA1E3F8B7C1}">
      <text>
        <r>
          <rPr>
            <b/>
            <sz val="9"/>
            <color indexed="81"/>
            <rFont val="Tahoma"/>
            <family val="2"/>
          </rPr>
          <t>&lt;[[DEVDeals] - [Funding (Seq: 3)] Program Type - Send]&gt;</t>
        </r>
      </text>
    </comment>
    <comment ref="AM549" authorId="0" shapeId="0" xr:uid="{E7E83206-3F87-44F2-9CEB-D0F916787ADD}">
      <text>
        <r>
          <rPr>
            <b/>
            <sz val="9"/>
            <color indexed="81"/>
            <rFont val="Tahoma"/>
            <family val="2"/>
          </rPr>
          <t>&lt;[[DEVDeals] - [Associated TC Deal (Seq: 1)] - [TC Property Current Stage (Seq: 1)] - [Property Financing (Seq: 3)] Source Name - Send]&gt;</t>
        </r>
      </text>
    </comment>
    <comment ref="AN549" authorId="0" shapeId="0" xr:uid="{77B6B3C0-2E0B-412A-9DD1-20076EDD0454}">
      <text>
        <r>
          <rPr>
            <b/>
            <sz val="9"/>
            <color indexed="81"/>
            <rFont val="Tahoma"/>
            <family val="2"/>
          </rPr>
          <t>&lt;[[DEVDeals] - [Associated TC Deal (Seq: 1)] - [TC Property Current Stage (Seq: 1)] - [Property Financing (Seq: 3)] Financing Type - Send]&gt;</t>
        </r>
      </text>
    </comment>
    <comment ref="AO549" authorId="0" shapeId="0" xr:uid="{87D74133-2AFE-4805-B62C-7D4481125657}">
      <text>
        <r>
          <rPr>
            <b/>
            <sz val="9"/>
            <color indexed="81"/>
            <rFont val="Tahoma"/>
            <family val="2"/>
          </rPr>
          <t>&lt;[[DEVDeals] - [Associated TC Deal (Seq: 1)] - [TC Property Current Stage (Seq: 1)] - [Property Financing (Seq: 3)] Interest Rate - Send]&gt;</t>
        </r>
      </text>
    </comment>
    <comment ref="AP549" authorId="0" shapeId="0" xr:uid="{300A582B-3282-4944-A9C7-322C51ED415A}">
      <text>
        <r>
          <rPr>
            <b/>
            <sz val="9"/>
            <color indexed="81"/>
            <rFont val="Tahoma"/>
            <family val="2"/>
          </rPr>
          <t>&lt;[[DEVDeals] - [Associated TC Deal (Seq: 1)] - [TC Property Current Stage (Seq: 1)] - [Property Financing (Seq: 3)] Loan Term - Send]&gt;</t>
        </r>
      </text>
    </comment>
    <comment ref="AQ549" authorId="0" shapeId="0" xr:uid="{A13D467D-C13C-4922-8D40-0FF86B712616}">
      <text>
        <r>
          <rPr>
            <b/>
            <sz val="9"/>
            <color indexed="81"/>
            <rFont val="Tahoma"/>
            <family val="2"/>
          </rPr>
          <t>&lt;[[DEVDeals] - [Associated TC Deal (Seq: 1)] - [TC Property Current Stage (Seq: 1)] - [Property Financing (Seq: 3)] Amount - Send]&gt;</t>
        </r>
      </text>
    </comment>
    <comment ref="AR549" authorId="0" shapeId="0" xr:uid="{C4C6A489-FDF6-43AD-A01E-FEA32F2BE769}">
      <text>
        <r>
          <rPr>
            <b/>
            <sz val="9"/>
            <color indexed="81"/>
            <rFont val="Tahoma"/>
            <family val="2"/>
          </rPr>
          <t>&lt;[[DEVDeals] - [Associated TC Deal (Seq: 1)] - [TC Property Current Stage (Seq: 1)] - [Property Financing (Seq: 3)] Annual Debt Svc Cost - Send]&gt;</t>
        </r>
      </text>
    </comment>
    <comment ref="M550" authorId="0" shapeId="0" xr:uid="{C5D271F1-E8A6-4703-BA97-A2AADCC9FD80}">
      <text>
        <r>
          <rPr>
            <b/>
            <sz val="9"/>
            <color indexed="81"/>
            <rFont val="Tahoma"/>
            <family val="2"/>
          </rPr>
          <t>&lt;[[DEVDeals] - [Funding (Seq: 4)] All DEV Funding Sources - Send]&gt;</t>
        </r>
      </text>
    </comment>
    <comment ref="N550" authorId="0" shapeId="0" xr:uid="{8E713BBB-B6C4-4C19-90CE-E54BBC249F7A}">
      <text>
        <r>
          <rPr>
            <b/>
            <sz val="9"/>
            <color indexed="81"/>
            <rFont val="Tahoma"/>
            <family val="2"/>
          </rPr>
          <t>&lt;[[DEVDeals] - [Funding (Seq: 4)] Rate - Send]&gt;</t>
        </r>
      </text>
    </comment>
    <comment ref="O550" authorId="0" shapeId="0" xr:uid="{DC8B5339-D8D4-49BD-8D1A-A9AD7977370F}">
      <text>
        <r>
          <rPr>
            <b/>
            <sz val="9"/>
            <color indexed="81"/>
            <rFont val="Tahoma"/>
            <family val="2"/>
          </rPr>
          <t>&lt;[[DEVDeals] - [Funding (Seq: 4)] Term - Send]&gt;</t>
        </r>
      </text>
    </comment>
    <comment ref="P550" authorId="0" shapeId="0" xr:uid="{EC99BF98-B24A-4865-9EC0-775BEA69CC0B}">
      <text>
        <r>
          <rPr>
            <b/>
            <sz val="9"/>
            <color indexed="81"/>
            <rFont val="Tahoma"/>
            <family val="2"/>
          </rPr>
          <t>&lt;[[DEVDeals] - [Funding (Seq: 4)] Amount - Send]&gt;</t>
        </r>
      </text>
    </comment>
    <comment ref="Q550" authorId="0" shapeId="0" xr:uid="{D0F63593-3654-4D71-ACD4-72FCCB92A272}">
      <text>
        <r>
          <rPr>
            <b/>
            <sz val="9"/>
            <color indexed="81"/>
            <rFont val="Tahoma"/>
            <family val="2"/>
          </rPr>
          <t>&lt;[[DEVDeals] - [Funding (Seq: 4)] Debt Service - Send]&gt;</t>
        </r>
      </text>
    </comment>
    <comment ref="R550" authorId="0" shapeId="0" xr:uid="{5DED8D96-8D35-4C87-961E-0284F87F9713}">
      <text>
        <r>
          <rPr>
            <b/>
            <sz val="9"/>
            <color indexed="81"/>
            <rFont val="Tahoma"/>
            <family val="2"/>
          </rPr>
          <t>&lt;[[DEVDeals] - [Funding (Seq: 4)] Program Type - Send]&gt;</t>
        </r>
      </text>
    </comment>
    <comment ref="AM550" authorId="0" shapeId="0" xr:uid="{B3498680-68A1-4E36-987E-4B7BA6568347}">
      <text>
        <r>
          <rPr>
            <b/>
            <sz val="9"/>
            <color indexed="81"/>
            <rFont val="Tahoma"/>
            <family val="2"/>
          </rPr>
          <t>&lt;[[DEVDeals] - [Associated TC Deal (Seq: 1)] - [TC Property Current Stage (Seq: 1)] - [Property Financing (Seq: 4)] Source Name - Send]&gt;</t>
        </r>
      </text>
    </comment>
    <comment ref="AN550" authorId="0" shapeId="0" xr:uid="{8C4951A2-9EF5-410F-920F-87D8CBE15C04}">
      <text>
        <r>
          <rPr>
            <b/>
            <sz val="9"/>
            <color indexed="81"/>
            <rFont val="Tahoma"/>
            <family val="2"/>
          </rPr>
          <t>&lt;[[DEVDeals] - [Associated TC Deal (Seq: 1)] - [TC Property Current Stage (Seq: 1)] - [Property Financing (Seq: 4)] Financing Type - Send]&gt;</t>
        </r>
      </text>
    </comment>
    <comment ref="AO550" authorId="0" shapeId="0" xr:uid="{9B51197E-197B-48F1-B2FF-C154B3654558}">
      <text>
        <r>
          <rPr>
            <b/>
            <sz val="9"/>
            <color indexed="81"/>
            <rFont val="Tahoma"/>
            <family val="2"/>
          </rPr>
          <t>&lt;[[DEVDeals] - [Associated TC Deal (Seq: 1)] - [TC Property Current Stage (Seq: 1)] - [Property Financing (Seq: 4)] Interest Rate - Send]&gt;</t>
        </r>
      </text>
    </comment>
    <comment ref="AP550" authorId="0" shapeId="0" xr:uid="{43CCA884-7E9A-401F-9144-B39FB8A8D825}">
      <text>
        <r>
          <rPr>
            <b/>
            <sz val="9"/>
            <color indexed="81"/>
            <rFont val="Tahoma"/>
            <family val="2"/>
          </rPr>
          <t>&lt;[[DEVDeals] - [Associated TC Deal (Seq: 1)] - [TC Property Current Stage (Seq: 1)] - [Property Financing (Seq: 4)] Loan Term - Send]&gt;</t>
        </r>
      </text>
    </comment>
    <comment ref="AQ550" authorId="0" shapeId="0" xr:uid="{AAA3F10F-6646-4FD0-A188-C46212704638}">
      <text>
        <r>
          <rPr>
            <b/>
            <sz val="9"/>
            <color indexed="81"/>
            <rFont val="Tahoma"/>
            <family val="2"/>
          </rPr>
          <t>&lt;[[DEVDeals] - [Associated TC Deal (Seq: 1)] - [TC Property Current Stage (Seq: 1)] - [Property Financing (Seq: 4)] Amount - Send]&gt;</t>
        </r>
      </text>
    </comment>
    <comment ref="AR550" authorId="0" shapeId="0" xr:uid="{62A1196B-1F13-4F11-9BA6-66BB35A1783F}">
      <text>
        <r>
          <rPr>
            <b/>
            <sz val="9"/>
            <color indexed="81"/>
            <rFont val="Tahoma"/>
            <family val="2"/>
          </rPr>
          <t>&lt;[[DEVDeals] - [Associated TC Deal (Seq: 1)] - [TC Property Current Stage (Seq: 1)] - [Property Financing (Seq: 4)] Annual Debt Svc Cost - Send]&gt;</t>
        </r>
      </text>
    </comment>
    <comment ref="M551" authorId="0" shapeId="0" xr:uid="{41F3CF3D-C238-4ACE-B8A3-146358BDF154}">
      <text>
        <r>
          <rPr>
            <b/>
            <sz val="9"/>
            <color indexed="81"/>
            <rFont val="Tahoma"/>
            <family val="2"/>
          </rPr>
          <t>&lt;[[DEVDeals] - [Funding (Seq: 5)] All DEV Funding Sources - Send]&gt;</t>
        </r>
      </text>
    </comment>
    <comment ref="N551" authorId="0" shapeId="0" xr:uid="{CCB5F058-2F04-4EC4-AD22-23D851785846}">
      <text>
        <r>
          <rPr>
            <b/>
            <sz val="9"/>
            <color indexed="81"/>
            <rFont val="Tahoma"/>
            <family val="2"/>
          </rPr>
          <t>&lt;[[DEVDeals] - [Funding (Seq: 5)] Rate - Send]&gt;</t>
        </r>
      </text>
    </comment>
    <comment ref="O551" authorId="0" shapeId="0" xr:uid="{5B6F1599-FCC9-453E-84C3-6D8941350005}">
      <text>
        <r>
          <rPr>
            <b/>
            <sz val="9"/>
            <color indexed="81"/>
            <rFont val="Tahoma"/>
            <family val="2"/>
          </rPr>
          <t>&lt;[[DEVDeals] - [Funding (Seq: 5)] Term - Send]&gt;</t>
        </r>
      </text>
    </comment>
    <comment ref="P551" authorId="0" shapeId="0" xr:uid="{747872AA-FB1C-46F9-A6C9-861C1F3F4132}">
      <text>
        <r>
          <rPr>
            <b/>
            <sz val="9"/>
            <color indexed="81"/>
            <rFont val="Tahoma"/>
            <family val="2"/>
          </rPr>
          <t>&lt;[[DEVDeals] - [Funding (Seq: 5)] Amount - Send]&gt;</t>
        </r>
      </text>
    </comment>
    <comment ref="Q551" authorId="0" shapeId="0" xr:uid="{DEF6EE9D-3CBC-4729-9659-2683ED987BEC}">
      <text>
        <r>
          <rPr>
            <b/>
            <sz val="9"/>
            <color indexed="81"/>
            <rFont val="Tahoma"/>
            <family val="2"/>
          </rPr>
          <t>&lt;[[DEVDeals] - [Funding (Seq: 5)] Debt Service - Send]&gt;</t>
        </r>
      </text>
    </comment>
    <comment ref="R551" authorId="0" shapeId="0" xr:uid="{709061B5-F380-4DD5-98CD-B74804985D4E}">
      <text>
        <r>
          <rPr>
            <b/>
            <sz val="9"/>
            <color indexed="81"/>
            <rFont val="Tahoma"/>
            <family val="2"/>
          </rPr>
          <t>&lt;[[DEVDeals] - [Funding (Seq: 5)] Program Type - Send]&gt;</t>
        </r>
      </text>
    </comment>
    <comment ref="AM551" authorId="0" shapeId="0" xr:uid="{4ED4E53B-0947-4D27-AF85-A7BE059F84A0}">
      <text>
        <r>
          <rPr>
            <b/>
            <sz val="9"/>
            <color indexed="81"/>
            <rFont val="Tahoma"/>
            <family val="2"/>
          </rPr>
          <t>&lt;[[DEVDeals] - [Associated TC Deal (Seq: 1)] - [TC Property Current Stage (Seq: 1)] - [Property Financing (Seq: 5)] Source Name - Send]&gt;</t>
        </r>
      </text>
    </comment>
    <comment ref="AN551" authorId="0" shapeId="0" xr:uid="{3D4756D3-64FF-46D0-8CCC-FC51FC429F9A}">
      <text>
        <r>
          <rPr>
            <b/>
            <sz val="9"/>
            <color indexed="81"/>
            <rFont val="Tahoma"/>
            <family val="2"/>
          </rPr>
          <t>&lt;[[DEVDeals] - [Associated TC Deal (Seq: 1)] - [TC Property Current Stage (Seq: 1)] - [Property Financing (Seq: 5)] Financing Type - Send]&gt;</t>
        </r>
      </text>
    </comment>
    <comment ref="AO551" authorId="0" shapeId="0" xr:uid="{08385D66-DE1B-48E8-9325-2440A50FB4B0}">
      <text>
        <r>
          <rPr>
            <b/>
            <sz val="9"/>
            <color indexed="81"/>
            <rFont val="Tahoma"/>
            <family val="2"/>
          </rPr>
          <t>&lt;[[DEVDeals] - [Associated TC Deal (Seq: 1)] - [TC Property Current Stage (Seq: 1)] - [Property Financing (Seq: 5)] Interest Rate - Send]&gt;</t>
        </r>
      </text>
    </comment>
    <comment ref="AP551" authorId="0" shapeId="0" xr:uid="{DD095B71-E142-47F8-B672-3CA3D9EAB9CB}">
      <text>
        <r>
          <rPr>
            <b/>
            <sz val="9"/>
            <color indexed="81"/>
            <rFont val="Tahoma"/>
            <family val="2"/>
          </rPr>
          <t>&lt;[[DEVDeals] - [Associated TC Deal (Seq: 1)] - [TC Property Current Stage (Seq: 1)] - [Property Financing (Seq: 5)] Loan Term - Send]&gt;</t>
        </r>
      </text>
    </comment>
    <comment ref="AQ551" authorId="0" shapeId="0" xr:uid="{5877CD38-ADF5-4782-AF77-62411C894FE0}">
      <text>
        <r>
          <rPr>
            <b/>
            <sz val="9"/>
            <color indexed="81"/>
            <rFont val="Tahoma"/>
            <family val="2"/>
          </rPr>
          <t>&lt;[[DEVDeals] - [Associated TC Deal (Seq: 1)] - [TC Property Current Stage (Seq: 1)] - [Property Financing (Seq: 5)] Amount - Send]&gt;</t>
        </r>
      </text>
    </comment>
    <comment ref="AR551" authorId="0" shapeId="0" xr:uid="{3541D518-4682-431D-8151-A4CC3212D433}">
      <text>
        <r>
          <rPr>
            <b/>
            <sz val="9"/>
            <color indexed="81"/>
            <rFont val="Tahoma"/>
            <family val="2"/>
          </rPr>
          <t>&lt;[[DEVDeals] - [Associated TC Deal (Seq: 1)] - [TC Property Current Stage (Seq: 1)] - [Property Financing (Seq: 5)] Annual Debt Svc Cost - Send]&gt;</t>
        </r>
      </text>
    </comment>
    <comment ref="M552" authorId="0" shapeId="0" xr:uid="{A0BAF006-F57F-4E0A-87EB-2527939C1CC9}">
      <text>
        <r>
          <rPr>
            <b/>
            <sz val="9"/>
            <color indexed="81"/>
            <rFont val="Tahoma"/>
            <family val="2"/>
          </rPr>
          <t>&lt;[[DEVDeals] - [Funding (Seq: 6)] All DEV Funding Sources - Send]&gt;</t>
        </r>
      </text>
    </comment>
    <comment ref="N552" authorId="0" shapeId="0" xr:uid="{60DE2E5E-B937-4069-A6D6-FDAD308FAB22}">
      <text>
        <r>
          <rPr>
            <b/>
            <sz val="9"/>
            <color indexed="81"/>
            <rFont val="Tahoma"/>
            <family val="2"/>
          </rPr>
          <t>&lt;[[DEVDeals] - [Funding (Seq: 6)] Rate - Send]&gt;</t>
        </r>
      </text>
    </comment>
    <comment ref="O552" authorId="0" shapeId="0" xr:uid="{8F2F9CF0-A112-45AD-94C3-04E8489A9671}">
      <text>
        <r>
          <rPr>
            <b/>
            <sz val="9"/>
            <color indexed="81"/>
            <rFont val="Tahoma"/>
            <family val="2"/>
          </rPr>
          <t>&lt;[[DEVDeals] - [Funding (Seq: 6)] Term - Send]&gt;</t>
        </r>
      </text>
    </comment>
    <comment ref="P552" authorId="0" shapeId="0" xr:uid="{EEEB94C6-DB11-47AD-AD04-9B473BB27924}">
      <text>
        <r>
          <rPr>
            <b/>
            <sz val="9"/>
            <color indexed="81"/>
            <rFont val="Tahoma"/>
            <family val="2"/>
          </rPr>
          <t>&lt;[[DEVDeals] - [Funding (Seq: 6)] Amount - Send]&gt;</t>
        </r>
      </text>
    </comment>
    <comment ref="Q552" authorId="0" shapeId="0" xr:uid="{A7FAE829-2694-4E30-AD66-B94D26E75036}">
      <text>
        <r>
          <rPr>
            <b/>
            <sz val="9"/>
            <color indexed="81"/>
            <rFont val="Tahoma"/>
            <family val="2"/>
          </rPr>
          <t>&lt;[[DEVDeals] - [Funding (Seq: 6)] Debt Service - Send]&gt;</t>
        </r>
      </text>
    </comment>
    <comment ref="R552" authorId="0" shapeId="0" xr:uid="{D98F4E78-FD50-4D7A-95EC-A4BBAF5B298A}">
      <text>
        <r>
          <rPr>
            <b/>
            <sz val="9"/>
            <color indexed="81"/>
            <rFont val="Tahoma"/>
            <family val="2"/>
          </rPr>
          <t>&lt;[[DEVDeals] - [Funding (Seq: 6)] Program Type - Send]&gt;</t>
        </r>
      </text>
    </comment>
    <comment ref="AM552" authorId="0" shapeId="0" xr:uid="{A57F1D3D-02D3-45B6-9DAD-2840250F5FAC}">
      <text>
        <r>
          <rPr>
            <b/>
            <sz val="9"/>
            <color indexed="81"/>
            <rFont val="Tahoma"/>
            <family val="2"/>
          </rPr>
          <t>&lt;[[DEVDeals] - [Associated TC Deal (Seq: 1)] - [TC Property Current Stage (Seq: 1)] - [Property Financing (Seq: 6)] Source Name - Send]&gt;</t>
        </r>
      </text>
    </comment>
    <comment ref="AN552" authorId="0" shapeId="0" xr:uid="{66AA9A68-551F-494C-8071-CD91AED50EF7}">
      <text>
        <r>
          <rPr>
            <b/>
            <sz val="9"/>
            <color indexed="81"/>
            <rFont val="Tahoma"/>
            <family val="2"/>
          </rPr>
          <t>&lt;[[DEVDeals] - [Associated TC Deal (Seq: 1)] - [TC Property Current Stage (Seq: 1)] - [Property Financing (Seq: 6)] Financing Type - Send]&gt;</t>
        </r>
      </text>
    </comment>
    <comment ref="AO552" authorId="0" shapeId="0" xr:uid="{2CA80527-E711-4AAC-9472-DC6D20114BF6}">
      <text>
        <r>
          <rPr>
            <b/>
            <sz val="9"/>
            <color indexed="81"/>
            <rFont val="Tahoma"/>
            <family val="2"/>
          </rPr>
          <t>&lt;[[DEVDeals] - [Associated TC Deal (Seq: 1)] - [TC Property Current Stage (Seq: 1)] - [Property Financing (Seq: 6)] Interest Rate - Send]&gt;</t>
        </r>
      </text>
    </comment>
    <comment ref="AP552" authorId="0" shapeId="0" xr:uid="{2BDC756C-BA53-4A5A-AB5B-43008B6E08BC}">
      <text>
        <r>
          <rPr>
            <b/>
            <sz val="9"/>
            <color indexed="81"/>
            <rFont val="Tahoma"/>
            <family val="2"/>
          </rPr>
          <t>&lt;[[DEVDeals] - [Associated TC Deal (Seq: 1)] - [TC Property Current Stage (Seq: 1)] - [Property Financing (Seq: 6)] Loan Term - Send]&gt;</t>
        </r>
      </text>
    </comment>
    <comment ref="AQ552" authorId="0" shapeId="0" xr:uid="{E39632D2-1232-48A0-AFC7-5F267DE4372D}">
      <text>
        <r>
          <rPr>
            <b/>
            <sz val="9"/>
            <color indexed="81"/>
            <rFont val="Tahoma"/>
            <family val="2"/>
          </rPr>
          <t>&lt;[[DEVDeals] - [Associated TC Deal (Seq: 1)] - [TC Property Current Stage (Seq: 1)] - [Property Financing (Seq: 6)] Amount - Send]&gt;</t>
        </r>
      </text>
    </comment>
    <comment ref="AR552" authorId="0" shapeId="0" xr:uid="{25F85205-6B1B-4BD5-A3F0-F9668CE9939E}">
      <text>
        <r>
          <rPr>
            <b/>
            <sz val="9"/>
            <color indexed="81"/>
            <rFont val="Tahoma"/>
            <family val="2"/>
          </rPr>
          <t>&lt;[[DEVDeals] - [Associated TC Deal (Seq: 1)] - [TC Property Current Stage (Seq: 1)] - [Property Financing (Seq: 6)] Annual Debt Svc Cost - Send]&gt;</t>
        </r>
      </text>
    </comment>
    <comment ref="M553" authorId="0" shapeId="0" xr:uid="{030A21B5-B55C-4BB3-AB25-12FDC9D83DE8}">
      <text>
        <r>
          <rPr>
            <b/>
            <sz val="9"/>
            <color indexed="81"/>
            <rFont val="Tahoma"/>
            <family val="2"/>
          </rPr>
          <t>&lt;[[DEVDeals] - [Funding (Seq: 7)] All DEV Funding Sources - Send]&gt;</t>
        </r>
      </text>
    </comment>
    <comment ref="N553" authorId="0" shapeId="0" xr:uid="{8BCF46AC-90AF-4516-9104-CB18B216546C}">
      <text>
        <r>
          <rPr>
            <b/>
            <sz val="9"/>
            <color indexed="81"/>
            <rFont val="Tahoma"/>
            <family val="2"/>
          </rPr>
          <t>&lt;[[DEVDeals] - [Funding (Seq: 7)] Rate - Send]&gt;</t>
        </r>
      </text>
    </comment>
    <comment ref="O553" authorId="0" shapeId="0" xr:uid="{DA7428BF-C6DE-424C-B1C5-2291B6A4CE48}">
      <text>
        <r>
          <rPr>
            <b/>
            <sz val="9"/>
            <color indexed="81"/>
            <rFont val="Tahoma"/>
            <family val="2"/>
          </rPr>
          <t>&lt;[[DEVDeals] - [Funding (Seq: 7)] Term - Send]&gt;</t>
        </r>
      </text>
    </comment>
    <comment ref="P553" authorId="0" shapeId="0" xr:uid="{67151D36-31F8-4B09-9A26-E1DA5920D8FD}">
      <text>
        <r>
          <rPr>
            <b/>
            <sz val="9"/>
            <color indexed="81"/>
            <rFont val="Tahoma"/>
            <family val="2"/>
          </rPr>
          <t>&lt;[[DEVDeals] - [Funding (Seq: 7)] Amount - Send]&gt;</t>
        </r>
      </text>
    </comment>
    <comment ref="Q553" authorId="0" shapeId="0" xr:uid="{EB779973-4444-430B-8EE6-61137A5AE0A5}">
      <text>
        <r>
          <rPr>
            <b/>
            <sz val="9"/>
            <color indexed="81"/>
            <rFont val="Tahoma"/>
            <family val="2"/>
          </rPr>
          <t>&lt;[[DEVDeals] - [Funding (Seq: 7)] Debt Service - Send]&gt;</t>
        </r>
      </text>
    </comment>
    <comment ref="R553" authorId="0" shapeId="0" xr:uid="{4F327146-FB9F-4929-BCED-9FEC1F5D3ACF}">
      <text>
        <r>
          <rPr>
            <b/>
            <sz val="9"/>
            <color indexed="81"/>
            <rFont val="Tahoma"/>
            <family val="2"/>
          </rPr>
          <t>&lt;[[DEVDeals] - [Funding (Seq: 7)] Program Type - Send]&gt;</t>
        </r>
      </text>
    </comment>
    <comment ref="AM553" authorId="0" shapeId="0" xr:uid="{6C9BC421-37AB-471C-917E-924688C78763}">
      <text>
        <r>
          <rPr>
            <b/>
            <sz val="9"/>
            <color indexed="81"/>
            <rFont val="Tahoma"/>
            <family val="2"/>
          </rPr>
          <t>&lt;[[DEVDeals] - [Associated TC Deal (Seq: 1)] - [TC Property Current Stage (Seq: 1)] - [Property Financing (Seq: 7)] Source Name - Send]&gt;</t>
        </r>
      </text>
    </comment>
    <comment ref="AN553" authorId="0" shapeId="0" xr:uid="{4DEDE5EE-269C-47B8-9F84-0A9A32AE5BD4}">
      <text>
        <r>
          <rPr>
            <b/>
            <sz val="9"/>
            <color indexed="81"/>
            <rFont val="Tahoma"/>
            <family val="2"/>
          </rPr>
          <t>&lt;[[DEVDeals] - [Associated TC Deal (Seq: 1)] - [TC Property Current Stage (Seq: 1)] - [Property Financing (Seq: 7)] Financing Type - Send]&gt;</t>
        </r>
      </text>
    </comment>
    <comment ref="AO553" authorId="0" shapeId="0" xr:uid="{B565BEBF-B1D2-4CF6-9747-20C18789ADEE}">
      <text>
        <r>
          <rPr>
            <b/>
            <sz val="9"/>
            <color indexed="81"/>
            <rFont val="Tahoma"/>
            <family val="2"/>
          </rPr>
          <t>&lt;[[DEVDeals] - [Associated TC Deal (Seq: 1)] - [TC Property Current Stage (Seq: 1)] - [Property Financing (Seq: 7)] Interest Rate - Send]&gt;</t>
        </r>
      </text>
    </comment>
    <comment ref="AP553" authorId="0" shapeId="0" xr:uid="{0AD65837-F142-489A-A9CC-687AB20F0A27}">
      <text>
        <r>
          <rPr>
            <b/>
            <sz val="9"/>
            <color indexed="81"/>
            <rFont val="Tahoma"/>
            <family val="2"/>
          </rPr>
          <t>&lt;[[DEVDeals] - [Associated TC Deal (Seq: 1)] - [TC Property Current Stage (Seq: 1)] - [Property Financing (Seq: 7)] Loan Term - Send]&gt;</t>
        </r>
      </text>
    </comment>
    <comment ref="AQ553" authorId="0" shapeId="0" xr:uid="{D396F8D0-1CB9-4EF4-A4C7-EA992BDEF4AC}">
      <text>
        <r>
          <rPr>
            <b/>
            <sz val="9"/>
            <color indexed="81"/>
            <rFont val="Tahoma"/>
            <family val="2"/>
          </rPr>
          <t>&lt;[[DEVDeals] - [Associated TC Deal (Seq: 1)] - [TC Property Current Stage (Seq: 1)] - [Property Financing (Seq: 7)] Amount - Send]&gt;</t>
        </r>
      </text>
    </comment>
    <comment ref="AR553" authorId="0" shapeId="0" xr:uid="{BD28FC33-5ADA-450E-BE71-6826E14D0596}">
      <text>
        <r>
          <rPr>
            <b/>
            <sz val="9"/>
            <color indexed="81"/>
            <rFont val="Tahoma"/>
            <family val="2"/>
          </rPr>
          <t>&lt;[[DEVDeals] - [Associated TC Deal (Seq: 1)] - [TC Property Current Stage (Seq: 1)] - [Property Financing (Seq: 7)] Annual Debt Svc Cost - Send]&gt;</t>
        </r>
      </text>
    </comment>
    <comment ref="M554" authorId="0" shapeId="0" xr:uid="{3BCA427B-67C3-4CC6-8BEA-EC54FFB4A755}">
      <text>
        <r>
          <rPr>
            <b/>
            <sz val="9"/>
            <color indexed="81"/>
            <rFont val="Tahoma"/>
            <family val="2"/>
          </rPr>
          <t>&lt;[[DEVDeals] - [Funding (Seq: 8)] All DEV Funding Sources - Send]&gt;</t>
        </r>
      </text>
    </comment>
    <comment ref="N554" authorId="0" shapeId="0" xr:uid="{5CAD122A-4E1B-408C-B62D-576694604DF8}">
      <text>
        <r>
          <rPr>
            <b/>
            <sz val="9"/>
            <color indexed="81"/>
            <rFont val="Tahoma"/>
            <family val="2"/>
          </rPr>
          <t>&lt;[[DEVDeals] - [Funding (Seq: 8)] Rate - Send]&gt;</t>
        </r>
      </text>
    </comment>
    <comment ref="O554" authorId="0" shapeId="0" xr:uid="{E4B660D7-19D3-49D2-845B-3E688ECDED30}">
      <text>
        <r>
          <rPr>
            <b/>
            <sz val="9"/>
            <color indexed="81"/>
            <rFont val="Tahoma"/>
            <family val="2"/>
          </rPr>
          <t>&lt;[[DEVDeals] - [Funding (Seq: 8)] Term - Send]&gt;</t>
        </r>
      </text>
    </comment>
    <comment ref="P554" authorId="0" shapeId="0" xr:uid="{BD4D46D7-3AA6-48B3-8F0A-76B2155C3BF4}">
      <text>
        <r>
          <rPr>
            <b/>
            <sz val="9"/>
            <color indexed="81"/>
            <rFont val="Tahoma"/>
            <family val="2"/>
          </rPr>
          <t>&lt;[[DEVDeals] - [Funding (Seq: 8)] Amount - Send]&gt;</t>
        </r>
      </text>
    </comment>
    <comment ref="Q554" authorId="0" shapeId="0" xr:uid="{1EE0F535-26B3-44BE-A560-A7F7D06969C8}">
      <text>
        <r>
          <rPr>
            <b/>
            <sz val="9"/>
            <color indexed="81"/>
            <rFont val="Tahoma"/>
            <family val="2"/>
          </rPr>
          <t>&lt;[[DEVDeals] - [Funding (Seq: 8)] Debt Service - Send]&gt;</t>
        </r>
      </text>
    </comment>
    <comment ref="R554" authorId="0" shapeId="0" xr:uid="{E3496140-8FB1-4591-9D46-7F73EDC7748D}">
      <text>
        <r>
          <rPr>
            <b/>
            <sz val="9"/>
            <color indexed="81"/>
            <rFont val="Tahoma"/>
            <family val="2"/>
          </rPr>
          <t>&lt;[[DEVDeals] - [Funding (Seq: 8)] Program Type - Send]&gt;</t>
        </r>
      </text>
    </comment>
    <comment ref="AM554" authorId="0" shapeId="0" xr:uid="{EC4013B3-28F0-402F-80E7-3F87F67A9359}">
      <text>
        <r>
          <rPr>
            <b/>
            <sz val="9"/>
            <color indexed="81"/>
            <rFont val="Tahoma"/>
            <family val="2"/>
          </rPr>
          <t>&lt;[[DEVDeals] - [Associated TC Deal (Seq: 1)] - [TC Property Current Stage (Seq: 1)] - [Property Financing (Seq: 8)] Source Name - Send]&gt;</t>
        </r>
      </text>
    </comment>
    <comment ref="AN554" authorId="0" shapeId="0" xr:uid="{3AEB62BA-4FF6-457D-9D16-EBB4C8EF2050}">
      <text>
        <r>
          <rPr>
            <b/>
            <sz val="9"/>
            <color indexed="81"/>
            <rFont val="Tahoma"/>
            <family val="2"/>
          </rPr>
          <t>&lt;[[DEVDeals] - [Associated TC Deal (Seq: 1)] - [TC Property Current Stage (Seq: 1)] - [Property Financing (Seq: 8)] Financing Type - Send]&gt;</t>
        </r>
      </text>
    </comment>
    <comment ref="AO554" authorId="0" shapeId="0" xr:uid="{B625D927-7386-416A-89A1-F5CA6E2FFE23}">
      <text>
        <r>
          <rPr>
            <b/>
            <sz val="9"/>
            <color indexed="81"/>
            <rFont val="Tahoma"/>
            <family val="2"/>
          </rPr>
          <t>&lt;[[DEVDeals] - [Associated TC Deal (Seq: 1)] - [TC Property Current Stage (Seq: 1)] - [Property Financing (Seq: 8)] Interest Rate - Send]&gt;</t>
        </r>
      </text>
    </comment>
    <comment ref="AP554" authorId="0" shapeId="0" xr:uid="{8A439C3A-51ED-41DF-B531-40C7CF7C14DF}">
      <text>
        <r>
          <rPr>
            <b/>
            <sz val="9"/>
            <color indexed="81"/>
            <rFont val="Tahoma"/>
            <family val="2"/>
          </rPr>
          <t>&lt;[[DEVDeals] - [Associated TC Deal (Seq: 1)] - [TC Property Current Stage (Seq: 1)] - [Property Financing (Seq: 8)] Loan Term - Send]&gt;</t>
        </r>
      </text>
    </comment>
    <comment ref="AQ554" authorId="0" shapeId="0" xr:uid="{09A05AB5-B5F0-4C85-8103-279ABDEF17C4}">
      <text>
        <r>
          <rPr>
            <b/>
            <sz val="9"/>
            <color indexed="81"/>
            <rFont val="Tahoma"/>
            <family val="2"/>
          </rPr>
          <t>&lt;[[DEVDeals] - [Associated TC Deal (Seq: 1)] - [TC Property Current Stage (Seq: 1)] - [Property Financing (Seq: 8)] Amount - Send]&gt;</t>
        </r>
      </text>
    </comment>
    <comment ref="AR554" authorId="0" shapeId="0" xr:uid="{B4C6A6C4-3F2D-4764-97D9-6DE029107A73}">
      <text>
        <r>
          <rPr>
            <b/>
            <sz val="9"/>
            <color indexed="81"/>
            <rFont val="Tahoma"/>
            <family val="2"/>
          </rPr>
          <t>&lt;[[DEVDeals] - [Associated TC Deal (Seq: 1)] - [TC Property Current Stage (Seq: 1)] - [Property Financing (Seq: 8)] Annual Debt Svc Cost - Send]&gt;</t>
        </r>
      </text>
    </comment>
    <comment ref="M555" authorId="0" shapeId="0" xr:uid="{247E0A16-300B-417A-ADCF-6D5CDACE61AB}">
      <text>
        <r>
          <rPr>
            <b/>
            <sz val="9"/>
            <color indexed="81"/>
            <rFont val="Tahoma"/>
            <family val="2"/>
          </rPr>
          <t>&lt;[[DEVDeals] - [Funding (Seq: 9)] All DEV Funding Sources - Send]&gt;</t>
        </r>
      </text>
    </comment>
    <comment ref="N555" authorId="0" shapeId="0" xr:uid="{0A5BA34F-D5F0-4812-9357-0D71D4347C92}">
      <text>
        <r>
          <rPr>
            <b/>
            <sz val="9"/>
            <color indexed="81"/>
            <rFont val="Tahoma"/>
            <family val="2"/>
          </rPr>
          <t>&lt;[[DEVDeals] - [Funding (Seq: 9)] Rate - Send]&gt;</t>
        </r>
      </text>
    </comment>
    <comment ref="O555" authorId="0" shapeId="0" xr:uid="{C60B3771-DF28-44AD-A627-AD427C349C29}">
      <text>
        <r>
          <rPr>
            <b/>
            <sz val="9"/>
            <color indexed="81"/>
            <rFont val="Tahoma"/>
            <family val="2"/>
          </rPr>
          <t>&lt;[[DEVDeals] - [Funding (Seq: 9)] Term - Send]&gt;</t>
        </r>
      </text>
    </comment>
    <comment ref="P555" authorId="0" shapeId="0" xr:uid="{5858A485-CE27-44D9-9896-199E685B1816}">
      <text>
        <r>
          <rPr>
            <b/>
            <sz val="9"/>
            <color indexed="81"/>
            <rFont val="Tahoma"/>
            <family val="2"/>
          </rPr>
          <t>&lt;[[DEVDeals] - [Funding (Seq: 9)] Amount - Send]&gt;</t>
        </r>
      </text>
    </comment>
    <comment ref="Q555" authorId="0" shapeId="0" xr:uid="{4315AC3B-3290-4947-B535-80729396ACC0}">
      <text>
        <r>
          <rPr>
            <b/>
            <sz val="9"/>
            <color indexed="81"/>
            <rFont val="Tahoma"/>
            <family val="2"/>
          </rPr>
          <t>&lt;[[DEVDeals] - [Funding (Seq: 9)] Debt Service - Send]&gt;</t>
        </r>
      </text>
    </comment>
    <comment ref="R555" authorId="0" shapeId="0" xr:uid="{C49D7319-6907-4939-9039-0A39B30B3145}">
      <text>
        <r>
          <rPr>
            <b/>
            <sz val="9"/>
            <color indexed="81"/>
            <rFont val="Tahoma"/>
            <family val="2"/>
          </rPr>
          <t>&lt;[[DEVDeals] - [Funding (Seq: 9)] Program Type - Send]&gt;</t>
        </r>
      </text>
    </comment>
    <comment ref="AM555" authorId="0" shapeId="0" xr:uid="{AE021758-CB60-4906-BE14-82E9D7CF174A}">
      <text>
        <r>
          <rPr>
            <b/>
            <sz val="9"/>
            <color indexed="81"/>
            <rFont val="Tahoma"/>
            <family val="2"/>
          </rPr>
          <t>&lt;[[DEVDeals] - [Associated TC Deal (Seq: 1)] - [TC Property Current Stage (Seq: 1)] - [Property Financing (Seq: 9)] Source Name - Send]&gt;</t>
        </r>
      </text>
    </comment>
    <comment ref="AN555" authorId="0" shapeId="0" xr:uid="{EAC0E690-D3FB-4239-A2BC-35289C5B5E9C}">
      <text>
        <r>
          <rPr>
            <b/>
            <sz val="9"/>
            <color indexed="81"/>
            <rFont val="Tahoma"/>
            <family val="2"/>
          </rPr>
          <t>&lt;[[DEVDeals] - [Associated TC Deal (Seq: 1)] - [TC Property Current Stage (Seq: 1)] - [Property Financing (Seq: 9)] Financing Type - Send]&gt;</t>
        </r>
      </text>
    </comment>
    <comment ref="AO555" authorId="0" shapeId="0" xr:uid="{45DBC632-90A1-4DD0-8D35-7687A5586B42}">
      <text>
        <r>
          <rPr>
            <b/>
            <sz val="9"/>
            <color indexed="81"/>
            <rFont val="Tahoma"/>
            <family val="2"/>
          </rPr>
          <t>&lt;[[DEVDeals] - [Associated TC Deal (Seq: 1)] - [TC Property Current Stage (Seq: 1)] - [Property Financing (Seq: 9)] Interest Rate - Send]&gt;</t>
        </r>
      </text>
    </comment>
    <comment ref="AP555" authorId="0" shapeId="0" xr:uid="{F35D18B3-E758-4B77-937C-07526E9AF448}">
      <text>
        <r>
          <rPr>
            <b/>
            <sz val="9"/>
            <color indexed="81"/>
            <rFont val="Tahoma"/>
            <family val="2"/>
          </rPr>
          <t>&lt;[[DEVDeals] - [Associated TC Deal (Seq: 1)] - [TC Property Current Stage (Seq: 1)] - [Property Financing (Seq: 9)] Loan Term - Send]&gt;</t>
        </r>
      </text>
    </comment>
    <comment ref="AQ555" authorId="0" shapeId="0" xr:uid="{1215D2CD-01FE-485D-80B1-CD2E4D22C3E3}">
      <text>
        <r>
          <rPr>
            <b/>
            <sz val="9"/>
            <color indexed="81"/>
            <rFont val="Tahoma"/>
            <family val="2"/>
          </rPr>
          <t>&lt;[[DEVDeals] - [Associated TC Deal (Seq: 1)] - [TC Property Current Stage (Seq: 1)] - [Property Financing (Seq: 9)] Amount - Send]&gt;</t>
        </r>
      </text>
    </comment>
    <comment ref="AR555" authorId="0" shapeId="0" xr:uid="{B93823FA-1368-4C64-82CB-8F81EB9C60C3}">
      <text>
        <r>
          <rPr>
            <b/>
            <sz val="9"/>
            <color indexed="81"/>
            <rFont val="Tahoma"/>
            <family val="2"/>
          </rPr>
          <t>&lt;[[DEVDeals] - [Associated TC Deal (Seq: 1)] - [TC Property Current Stage (Seq: 1)] - [Property Financing (Seq: 9)] Annual Debt Svc Cost - Send]&gt;</t>
        </r>
      </text>
    </comment>
    <comment ref="M556" authorId="0" shapeId="0" xr:uid="{E3B5712B-2327-4CAD-BC08-17BFAA6A648E}">
      <text>
        <r>
          <rPr>
            <b/>
            <sz val="9"/>
            <color indexed="81"/>
            <rFont val="Tahoma"/>
            <family val="2"/>
          </rPr>
          <t>&lt;[[DEVDeals] - [Funding (Seq: 10)] All DEV Funding Sources - Send]&gt;</t>
        </r>
      </text>
    </comment>
    <comment ref="N556" authorId="0" shapeId="0" xr:uid="{78279CC8-AE21-4EE4-87C0-F631A669E775}">
      <text>
        <r>
          <rPr>
            <b/>
            <sz val="9"/>
            <color indexed="81"/>
            <rFont val="Tahoma"/>
            <family val="2"/>
          </rPr>
          <t>&lt;[[DEVDeals] - [Funding (Seq: 10)] Rate - Send]&gt;</t>
        </r>
      </text>
    </comment>
    <comment ref="O556" authorId="0" shapeId="0" xr:uid="{ABB0E120-EF11-4404-B9C6-9A32AF924376}">
      <text>
        <r>
          <rPr>
            <b/>
            <sz val="9"/>
            <color indexed="81"/>
            <rFont val="Tahoma"/>
            <family val="2"/>
          </rPr>
          <t>&lt;[[DEVDeals] - [Funding (Seq: 10)] Term - Send]&gt;</t>
        </r>
      </text>
    </comment>
    <comment ref="P556" authorId="0" shapeId="0" xr:uid="{191940D2-A4AC-4FFA-B31C-5490E83E177F}">
      <text>
        <r>
          <rPr>
            <b/>
            <sz val="9"/>
            <color indexed="81"/>
            <rFont val="Tahoma"/>
            <family val="2"/>
          </rPr>
          <t>&lt;[[DEVDeals] - [Funding (Seq: 10)] Amount - Send]&gt;</t>
        </r>
      </text>
    </comment>
    <comment ref="Q556" authorId="0" shapeId="0" xr:uid="{A3CA670B-BE63-420C-9F70-70D7A1CE134A}">
      <text>
        <r>
          <rPr>
            <b/>
            <sz val="9"/>
            <color indexed="81"/>
            <rFont val="Tahoma"/>
            <family val="2"/>
          </rPr>
          <t>&lt;[[DEVDeals] - [Funding (Seq: 10)] Debt Service - Send]&gt;</t>
        </r>
      </text>
    </comment>
    <comment ref="R556" authorId="0" shapeId="0" xr:uid="{8C416485-30BE-41CF-A9CB-A4977A5389CF}">
      <text>
        <r>
          <rPr>
            <b/>
            <sz val="9"/>
            <color indexed="81"/>
            <rFont val="Tahoma"/>
            <family val="2"/>
          </rPr>
          <t>&lt;[[DEVDeals] - [Funding (Seq: 10)] Program Type - Send]&gt;</t>
        </r>
      </text>
    </comment>
    <comment ref="AM556" authorId="0" shapeId="0" xr:uid="{B9B65883-6FEF-41B2-B451-97306514EAE4}">
      <text>
        <r>
          <rPr>
            <b/>
            <sz val="9"/>
            <color indexed="81"/>
            <rFont val="Tahoma"/>
            <family val="2"/>
          </rPr>
          <t>&lt;[[DEVDeals] - [Associated TC Deal (Seq: 1)] - [TC Property Current Stage (Seq: 1)] - [Property Financing (Seq: 10)] Source Name - Send]&gt;</t>
        </r>
      </text>
    </comment>
    <comment ref="AN556" authorId="0" shapeId="0" xr:uid="{B369A4F0-11CF-4262-8AB7-8FAD1C255F24}">
      <text>
        <r>
          <rPr>
            <b/>
            <sz val="9"/>
            <color indexed="81"/>
            <rFont val="Tahoma"/>
            <family val="2"/>
          </rPr>
          <t>&lt;[[DEVDeals] - [Associated TC Deal (Seq: 1)] - [TC Property Current Stage (Seq: 1)] - [Property Financing (Seq: 10)] Financing Type - Send]&gt;</t>
        </r>
      </text>
    </comment>
    <comment ref="AO556" authorId="0" shapeId="0" xr:uid="{866CC87D-C1B6-4E8F-9528-D3CB73DA424C}">
      <text>
        <r>
          <rPr>
            <b/>
            <sz val="9"/>
            <color indexed="81"/>
            <rFont val="Tahoma"/>
            <family val="2"/>
          </rPr>
          <t>&lt;[[DEVDeals] - [Associated TC Deal (Seq: 1)] - [TC Property Current Stage (Seq: 1)] - [Property Financing (Seq: 10)] Interest Rate - Send]&gt;</t>
        </r>
      </text>
    </comment>
    <comment ref="AP556" authorId="0" shapeId="0" xr:uid="{D68F87DC-DE6A-48FA-96DE-AD5AD002A5FF}">
      <text>
        <r>
          <rPr>
            <b/>
            <sz val="9"/>
            <color indexed="81"/>
            <rFont val="Tahoma"/>
            <family val="2"/>
          </rPr>
          <t>&lt;[[DEVDeals] - [Associated TC Deal (Seq: 1)] - [TC Property Current Stage (Seq: 1)] - [Property Financing (Seq: 10)] Loan Term - Send]&gt;</t>
        </r>
      </text>
    </comment>
    <comment ref="AQ556" authorId="0" shapeId="0" xr:uid="{BEDEE9F9-C535-444D-A7BE-5612953AB73C}">
      <text>
        <r>
          <rPr>
            <b/>
            <sz val="9"/>
            <color indexed="81"/>
            <rFont val="Tahoma"/>
            <family val="2"/>
          </rPr>
          <t>&lt;[[DEVDeals] - [Associated TC Deal (Seq: 1)] - [TC Property Current Stage (Seq: 1)] - [Property Financing (Seq: 10)] Amount - Send]&gt;</t>
        </r>
      </text>
    </comment>
    <comment ref="AR556" authorId="0" shapeId="0" xr:uid="{A3A937ED-672F-4D4A-888E-605D6D5C75E2}">
      <text>
        <r>
          <rPr>
            <b/>
            <sz val="9"/>
            <color indexed="81"/>
            <rFont val="Tahoma"/>
            <family val="2"/>
          </rPr>
          <t>&lt;[[DEVDeals] - [Associated TC Deal (Seq: 1)] - [TC Property Current Stage (Seq: 1)] - [Property Financing (Seq: 10)] Annual Debt Svc Cost - Send]&gt;</t>
        </r>
      </text>
    </comment>
    <comment ref="M557" authorId="0" shapeId="0" xr:uid="{173AB3A5-B843-408D-B687-3EB65CF6D659}">
      <text>
        <r>
          <rPr>
            <b/>
            <sz val="9"/>
            <color indexed="81"/>
            <rFont val="Tahoma"/>
            <family val="2"/>
          </rPr>
          <t>&lt;[[DEVDeals] - [Funding (Seq: 11)] All DEV Funding Sources - Send]&gt;</t>
        </r>
      </text>
    </comment>
    <comment ref="N557" authorId="0" shapeId="0" xr:uid="{95B473FA-2DFB-4D91-A7A1-2F49AA6BA0C4}">
      <text>
        <r>
          <rPr>
            <b/>
            <sz val="9"/>
            <color indexed="81"/>
            <rFont val="Tahoma"/>
            <family val="2"/>
          </rPr>
          <t>&lt;[[DEVDeals] - [Funding (Seq: 11)] Rate - Send]&gt;</t>
        </r>
      </text>
    </comment>
    <comment ref="O557" authorId="0" shapeId="0" xr:uid="{45AA4CFC-CD27-418C-96F9-3C8A4A50493E}">
      <text>
        <r>
          <rPr>
            <b/>
            <sz val="9"/>
            <color indexed="81"/>
            <rFont val="Tahoma"/>
            <family val="2"/>
          </rPr>
          <t>&lt;[[DEVDeals] - [Funding (Seq: 11)] Term - Send]&gt;</t>
        </r>
      </text>
    </comment>
    <comment ref="P557" authorId="0" shapeId="0" xr:uid="{640E35C6-D98D-4C05-9684-2446AA55C210}">
      <text>
        <r>
          <rPr>
            <b/>
            <sz val="9"/>
            <color indexed="81"/>
            <rFont val="Tahoma"/>
            <family val="2"/>
          </rPr>
          <t>&lt;[[DEVDeals] - [Funding (Seq: 11)] Amount - Send]&gt;</t>
        </r>
      </text>
    </comment>
    <comment ref="Q557" authorId="0" shapeId="0" xr:uid="{6038BAD3-481D-4001-AA38-9D1783A48C42}">
      <text>
        <r>
          <rPr>
            <b/>
            <sz val="9"/>
            <color indexed="81"/>
            <rFont val="Tahoma"/>
            <family val="2"/>
          </rPr>
          <t>&lt;[[DEVDeals] - [Funding (Seq: 11)] Debt Service - Send]&gt;</t>
        </r>
      </text>
    </comment>
    <comment ref="R557" authorId="0" shapeId="0" xr:uid="{9F67CD43-1243-4B0D-89A1-35D2BF1A6DAB}">
      <text>
        <r>
          <rPr>
            <b/>
            <sz val="9"/>
            <color indexed="81"/>
            <rFont val="Tahoma"/>
            <family val="2"/>
          </rPr>
          <t>&lt;[[DEVDeals] - [Funding (Seq: 11)] Program Type - Send]&gt;</t>
        </r>
      </text>
    </comment>
    <comment ref="AM557" authorId="0" shapeId="0" xr:uid="{82359B38-7E81-4F4B-93A3-68966A7D0D1C}">
      <text>
        <r>
          <rPr>
            <b/>
            <sz val="9"/>
            <color indexed="81"/>
            <rFont val="Tahoma"/>
            <family val="2"/>
          </rPr>
          <t>&lt;[[DEVDeals] - [Associated TC Deal (Seq: 1)] - [TC Property Current Stage (Seq: 1)] - [Property Financing (Seq: 11)] Source Name - Send]&gt;</t>
        </r>
      </text>
    </comment>
    <comment ref="AN557" authorId="0" shapeId="0" xr:uid="{B0AEEEAF-B5AD-4BC5-9E1A-1B4E92B7EEA6}">
      <text>
        <r>
          <rPr>
            <b/>
            <sz val="9"/>
            <color indexed="81"/>
            <rFont val="Tahoma"/>
            <family val="2"/>
          </rPr>
          <t>&lt;[[DEVDeals] - [Associated TC Deal (Seq: 1)] - [TC Property Current Stage (Seq: 1)] - [Property Financing (Seq: 11)] Financing Type - Send]&gt;</t>
        </r>
      </text>
    </comment>
    <comment ref="AO557" authorId="0" shapeId="0" xr:uid="{9E3164C4-E424-415F-BF2D-D22F19FEA9A3}">
      <text>
        <r>
          <rPr>
            <b/>
            <sz val="9"/>
            <color indexed="81"/>
            <rFont val="Tahoma"/>
            <family val="2"/>
          </rPr>
          <t>&lt;[[DEVDeals] - [Associated TC Deal (Seq: 1)] - [TC Property Current Stage (Seq: 1)] - [Property Financing (Seq: 11)] Interest Rate - Send]&gt;</t>
        </r>
      </text>
    </comment>
    <comment ref="AP557" authorId="0" shapeId="0" xr:uid="{0B0D2B51-A6FB-48F7-8297-C02FE115CD24}">
      <text>
        <r>
          <rPr>
            <b/>
            <sz val="9"/>
            <color indexed="81"/>
            <rFont val="Tahoma"/>
            <family val="2"/>
          </rPr>
          <t>&lt;[[DEVDeals] - [Associated TC Deal (Seq: 1)] - [TC Property Current Stage (Seq: 1)] - [Property Financing (Seq: 11)] Loan Term - Send]&gt;</t>
        </r>
      </text>
    </comment>
    <comment ref="AQ557" authorId="0" shapeId="0" xr:uid="{90114F3C-92AD-418E-8601-3D4A0AC3B1C2}">
      <text>
        <r>
          <rPr>
            <b/>
            <sz val="9"/>
            <color indexed="81"/>
            <rFont val="Tahoma"/>
            <family val="2"/>
          </rPr>
          <t>&lt;[[DEVDeals] - [Associated TC Deal (Seq: 1)] - [TC Property Current Stage (Seq: 1)] - [Property Financing (Seq: 11)] Amount - Send]&gt;</t>
        </r>
      </text>
    </comment>
    <comment ref="AR557" authorId="0" shapeId="0" xr:uid="{3FD50D20-B572-4678-8EE0-313993F87183}">
      <text>
        <r>
          <rPr>
            <b/>
            <sz val="9"/>
            <color indexed="81"/>
            <rFont val="Tahoma"/>
            <family val="2"/>
          </rPr>
          <t>&lt;[[DEVDeals] - [Associated TC Deal (Seq: 1)] - [TC Property Current Stage (Seq: 1)] - [Property Financing (Seq: 11)] Annual Debt Svc Cost - Send]&gt;</t>
        </r>
      </text>
    </comment>
    <comment ref="M558" authorId="0" shapeId="0" xr:uid="{59AD8AE9-BA95-4399-9E8E-AC35381464A0}">
      <text>
        <r>
          <rPr>
            <b/>
            <sz val="9"/>
            <color indexed="81"/>
            <rFont val="Tahoma"/>
            <family val="2"/>
          </rPr>
          <t>&lt;[[DEVDeals] - [Funding (Seq: 12)] All DEV Funding Sources - Send]&gt;</t>
        </r>
      </text>
    </comment>
    <comment ref="N558" authorId="0" shapeId="0" xr:uid="{279A4429-8D2D-4CFE-991B-B189E3DC2EDF}">
      <text>
        <r>
          <rPr>
            <b/>
            <sz val="9"/>
            <color indexed="81"/>
            <rFont val="Tahoma"/>
            <family val="2"/>
          </rPr>
          <t>&lt;[[DEVDeals] - [Funding (Seq: 12)] Rate - Send]&gt;</t>
        </r>
      </text>
    </comment>
    <comment ref="O558" authorId="0" shapeId="0" xr:uid="{5C1B3F3B-C7EC-4793-9BCB-9DDDE27C947A}">
      <text>
        <r>
          <rPr>
            <b/>
            <sz val="9"/>
            <color indexed="81"/>
            <rFont val="Tahoma"/>
            <family val="2"/>
          </rPr>
          <t>&lt;[[DEVDeals] - [Funding (Seq: 12)] Term - Send]&gt;</t>
        </r>
      </text>
    </comment>
    <comment ref="P558" authorId="0" shapeId="0" xr:uid="{0F2A7379-6C95-4E4C-890F-F44B63EA1636}">
      <text>
        <r>
          <rPr>
            <b/>
            <sz val="9"/>
            <color indexed="81"/>
            <rFont val="Tahoma"/>
            <family val="2"/>
          </rPr>
          <t>&lt;[[DEVDeals] - [Funding (Seq: 12)] Amount - Send]&gt;</t>
        </r>
      </text>
    </comment>
    <comment ref="Q558" authorId="0" shapeId="0" xr:uid="{9C33D4A9-1D84-4034-BCA8-EC582E84D6D3}">
      <text>
        <r>
          <rPr>
            <b/>
            <sz val="9"/>
            <color indexed="81"/>
            <rFont val="Tahoma"/>
            <family val="2"/>
          </rPr>
          <t>&lt;[[DEVDeals] - [Funding (Seq: 12)] Debt Service - Send]&gt;</t>
        </r>
      </text>
    </comment>
    <comment ref="R558" authorId="0" shapeId="0" xr:uid="{20AF4961-F7B1-449A-90D9-EE0776C931DB}">
      <text>
        <r>
          <rPr>
            <b/>
            <sz val="9"/>
            <color indexed="81"/>
            <rFont val="Tahoma"/>
            <family val="2"/>
          </rPr>
          <t>&lt;[[DEVDeals] - [Funding (Seq: 12)] Program Type - Send]&gt;</t>
        </r>
      </text>
    </comment>
    <comment ref="AM558" authorId="0" shapeId="0" xr:uid="{B92E1DC3-77EC-4F85-9DD0-884CEB9D5F65}">
      <text>
        <r>
          <rPr>
            <b/>
            <sz val="9"/>
            <color indexed="81"/>
            <rFont val="Tahoma"/>
            <family val="2"/>
          </rPr>
          <t>&lt;[[DEVDeals] - [Associated TC Deal (Seq: 1)] - [TC Property Current Stage (Seq: 1)] - [Property Financing (Seq: 12)] Source Name - Send]&gt;</t>
        </r>
      </text>
    </comment>
    <comment ref="AN558" authorId="0" shapeId="0" xr:uid="{5B707D1A-D513-4399-A932-195B9045B95E}">
      <text>
        <r>
          <rPr>
            <b/>
            <sz val="9"/>
            <color indexed="81"/>
            <rFont val="Tahoma"/>
            <family val="2"/>
          </rPr>
          <t>&lt;[[DEVDeals] - [Associated TC Deal (Seq: 1)] - [TC Property Current Stage (Seq: 1)] - [Property Financing (Seq: 12)] Financing Type - Send]&gt;</t>
        </r>
      </text>
    </comment>
    <comment ref="AO558" authorId="0" shapeId="0" xr:uid="{1DEDDC09-C9F8-4EC8-9369-CFE57A429166}">
      <text>
        <r>
          <rPr>
            <b/>
            <sz val="9"/>
            <color indexed="81"/>
            <rFont val="Tahoma"/>
            <family val="2"/>
          </rPr>
          <t>&lt;[[DEVDeals] - [Associated TC Deal (Seq: 1)] - [TC Property Current Stage (Seq: 1)] - [Property Financing (Seq: 12)] Interest Rate - Send]&gt;</t>
        </r>
      </text>
    </comment>
    <comment ref="AP558" authorId="0" shapeId="0" xr:uid="{35152029-0F1F-46C9-B799-CDD67E9E9FF5}">
      <text>
        <r>
          <rPr>
            <b/>
            <sz val="9"/>
            <color indexed="81"/>
            <rFont val="Tahoma"/>
            <family val="2"/>
          </rPr>
          <t>&lt;[[DEVDeals] - [Associated TC Deal (Seq: 1)] - [TC Property Current Stage (Seq: 1)] - [Property Financing (Seq: 12)] Loan Term - Send]&gt;</t>
        </r>
      </text>
    </comment>
    <comment ref="AQ558" authorId="0" shapeId="0" xr:uid="{8B6E0A65-51D2-4FF4-920E-26448F80903F}">
      <text>
        <r>
          <rPr>
            <b/>
            <sz val="9"/>
            <color indexed="81"/>
            <rFont val="Tahoma"/>
            <family val="2"/>
          </rPr>
          <t>&lt;[[DEVDeals] - [Associated TC Deal (Seq: 1)] - [TC Property Current Stage (Seq: 1)] - [Property Financing (Seq: 12)] Amount - Send]&gt;</t>
        </r>
      </text>
    </comment>
    <comment ref="AR558" authorId="0" shapeId="0" xr:uid="{D3F4FC3B-65DB-4390-9C02-2A3F19DEB538}">
      <text>
        <r>
          <rPr>
            <b/>
            <sz val="9"/>
            <color indexed="81"/>
            <rFont val="Tahoma"/>
            <family val="2"/>
          </rPr>
          <t>&lt;[[DEVDeals] - [Associated TC Deal (Seq: 1)] - [TC Property Current Stage (Seq: 1)] - [Property Financing (Seq: 12)] Annual Debt Svc Cost - Send]&gt;</t>
        </r>
      </text>
    </comment>
    <comment ref="M559" authorId="0" shapeId="0" xr:uid="{1C478938-3F51-4388-9D9E-1B61F665B6C7}">
      <text>
        <r>
          <rPr>
            <b/>
            <sz val="9"/>
            <color indexed="81"/>
            <rFont val="Tahoma"/>
            <family val="2"/>
          </rPr>
          <t>&lt;[[DEVDeals] - [Funding (Seq: 13)] All DEV Funding Sources - Send]&gt;</t>
        </r>
      </text>
    </comment>
    <comment ref="N559" authorId="0" shapeId="0" xr:uid="{AC83D866-99FF-4951-B8B7-0B43818CFCBA}">
      <text>
        <r>
          <rPr>
            <b/>
            <sz val="9"/>
            <color indexed="81"/>
            <rFont val="Tahoma"/>
            <family val="2"/>
          </rPr>
          <t>&lt;[[DEVDeals] - [Funding (Seq: 13)] Rate - Send]&gt;</t>
        </r>
      </text>
    </comment>
    <comment ref="O559" authorId="0" shapeId="0" xr:uid="{9030C334-E406-4025-970F-3B8A4E0EF2C9}">
      <text>
        <r>
          <rPr>
            <b/>
            <sz val="9"/>
            <color indexed="81"/>
            <rFont val="Tahoma"/>
            <family val="2"/>
          </rPr>
          <t>&lt;[[DEVDeals] - [Funding (Seq: 13)] Term - Send]&gt;</t>
        </r>
      </text>
    </comment>
    <comment ref="P559" authorId="0" shapeId="0" xr:uid="{54D79F65-2CE2-4570-8A87-F597934FBE72}">
      <text>
        <r>
          <rPr>
            <b/>
            <sz val="9"/>
            <color indexed="81"/>
            <rFont val="Tahoma"/>
            <family val="2"/>
          </rPr>
          <t>&lt;[[DEVDeals] - [Funding (Seq: 13)] Amount - Send]&gt;</t>
        </r>
      </text>
    </comment>
    <comment ref="Q559" authorId="0" shapeId="0" xr:uid="{401D8CF7-7E46-468A-B3BE-F66FB4945222}">
      <text>
        <r>
          <rPr>
            <b/>
            <sz val="9"/>
            <color indexed="81"/>
            <rFont val="Tahoma"/>
            <family val="2"/>
          </rPr>
          <t>&lt;[[DEVDeals] - [Funding (Seq: 13)] Debt Service - Send]&gt;</t>
        </r>
      </text>
    </comment>
    <comment ref="R559" authorId="0" shapeId="0" xr:uid="{1AAD3964-9BFE-4BDA-9947-EA5F20B59664}">
      <text>
        <r>
          <rPr>
            <b/>
            <sz val="9"/>
            <color indexed="81"/>
            <rFont val="Tahoma"/>
            <family val="2"/>
          </rPr>
          <t>&lt;[[DEVDeals] - [Funding (Seq: 13)] Program Type - Send]&gt;</t>
        </r>
      </text>
    </comment>
    <comment ref="AM559" authorId="0" shapeId="0" xr:uid="{A16F7936-2E6A-4589-912B-3FD8CB42A17C}">
      <text>
        <r>
          <rPr>
            <b/>
            <sz val="9"/>
            <color indexed="81"/>
            <rFont val="Tahoma"/>
            <family val="2"/>
          </rPr>
          <t>&lt;[[DEVDeals] - [Associated TC Deal (Seq: 1)] - [TC Property Current Stage (Seq: 1)] - [Property Financing (Seq: 13)] Source Name - Send]&gt;</t>
        </r>
      </text>
    </comment>
    <comment ref="AN559" authorId="0" shapeId="0" xr:uid="{E3BF5131-076C-4C08-889B-97EADF01D0C0}">
      <text>
        <r>
          <rPr>
            <b/>
            <sz val="9"/>
            <color indexed="81"/>
            <rFont val="Tahoma"/>
            <family val="2"/>
          </rPr>
          <t>&lt;[[DEVDeals] - [Associated TC Deal (Seq: 1)] - [TC Property Current Stage (Seq: 1)] - [Property Financing (Seq: 13)] Financing Type - Send]&gt;</t>
        </r>
      </text>
    </comment>
    <comment ref="AO559" authorId="0" shapeId="0" xr:uid="{74110CD2-A474-4B17-B199-0ED0B7822917}">
      <text>
        <r>
          <rPr>
            <b/>
            <sz val="9"/>
            <color indexed="81"/>
            <rFont val="Tahoma"/>
            <family val="2"/>
          </rPr>
          <t>&lt;[[DEVDeals] - [Associated TC Deal (Seq: 1)] - [TC Property Current Stage (Seq: 1)] - [Property Financing (Seq: 13)] Interest Rate - Send]&gt;</t>
        </r>
      </text>
    </comment>
    <comment ref="AP559" authorId="0" shapeId="0" xr:uid="{79F540E4-1217-4E53-B5BF-3FCBE6E04C19}">
      <text>
        <r>
          <rPr>
            <b/>
            <sz val="9"/>
            <color indexed="81"/>
            <rFont val="Tahoma"/>
            <family val="2"/>
          </rPr>
          <t>&lt;[[DEVDeals] - [Associated TC Deal (Seq: 1)] - [TC Property Current Stage (Seq: 1)] - [Property Financing (Seq: 13)] Loan Term - Send]&gt;</t>
        </r>
      </text>
    </comment>
    <comment ref="AQ559" authorId="0" shapeId="0" xr:uid="{B5525AE8-3526-4C28-B32A-8DE032B8751C}">
      <text>
        <r>
          <rPr>
            <b/>
            <sz val="9"/>
            <color indexed="81"/>
            <rFont val="Tahoma"/>
            <family val="2"/>
          </rPr>
          <t>&lt;[[DEVDeals] - [Associated TC Deal (Seq: 1)] - [TC Property Current Stage (Seq: 1)] - [Property Financing (Seq: 13)] Amount - Send]&gt;</t>
        </r>
      </text>
    </comment>
    <comment ref="AR559" authorId="0" shapeId="0" xr:uid="{61D729FA-A7D8-41D8-B2EF-55963A12A286}">
      <text>
        <r>
          <rPr>
            <b/>
            <sz val="9"/>
            <color indexed="81"/>
            <rFont val="Tahoma"/>
            <family val="2"/>
          </rPr>
          <t>&lt;[[DEVDeals] - [Associated TC Deal (Seq: 1)] - [TC Property Current Stage (Seq: 1)] - [Property Financing (Seq: 13)] Annual Debt Svc Cost - Send]&gt;</t>
        </r>
      </text>
    </comment>
    <comment ref="M560" authorId="0" shapeId="0" xr:uid="{EBF1E7CE-4B09-4D0C-8E03-B603DF7EE0AE}">
      <text>
        <r>
          <rPr>
            <b/>
            <sz val="9"/>
            <color indexed="81"/>
            <rFont val="Tahoma"/>
            <family val="2"/>
          </rPr>
          <t>&lt;[[DEVDeals] - [Funding (Seq: 14)] All DEV Funding Sources - Send]&gt;</t>
        </r>
      </text>
    </comment>
    <comment ref="N560" authorId="0" shapeId="0" xr:uid="{54930FFF-57C6-4E83-8B0E-6BBF0353CCE1}">
      <text>
        <r>
          <rPr>
            <b/>
            <sz val="9"/>
            <color indexed="81"/>
            <rFont val="Tahoma"/>
            <family val="2"/>
          </rPr>
          <t>&lt;[[DEVDeals] - [Funding (Seq: 14)] Rate - Send]&gt;</t>
        </r>
      </text>
    </comment>
    <comment ref="O560" authorId="0" shapeId="0" xr:uid="{66497E84-0638-4793-BC67-D439A16D38B1}">
      <text>
        <r>
          <rPr>
            <b/>
            <sz val="9"/>
            <color indexed="81"/>
            <rFont val="Tahoma"/>
            <family val="2"/>
          </rPr>
          <t>&lt;[[DEVDeals] - [Funding (Seq: 14)] Term - Send]&gt;</t>
        </r>
      </text>
    </comment>
    <comment ref="P560" authorId="0" shapeId="0" xr:uid="{8A13A953-FC70-4C76-B86C-E88F7580AE5C}">
      <text>
        <r>
          <rPr>
            <b/>
            <sz val="9"/>
            <color indexed="81"/>
            <rFont val="Tahoma"/>
            <family val="2"/>
          </rPr>
          <t>&lt;[[DEVDeals] - [Funding (Seq: 14)] Amount - Send]&gt;</t>
        </r>
      </text>
    </comment>
    <comment ref="Q560" authorId="0" shapeId="0" xr:uid="{2B25EC1F-20B5-4C4A-80C1-B434485A3566}">
      <text>
        <r>
          <rPr>
            <b/>
            <sz val="9"/>
            <color indexed="81"/>
            <rFont val="Tahoma"/>
            <family val="2"/>
          </rPr>
          <t>&lt;[[DEVDeals] - [Funding (Seq: 14)] Debt Service - Send]&gt;</t>
        </r>
      </text>
    </comment>
    <comment ref="R560" authorId="0" shapeId="0" xr:uid="{CC25CD95-FC73-4387-BFDE-0870687EB033}">
      <text>
        <r>
          <rPr>
            <b/>
            <sz val="9"/>
            <color indexed="81"/>
            <rFont val="Tahoma"/>
            <family val="2"/>
          </rPr>
          <t>&lt;[[DEVDeals] - [Funding (Seq: 14)] Program Type - Send]&gt;</t>
        </r>
      </text>
    </comment>
    <comment ref="AM560" authorId="0" shapeId="0" xr:uid="{B4278131-C08C-46C3-84B2-BB8BABF1C208}">
      <text>
        <r>
          <rPr>
            <b/>
            <sz val="9"/>
            <color indexed="81"/>
            <rFont val="Tahoma"/>
            <family val="2"/>
          </rPr>
          <t>&lt;[[DEVDeals] - [Associated TC Deal (Seq: 1)] - [TC Property Current Stage (Seq: 1)] - [Property Financing (Seq: 14)] Source Name - Send]&gt;</t>
        </r>
      </text>
    </comment>
    <comment ref="AN560" authorId="0" shapeId="0" xr:uid="{62943199-F338-4381-9526-24212ACD0202}">
      <text>
        <r>
          <rPr>
            <b/>
            <sz val="9"/>
            <color indexed="81"/>
            <rFont val="Tahoma"/>
            <family val="2"/>
          </rPr>
          <t>&lt;[[DEVDeals] - [Associated TC Deal (Seq: 1)] - [TC Property Current Stage (Seq: 1)] - [Property Financing (Seq: 14)] Financing Type - Send]&gt;</t>
        </r>
      </text>
    </comment>
    <comment ref="AO560" authorId="0" shapeId="0" xr:uid="{C6978141-B974-4CD9-9EE5-EF5AB3C48488}">
      <text>
        <r>
          <rPr>
            <b/>
            <sz val="9"/>
            <color indexed="81"/>
            <rFont val="Tahoma"/>
            <family val="2"/>
          </rPr>
          <t>&lt;[[DEVDeals] - [Associated TC Deal (Seq: 1)] - [TC Property Current Stage (Seq: 1)] - [Property Financing (Seq: 14)] Interest Rate - Send]&gt;</t>
        </r>
      </text>
    </comment>
    <comment ref="AP560" authorId="0" shapeId="0" xr:uid="{228F984F-DE37-4FD8-9AFB-3F5EA6DCA85C}">
      <text>
        <r>
          <rPr>
            <b/>
            <sz val="9"/>
            <color indexed="81"/>
            <rFont val="Tahoma"/>
            <family val="2"/>
          </rPr>
          <t>&lt;[[DEVDeals] - [Associated TC Deal (Seq: 1)] - [TC Property Current Stage (Seq: 1)] - [Property Financing (Seq: 14)] Loan Term - Send]&gt;</t>
        </r>
      </text>
    </comment>
    <comment ref="AQ560" authorId="0" shapeId="0" xr:uid="{3F3E2796-F67A-4B31-A140-8678B6CB5912}">
      <text>
        <r>
          <rPr>
            <b/>
            <sz val="9"/>
            <color indexed="81"/>
            <rFont val="Tahoma"/>
            <family val="2"/>
          </rPr>
          <t>&lt;[[DEVDeals] - [Associated TC Deal (Seq: 1)] - [TC Property Current Stage (Seq: 1)] - [Property Financing (Seq: 14)] Amount - Send]&gt;</t>
        </r>
      </text>
    </comment>
    <comment ref="AR560" authorId="0" shapeId="0" xr:uid="{9C7C6D30-43D6-4FBA-A238-B04AFA8361B0}">
      <text>
        <r>
          <rPr>
            <b/>
            <sz val="9"/>
            <color indexed="81"/>
            <rFont val="Tahoma"/>
            <family val="2"/>
          </rPr>
          <t>&lt;[[DEVDeals] - [Associated TC Deal (Seq: 1)] - [TC Property Current Stage (Seq: 1)] - [Property Financing (Seq: 14)] Annual Debt Svc Cost - Send]&gt;</t>
        </r>
      </text>
    </comment>
    <comment ref="M561" authorId="0" shapeId="0" xr:uid="{8EDE7948-4267-48AC-8E52-3CA0087FBC27}">
      <text>
        <r>
          <rPr>
            <b/>
            <sz val="9"/>
            <color indexed="81"/>
            <rFont val="Tahoma"/>
            <family val="2"/>
          </rPr>
          <t>&lt;[[DEVDeals] - [Funding (Seq: 15)] All DEV Funding Sources - Send]&gt;</t>
        </r>
      </text>
    </comment>
    <comment ref="N561" authorId="0" shapeId="0" xr:uid="{8657F97E-A742-443A-AB95-B213C2A0DF70}">
      <text>
        <r>
          <rPr>
            <b/>
            <sz val="9"/>
            <color indexed="81"/>
            <rFont val="Tahoma"/>
            <family val="2"/>
          </rPr>
          <t>&lt;[[DEVDeals] - [Funding (Seq: 15)] Rate - Send]&gt;</t>
        </r>
      </text>
    </comment>
    <comment ref="O561" authorId="0" shapeId="0" xr:uid="{C492ED05-272D-4EC3-A40D-7E610305D847}">
      <text>
        <r>
          <rPr>
            <b/>
            <sz val="9"/>
            <color indexed="81"/>
            <rFont val="Tahoma"/>
            <family val="2"/>
          </rPr>
          <t>&lt;[[DEVDeals] - [Funding (Seq: 15)] Term - Send]&gt;</t>
        </r>
      </text>
    </comment>
    <comment ref="P561" authorId="0" shapeId="0" xr:uid="{76759F0E-9FB9-4F6C-B3B3-66430FB3F61D}">
      <text>
        <r>
          <rPr>
            <b/>
            <sz val="9"/>
            <color indexed="81"/>
            <rFont val="Tahoma"/>
            <family val="2"/>
          </rPr>
          <t>&lt;[[DEVDeals] - [Funding (Seq: 15)] Amount - Send]&gt;</t>
        </r>
      </text>
    </comment>
    <comment ref="Q561" authorId="0" shapeId="0" xr:uid="{FE6E8654-31A5-4B0E-B3AE-65D9E25AC86D}">
      <text>
        <r>
          <rPr>
            <b/>
            <sz val="9"/>
            <color indexed="81"/>
            <rFont val="Tahoma"/>
            <family val="2"/>
          </rPr>
          <t>&lt;[[DEVDeals] - [Funding (Seq: 15)] Debt Service - Send]&gt;</t>
        </r>
      </text>
    </comment>
    <comment ref="R561" authorId="0" shapeId="0" xr:uid="{0775563B-15AB-46F3-B95B-044AF5C435BC}">
      <text>
        <r>
          <rPr>
            <b/>
            <sz val="9"/>
            <color indexed="81"/>
            <rFont val="Tahoma"/>
            <family val="2"/>
          </rPr>
          <t>&lt;[[DEVDeals] - [Funding (Seq: 15)] Program Type - Send]&gt;</t>
        </r>
      </text>
    </comment>
    <comment ref="AM561" authorId="0" shapeId="0" xr:uid="{2B57A82B-8E8E-484C-A9BE-D1F1831DD844}">
      <text>
        <r>
          <rPr>
            <b/>
            <sz val="9"/>
            <color indexed="81"/>
            <rFont val="Tahoma"/>
            <family val="2"/>
          </rPr>
          <t>&lt;[[DEVDeals] - [Associated TC Deal (Seq: 1)] - [TC Property Current Stage (Seq: 1)] - [Property Financing (Seq: 15)] Source Name - Send]&gt;</t>
        </r>
      </text>
    </comment>
    <comment ref="AN561" authorId="0" shapeId="0" xr:uid="{6EA6C3C2-79FE-4462-94F8-10BB9A67FECA}">
      <text>
        <r>
          <rPr>
            <b/>
            <sz val="9"/>
            <color indexed="81"/>
            <rFont val="Tahoma"/>
            <family val="2"/>
          </rPr>
          <t>&lt;[[DEVDeals] - [Associated TC Deal (Seq: 1)] - [TC Property Current Stage (Seq: 1)] - [Property Financing (Seq: 15)] Financing Type - Send]&gt;</t>
        </r>
      </text>
    </comment>
    <comment ref="AO561" authorId="0" shapeId="0" xr:uid="{9CCB817D-CBE3-4E2E-8986-DA4EDBBCA78C}">
      <text>
        <r>
          <rPr>
            <b/>
            <sz val="9"/>
            <color indexed="81"/>
            <rFont val="Tahoma"/>
            <family val="2"/>
          </rPr>
          <t>&lt;[[DEVDeals] - [Associated TC Deal (Seq: 1)] - [TC Property Current Stage (Seq: 1)] - [Property Financing (Seq: 15)] Interest Rate - Send]&gt;</t>
        </r>
      </text>
    </comment>
    <comment ref="AP561" authorId="0" shapeId="0" xr:uid="{C4FCEB9A-14B1-4A14-BC91-E0881B1F6AA1}">
      <text>
        <r>
          <rPr>
            <b/>
            <sz val="9"/>
            <color indexed="81"/>
            <rFont val="Tahoma"/>
            <family val="2"/>
          </rPr>
          <t>&lt;[[DEVDeals] - [Associated TC Deal (Seq: 1)] - [TC Property Current Stage (Seq: 1)] - [Property Financing (Seq: 15)] Loan Term - Send]&gt;</t>
        </r>
      </text>
    </comment>
    <comment ref="AQ561" authorId="0" shapeId="0" xr:uid="{3CC36ACF-13E4-47A5-9D5B-799FCD2B8F2B}">
      <text>
        <r>
          <rPr>
            <b/>
            <sz val="9"/>
            <color indexed="81"/>
            <rFont val="Tahoma"/>
            <family val="2"/>
          </rPr>
          <t>&lt;[[DEVDeals] - [Associated TC Deal (Seq: 1)] - [TC Property Current Stage (Seq: 1)] - [Property Financing (Seq: 15)] Amount - Send]&gt;</t>
        </r>
      </text>
    </comment>
    <comment ref="AR561" authorId="0" shapeId="0" xr:uid="{CBC0914A-C912-40CA-A344-8B0B18A9DACB}">
      <text>
        <r>
          <rPr>
            <b/>
            <sz val="9"/>
            <color indexed="81"/>
            <rFont val="Tahoma"/>
            <family val="2"/>
          </rPr>
          <t>&lt;[[DEVDeals] - [Associated TC Deal (Seq: 1)] - [TC Property Current Stage (Seq: 1)] - [Property Financing (Seq: 15)] Annual Debt Svc Cost - Send]&gt;</t>
        </r>
      </text>
    </comment>
    <comment ref="M562" authorId="0" shapeId="0" xr:uid="{9C09D687-8B05-44BF-B00F-D3C2AB7207DD}">
      <text>
        <r>
          <rPr>
            <b/>
            <sz val="9"/>
            <color indexed="81"/>
            <rFont val="Tahoma"/>
            <family val="2"/>
          </rPr>
          <t>&lt;[[DEVDeals] - [Funding (Seq: 16)] All DEV Funding Sources - Send]&gt;</t>
        </r>
      </text>
    </comment>
    <comment ref="N562" authorId="0" shapeId="0" xr:uid="{A74DAD0F-48E8-43A4-88FD-B496881E0BDE}">
      <text>
        <r>
          <rPr>
            <b/>
            <sz val="9"/>
            <color indexed="81"/>
            <rFont val="Tahoma"/>
            <family val="2"/>
          </rPr>
          <t>&lt;[[DEVDeals] - [Funding (Seq: 16)] Rate - Send]&gt;</t>
        </r>
      </text>
    </comment>
    <comment ref="O562" authorId="0" shapeId="0" xr:uid="{6050529A-0582-41C5-8545-1D073B45C08B}">
      <text>
        <r>
          <rPr>
            <b/>
            <sz val="9"/>
            <color indexed="81"/>
            <rFont val="Tahoma"/>
            <family val="2"/>
          </rPr>
          <t>&lt;[[DEVDeals] - [Funding (Seq: 16)] Term - Send]&gt;</t>
        </r>
      </text>
    </comment>
    <comment ref="P562" authorId="0" shapeId="0" xr:uid="{4C6F6B0F-CBF3-4FAA-B2D3-24D2885BAC8D}">
      <text>
        <r>
          <rPr>
            <b/>
            <sz val="9"/>
            <color indexed="81"/>
            <rFont val="Tahoma"/>
            <family val="2"/>
          </rPr>
          <t>&lt;[[DEVDeals] - [Funding (Seq: 16)] Amount - Send]&gt;</t>
        </r>
      </text>
    </comment>
    <comment ref="Q562" authorId="0" shapeId="0" xr:uid="{7712FCF1-6372-489B-9642-00B02B973EAC}">
      <text>
        <r>
          <rPr>
            <b/>
            <sz val="9"/>
            <color indexed="81"/>
            <rFont val="Tahoma"/>
            <family val="2"/>
          </rPr>
          <t>&lt;[[DEVDeals] - [Funding (Seq: 16)] Debt Service - Send]&gt;</t>
        </r>
      </text>
    </comment>
    <comment ref="R562" authorId="0" shapeId="0" xr:uid="{6CBE71B1-3252-4A91-8775-4CFD23B102D5}">
      <text>
        <r>
          <rPr>
            <b/>
            <sz val="9"/>
            <color indexed="81"/>
            <rFont val="Tahoma"/>
            <family val="2"/>
          </rPr>
          <t>&lt;[[DEVDeals] - [Funding (Seq: 16)] Program Type - Send]&gt;</t>
        </r>
      </text>
    </comment>
    <comment ref="AM562" authorId="0" shapeId="0" xr:uid="{C396896E-ACCE-40B5-8042-E62B0FFC413F}">
      <text>
        <r>
          <rPr>
            <b/>
            <sz val="9"/>
            <color indexed="81"/>
            <rFont val="Tahoma"/>
            <family val="2"/>
          </rPr>
          <t>&lt;[[DEVDeals] - [Associated TC Deal (Seq: 1)] - [TC Property Current Stage (Seq: 1)] - [Property Financing (Seq: 16)] Source Name - Send]&gt;</t>
        </r>
      </text>
    </comment>
    <comment ref="AN562" authorId="0" shapeId="0" xr:uid="{4DBE81E0-6F1B-496F-9A7A-E56F631EC404}">
      <text>
        <r>
          <rPr>
            <b/>
            <sz val="9"/>
            <color indexed="81"/>
            <rFont val="Tahoma"/>
            <family val="2"/>
          </rPr>
          <t>&lt;[[DEVDeals] - [Associated TC Deal (Seq: 1)] - [TC Property Current Stage (Seq: 1)] - [Property Financing (Seq: 16)] Financing Type - Send]&gt;</t>
        </r>
      </text>
    </comment>
    <comment ref="AO562" authorId="0" shapeId="0" xr:uid="{644D4AF7-CB49-436E-86FB-7BB5479FEBD5}">
      <text>
        <r>
          <rPr>
            <b/>
            <sz val="9"/>
            <color indexed="81"/>
            <rFont val="Tahoma"/>
            <family val="2"/>
          </rPr>
          <t>&lt;[[DEVDeals] - [Associated TC Deal (Seq: 1)] - [TC Property Current Stage (Seq: 1)] - [Property Financing (Seq: 16)] Interest Rate - Send]&gt;</t>
        </r>
      </text>
    </comment>
    <comment ref="AP562" authorId="0" shapeId="0" xr:uid="{3F2D23D0-C4D8-400F-B8B0-D2037185F948}">
      <text>
        <r>
          <rPr>
            <b/>
            <sz val="9"/>
            <color indexed="81"/>
            <rFont val="Tahoma"/>
            <family val="2"/>
          </rPr>
          <t>&lt;[[DEVDeals] - [Associated TC Deal (Seq: 1)] - [TC Property Current Stage (Seq: 1)] - [Property Financing (Seq: 16)] Loan Term - Send]&gt;</t>
        </r>
      </text>
    </comment>
    <comment ref="AQ562" authorId="0" shapeId="0" xr:uid="{B5681449-A18E-404A-8B48-278A85C4BCDF}">
      <text>
        <r>
          <rPr>
            <b/>
            <sz val="9"/>
            <color indexed="81"/>
            <rFont val="Tahoma"/>
            <family val="2"/>
          </rPr>
          <t>&lt;[[DEVDeals] - [Associated TC Deal (Seq: 1)] - [TC Property Current Stage (Seq: 1)] - [Property Financing (Seq: 16)] Amount - Send]&gt;</t>
        </r>
      </text>
    </comment>
    <comment ref="AR562" authorId="0" shapeId="0" xr:uid="{8A9B7D27-C189-4985-8EC5-020FB3BC1963}">
      <text>
        <r>
          <rPr>
            <b/>
            <sz val="9"/>
            <color indexed="81"/>
            <rFont val="Tahoma"/>
            <family val="2"/>
          </rPr>
          <t>&lt;[[DEVDeals] - [Associated TC Deal (Seq: 1)] - [TC Property Current Stage (Seq: 1)] - [Property Financing (Seq: 16)] Annual Debt Svc Cost - Send]&gt;</t>
        </r>
      </text>
    </comment>
    <comment ref="M563" authorId="0" shapeId="0" xr:uid="{11252AB4-BFBD-456B-A3B2-5E63747575F8}">
      <text>
        <r>
          <rPr>
            <b/>
            <sz val="9"/>
            <color indexed="81"/>
            <rFont val="Tahoma"/>
            <family val="2"/>
          </rPr>
          <t>&lt;[[DEVDeals] - [Funding (Seq: 17)] All DEV Funding Sources - Send]&gt;</t>
        </r>
      </text>
    </comment>
    <comment ref="N563" authorId="0" shapeId="0" xr:uid="{0E9AA226-DF39-4581-8148-8B4B0D6A7150}">
      <text>
        <r>
          <rPr>
            <b/>
            <sz val="9"/>
            <color indexed="81"/>
            <rFont val="Tahoma"/>
            <family val="2"/>
          </rPr>
          <t>&lt;[[DEVDeals] - [Funding (Seq: 17)] Rate - Send]&gt;</t>
        </r>
      </text>
    </comment>
    <comment ref="O563" authorId="0" shapeId="0" xr:uid="{51DAEEC2-812E-4D15-A466-FD742E742957}">
      <text>
        <r>
          <rPr>
            <b/>
            <sz val="9"/>
            <color indexed="81"/>
            <rFont val="Tahoma"/>
            <family val="2"/>
          </rPr>
          <t>&lt;[[DEVDeals] - [Funding (Seq: 17)] Term - Send]&gt;</t>
        </r>
      </text>
    </comment>
    <comment ref="P563" authorId="0" shapeId="0" xr:uid="{9B70C941-9D4B-46D5-B3C0-BE4C039895E8}">
      <text>
        <r>
          <rPr>
            <b/>
            <sz val="9"/>
            <color indexed="81"/>
            <rFont val="Tahoma"/>
            <family val="2"/>
          </rPr>
          <t>&lt;[[DEVDeals] - [Funding (Seq: 17)] Amount - Send]&gt;</t>
        </r>
      </text>
    </comment>
    <comment ref="Q563" authorId="0" shapeId="0" xr:uid="{7E0C2229-F0DD-4628-BC07-6AC508A62B0C}">
      <text>
        <r>
          <rPr>
            <b/>
            <sz val="9"/>
            <color indexed="81"/>
            <rFont val="Tahoma"/>
            <family val="2"/>
          </rPr>
          <t>&lt;[[DEVDeals] - [Funding (Seq: 17)] Debt Service - Send]&gt;</t>
        </r>
      </text>
    </comment>
    <comment ref="R563" authorId="0" shapeId="0" xr:uid="{44201113-D0FD-45E3-9142-466ADE9886E3}">
      <text>
        <r>
          <rPr>
            <b/>
            <sz val="9"/>
            <color indexed="81"/>
            <rFont val="Tahoma"/>
            <family val="2"/>
          </rPr>
          <t>&lt;[[DEVDeals] - [Funding (Seq: 17)] Program Type - Send]&gt;</t>
        </r>
      </text>
    </comment>
    <comment ref="AM563" authorId="0" shapeId="0" xr:uid="{0645FE4A-FCBD-42C3-9F28-8D2F47637E34}">
      <text>
        <r>
          <rPr>
            <b/>
            <sz val="9"/>
            <color indexed="81"/>
            <rFont val="Tahoma"/>
            <family val="2"/>
          </rPr>
          <t>&lt;[[DEVDeals] - [Associated TC Deal (Seq: 1)] - [TC Property Current Stage (Seq: 1)] - [Property Financing (Seq: 17)] Source Name - Send]&gt;</t>
        </r>
      </text>
    </comment>
    <comment ref="AN563" authorId="0" shapeId="0" xr:uid="{06DA126D-C94A-4A2C-80C5-99020B8A1E66}">
      <text>
        <r>
          <rPr>
            <b/>
            <sz val="9"/>
            <color indexed="81"/>
            <rFont val="Tahoma"/>
            <family val="2"/>
          </rPr>
          <t>&lt;[[DEVDeals] - [Associated TC Deal (Seq: 1)] - [TC Property Current Stage (Seq: 1)] - [Property Financing (Seq: 17)] Financing Type - Send]&gt;</t>
        </r>
      </text>
    </comment>
    <comment ref="AO563" authorId="0" shapeId="0" xr:uid="{48054D04-16AE-450C-8BCA-2E630743D24E}">
      <text>
        <r>
          <rPr>
            <b/>
            <sz val="9"/>
            <color indexed="81"/>
            <rFont val="Tahoma"/>
            <family val="2"/>
          </rPr>
          <t>&lt;[[DEVDeals] - [Associated TC Deal (Seq: 1)] - [TC Property Current Stage (Seq: 1)] - [Property Financing (Seq: 17)] Interest Rate - Send]&gt;</t>
        </r>
      </text>
    </comment>
    <comment ref="AP563" authorId="0" shapeId="0" xr:uid="{F79191F7-350E-4A9D-A552-DC08885F79FC}">
      <text>
        <r>
          <rPr>
            <b/>
            <sz val="9"/>
            <color indexed="81"/>
            <rFont val="Tahoma"/>
            <family val="2"/>
          </rPr>
          <t>&lt;[[DEVDeals] - [Associated TC Deal (Seq: 1)] - [TC Property Current Stage (Seq: 1)] - [Property Financing (Seq: 17)] Loan Term - Send]&gt;</t>
        </r>
      </text>
    </comment>
    <comment ref="AQ563" authorId="0" shapeId="0" xr:uid="{F6C9202C-FBB1-4838-BE19-B8AE7105A138}">
      <text>
        <r>
          <rPr>
            <b/>
            <sz val="9"/>
            <color indexed="81"/>
            <rFont val="Tahoma"/>
            <family val="2"/>
          </rPr>
          <t>&lt;[[DEVDeals] - [Associated TC Deal (Seq: 1)] - [TC Property Current Stage (Seq: 1)] - [Property Financing (Seq: 17)] Amount - Send]&gt;</t>
        </r>
      </text>
    </comment>
    <comment ref="AR563" authorId="0" shapeId="0" xr:uid="{D2878102-83DB-415D-82E0-97E62CF9EE80}">
      <text>
        <r>
          <rPr>
            <b/>
            <sz val="9"/>
            <color indexed="81"/>
            <rFont val="Tahoma"/>
            <family val="2"/>
          </rPr>
          <t>&lt;[[DEVDeals] - [Associated TC Deal (Seq: 1)] - [TC Property Current Stage (Seq: 1)] - [Property Financing (Seq: 17)] Annual Debt Svc Cost - Send]&gt;</t>
        </r>
      </text>
    </comment>
    <comment ref="M564" authorId="0" shapeId="0" xr:uid="{362D320E-8DB0-43C8-848D-069EB7C6AE3B}">
      <text>
        <r>
          <rPr>
            <b/>
            <sz val="9"/>
            <color indexed="81"/>
            <rFont val="Tahoma"/>
            <family val="2"/>
          </rPr>
          <t>&lt;[[DEVDeals] - [Funding (Seq: 18)] All DEV Funding Sources - Send]&gt;</t>
        </r>
      </text>
    </comment>
    <comment ref="N564" authorId="0" shapeId="0" xr:uid="{DE154ABD-F632-4200-A972-69DAC3D4C234}">
      <text>
        <r>
          <rPr>
            <b/>
            <sz val="9"/>
            <color indexed="81"/>
            <rFont val="Tahoma"/>
            <family val="2"/>
          </rPr>
          <t>&lt;[[DEVDeals] - [Funding (Seq: 18)] Rate - Send]&gt;</t>
        </r>
      </text>
    </comment>
    <comment ref="O564" authorId="0" shapeId="0" xr:uid="{6B6B4611-B10A-4F18-8D03-BA7AA27E1906}">
      <text>
        <r>
          <rPr>
            <b/>
            <sz val="9"/>
            <color indexed="81"/>
            <rFont val="Tahoma"/>
            <family val="2"/>
          </rPr>
          <t>&lt;[[DEVDeals] - [Funding (Seq: 18)] Term - Send]&gt;</t>
        </r>
      </text>
    </comment>
    <comment ref="P564" authorId="0" shapeId="0" xr:uid="{4A00A0FD-7FC8-4B00-9DAA-BC4E0D7E66D0}">
      <text>
        <r>
          <rPr>
            <b/>
            <sz val="9"/>
            <color indexed="81"/>
            <rFont val="Tahoma"/>
            <family val="2"/>
          </rPr>
          <t>&lt;[[DEVDeals] - [Funding (Seq: 18)] Amount - Send]&gt;</t>
        </r>
      </text>
    </comment>
    <comment ref="Q564" authorId="0" shapeId="0" xr:uid="{696EC4FE-9A25-44F9-982B-49CF10AF5156}">
      <text>
        <r>
          <rPr>
            <b/>
            <sz val="9"/>
            <color indexed="81"/>
            <rFont val="Tahoma"/>
            <family val="2"/>
          </rPr>
          <t>&lt;[[DEVDeals] - [Funding (Seq: 18)] Debt Service - Send]&gt;</t>
        </r>
      </text>
    </comment>
    <comment ref="R564" authorId="0" shapeId="0" xr:uid="{8C521B34-06B3-4029-BBD2-E2F5CA8847C1}">
      <text>
        <r>
          <rPr>
            <b/>
            <sz val="9"/>
            <color indexed="81"/>
            <rFont val="Tahoma"/>
            <family val="2"/>
          </rPr>
          <t>&lt;[[DEVDeals] - [Funding (Seq: 18)] Program Type - Send]&gt;</t>
        </r>
      </text>
    </comment>
    <comment ref="AM564" authorId="0" shapeId="0" xr:uid="{78E6AD02-887E-4516-A2D2-4EF3990D2F52}">
      <text>
        <r>
          <rPr>
            <b/>
            <sz val="9"/>
            <color indexed="81"/>
            <rFont val="Tahoma"/>
            <family val="2"/>
          </rPr>
          <t>&lt;[[DEVDeals] - [Associated TC Deal (Seq: 1)] - [TC Property Current Stage (Seq: 1)] - [Property Financing (Seq: 18)] Source Name - Send]&gt;</t>
        </r>
      </text>
    </comment>
    <comment ref="AN564" authorId="0" shapeId="0" xr:uid="{52AB6168-42E2-4DB2-A2C1-4FF4D5D92687}">
      <text>
        <r>
          <rPr>
            <b/>
            <sz val="9"/>
            <color indexed="81"/>
            <rFont val="Tahoma"/>
            <family val="2"/>
          </rPr>
          <t>&lt;[[DEVDeals] - [Associated TC Deal (Seq: 1)] - [TC Property Current Stage (Seq: 1)] - [Property Financing (Seq: 18)] Financing Type - Send]&gt;</t>
        </r>
      </text>
    </comment>
    <comment ref="AO564" authorId="0" shapeId="0" xr:uid="{B381E094-2929-43FF-BE6E-7AB63365E178}">
      <text>
        <r>
          <rPr>
            <b/>
            <sz val="9"/>
            <color indexed="81"/>
            <rFont val="Tahoma"/>
            <family val="2"/>
          </rPr>
          <t>&lt;[[DEVDeals] - [Associated TC Deal (Seq: 1)] - [TC Property Current Stage (Seq: 1)] - [Property Financing (Seq: 18)] Interest Rate - Send]&gt;</t>
        </r>
      </text>
    </comment>
    <comment ref="AP564" authorId="0" shapeId="0" xr:uid="{7BFF3ECD-F906-4484-B299-D58FD8C8503D}">
      <text>
        <r>
          <rPr>
            <b/>
            <sz val="9"/>
            <color indexed="81"/>
            <rFont val="Tahoma"/>
            <family val="2"/>
          </rPr>
          <t>&lt;[[DEVDeals] - [Associated TC Deal (Seq: 1)] - [TC Property Current Stage (Seq: 1)] - [Property Financing (Seq: 18)] Loan Term - Send]&gt;</t>
        </r>
      </text>
    </comment>
    <comment ref="AQ564" authorId="0" shapeId="0" xr:uid="{C41AAC22-4C2A-4237-87EF-29BEAB45E5AD}">
      <text>
        <r>
          <rPr>
            <b/>
            <sz val="9"/>
            <color indexed="81"/>
            <rFont val="Tahoma"/>
            <family val="2"/>
          </rPr>
          <t>&lt;[[DEVDeals] - [Associated TC Deal (Seq: 1)] - [TC Property Current Stage (Seq: 1)] - [Property Financing (Seq: 18)] Amount - Send]&gt;</t>
        </r>
      </text>
    </comment>
    <comment ref="AR564" authorId="0" shapeId="0" xr:uid="{82A90416-FBF8-4D6E-8044-672F422A3EEB}">
      <text>
        <r>
          <rPr>
            <b/>
            <sz val="9"/>
            <color indexed="81"/>
            <rFont val="Tahoma"/>
            <family val="2"/>
          </rPr>
          <t>&lt;[[DEVDeals] - [Associated TC Deal (Seq: 1)] - [TC Property Current Stage (Seq: 1)] - [Property Financing (Seq: 18)] Annual Debt Svc Cost - Send]&gt;</t>
        </r>
      </text>
    </comment>
    <comment ref="M565" authorId="0" shapeId="0" xr:uid="{80A1A58F-5A5B-45F9-8317-0BFEC9655543}">
      <text>
        <r>
          <rPr>
            <b/>
            <sz val="9"/>
            <color indexed="81"/>
            <rFont val="Tahoma"/>
            <family val="2"/>
          </rPr>
          <t>&lt;[[DEVDeals] - [Funding (Seq: 19)] All DEV Funding Sources - Send]&gt;</t>
        </r>
      </text>
    </comment>
    <comment ref="N565" authorId="0" shapeId="0" xr:uid="{844803DE-1FC8-41D3-AB3A-4E6E5DEE4C2C}">
      <text>
        <r>
          <rPr>
            <b/>
            <sz val="9"/>
            <color indexed="81"/>
            <rFont val="Tahoma"/>
            <family val="2"/>
          </rPr>
          <t>&lt;[[DEVDeals] - [Funding (Seq: 19)] Rate - Send]&gt;</t>
        </r>
      </text>
    </comment>
    <comment ref="O565" authorId="0" shapeId="0" xr:uid="{571F1F63-6E14-4BD7-AED3-54E8D70C5A23}">
      <text>
        <r>
          <rPr>
            <b/>
            <sz val="9"/>
            <color indexed="81"/>
            <rFont val="Tahoma"/>
            <family val="2"/>
          </rPr>
          <t>&lt;[[DEVDeals] - [Funding (Seq: 19)] Term - Send]&gt;</t>
        </r>
      </text>
    </comment>
    <comment ref="P565" authorId="0" shapeId="0" xr:uid="{3D0D3423-A89D-483A-9112-D9F1A4C40788}">
      <text>
        <r>
          <rPr>
            <b/>
            <sz val="9"/>
            <color indexed="81"/>
            <rFont val="Tahoma"/>
            <family val="2"/>
          </rPr>
          <t>&lt;[[DEVDeals] - [Funding (Seq: 19)] Amount - Send]&gt;</t>
        </r>
      </text>
    </comment>
    <comment ref="Q565" authorId="0" shapeId="0" xr:uid="{A82CAA97-D79E-4DD0-B3C9-95E73683F323}">
      <text>
        <r>
          <rPr>
            <b/>
            <sz val="9"/>
            <color indexed="81"/>
            <rFont val="Tahoma"/>
            <family val="2"/>
          </rPr>
          <t>&lt;[[DEVDeals] - [Funding (Seq: 19)] Debt Service - Send]&gt;</t>
        </r>
      </text>
    </comment>
    <comment ref="R565" authorId="0" shapeId="0" xr:uid="{55E782FC-1A85-4F32-9860-D66DAA932725}">
      <text>
        <r>
          <rPr>
            <b/>
            <sz val="9"/>
            <color indexed="81"/>
            <rFont val="Tahoma"/>
            <family val="2"/>
          </rPr>
          <t>&lt;[[DEVDeals] - [Funding (Seq: 19)] Program Type - Send]&gt;</t>
        </r>
      </text>
    </comment>
    <comment ref="AM565" authorId="0" shapeId="0" xr:uid="{5CEA370A-6F51-4909-9AC8-8323E73E6D59}">
      <text>
        <r>
          <rPr>
            <b/>
            <sz val="9"/>
            <color indexed="81"/>
            <rFont val="Tahoma"/>
            <family val="2"/>
          </rPr>
          <t>&lt;[[DEVDeals] - [Associated TC Deal (Seq: 1)] - [TC Property Current Stage (Seq: 1)] - [Property Financing (Seq: 19)] Source Name - Send]&gt;</t>
        </r>
      </text>
    </comment>
    <comment ref="AN565" authorId="0" shapeId="0" xr:uid="{370170A6-AE60-48FE-9589-30188882E6C9}">
      <text>
        <r>
          <rPr>
            <b/>
            <sz val="9"/>
            <color indexed="81"/>
            <rFont val="Tahoma"/>
            <family val="2"/>
          </rPr>
          <t>&lt;[[DEVDeals] - [Associated TC Deal (Seq: 1)] - [TC Property Current Stage (Seq: 1)] - [Property Financing (Seq: 19)] Financing Type - Send]&gt;</t>
        </r>
      </text>
    </comment>
    <comment ref="AO565" authorId="0" shapeId="0" xr:uid="{2A39C33A-0752-43AF-95D5-12C5F521C746}">
      <text>
        <r>
          <rPr>
            <b/>
            <sz val="9"/>
            <color indexed="81"/>
            <rFont val="Tahoma"/>
            <family val="2"/>
          </rPr>
          <t>&lt;[[DEVDeals] - [Associated TC Deal (Seq: 1)] - [TC Property Current Stage (Seq: 1)] - [Property Financing (Seq: 19)] Interest Rate - Send]&gt;</t>
        </r>
      </text>
    </comment>
    <comment ref="AP565" authorId="0" shapeId="0" xr:uid="{70F3A579-BD95-467F-951C-880F26A981E2}">
      <text>
        <r>
          <rPr>
            <b/>
            <sz val="9"/>
            <color indexed="81"/>
            <rFont val="Tahoma"/>
            <family val="2"/>
          </rPr>
          <t>&lt;[[DEVDeals] - [Associated TC Deal (Seq: 1)] - [TC Property Current Stage (Seq: 1)] - [Property Financing (Seq: 19)] Loan Term - Send]&gt;</t>
        </r>
      </text>
    </comment>
    <comment ref="AQ565" authorId="0" shapeId="0" xr:uid="{4248184C-7CC2-403D-9EC3-6BDC0D299F08}">
      <text>
        <r>
          <rPr>
            <b/>
            <sz val="9"/>
            <color indexed="81"/>
            <rFont val="Tahoma"/>
            <family val="2"/>
          </rPr>
          <t>&lt;[[DEVDeals] - [Associated TC Deal (Seq: 1)] - [TC Property Current Stage (Seq: 1)] - [Property Financing (Seq: 19)] Amount - Send]&gt;</t>
        </r>
      </text>
    </comment>
    <comment ref="AR565" authorId="0" shapeId="0" xr:uid="{67CE718F-AD75-4B29-9545-16B10BAD45A4}">
      <text>
        <r>
          <rPr>
            <b/>
            <sz val="9"/>
            <color indexed="81"/>
            <rFont val="Tahoma"/>
            <family val="2"/>
          </rPr>
          <t>&lt;[[DEVDeals] - [Associated TC Deal (Seq: 1)] - [TC Property Current Stage (Seq: 1)] - [Property Financing (Seq: 19)] Annual Debt Svc Cost - Send]&gt;</t>
        </r>
      </text>
    </comment>
    <comment ref="M566" authorId="0" shapeId="0" xr:uid="{6664E57F-5025-45AA-BBBF-90FB557C6F49}">
      <text>
        <r>
          <rPr>
            <b/>
            <sz val="9"/>
            <color indexed="81"/>
            <rFont val="Tahoma"/>
            <family val="2"/>
          </rPr>
          <t>&lt;[[DEVDeals] - [Funding (Seq: 20)] All DEV Funding Sources - Send]&gt;</t>
        </r>
      </text>
    </comment>
    <comment ref="N566" authorId="0" shapeId="0" xr:uid="{163EC72D-AC99-4E86-B28D-1A014621F8AC}">
      <text>
        <r>
          <rPr>
            <b/>
            <sz val="9"/>
            <color indexed="81"/>
            <rFont val="Tahoma"/>
            <family val="2"/>
          </rPr>
          <t>&lt;[[DEVDeals] - [Funding (Seq: 20)] Rate - Send]&gt;</t>
        </r>
      </text>
    </comment>
    <comment ref="O566" authorId="0" shapeId="0" xr:uid="{4C2DF58F-3D8F-42D3-82A7-67A74483C0EA}">
      <text>
        <r>
          <rPr>
            <b/>
            <sz val="9"/>
            <color indexed="81"/>
            <rFont val="Tahoma"/>
            <family val="2"/>
          </rPr>
          <t>&lt;[[DEVDeals] - [Funding (Seq: 20)] Term - Send]&gt;</t>
        </r>
      </text>
    </comment>
    <comment ref="P566" authorId="0" shapeId="0" xr:uid="{6EB33D4F-539B-4607-BCF9-8A057A7890AB}">
      <text>
        <r>
          <rPr>
            <b/>
            <sz val="9"/>
            <color indexed="81"/>
            <rFont val="Tahoma"/>
            <family val="2"/>
          </rPr>
          <t>&lt;[[DEVDeals] - [Funding (Seq: 20)] Amount - Send]&gt;</t>
        </r>
      </text>
    </comment>
    <comment ref="Q566" authorId="0" shapeId="0" xr:uid="{3B0E0FCF-CDAF-48B4-B5B0-C8B3B41E8AC8}">
      <text>
        <r>
          <rPr>
            <b/>
            <sz val="9"/>
            <color indexed="81"/>
            <rFont val="Tahoma"/>
            <family val="2"/>
          </rPr>
          <t>&lt;[[DEVDeals] - [Funding (Seq: 20)] Debt Service - Send]&gt;</t>
        </r>
      </text>
    </comment>
    <comment ref="R566" authorId="0" shapeId="0" xr:uid="{B83B80F4-29E7-489C-A6D1-977B0CE9E8DD}">
      <text>
        <r>
          <rPr>
            <b/>
            <sz val="9"/>
            <color indexed="81"/>
            <rFont val="Tahoma"/>
            <family val="2"/>
          </rPr>
          <t>&lt;[[DEVDeals] - [Funding (Seq: 20)] Program Type - Send]&gt;</t>
        </r>
      </text>
    </comment>
    <comment ref="AM566" authorId="0" shapeId="0" xr:uid="{5B9962DF-3E68-4AD3-9FD6-4AB1824119EE}">
      <text>
        <r>
          <rPr>
            <b/>
            <sz val="9"/>
            <color indexed="81"/>
            <rFont val="Tahoma"/>
            <family val="2"/>
          </rPr>
          <t>&lt;[[DEVDeals] - [Associated TC Deal (Seq: 1)] - [TC Property Current Stage (Seq: 1)] - [Property Financing (Seq: 20)] Source Name - Send]&gt;</t>
        </r>
      </text>
    </comment>
    <comment ref="AN566" authorId="0" shapeId="0" xr:uid="{0770BC3E-CED0-4170-9C21-38EC4F873AEC}">
      <text>
        <r>
          <rPr>
            <b/>
            <sz val="9"/>
            <color indexed="81"/>
            <rFont val="Tahoma"/>
            <family val="2"/>
          </rPr>
          <t>&lt;[[DEVDeals] - [Associated TC Deal (Seq: 1)] - [TC Property Current Stage (Seq: 1)] - [Property Financing (Seq: 20)] Financing Type - Send]&gt;</t>
        </r>
      </text>
    </comment>
    <comment ref="AO566" authorId="0" shapeId="0" xr:uid="{362D7837-A73F-4229-893F-8D84E90F6407}">
      <text>
        <r>
          <rPr>
            <b/>
            <sz val="9"/>
            <color indexed="81"/>
            <rFont val="Tahoma"/>
            <family val="2"/>
          </rPr>
          <t>&lt;[[DEVDeals] - [Associated TC Deal (Seq: 1)] - [TC Property Current Stage (Seq: 1)] - [Property Financing (Seq: 20)] Interest Rate - Send]&gt;</t>
        </r>
      </text>
    </comment>
    <comment ref="AP566" authorId="0" shapeId="0" xr:uid="{C25A1D5A-1137-452F-8AAD-CF10A71BDD09}">
      <text>
        <r>
          <rPr>
            <b/>
            <sz val="9"/>
            <color indexed="81"/>
            <rFont val="Tahoma"/>
            <family val="2"/>
          </rPr>
          <t>&lt;[[DEVDeals] - [Associated TC Deal (Seq: 1)] - [TC Property Current Stage (Seq: 1)] - [Property Financing (Seq: 20)] Loan Term - Send]&gt;</t>
        </r>
      </text>
    </comment>
    <comment ref="AQ566" authorId="0" shapeId="0" xr:uid="{B5B2B78B-29CA-4914-95E9-38C1AC4D25C3}">
      <text>
        <r>
          <rPr>
            <b/>
            <sz val="9"/>
            <color indexed="81"/>
            <rFont val="Tahoma"/>
            <family val="2"/>
          </rPr>
          <t>&lt;[[DEVDeals] - [Associated TC Deal (Seq: 1)] - [TC Property Current Stage (Seq: 1)] - [Property Financing (Seq: 20)] Amount - Send]&gt;</t>
        </r>
      </text>
    </comment>
    <comment ref="AR566" authorId="0" shapeId="0" xr:uid="{559D118E-4154-4EB8-9783-154A94CEF172}">
      <text>
        <r>
          <rPr>
            <b/>
            <sz val="9"/>
            <color indexed="81"/>
            <rFont val="Tahoma"/>
            <family val="2"/>
          </rPr>
          <t>&lt;[[DEVDeals] - [Associated TC Deal (Seq: 1)] - [TC Property Current Stage (Seq: 1)] - [Property Financing (Seq: 20)] Annual Debt Svc Cost - Send]&gt;</t>
        </r>
      </text>
    </comment>
    <comment ref="M567" authorId="0" shapeId="0" xr:uid="{152757B0-1251-4733-9CE4-BBB6D7D30DE5}">
      <text>
        <r>
          <rPr>
            <b/>
            <sz val="9"/>
            <color indexed="81"/>
            <rFont val="Tahoma"/>
            <family val="2"/>
          </rPr>
          <t>&lt;[[DEVDeals] - [Funding (Seq: 21)] All DEV Funding Sources - Send]&gt;</t>
        </r>
      </text>
    </comment>
    <comment ref="N567" authorId="0" shapeId="0" xr:uid="{E6A7CD29-8CA6-47DF-88C0-C76B193CD456}">
      <text>
        <r>
          <rPr>
            <b/>
            <sz val="9"/>
            <color indexed="81"/>
            <rFont val="Tahoma"/>
            <family val="2"/>
          </rPr>
          <t>&lt;[[DEVDeals] - [Funding (Seq: 21)] Rate - Send]&gt;</t>
        </r>
      </text>
    </comment>
    <comment ref="O567" authorId="0" shapeId="0" xr:uid="{CD273C54-21BB-4697-A0AD-69A32D77B038}">
      <text>
        <r>
          <rPr>
            <b/>
            <sz val="9"/>
            <color indexed="81"/>
            <rFont val="Tahoma"/>
            <family val="2"/>
          </rPr>
          <t>&lt;[[DEVDeals] - [Funding (Seq: 21)] Term - Send]&gt;</t>
        </r>
      </text>
    </comment>
    <comment ref="P567" authorId="0" shapeId="0" xr:uid="{FFBD920B-0F63-495B-969A-E0A4244979AC}">
      <text>
        <r>
          <rPr>
            <b/>
            <sz val="9"/>
            <color indexed="81"/>
            <rFont val="Tahoma"/>
            <family val="2"/>
          </rPr>
          <t>&lt;[[DEVDeals] - [Funding (Seq: 21)] Amount - Send]&gt;</t>
        </r>
      </text>
    </comment>
    <comment ref="Q567" authorId="0" shapeId="0" xr:uid="{ED7F413B-2041-4362-939D-E4DCAE339506}">
      <text>
        <r>
          <rPr>
            <b/>
            <sz val="9"/>
            <color indexed="81"/>
            <rFont val="Tahoma"/>
            <family val="2"/>
          </rPr>
          <t>&lt;[[DEVDeals] - [Funding (Seq: 21)] Debt Service - Send]&gt;</t>
        </r>
      </text>
    </comment>
    <comment ref="R567" authorId="0" shapeId="0" xr:uid="{F3FB53FA-B64B-4369-9D10-CFBAFDF9D60E}">
      <text>
        <r>
          <rPr>
            <b/>
            <sz val="9"/>
            <color indexed="81"/>
            <rFont val="Tahoma"/>
            <family val="2"/>
          </rPr>
          <t>&lt;[[DEVDeals] - [Funding (Seq: 21)] Program Type - Send]&gt;</t>
        </r>
      </text>
    </comment>
    <comment ref="AM567" authorId="0" shapeId="0" xr:uid="{CE698663-4C35-4EDE-9DA7-52FE7AA8ECAC}">
      <text>
        <r>
          <rPr>
            <b/>
            <sz val="9"/>
            <color indexed="81"/>
            <rFont val="Tahoma"/>
            <family val="2"/>
          </rPr>
          <t>&lt;[[DEVDeals] - [Associated TC Deal (Seq: 1)] - [TC Property Current Stage (Seq: 1)] - [Property Financing (Seq: 21)] Source Name - Send]&gt;</t>
        </r>
      </text>
    </comment>
    <comment ref="AN567" authorId="0" shapeId="0" xr:uid="{C40B75BD-93E3-4680-94CD-5131581FED4A}">
      <text>
        <r>
          <rPr>
            <b/>
            <sz val="9"/>
            <color indexed="81"/>
            <rFont val="Tahoma"/>
            <family val="2"/>
          </rPr>
          <t>&lt;[[DEVDeals] - [Associated TC Deal (Seq: 1)] - [TC Property Current Stage (Seq: 1)] - [Property Financing (Seq: 21)] Financing Type - Send]&gt;</t>
        </r>
      </text>
    </comment>
    <comment ref="AO567" authorId="0" shapeId="0" xr:uid="{F22321C5-A405-4DEE-9AD9-3EF6712E4DF2}">
      <text>
        <r>
          <rPr>
            <b/>
            <sz val="9"/>
            <color indexed="81"/>
            <rFont val="Tahoma"/>
            <family val="2"/>
          </rPr>
          <t>&lt;[[DEVDeals] - [Associated TC Deal (Seq: 1)] - [TC Property Current Stage (Seq: 1)] - [Property Financing (Seq: 21)] Interest Rate - Send]&gt;</t>
        </r>
      </text>
    </comment>
    <comment ref="AP567" authorId="0" shapeId="0" xr:uid="{88F8BEE9-AC12-47F1-89D8-FEF20D079B78}">
      <text>
        <r>
          <rPr>
            <b/>
            <sz val="9"/>
            <color indexed="81"/>
            <rFont val="Tahoma"/>
            <family val="2"/>
          </rPr>
          <t>&lt;[[DEVDeals] - [Associated TC Deal (Seq: 1)] - [TC Property Current Stage (Seq: 1)] - [Property Financing (Seq: 21)] Loan Term - Send]&gt;</t>
        </r>
      </text>
    </comment>
    <comment ref="AQ567" authorId="0" shapeId="0" xr:uid="{A5AC920A-D70A-42C0-B817-9A261876CCCB}">
      <text>
        <r>
          <rPr>
            <b/>
            <sz val="9"/>
            <color indexed="81"/>
            <rFont val="Tahoma"/>
            <family val="2"/>
          </rPr>
          <t>&lt;[[DEVDeals] - [Associated TC Deal (Seq: 1)] - [TC Property Current Stage (Seq: 1)] - [Property Financing (Seq: 21)] Amount - Send]&gt;</t>
        </r>
      </text>
    </comment>
    <comment ref="AR567" authorId="0" shapeId="0" xr:uid="{BDB903AA-4CD0-41F0-85E0-C4A77C365D36}">
      <text>
        <r>
          <rPr>
            <b/>
            <sz val="9"/>
            <color indexed="81"/>
            <rFont val="Tahoma"/>
            <family val="2"/>
          </rPr>
          <t>&lt;[[DEVDeals] - [Associated TC Deal (Seq: 1)] - [TC Property Current Stage (Seq: 1)] - [Property Financing (Seq: 21)] Annual Debt Svc Cost - Send]&gt;</t>
        </r>
      </text>
    </comment>
    <comment ref="M568" authorId="0" shapeId="0" xr:uid="{2BD412F9-0F7A-4477-9DA9-D6354941D089}">
      <text>
        <r>
          <rPr>
            <b/>
            <sz val="9"/>
            <color indexed="81"/>
            <rFont val="Tahoma"/>
            <family val="2"/>
          </rPr>
          <t>&lt;[[DEVDeals] - [Funding (Seq: 22)] All DEV Funding Sources - Send]&gt;</t>
        </r>
      </text>
    </comment>
    <comment ref="N568" authorId="0" shapeId="0" xr:uid="{523F373D-65A0-4B4D-A061-29FD6E597035}">
      <text>
        <r>
          <rPr>
            <b/>
            <sz val="9"/>
            <color indexed="81"/>
            <rFont val="Tahoma"/>
            <family val="2"/>
          </rPr>
          <t>&lt;[[DEVDeals] - [Funding (Seq: 22)] Rate - Send]&gt;</t>
        </r>
      </text>
    </comment>
    <comment ref="O568" authorId="0" shapeId="0" xr:uid="{83100429-70D2-44BE-BDE7-2AAF9A6D2AC8}">
      <text>
        <r>
          <rPr>
            <b/>
            <sz val="9"/>
            <color indexed="81"/>
            <rFont val="Tahoma"/>
            <family val="2"/>
          </rPr>
          <t>&lt;[[DEVDeals] - [Funding (Seq: 22)] Term - Send]&gt;</t>
        </r>
      </text>
    </comment>
    <comment ref="P568" authorId="0" shapeId="0" xr:uid="{0B5348D3-8ADD-42E0-B915-94C0AD335D5C}">
      <text>
        <r>
          <rPr>
            <b/>
            <sz val="9"/>
            <color indexed="81"/>
            <rFont val="Tahoma"/>
            <family val="2"/>
          </rPr>
          <t>&lt;[[DEVDeals] - [Funding (Seq: 22)] Amount - Send]&gt;</t>
        </r>
      </text>
    </comment>
    <comment ref="Q568" authorId="0" shapeId="0" xr:uid="{932AB997-4BC3-49F3-B404-7028ADEDB173}">
      <text>
        <r>
          <rPr>
            <b/>
            <sz val="9"/>
            <color indexed="81"/>
            <rFont val="Tahoma"/>
            <family val="2"/>
          </rPr>
          <t>&lt;[[DEVDeals] - [Funding (Seq: 22)] Debt Service - Send]&gt;</t>
        </r>
      </text>
    </comment>
    <comment ref="R568" authorId="0" shapeId="0" xr:uid="{73A3B93F-70F3-4696-8AAC-61836B0C8BC6}">
      <text>
        <r>
          <rPr>
            <b/>
            <sz val="9"/>
            <color indexed="81"/>
            <rFont val="Tahoma"/>
            <family val="2"/>
          </rPr>
          <t>&lt;[[DEVDeals] - [Funding (Seq: 22)] Program Type - Send]&gt;</t>
        </r>
      </text>
    </comment>
    <comment ref="AM568" authorId="0" shapeId="0" xr:uid="{7D0D2FFA-04D4-474A-B506-5AC2E29FCE2D}">
      <text>
        <r>
          <rPr>
            <b/>
            <sz val="9"/>
            <color indexed="81"/>
            <rFont val="Tahoma"/>
            <family val="2"/>
          </rPr>
          <t>&lt;[[DEVDeals] - [Associated TC Deal (Seq: 1)] - [TC Property Current Stage (Seq: 1)] - [Property Financing (Seq: 22)] Source Name - Send]&gt;</t>
        </r>
      </text>
    </comment>
    <comment ref="AN568" authorId="0" shapeId="0" xr:uid="{E9452AC8-8352-45AB-BA73-6CB04E71381D}">
      <text>
        <r>
          <rPr>
            <b/>
            <sz val="9"/>
            <color indexed="81"/>
            <rFont val="Tahoma"/>
            <family val="2"/>
          </rPr>
          <t>&lt;[[DEVDeals] - [Associated TC Deal (Seq: 1)] - [TC Property Current Stage (Seq: 1)] - [Property Financing (Seq: 22)] Financing Type - Send]&gt;</t>
        </r>
      </text>
    </comment>
    <comment ref="AO568" authorId="0" shapeId="0" xr:uid="{C3C23A9E-83C3-4287-98CE-123C6549A069}">
      <text>
        <r>
          <rPr>
            <b/>
            <sz val="9"/>
            <color indexed="81"/>
            <rFont val="Tahoma"/>
            <family val="2"/>
          </rPr>
          <t>&lt;[[DEVDeals] - [Associated TC Deal (Seq: 1)] - [TC Property Current Stage (Seq: 1)] - [Property Financing (Seq: 22)] Interest Rate - Send]&gt;</t>
        </r>
      </text>
    </comment>
    <comment ref="AP568" authorId="0" shapeId="0" xr:uid="{47A8F685-DC1A-4E67-9F81-4861B27A50DA}">
      <text>
        <r>
          <rPr>
            <b/>
            <sz val="9"/>
            <color indexed="81"/>
            <rFont val="Tahoma"/>
            <family val="2"/>
          </rPr>
          <t>&lt;[[DEVDeals] - [Associated TC Deal (Seq: 1)] - [TC Property Current Stage (Seq: 1)] - [Property Financing (Seq: 22)] Loan Term - Send]&gt;</t>
        </r>
      </text>
    </comment>
    <comment ref="AQ568" authorId="0" shapeId="0" xr:uid="{0E7D6B2A-824F-4A8E-8D8A-FA6689A0ECC5}">
      <text>
        <r>
          <rPr>
            <b/>
            <sz val="9"/>
            <color indexed="81"/>
            <rFont val="Tahoma"/>
            <family val="2"/>
          </rPr>
          <t>&lt;[[DEVDeals] - [Associated TC Deal (Seq: 1)] - [TC Property Current Stage (Seq: 1)] - [Property Financing (Seq: 22)] Amount - Send]&gt;</t>
        </r>
      </text>
    </comment>
    <comment ref="AR568" authorId="0" shapeId="0" xr:uid="{162273DD-32AB-4038-A814-4F27EA81C162}">
      <text>
        <r>
          <rPr>
            <b/>
            <sz val="9"/>
            <color indexed="81"/>
            <rFont val="Tahoma"/>
            <family val="2"/>
          </rPr>
          <t>&lt;[[DEVDeals] - [Associated TC Deal (Seq: 1)] - [TC Property Current Stage (Seq: 1)] - [Property Financing (Seq: 22)] Annual Debt Svc Cost - Send]&gt;</t>
        </r>
      </text>
    </comment>
    <comment ref="M569" authorId="0" shapeId="0" xr:uid="{A12586A7-F1C3-4372-AD92-AEB4BF05ABED}">
      <text>
        <r>
          <rPr>
            <b/>
            <sz val="9"/>
            <color indexed="81"/>
            <rFont val="Tahoma"/>
            <family val="2"/>
          </rPr>
          <t>&lt;[[DEVDeals] - [Funding (Seq: 23)] All DEV Funding Sources - Send]&gt;</t>
        </r>
      </text>
    </comment>
    <comment ref="N569" authorId="0" shapeId="0" xr:uid="{B7CE70E0-11A2-4FB2-B1F5-37AC1F7C70D3}">
      <text>
        <r>
          <rPr>
            <b/>
            <sz val="9"/>
            <color indexed="81"/>
            <rFont val="Tahoma"/>
            <family val="2"/>
          </rPr>
          <t>&lt;[[DEVDeals] - [Funding (Seq: 23)] Rate - Send]&gt;</t>
        </r>
      </text>
    </comment>
    <comment ref="O569" authorId="0" shapeId="0" xr:uid="{41DC72AD-606F-4C45-8D7A-84AC2FD3F467}">
      <text>
        <r>
          <rPr>
            <b/>
            <sz val="9"/>
            <color indexed="81"/>
            <rFont val="Tahoma"/>
            <family val="2"/>
          </rPr>
          <t>&lt;[[DEVDeals] - [Funding (Seq: 23)] Term - Send]&gt;</t>
        </r>
      </text>
    </comment>
    <comment ref="P569" authorId="0" shapeId="0" xr:uid="{1E4D9115-924E-4143-9998-637EF1C3C667}">
      <text>
        <r>
          <rPr>
            <b/>
            <sz val="9"/>
            <color indexed="81"/>
            <rFont val="Tahoma"/>
            <family val="2"/>
          </rPr>
          <t>&lt;[[DEVDeals] - [Funding (Seq: 23)] Amount - Send]&gt;</t>
        </r>
      </text>
    </comment>
    <comment ref="Q569" authorId="0" shapeId="0" xr:uid="{26645413-B4BE-4983-ACB0-DEA3D4710410}">
      <text>
        <r>
          <rPr>
            <b/>
            <sz val="9"/>
            <color indexed="81"/>
            <rFont val="Tahoma"/>
            <family val="2"/>
          </rPr>
          <t>&lt;[[DEVDeals] - [Funding (Seq: 23)] Debt Service - Send]&gt;</t>
        </r>
      </text>
    </comment>
    <comment ref="R569" authorId="0" shapeId="0" xr:uid="{C8D6D86E-8BC0-4647-B263-73D7C9BB022B}">
      <text>
        <r>
          <rPr>
            <b/>
            <sz val="9"/>
            <color indexed="81"/>
            <rFont val="Tahoma"/>
            <family val="2"/>
          </rPr>
          <t>&lt;[[DEVDeals] - [Funding (Seq: 23)] Program Type - Send]&gt;</t>
        </r>
      </text>
    </comment>
    <comment ref="AM569" authorId="0" shapeId="0" xr:uid="{E4E9F3DE-B074-48FA-A863-C60EAAC7F2FE}">
      <text>
        <r>
          <rPr>
            <b/>
            <sz val="9"/>
            <color indexed="81"/>
            <rFont val="Tahoma"/>
            <family val="2"/>
          </rPr>
          <t>&lt;[[DEVDeals] - [Associated TC Deal (Seq: 1)] - [TC Property Current Stage (Seq: 1)] - [Property Financing (Seq: 23)] Source Name - Send]&gt;</t>
        </r>
      </text>
    </comment>
    <comment ref="AN569" authorId="0" shapeId="0" xr:uid="{B6E44B0A-04E7-4F1C-A2B3-06229710EE0C}">
      <text>
        <r>
          <rPr>
            <b/>
            <sz val="9"/>
            <color indexed="81"/>
            <rFont val="Tahoma"/>
            <family val="2"/>
          </rPr>
          <t>&lt;[[DEVDeals] - [Associated TC Deal (Seq: 1)] - [TC Property Current Stage (Seq: 1)] - [Property Financing (Seq: 23)] Financing Type - Send]&gt;</t>
        </r>
      </text>
    </comment>
    <comment ref="AO569" authorId="0" shapeId="0" xr:uid="{07135688-3438-4581-BD88-A08754EEADEF}">
      <text>
        <r>
          <rPr>
            <b/>
            <sz val="9"/>
            <color indexed="81"/>
            <rFont val="Tahoma"/>
            <family val="2"/>
          </rPr>
          <t>&lt;[[DEVDeals] - [Associated TC Deal (Seq: 1)] - [TC Property Current Stage (Seq: 1)] - [Property Financing (Seq: 23)] Interest Rate - Send]&gt;</t>
        </r>
      </text>
    </comment>
    <comment ref="AP569" authorId="0" shapeId="0" xr:uid="{CCE93C37-90F8-45AA-8A92-FADD4F3FE715}">
      <text>
        <r>
          <rPr>
            <b/>
            <sz val="9"/>
            <color indexed="81"/>
            <rFont val="Tahoma"/>
            <family val="2"/>
          </rPr>
          <t>&lt;[[DEVDeals] - [Associated TC Deal (Seq: 1)] - [TC Property Current Stage (Seq: 1)] - [Property Financing (Seq: 23)] Loan Term - Send]&gt;</t>
        </r>
      </text>
    </comment>
    <comment ref="AQ569" authorId="0" shapeId="0" xr:uid="{008B9A9F-9A27-4925-9284-A7A7457AEAD0}">
      <text>
        <r>
          <rPr>
            <b/>
            <sz val="9"/>
            <color indexed="81"/>
            <rFont val="Tahoma"/>
            <family val="2"/>
          </rPr>
          <t>&lt;[[DEVDeals] - [Associated TC Deal (Seq: 1)] - [TC Property Current Stage (Seq: 1)] - [Property Financing (Seq: 23)] Amount - Send]&gt;</t>
        </r>
      </text>
    </comment>
    <comment ref="AR569" authorId="0" shapeId="0" xr:uid="{9CFFCC3D-564C-4045-BB63-A747DF81F2A6}">
      <text>
        <r>
          <rPr>
            <b/>
            <sz val="9"/>
            <color indexed="81"/>
            <rFont val="Tahoma"/>
            <family val="2"/>
          </rPr>
          <t>&lt;[[DEVDeals] - [Associated TC Deal (Seq: 1)] - [TC Property Current Stage (Seq: 1)] - [Property Financing (Seq: 23)] Annual Debt Svc Cost - Send]&gt;</t>
        </r>
      </text>
    </comment>
    <comment ref="M570" authorId="0" shapeId="0" xr:uid="{C24013FF-2007-4A34-AA06-8915485F646B}">
      <text>
        <r>
          <rPr>
            <b/>
            <sz val="9"/>
            <color indexed="81"/>
            <rFont val="Tahoma"/>
            <family val="2"/>
          </rPr>
          <t>&lt;[[DEVDeals] - [Funding (Seq: 24)] All DEV Funding Sources - Send]&gt;</t>
        </r>
      </text>
    </comment>
    <comment ref="N570" authorId="0" shapeId="0" xr:uid="{16CDB306-656F-4219-84D1-A9A3314DAEE6}">
      <text>
        <r>
          <rPr>
            <b/>
            <sz val="9"/>
            <color indexed="81"/>
            <rFont val="Tahoma"/>
            <family val="2"/>
          </rPr>
          <t>&lt;[[DEVDeals] - [Funding (Seq: 24)] Rate - Send]&gt;</t>
        </r>
      </text>
    </comment>
    <comment ref="O570" authorId="0" shapeId="0" xr:uid="{FB1F27CE-71D5-4F95-807C-E392D5F0A9E3}">
      <text>
        <r>
          <rPr>
            <b/>
            <sz val="9"/>
            <color indexed="81"/>
            <rFont val="Tahoma"/>
            <family val="2"/>
          </rPr>
          <t>&lt;[[DEVDeals] - [Funding (Seq: 24)] Term - Send]&gt;</t>
        </r>
      </text>
    </comment>
    <comment ref="P570" authorId="0" shapeId="0" xr:uid="{020AD326-FDC5-4BDA-B702-9251246566FF}">
      <text>
        <r>
          <rPr>
            <b/>
            <sz val="9"/>
            <color indexed="81"/>
            <rFont val="Tahoma"/>
            <family val="2"/>
          </rPr>
          <t>&lt;[[DEVDeals] - [Funding (Seq: 24)] Amount - Send]&gt;</t>
        </r>
      </text>
    </comment>
    <comment ref="Q570" authorId="0" shapeId="0" xr:uid="{05BDCBF6-09C7-4DEE-A106-AAB0D1BB59FE}">
      <text>
        <r>
          <rPr>
            <b/>
            <sz val="9"/>
            <color indexed="81"/>
            <rFont val="Tahoma"/>
            <family val="2"/>
          </rPr>
          <t>&lt;[[DEVDeals] - [Funding (Seq: 24)] Debt Service - Send]&gt;</t>
        </r>
      </text>
    </comment>
    <comment ref="R570" authorId="0" shapeId="0" xr:uid="{7E296E13-AFD0-43FF-89AA-4FD2E7486A00}">
      <text>
        <r>
          <rPr>
            <b/>
            <sz val="9"/>
            <color indexed="81"/>
            <rFont val="Tahoma"/>
            <family val="2"/>
          </rPr>
          <t>&lt;[[DEVDeals] - [Funding (Seq: 24)] Program Type - Send]&gt;</t>
        </r>
      </text>
    </comment>
    <comment ref="AM570" authorId="0" shapeId="0" xr:uid="{1EBADFF9-5625-49CD-8DB0-1D824D1DE3AB}">
      <text>
        <r>
          <rPr>
            <b/>
            <sz val="9"/>
            <color indexed="81"/>
            <rFont val="Tahoma"/>
            <family val="2"/>
          </rPr>
          <t>&lt;[[DEVDeals] - [Associated TC Deal (Seq: 1)] - [TC Property Current Stage (Seq: 1)] - [Property Financing (Seq: 24)] Source Name - Send]&gt;</t>
        </r>
      </text>
    </comment>
    <comment ref="AN570" authorId="0" shapeId="0" xr:uid="{849E3809-8441-466B-9297-F16CE203F41C}">
      <text>
        <r>
          <rPr>
            <b/>
            <sz val="9"/>
            <color indexed="81"/>
            <rFont val="Tahoma"/>
            <family val="2"/>
          </rPr>
          <t>&lt;[[DEVDeals] - [Associated TC Deal (Seq: 1)] - [TC Property Current Stage (Seq: 1)] - [Property Financing (Seq: 24)] Financing Type - Send]&gt;</t>
        </r>
      </text>
    </comment>
    <comment ref="AO570" authorId="0" shapeId="0" xr:uid="{49B0A8CC-F5F3-442E-A548-62353FB3111B}">
      <text>
        <r>
          <rPr>
            <b/>
            <sz val="9"/>
            <color indexed="81"/>
            <rFont val="Tahoma"/>
            <family val="2"/>
          </rPr>
          <t>&lt;[[DEVDeals] - [Associated TC Deal (Seq: 1)] - [TC Property Current Stage (Seq: 1)] - [Property Financing (Seq: 24)] Interest Rate - Send]&gt;</t>
        </r>
      </text>
    </comment>
    <comment ref="AP570" authorId="0" shapeId="0" xr:uid="{79680AF0-CC3C-4294-A20F-3FBC9E753260}">
      <text>
        <r>
          <rPr>
            <b/>
            <sz val="9"/>
            <color indexed="81"/>
            <rFont val="Tahoma"/>
            <family val="2"/>
          </rPr>
          <t>&lt;[[DEVDeals] - [Associated TC Deal (Seq: 1)] - [TC Property Current Stage (Seq: 1)] - [Property Financing (Seq: 24)] Loan Term - Send]&gt;</t>
        </r>
      </text>
    </comment>
    <comment ref="AQ570" authorId="0" shapeId="0" xr:uid="{0CD9175B-7A4E-45BE-9895-924D396136A0}">
      <text>
        <r>
          <rPr>
            <b/>
            <sz val="9"/>
            <color indexed="81"/>
            <rFont val="Tahoma"/>
            <family val="2"/>
          </rPr>
          <t>&lt;[[DEVDeals] - [Associated TC Deal (Seq: 1)] - [TC Property Current Stage (Seq: 1)] - [Property Financing (Seq: 24)] Amount - Send]&gt;</t>
        </r>
      </text>
    </comment>
    <comment ref="AR570" authorId="0" shapeId="0" xr:uid="{C1C07AD9-3975-4317-B3B3-723B57BACDF7}">
      <text>
        <r>
          <rPr>
            <b/>
            <sz val="9"/>
            <color indexed="81"/>
            <rFont val="Tahoma"/>
            <family val="2"/>
          </rPr>
          <t>&lt;[[DEVDeals] - [Associated TC Deal (Seq: 1)] - [TC Property Current Stage (Seq: 1)] - [Property Financing (Seq: 24)] Annual Debt Svc Cost - Send]&gt;</t>
        </r>
      </text>
    </comment>
    <comment ref="H586" authorId="0" shapeId="0" xr:uid="{55B979A2-8E57-4F2E-A381-411D9DD62267}">
      <text>
        <r>
          <rPr>
            <b/>
            <sz val="9"/>
            <color indexed="81"/>
            <rFont val="Tahoma"/>
            <family val="2"/>
          </rPr>
          <t>&lt;[[DEVDeals] - [Budget Initial (Seq: 1)] SC Land Acquisition - Send]&gt;</t>
        </r>
      </text>
    </comment>
    <comment ref="AN586" authorId="0" shapeId="0" xr:uid="{1AC8CC6B-8B3C-453C-8255-BA0DBBABC7B5}">
      <text>
        <r>
          <rPr>
            <b/>
            <sz val="9"/>
            <color indexed="81"/>
            <rFont val="Tahoma"/>
            <family val="2"/>
          </rPr>
          <t>&lt;[[DEVDeals] - [Associated TC Deal (Seq: 1)] - [TC Property Current Stage (Seq: 1)] - [4% Construction Property Costs (Seq: 1)] Land Acq Cost - Send]&gt;</t>
        </r>
      </text>
    </comment>
    <comment ref="BD586" authorId="0" shapeId="0" xr:uid="{AF29CD91-873C-4565-845D-7D2254F48574}">
      <text>
        <r>
          <rPr>
            <b/>
            <sz val="9"/>
            <color indexed="81"/>
            <rFont val="Tahoma"/>
            <family val="2"/>
          </rPr>
          <t>&lt;[[DEVDeals] - [Associated TC Deal (Seq: 1)] - [TC Property Current Stage (Seq: 1)] - [9% Construction Property Costs (Seq: 1)] Land Acq Cost - Send]&gt;</t>
        </r>
      </text>
    </comment>
    <comment ref="H587" authorId="0" shapeId="0" xr:uid="{3EEB3AA1-FB5E-47FF-AC74-245055EBCF18}">
      <text>
        <r>
          <rPr>
            <b/>
            <sz val="9"/>
            <color indexed="81"/>
            <rFont val="Tahoma"/>
            <family val="2"/>
          </rPr>
          <t>&lt;[[DEVDeals] - [Budget Initial (Seq: 1)] HC Structures - Send]&gt;</t>
        </r>
      </text>
    </comment>
    <comment ref="AN587" authorId="0" shapeId="0" xr:uid="{0D0CCFD9-F3B1-4764-8DF1-BD3EBA17C4B0}">
      <text>
        <r>
          <rPr>
            <b/>
            <sz val="9"/>
            <color indexed="81"/>
            <rFont val="Tahoma"/>
            <family val="2"/>
          </rPr>
          <t>&lt;[[DEVDeals] - [Associated TC Deal (Seq: 1)] - [TC Property Current Stage (Seq: 1)] - [4% Construction Property Costs (Seq: 1)] Unit Structures Rehab - Send]&gt;</t>
        </r>
      </text>
    </comment>
    <comment ref="BD587" authorId="0" shapeId="0" xr:uid="{8F12A566-EA5C-462B-87FB-A17C30BD34FB}">
      <text>
        <r>
          <rPr>
            <b/>
            <sz val="9"/>
            <color indexed="81"/>
            <rFont val="Tahoma"/>
            <family val="2"/>
          </rPr>
          <t>&lt;[[DEVDeals] - [Associated TC Deal (Seq: 1)] - [TC Property Current Stage (Seq: 1)] - [9% Construction Property Costs (Seq: 1)] Unit Structures Rehab - Send]&gt;</t>
        </r>
      </text>
    </comment>
    <comment ref="H588" authorId="0" shapeId="0" xr:uid="{ACA3F312-83F5-4AE9-B448-9C00B33890A2}">
      <text>
        <r>
          <rPr>
            <b/>
            <sz val="9"/>
            <color indexed="81"/>
            <rFont val="Tahoma"/>
            <family val="2"/>
          </rPr>
          <t>&lt;[[DEVDeals] - [Budget Initial (Seq: 1)] HC Off Site Improvements - Send]&gt;</t>
        </r>
      </text>
    </comment>
    <comment ref="AN588" authorId="0" shapeId="0" xr:uid="{6A460CF8-A837-483D-B75E-CD8C93D186A9}">
      <text>
        <r>
          <rPr>
            <b/>
            <sz val="9"/>
            <color indexed="81"/>
            <rFont val="Tahoma"/>
            <family val="2"/>
          </rPr>
          <t>&lt;[[DEVDeals] - [Associated TC Deal (Seq: 1)] - [TC Property Current Stage (Seq: 1)] - [4% Construction Property Costs (Seq: 1)] Off Site Improvements - Send]&gt;</t>
        </r>
      </text>
    </comment>
    <comment ref="BD588" authorId="0" shapeId="0" xr:uid="{4005526B-1A04-4788-80CA-26751CC6FDF3}">
      <text>
        <r>
          <rPr>
            <b/>
            <sz val="9"/>
            <color indexed="81"/>
            <rFont val="Tahoma"/>
            <family val="2"/>
          </rPr>
          <t>&lt;[[DEVDeals] - [Associated TC Deal (Seq: 1)] - [TC Property Current Stage (Seq: 1)] - [9% Construction Property Costs (Seq: 1)] Off Site Improvements - Send]&gt;</t>
        </r>
      </text>
    </comment>
    <comment ref="H589" authorId="0" shapeId="0" xr:uid="{9E924434-AD87-416B-B950-22FB91F934D0}">
      <text>
        <r>
          <rPr>
            <b/>
            <sz val="9"/>
            <color indexed="81"/>
            <rFont val="Tahoma"/>
            <family val="2"/>
          </rPr>
          <t>&lt;[[DEVDeals] - [Budget Initial (Seq: 1)] HC Demolition - Send]&gt;</t>
        </r>
      </text>
    </comment>
    <comment ref="AN589" authorId="0" shapeId="0" xr:uid="{4EF2564D-1F4F-4812-B0E6-E352ADCF92F0}">
      <text>
        <r>
          <rPr>
            <b/>
            <sz val="9"/>
            <color indexed="81"/>
            <rFont val="Tahoma"/>
            <family val="2"/>
          </rPr>
          <t>&lt;[[DEVDeals] - [Associated TC Deal (Seq: 1)] - [TC Property Current Stage (Seq: 1)] - [4% Construction Property Costs (Seq: 1)] Demolition - Send]&gt;</t>
        </r>
      </text>
    </comment>
    <comment ref="BD589" authorId="0" shapeId="0" xr:uid="{92A31C95-E264-442B-872D-35950024EE69}">
      <text>
        <r>
          <rPr>
            <b/>
            <sz val="9"/>
            <color indexed="81"/>
            <rFont val="Tahoma"/>
            <family val="2"/>
          </rPr>
          <t>&lt;[[DEVDeals] - [Associated TC Deal (Seq: 1)] - [TC Property Current Stage (Seq: 1)] - [9% Construction Property Costs (Seq: 1)] Demolition - Send]&gt;</t>
        </r>
      </text>
    </comment>
    <comment ref="G590" authorId="0" shapeId="0" xr:uid="{83B62A87-1100-49DB-AC96-E9AFD144F2F7}">
      <text>
        <r>
          <rPr>
            <b/>
            <sz val="9"/>
            <color indexed="81"/>
            <rFont val="Tahoma"/>
            <family val="2"/>
          </rPr>
          <t>&lt;[[DEVDeals] - [Budget Initial (Seq: 1)] HC Other1 Comments - Send]&gt;</t>
        </r>
      </text>
    </comment>
    <comment ref="H590" authorId="0" shapeId="0" xr:uid="{639DE316-AF14-4733-8897-7D44436D2795}">
      <text>
        <r>
          <rPr>
            <b/>
            <sz val="9"/>
            <color indexed="81"/>
            <rFont val="Tahoma"/>
            <family val="2"/>
          </rPr>
          <t>&lt;[[DEVDeals] - [Budget Initial (Seq: 1)] HC Other1 - Send]&gt;</t>
        </r>
      </text>
    </comment>
    <comment ref="AN590" authorId="0" shapeId="0" xr:uid="{AB6CF6A3-9B71-4A66-8C99-CFD9F71C3A9E}">
      <text>
        <r>
          <rPr>
            <b/>
            <sz val="9"/>
            <color indexed="81"/>
            <rFont val="Tahoma"/>
            <family val="2"/>
          </rPr>
          <t>&lt;[[DEVDeals] - [Associated TC Deal (Seq: 1)] - [TC Property Current Stage (Seq: 1)] - [4% Construction Property Costs (Seq: 1)] Other Construction1 - Send]&gt;</t>
        </r>
      </text>
    </comment>
    <comment ref="BD590" authorId="0" shapeId="0" xr:uid="{D264F44D-7655-4774-ABA4-70F95B0E9625}">
      <text>
        <r>
          <rPr>
            <b/>
            <sz val="9"/>
            <color indexed="81"/>
            <rFont val="Tahoma"/>
            <family val="2"/>
          </rPr>
          <t>&lt;[[DEVDeals] - [Associated TC Deal (Seq: 1)] - [TC Property Current Stage (Seq: 1)] - [9% Construction Property Costs (Seq: 1)] Other Construction1 - Send]&gt;</t>
        </r>
      </text>
    </comment>
    <comment ref="G591" authorId="0" shapeId="0" xr:uid="{F13EBDEB-CFB2-4954-BB75-193FC9A0013A}">
      <text>
        <r>
          <rPr>
            <b/>
            <sz val="9"/>
            <color indexed="81"/>
            <rFont val="Tahoma"/>
            <family val="2"/>
          </rPr>
          <t>&lt;[[DEVDeals] - [Budget Initial (Seq: 1)] HC Other2 Comments - Send]&gt;</t>
        </r>
      </text>
    </comment>
    <comment ref="H591" authorId="0" shapeId="0" xr:uid="{7EA1D6FE-3BB0-4757-A623-B5F4285039D1}">
      <text>
        <r>
          <rPr>
            <b/>
            <sz val="9"/>
            <color indexed="81"/>
            <rFont val="Tahoma"/>
            <family val="2"/>
          </rPr>
          <t>&lt;[[DEVDeals] - [Budget Initial (Seq: 1)] HC Other2 - Send]&gt;</t>
        </r>
      </text>
    </comment>
    <comment ref="AN591" authorId="0" shapeId="0" xr:uid="{3C68ED75-4F1C-48A1-99DB-B23E1023C39D}">
      <text>
        <r>
          <rPr>
            <b/>
            <sz val="9"/>
            <color indexed="81"/>
            <rFont val="Tahoma"/>
            <family val="2"/>
          </rPr>
          <t>&lt;[[DEVDeals] - [Associated TC Deal (Seq: 1)] - [TC Property Current Stage (Seq: 1)] - [4% Construction Property Costs (Seq: 1)] Other Construction2 - Send]&gt;</t>
        </r>
      </text>
    </comment>
    <comment ref="BD591" authorId="0" shapeId="0" xr:uid="{610B3C33-FEEF-4E09-9869-010CBDA67DD7}">
      <text>
        <r>
          <rPr>
            <b/>
            <sz val="9"/>
            <color indexed="81"/>
            <rFont val="Tahoma"/>
            <family val="2"/>
          </rPr>
          <t>&lt;[[DEVDeals] - [Associated TC Deal (Seq: 1)] - [TC Property Current Stage (Seq: 1)] - [9% Construction Property Costs (Seq: 1)] Other Construction2 - Send]&gt;</t>
        </r>
      </text>
    </comment>
    <comment ref="G592" authorId="0" shapeId="0" xr:uid="{B508C886-F596-4555-8131-F3A3034C6234}">
      <text>
        <r>
          <rPr>
            <b/>
            <sz val="9"/>
            <color indexed="81"/>
            <rFont val="Tahoma"/>
            <family val="2"/>
          </rPr>
          <t>&lt;[[DEVDeals] - [Budget Initial (Seq: 1)] HC Other3 Comments - Send]&gt;</t>
        </r>
      </text>
    </comment>
    <comment ref="H592" authorId="0" shapeId="0" xr:uid="{86751737-C2E1-4A87-B495-DF498856701E}">
      <text>
        <r>
          <rPr>
            <b/>
            <sz val="9"/>
            <color indexed="81"/>
            <rFont val="Tahoma"/>
            <family val="2"/>
          </rPr>
          <t>&lt;[[DEVDeals] - [Budget Initial (Seq: 1)] HC Other3 - Send]&gt;</t>
        </r>
      </text>
    </comment>
    <comment ref="AN592" authorId="0" shapeId="0" xr:uid="{F70C4965-7D63-4A45-A2BC-C4AB82CA7E1A}">
      <text>
        <r>
          <rPr>
            <b/>
            <sz val="9"/>
            <color indexed="81"/>
            <rFont val="Tahoma"/>
            <family val="2"/>
          </rPr>
          <t>&lt;[[DEVDeals] - [Associated TC Deal (Seq: 1)] - [TC Property Current Stage (Seq: 1)] - [4% Construction Property Costs (Seq: 1)] Other Construction3 - Send]&gt;</t>
        </r>
      </text>
    </comment>
    <comment ref="BD592" authorId="0" shapeId="0" xr:uid="{4F3016FB-1335-4CFA-8A03-C56B5FACE289}">
      <text>
        <r>
          <rPr>
            <b/>
            <sz val="9"/>
            <color indexed="81"/>
            <rFont val="Tahoma"/>
            <family val="2"/>
          </rPr>
          <t>&lt;[[DEVDeals] - [Associated TC Deal (Seq: 1)] - [TC Property Current Stage (Seq: 1)] - [9% Construction Property Costs (Seq: 1)] Other Construction3 - Send]&gt;</t>
        </r>
      </text>
    </comment>
    <comment ref="H596" authorId="0" shapeId="0" xr:uid="{593AE149-D7EE-4BC4-9A96-CB794E4792CE}">
      <text>
        <r>
          <rPr>
            <b/>
            <sz val="9"/>
            <color indexed="81"/>
            <rFont val="Tahoma"/>
            <family val="2"/>
          </rPr>
          <t>&lt;[[DEVDeals] - [Budget Initial (Seq: 1)] HC Accessory Structures - Send]&gt;</t>
        </r>
      </text>
    </comment>
    <comment ref="AN596" authorId="0" shapeId="0" xr:uid="{CCBE0C1A-96C5-434F-A2DA-BA9DC9FD82BD}">
      <text>
        <r>
          <rPr>
            <b/>
            <sz val="9"/>
            <color indexed="81"/>
            <rFont val="Tahoma"/>
            <family val="2"/>
          </rPr>
          <t>&lt;[[DEVDeals] - [Associated TC Deal (Seq: 1)] - [TC Property Current Stage (Seq: 1)] - [4% Construction Property Costs (Seq: 1)] Accessory Buildings - Send]&gt;</t>
        </r>
      </text>
    </comment>
    <comment ref="BD596" authorId="0" shapeId="0" xr:uid="{404036F9-D110-4383-AD6E-AD319783089A}">
      <text>
        <r>
          <rPr>
            <b/>
            <sz val="9"/>
            <color indexed="81"/>
            <rFont val="Tahoma"/>
            <family val="2"/>
          </rPr>
          <t>&lt;[[DEVDeals] - [Associated TC Deal (Seq: 1)] - [TC Property Current Stage (Seq: 1)] - [9% Construction Property Costs (Seq: 1)] Accessory Buildings - Send]&gt;</t>
        </r>
      </text>
    </comment>
    <comment ref="H597" authorId="0" shapeId="0" xr:uid="{75BC365E-29D4-414F-A55F-E752548D6ED1}">
      <text>
        <r>
          <rPr>
            <b/>
            <sz val="9"/>
            <color indexed="81"/>
            <rFont val="Tahoma"/>
            <family val="2"/>
          </rPr>
          <t>&lt;[[DEVDeals] - [Budget Initial (Seq: 1)] HC Site Improvements - Send]&gt;</t>
        </r>
      </text>
    </comment>
    <comment ref="AN597" authorId="0" shapeId="0" xr:uid="{F0443B39-6E50-4A49-A1A6-4AE8A84E36A9}">
      <text>
        <r>
          <rPr>
            <b/>
            <sz val="9"/>
            <color indexed="81"/>
            <rFont val="Tahoma"/>
            <family val="2"/>
          </rPr>
          <t>&lt;[[DEVDeals] - [Associated TC Deal (Seq: 1)] - [TC Property Current Stage (Seq: 1)] - [4% Construction Property Costs (Seq: 1)] Site Work - Send]&gt;</t>
        </r>
      </text>
    </comment>
    <comment ref="BD597" authorId="0" shapeId="0" xr:uid="{8DB77552-CE56-4FDD-92A8-845527A462F4}">
      <text>
        <r>
          <rPr>
            <b/>
            <sz val="9"/>
            <color indexed="81"/>
            <rFont val="Tahoma"/>
            <family val="2"/>
          </rPr>
          <t>&lt;[[DEVDeals] - [Associated TC Deal (Seq: 1)] - [TC Property Current Stage (Seq: 1)] - [9% Construction Property Costs (Seq: 1)] Site Work - Send]&gt;</t>
        </r>
      </text>
    </comment>
    <comment ref="H598" authorId="0" shapeId="0" xr:uid="{A455B61B-9712-46BA-B69A-F966462AEC85}">
      <text>
        <r>
          <rPr>
            <b/>
            <sz val="9"/>
            <color indexed="81"/>
            <rFont val="Tahoma"/>
            <family val="2"/>
          </rPr>
          <t>&lt;[[DEVDeals] - [Budget Initial (Seq: 1)] HC General Req - Send]&gt;</t>
        </r>
      </text>
    </comment>
    <comment ref="AN598" authorId="0" shapeId="0" xr:uid="{D4916C8F-8FC6-4E85-B78F-62D15D76267A}">
      <text>
        <r>
          <rPr>
            <b/>
            <sz val="9"/>
            <color indexed="81"/>
            <rFont val="Tahoma"/>
            <family val="2"/>
          </rPr>
          <t>&lt;[[DEVDeals] - [Associated TC Deal (Seq: 1)] - [TC Property Current Stage (Seq: 1)] - [4% Construction Property Costs (Seq: 1)] General Requirements - Send]&gt;</t>
        </r>
      </text>
    </comment>
    <comment ref="BD598" authorId="0" shapeId="0" xr:uid="{5DEA32C3-7DF8-427F-962C-AD039834914C}">
      <text>
        <r>
          <rPr>
            <b/>
            <sz val="9"/>
            <color indexed="81"/>
            <rFont val="Tahoma"/>
            <family val="2"/>
          </rPr>
          <t>&lt;[[DEVDeals] - [Associated TC Deal (Seq: 1)] - [TC Property Current Stage (Seq: 1)] - [9% Construction Property Costs (Seq: 1)] General Requirements - Send]&gt;</t>
        </r>
      </text>
    </comment>
    <comment ref="H599" authorId="0" shapeId="0" xr:uid="{5DE611E5-4FD1-4250-A882-E7ABB22D6397}">
      <text>
        <r>
          <rPr>
            <b/>
            <sz val="9"/>
            <color indexed="81"/>
            <rFont val="Tahoma"/>
            <family val="2"/>
          </rPr>
          <t>&lt;[[DEVDeals] - [Budget Initial (Seq: 1)] HC Overhead - Send]&gt;</t>
        </r>
      </text>
    </comment>
    <comment ref="AN599" authorId="0" shapeId="0" xr:uid="{2323A14F-20A7-4C7C-BF9A-86FF6D1C0FA9}">
      <text>
        <r>
          <rPr>
            <b/>
            <sz val="9"/>
            <color indexed="81"/>
            <rFont val="Tahoma"/>
            <family val="2"/>
          </rPr>
          <t>&lt;[[DEVDeals] - [Associated TC Deal (Seq: 1)] - [TC Property Current Stage (Seq: 1)] - [4% Construction Property Costs (Seq: 1)] Builders Overhead - Send]&gt;</t>
        </r>
      </text>
    </comment>
    <comment ref="BD599" authorId="0" shapeId="0" xr:uid="{5205D97C-DFF8-4042-B2C0-3AD511951620}">
      <text>
        <r>
          <rPr>
            <b/>
            <sz val="9"/>
            <color indexed="81"/>
            <rFont val="Tahoma"/>
            <family val="2"/>
          </rPr>
          <t>&lt;[[DEVDeals] - [Associated TC Deal (Seq: 1)] - [TC Property Current Stage (Seq: 1)] - [9% Construction Property Costs (Seq: 1)] Builders Overhead - Send]&gt;</t>
        </r>
      </text>
    </comment>
    <comment ref="H600" authorId="0" shapeId="0" xr:uid="{2C1425B9-0455-4233-B8C8-847E37869404}">
      <text>
        <r>
          <rPr>
            <b/>
            <sz val="9"/>
            <color indexed="81"/>
            <rFont val="Tahoma"/>
            <family val="2"/>
          </rPr>
          <t>&lt;[[DEVDeals] - [Budget Initial (Seq: 1)] HC Profit - Send]&gt;</t>
        </r>
      </text>
    </comment>
    <comment ref="AN600" authorId="0" shapeId="0" xr:uid="{25E143D1-A241-4D16-9CBD-25C49DEC322A}">
      <text>
        <r>
          <rPr>
            <b/>
            <sz val="9"/>
            <color indexed="81"/>
            <rFont val="Tahoma"/>
            <family val="2"/>
          </rPr>
          <t>&lt;[[DEVDeals] - [Associated TC Deal (Seq: 1)] - [TC Property Current Stage (Seq: 1)] - [4% Construction Property Costs (Seq: 1)] Builders Profit - Send]&gt;</t>
        </r>
      </text>
    </comment>
    <comment ref="BD600" authorId="0" shapeId="0" xr:uid="{F50411FB-C50C-42B3-A5EC-E806D23B409D}">
      <text>
        <r>
          <rPr>
            <b/>
            <sz val="9"/>
            <color indexed="81"/>
            <rFont val="Tahoma"/>
            <family val="2"/>
          </rPr>
          <t>&lt;[[DEVDeals] - [Associated TC Deal (Seq: 1)] - [TC Property Current Stage (Seq: 1)] - [9% Construction Property Costs (Seq: 1)] Builders Profit - Send]&gt;</t>
        </r>
      </text>
    </comment>
    <comment ref="H601" authorId="0" shapeId="0" xr:uid="{B6A45A7C-5FAF-41C5-9769-E1419EC0F635}">
      <text>
        <r>
          <rPr>
            <b/>
            <sz val="9"/>
            <color indexed="81"/>
            <rFont val="Tahoma"/>
            <family val="2"/>
          </rPr>
          <t>&lt;[[DEVDeals] - [Budget Initial (Seq: 1)] HC Bonds - Send]&gt;</t>
        </r>
      </text>
    </comment>
    <comment ref="AN601" authorId="0" shapeId="0" xr:uid="{D16C280B-01BE-4EE4-AB27-DC92C177B454}">
      <text>
        <r>
          <rPr>
            <b/>
            <sz val="9"/>
            <color indexed="81"/>
            <rFont val="Tahoma"/>
            <family val="2"/>
          </rPr>
          <t>&lt;[[DEVDeals] - [Associated TC Deal (Seq: 1)] - [TC Property Current Stage (Seq: 1)] - [4% Construction Property Costs (Seq: 1)] Bonding Fee - Send]&gt;</t>
        </r>
      </text>
    </comment>
    <comment ref="BD601" authorId="0" shapeId="0" xr:uid="{3A451880-6643-47EE-93E6-5A787D63F77A}">
      <text>
        <r>
          <rPr>
            <b/>
            <sz val="9"/>
            <color indexed="81"/>
            <rFont val="Tahoma"/>
            <family val="2"/>
          </rPr>
          <t>&lt;[[DEVDeals] - [Associated TC Deal (Seq: 1)] - [TC Property Current Stage (Seq: 1)] - [9% Construction Property Costs (Seq: 1)] Bonding Fee - Send]&gt;</t>
        </r>
      </text>
    </comment>
    <comment ref="H602" authorId="0" shapeId="0" xr:uid="{A13F1EB4-4C79-466A-8A4C-90131D6C451A}">
      <text>
        <r>
          <rPr>
            <b/>
            <sz val="9"/>
            <color indexed="81"/>
            <rFont val="Tahoma"/>
            <family val="2"/>
          </rPr>
          <t>&lt;[[DEVDeals] - [Budget Initial (Seq: 1)] HC Special Construction - Send]&gt;</t>
        </r>
      </text>
    </comment>
    <comment ref="AN602" authorId="0" shapeId="0" xr:uid="{ED6CFD7C-74CE-49F7-BCD8-E29784FA325F}">
      <text>
        <r>
          <rPr>
            <b/>
            <sz val="9"/>
            <color indexed="81"/>
            <rFont val="Tahoma"/>
            <family val="2"/>
          </rPr>
          <t>&lt;[[DEVDeals] - [Associated TC Deal (Seq: 1)] - [TC Property Current Stage (Seq: 1)] - [4% Construction Property Costs (Seq: 1)] Special Construction - Send]&gt;</t>
        </r>
      </text>
    </comment>
    <comment ref="BD602" authorId="0" shapeId="0" xr:uid="{B832FE1A-ADDA-4B4B-8B3F-5D1736AEDEC2}">
      <text>
        <r>
          <rPr>
            <b/>
            <sz val="9"/>
            <color indexed="81"/>
            <rFont val="Tahoma"/>
            <family val="2"/>
          </rPr>
          <t>&lt;[[DEVDeals] - [Associated TC Deal (Seq: 1)] - [TC Property Current Stage (Seq: 1)] - [9% Construction Property Costs (Seq: 1)] Special Construction - Send]&gt;</t>
        </r>
      </text>
    </comment>
    <comment ref="G603" authorId="0" shapeId="0" xr:uid="{C6CDBAC7-327F-465B-9BDD-080D1B2ACD34}">
      <text>
        <r>
          <rPr>
            <b/>
            <sz val="9"/>
            <color indexed="81"/>
            <rFont val="Tahoma"/>
            <family val="2"/>
          </rPr>
          <t>&lt;[[DEVDeals] - [Budget Initial (Seq: 1)] HC Other4 Comments - Send]&gt;</t>
        </r>
      </text>
    </comment>
    <comment ref="H603" authorId="0" shapeId="0" xr:uid="{9BBEA0DF-A3C7-4947-BF4A-703C0DC89001}">
      <text>
        <r>
          <rPr>
            <b/>
            <sz val="9"/>
            <color indexed="81"/>
            <rFont val="Tahoma"/>
            <family val="2"/>
          </rPr>
          <t>&lt;[[DEVDeals] - [Budget Initial (Seq: 1)] HC Other4 - Send]&gt;</t>
        </r>
      </text>
    </comment>
    <comment ref="AN603" authorId="0" shapeId="0" xr:uid="{AEDAB7A3-FAD3-4E8A-8E9A-ABB51126CB08}">
      <text>
        <r>
          <rPr>
            <b/>
            <sz val="9"/>
            <color indexed="81"/>
            <rFont val="Tahoma"/>
            <family val="2"/>
          </rPr>
          <t>&lt;[[DEVDeals] - [Associated TC Deal (Seq: 1)] - [TC Property Current Stage (Seq: 1)] - [4% Construction Property Costs (Seq: 1)] Building Permit - Send]&gt;</t>
        </r>
      </text>
    </comment>
    <comment ref="BD603" authorId="0" shapeId="0" xr:uid="{929E21E9-D54C-4761-95A1-D5CEF7477C2E}">
      <text>
        <r>
          <rPr>
            <b/>
            <sz val="9"/>
            <color indexed="81"/>
            <rFont val="Tahoma"/>
            <family val="2"/>
          </rPr>
          <t>&lt;[[DEVDeals] - [Associated TC Deal (Seq: 1)] - [TC Property Current Stage (Seq: 1)] - [9% Construction Property Costs (Seq: 1)] Building Permit - Send]&gt;</t>
        </r>
      </text>
    </comment>
    <comment ref="H605" authorId="0" shapeId="0" xr:uid="{10C30A5F-3D2C-4636-97AD-271718DA7A8F}">
      <text>
        <r>
          <rPr>
            <b/>
            <sz val="9"/>
            <color indexed="81"/>
            <rFont val="Tahoma"/>
            <family val="2"/>
          </rPr>
          <t>&lt;[[DEVDeals] - [Budget Initial (Seq: 1)] HC - Contingency - Send]&gt;</t>
        </r>
      </text>
    </comment>
    <comment ref="AM605" authorId="0" shapeId="0" xr:uid="{A51F3C0F-C19C-483F-8CC8-2D7B50FCBEF7}">
      <text>
        <r>
          <rPr>
            <b/>
            <sz val="9"/>
            <color indexed="81"/>
            <rFont val="Tahoma"/>
            <family val="2"/>
          </rPr>
          <t>&lt;[[DEVDeals] - [Associated TC Deal (Seq: 1)] - [TC Property Current Stage (Seq: 1)] Additional Costs18 - Send]&gt;</t>
        </r>
      </text>
    </comment>
    <comment ref="AN605" authorId="0" shapeId="0" xr:uid="{33881BD4-A420-45E4-B08A-6275060F6901}">
      <text>
        <r>
          <rPr>
            <b/>
            <sz val="9"/>
            <color indexed="81"/>
            <rFont val="Tahoma"/>
            <family val="2"/>
          </rPr>
          <t>&lt;[[DEVDeals] - [Associated TC Deal (Seq: 1)] - [TC Property Current Stage (Seq: 1)] - [4% Construction Property Costs (Seq: 1)] Rehab Addl Cost 18 - Send]&gt;</t>
        </r>
      </text>
    </comment>
    <comment ref="BD605" authorId="0" shapeId="0" xr:uid="{2D77A5F1-1A9D-4A37-B662-2675AF4BA22C}">
      <text>
        <r>
          <rPr>
            <b/>
            <sz val="9"/>
            <color indexed="81"/>
            <rFont val="Tahoma"/>
            <family val="2"/>
          </rPr>
          <t>&lt;[[DEVDeals] - [Associated TC Deal (Seq: 1)] - [TC Property Current Stage (Seq: 1)] - [9% Construction Property Costs (Seq: 1)] Rehab Addl Cost 18 - Send]&gt;</t>
        </r>
      </text>
    </comment>
    <comment ref="H609" authorId="0" shapeId="0" xr:uid="{561D8755-FC45-40D0-BCB0-6D292B4AF848}">
      <text>
        <r>
          <rPr>
            <b/>
            <sz val="9"/>
            <color indexed="81"/>
            <rFont val="Tahoma"/>
            <family val="2"/>
          </rPr>
          <t>&lt;[[DEVDeals] - [Budget Initial (Seq: 1)] SC Design Architect - Send]&gt;</t>
        </r>
      </text>
    </comment>
    <comment ref="AN609" authorId="0" shapeId="0" xr:uid="{8D67B722-1CC4-4B79-BEA1-D31A2CC0C7FA}">
      <text>
        <r>
          <rPr>
            <b/>
            <sz val="9"/>
            <color indexed="81"/>
            <rFont val="Tahoma"/>
            <family val="2"/>
          </rPr>
          <t>&lt;[[DEVDeals] - [Associated TC Deal (Seq: 1)] - [TC Property Current Stage (Seq: 1)] - [4% Construction Property Costs (Seq: 1)] Arch Engin Design Fee - Send]&gt;</t>
        </r>
      </text>
    </comment>
    <comment ref="BD609" authorId="0" shapeId="0" xr:uid="{79761312-53DA-48BB-9B03-B87DC0EA6305}">
      <text>
        <r>
          <rPr>
            <b/>
            <sz val="9"/>
            <color indexed="81"/>
            <rFont val="Tahoma"/>
            <family val="2"/>
          </rPr>
          <t>&lt;[[DEVDeals] - [Associated TC Deal (Seq: 1)] - [TC Property Current Stage (Seq: 1)] - [9% Construction Property Costs (Seq: 1)] Arch Engin Design Fee - Send]&gt;</t>
        </r>
      </text>
    </comment>
    <comment ref="H610" authorId="0" shapeId="0" xr:uid="{79E2A5D2-6CC4-4572-92ED-8383F006A4A3}">
      <text>
        <r>
          <rPr>
            <b/>
            <sz val="9"/>
            <color indexed="81"/>
            <rFont val="Tahoma"/>
            <family val="2"/>
          </rPr>
          <t>&lt;[[DEVDeals] - [Budget Initial (Seq: 1)] SC Architect Supervision - Send]&gt;</t>
        </r>
      </text>
    </comment>
    <comment ref="AN610" authorId="0" shapeId="0" xr:uid="{EBB15ED8-29A3-42AC-B460-C18FD929448A}">
      <text>
        <r>
          <rPr>
            <b/>
            <sz val="9"/>
            <color indexed="81"/>
            <rFont val="Tahoma"/>
            <family val="2"/>
          </rPr>
          <t>&lt;[[DEVDeals] - [Associated TC Deal (Seq: 1)] - [TC Property Current Stage (Seq: 1)] - [4% Construction Property Costs (Seq: 1)] Arch Supervision Fee - Send]&gt;</t>
        </r>
      </text>
    </comment>
    <comment ref="BD610" authorId="0" shapeId="0" xr:uid="{128C794B-FF05-4645-A3C1-5B03B263E34C}">
      <text>
        <r>
          <rPr>
            <b/>
            <sz val="9"/>
            <color indexed="81"/>
            <rFont val="Tahoma"/>
            <family val="2"/>
          </rPr>
          <t>&lt;[[DEVDeals] - [Associated TC Deal (Seq: 1)] - [TC Property Current Stage (Seq: 1)] - [9% Construction Property Costs (Seq: 1)] Arch Supervision Fee - Send]&gt;</t>
        </r>
      </text>
    </comment>
    <comment ref="H611" authorId="0" shapeId="0" xr:uid="{7DB82788-830B-4F8E-98EE-A5FD9231CCFA}">
      <text>
        <r>
          <rPr>
            <b/>
            <sz val="9"/>
            <color indexed="81"/>
            <rFont val="Tahoma"/>
            <family val="2"/>
          </rPr>
          <t>&lt;[[DEVDeals] - [Budget Initial (Seq: 1)] SC Survey - Send]&gt;</t>
        </r>
      </text>
    </comment>
    <comment ref="AM611" authorId="0" shapeId="0" xr:uid="{DE9D2077-A9D3-446D-A616-80D5014B6C6E}">
      <text>
        <r>
          <rPr>
            <b/>
            <sz val="9"/>
            <color indexed="81"/>
            <rFont val="Tahoma"/>
            <family val="2"/>
          </rPr>
          <t>&lt;[[DEVDeals] - [Associated TC Deal (Seq: 1)] - [TC Property Current Stage (Seq: 1)] Additional Costs1 - Send]&gt;</t>
        </r>
      </text>
    </comment>
    <comment ref="AN611" authorId="0" shapeId="0" xr:uid="{EC500F95-6313-4F53-98D4-79949F0CF077}">
      <text>
        <r>
          <rPr>
            <b/>
            <sz val="9"/>
            <color indexed="81"/>
            <rFont val="Tahoma"/>
            <family val="2"/>
          </rPr>
          <t>&lt;[[DEVDeals] - [Associated TC Deal (Seq: 1)] - [TC Property Current Stage (Seq: 1)] - [4% Construction Property Costs (Seq: 1)] Rehab Addl Cost 1 - Send]&gt;</t>
        </r>
      </text>
    </comment>
    <comment ref="BD611" authorId="0" shapeId="0" xr:uid="{FABC4FB5-1B0C-4FF2-88E4-EA24F42CDCDE}">
      <text>
        <r>
          <rPr>
            <b/>
            <sz val="9"/>
            <color indexed="81"/>
            <rFont val="Tahoma"/>
            <family val="2"/>
          </rPr>
          <t>&lt;[[DEVDeals] - [Associated TC Deal (Seq: 1)] - [TC Property Current Stage (Seq: 1)] - [9% Construction Property Costs (Seq: 1)] Rehab Addl Cost 1 - Send]&gt;</t>
        </r>
      </text>
    </comment>
    <comment ref="H612" authorId="0" shapeId="0" xr:uid="{15BCCCA0-7E9E-4A91-994B-53CFA5D608C4}">
      <text>
        <r>
          <rPr>
            <b/>
            <sz val="9"/>
            <color indexed="81"/>
            <rFont val="Tahoma"/>
            <family val="2"/>
          </rPr>
          <t>&lt;[[DEVDeals] - [Budget Initial (Seq: 1)] SC Environmental - Send]&gt;</t>
        </r>
      </text>
    </comment>
    <comment ref="AN612" authorId="0" shapeId="0" xr:uid="{6E3C0196-F94B-4771-923A-4994D528C545}">
      <text>
        <r>
          <rPr>
            <b/>
            <sz val="9"/>
            <color indexed="81"/>
            <rFont val="Tahoma"/>
            <family val="2"/>
          </rPr>
          <t>&lt;[[DEVDeals] - [Associated TC Deal (Seq: 1)] - [TC Property Current Stage (Seq: 1)] - [4% Construction Property Costs (Seq: 1)] Enviro Study - Send]&gt;</t>
        </r>
      </text>
    </comment>
    <comment ref="BD612" authorId="0" shapeId="0" xr:uid="{112B5FD2-642B-47A3-B407-BB3A5BA25D0B}">
      <text>
        <r>
          <rPr>
            <b/>
            <sz val="9"/>
            <color indexed="81"/>
            <rFont val="Tahoma"/>
            <family val="2"/>
          </rPr>
          <t>&lt;[[DEVDeals] - [Associated TC Deal (Seq: 1)] - [TC Property Current Stage (Seq: 1)] - [9% Construction Property Costs (Seq: 1)] Enviro Study - Send]&gt;</t>
        </r>
      </text>
    </comment>
    <comment ref="I613" authorId="0" shapeId="0" xr:uid="{F50F442D-03AA-4A3B-AEDC-3D3394C3D923}">
      <text>
        <r>
          <rPr>
            <b/>
            <sz val="9"/>
            <color indexed="81"/>
            <rFont val="Tahoma"/>
            <family val="2"/>
          </rPr>
          <t>&lt;[[DEVDeals] - [Budget Initial (Seq: 1)] SC Property Reports - Send]&gt;</t>
        </r>
      </text>
    </comment>
    <comment ref="AN613" authorId="0" shapeId="0" xr:uid="{C3A8C437-2316-4A66-B8CF-36F4AAE2B664}">
      <text>
        <r>
          <rPr>
            <b/>
            <sz val="9"/>
            <color indexed="81"/>
            <rFont val="Tahoma"/>
            <family val="2"/>
          </rPr>
          <t>&lt;[[DEVDeals] - [Associated TC Deal (Seq: 1)] - [TC Property Current Stage (Seq: 1)] - [4% Construction Property Costs (Seq: 1)] Structure Mech Study - Send]&gt;</t>
        </r>
      </text>
    </comment>
    <comment ref="BD613" authorId="0" shapeId="0" xr:uid="{1BC2E080-E0A2-41D7-92F4-2C6E2F64C044}">
      <text>
        <r>
          <rPr>
            <b/>
            <sz val="9"/>
            <color indexed="81"/>
            <rFont val="Tahoma"/>
            <family val="2"/>
          </rPr>
          <t>&lt;[[DEVDeals] - [Associated TC Deal (Seq: 1)] - [TC Property Current Stage (Seq: 1)] - [9% Construction Property Costs (Seq: 1)] Structure Mech Study - Send]&gt;</t>
        </r>
      </text>
    </comment>
    <comment ref="AM614" authorId="0" shapeId="0" xr:uid="{C881938E-98DD-4560-A1BD-18647C8B4510}">
      <text>
        <r>
          <rPr>
            <b/>
            <sz val="9"/>
            <color indexed="81"/>
            <rFont val="Tahoma"/>
            <family val="2"/>
          </rPr>
          <t>&lt;[[DEVDeals] - [Associated TC Deal (Seq: 1)] - [TC Property Current Stage (Seq: 1)] Additional Costs2 - Send]&gt;</t>
        </r>
      </text>
    </comment>
    <comment ref="AN614" authorId="0" shapeId="0" xr:uid="{58F2F6CC-6A34-4687-A2B7-ACE90E7A3395}">
      <text>
        <r>
          <rPr>
            <b/>
            <sz val="9"/>
            <color indexed="81"/>
            <rFont val="Tahoma"/>
            <family val="2"/>
          </rPr>
          <t>&lt;[[DEVDeals] - [Associated TC Deal (Seq: 1)] - [TC Property Current Stage (Seq: 1)] - [4% Construction Property Costs (Seq: 1)] Rehab Addl Cost 2 - Send]&gt;</t>
        </r>
      </text>
    </comment>
    <comment ref="BD614" authorId="0" shapeId="0" xr:uid="{D74E9E51-6C38-427A-89DC-C87FA44D6FE1}">
      <text>
        <r>
          <rPr>
            <b/>
            <sz val="9"/>
            <color indexed="81"/>
            <rFont val="Tahoma"/>
            <family val="2"/>
          </rPr>
          <t>&lt;[[DEVDeals] - [Associated TC Deal (Seq: 1)] - [TC Property Current Stage (Seq: 1)] - [9% Construction Property Costs (Seq: 1)] Rehab Addl Cost 2 - Send]&gt;</t>
        </r>
      </text>
    </comment>
    <comment ref="H615" authorId="0" shapeId="0" xr:uid="{74A39B7F-63FA-4366-925D-2F4BFBF0C2A7}">
      <text>
        <r>
          <rPr>
            <b/>
            <sz val="9"/>
            <color indexed="81"/>
            <rFont val="Tahoma"/>
            <family val="2"/>
          </rPr>
          <t>&lt;[[DEVDeals] - [Budget Initial (Seq: 1)] SC Builders Insurance - Send]&gt;</t>
        </r>
      </text>
    </comment>
    <comment ref="AN615" authorId="0" shapeId="0" xr:uid="{194D9EB9-98C5-48C0-ACB5-55EE6DD0D75C}">
      <text>
        <r>
          <rPr>
            <b/>
            <sz val="9"/>
            <color indexed="81"/>
            <rFont val="Tahoma"/>
            <family val="2"/>
          </rPr>
          <t>&lt;[[DEVDeals] - [Associated TC Deal (Seq: 1)] - [TC Property Current Stage (Seq: 1)] - [4% Construction Property Costs (Seq: 1)] Insurance Construction - Send]&gt;</t>
        </r>
      </text>
    </comment>
    <comment ref="BD615" authorId="0" shapeId="0" xr:uid="{34B8D0C8-2DA1-4FBC-80FB-6FDDC05B0A38}">
      <text>
        <r>
          <rPr>
            <b/>
            <sz val="9"/>
            <color indexed="81"/>
            <rFont val="Tahoma"/>
            <family val="2"/>
          </rPr>
          <t>&lt;[[DEVDeals] - [Associated TC Deal (Seq: 1)] - [TC Property Current Stage (Seq: 1)] - [9% Construction Property Costs (Seq: 1)] Insurance Construction - Send]&gt;</t>
        </r>
      </text>
    </comment>
    <comment ref="G616" authorId="0" shapeId="0" xr:uid="{9732221B-2C94-4D3B-A40F-AA91ED29439B}">
      <text>
        <r>
          <rPr>
            <b/>
            <sz val="9"/>
            <color indexed="81"/>
            <rFont val="Tahoma"/>
            <family val="2"/>
          </rPr>
          <t>&lt;[[DEVDeals] - [Budget Initial (Seq: 1)] SC Other1 Comments - Send]&gt;</t>
        </r>
      </text>
    </comment>
    <comment ref="H616" authorId="0" shapeId="0" xr:uid="{E397376A-6F1A-40C3-B363-8E406B14302D}">
      <text>
        <r>
          <rPr>
            <b/>
            <sz val="9"/>
            <color indexed="81"/>
            <rFont val="Tahoma"/>
            <family val="2"/>
          </rPr>
          <t>&lt;[[DEVDeals] - [Budget Initial (Seq: 1)] SC Other1 - Send]&gt;</t>
        </r>
      </text>
    </comment>
    <comment ref="AM616" authorId="0" shapeId="0" xr:uid="{83AB7785-A23C-4DBC-B856-C9BE18F9E8B5}">
      <text>
        <r>
          <rPr>
            <b/>
            <sz val="9"/>
            <color indexed="81"/>
            <rFont val="Tahoma"/>
            <family val="2"/>
          </rPr>
          <t>&lt;[[DEVDeals] - [Associated TC Deal (Seq: 1)] - [TC Property Current Stage (Seq: 1)] Additional Costs3 - Send]&gt;</t>
        </r>
      </text>
    </comment>
    <comment ref="AN616" authorId="0" shapeId="0" xr:uid="{EA0A9292-6159-4748-A7DE-A8C9C8269E65}">
      <text>
        <r>
          <rPr>
            <b/>
            <sz val="9"/>
            <color indexed="81"/>
            <rFont val="Tahoma"/>
            <family val="2"/>
          </rPr>
          <t>&lt;[[DEVDeals] - [Associated TC Deal (Seq: 1)] - [TC Property Current Stage (Seq: 1)] - [4% Construction Property Costs (Seq: 1)] Rehab Addl Cost 3 - Send]&gt;</t>
        </r>
      </text>
    </comment>
    <comment ref="BD616" authorId="0" shapeId="0" xr:uid="{55F92B55-E96F-4BED-AABB-3D8ADFC4A09B}">
      <text>
        <r>
          <rPr>
            <b/>
            <sz val="9"/>
            <color indexed="81"/>
            <rFont val="Tahoma"/>
            <family val="2"/>
          </rPr>
          <t>&lt;[[DEVDeals] - [Associated TC Deal (Seq: 1)] - [TC Property Current Stage (Seq: 1)] - [9% Construction Property Costs (Seq: 1)] Rehab Addl Cost 3 - Send]&gt;</t>
        </r>
      </text>
    </comment>
    <comment ref="G617" authorId="0" shapeId="0" xr:uid="{7893B4BF-7373-4400-B7DD-B2617391D408}">
      <text>
        <r>
          <rPr>
            <b/>
            <sz val="9"/>
            <color indexed="81"/>
            <rFont val="Tahoma"/>
            <family val="2"/>
          </rPr>
          <t>&lt;[[DEVDeals] - [Budget Initial (Seq: 1)] SC Other2 Comments - Send]&gt;</t>
        </r>
      </text>
    </comment>
    <comment ref="H617" authorId="0" shapeId="0" xr:uid="{EE7A1C7F-FB45-4E5E-A301-8C5B368E2104}">
      <text>
        <r>
          <rPr>
            <b/>
            <sz val="9"/>
            <color indexed="81"/>
            <rFont val="Tahoma"/>
            <family val="2"/>
          </rPr>
          <t>&lt;[[DEVDeals] - [Budget Initial (Seq: 1)] SC Other2 - Send]&gt;</t>
        </r>
      </text>
    </comment>
    <comment ref="AN617" authorId="0" shapeId="0" xr:uid="{79C10CC7-465F-4865-A85A-2AD3C8924D79}">
      <text>
        <r>
          <rPr>
            <b/>
            <sz val="9"/>
            <color indexed="81"/>
            <rFont val="Tahoma"/>
            <family val="2"/>
          </rPr>
          <t>&lt;[[DEVDeals] - [Associated TC Deal (Seq: 1)] - [TC Property Current Stage (Seq: 1)] - [4% Construction Property Costs (Seq: 1)] Closing Legal Fees - Send]&gt;</t>
        </r>
      </text>
    </comment>
    <comment ref="BD617" authorId="0" shapeId="0" xr:uid="{AEC77A99-6030-4FA3-AC4A-C683AA17980B}">
      <text>
        <r>
          <rPr>
            <b/>
            <sz val="9"/>
            <color indexed="81"/>
            <rFont val="Tahoma"/>
            <family val="2"/>
          </rPr>
          <t>&lt;[[DEVDeals] - [Associated TC Deal (Seq: 1)] - [TC Property Current Stage (Seq: 1)] - [9% Construction Property Costs (Seq: 1)] Closing Legal Fees - Send]&gt;</t>
        </r>
      </text>
    </comment>
    <comment ref="I618" authorId="0" shapeId="0" xr:uid="{A8B728AA-B552-4634-8576-E6F263B5A67F}">
      <text>
        <r>
          <rPr>
            <b/>
            <sz val="9"/>
            <color indexed="81"/>
            <rFont val="Tahoma"/>
            <family val="2"/>
          </rPr>
          <t>&lt;[[DEVDeals] - [Budget Initial (Seq: 1)] SC HFA Processing Fee - Send]&gt;</t>
        </r>
      </text>
    </comment>
    <comment ref="AM618" authorId="0" shapeId="0" xr:uid="{9D2ABF59-1B17-42BD-9C7C-7DC9EEFDF4E1}">
      <text>
        <r>
          <rPr>
            <b/>
            <sz val="9"/>
            <color indexed="81"/>
            <rFont val="Tahoma"/>
            <family val="2"/>
          </rPr>
          <t>&lt;[[DEVDeals] - [Associated TC Deal (Seq: 1)] - [TC Property Current Stage (Seq: 1)] Additional Costs4 - Send]&gt;</t>
        </r>
      </text>
    </comment>
    <comment ref="AO618" authorId="0" shapeId="0" xr:uid="{2C9DADD7-4658-409D-ACFF-8A715AA2DA3A}">
      <text>
        <r>
          <rPr>
            <b/>
            <sz val="9"/>
            <color indexed="81"/>
            <rFont val="Tahoma"/>
            <family val="2"/>
          </rPr>
          <t>&lt;[[DEVDeals] - [Associated TC Deal (Seq: 1)] - [TC Property Current Stage (Seq: 1)] - [4% Construction Property Costs (Seq: 1)] Rehab Addl Cost 4 - Send]&gt;</t>
        </r>
      </text>
    </comment>
    <comment ref="BE618" authorId="0" shapeId="0" xr:uid="{B2095D15-F778-4101-A659-930CB51967D4}">
      <text>
        <r>
          <rPr>
            <b/>
            <sz val="9"/>
            <color indexed="81"/>
            <rFont val="Tahoma"/>
            <family val="2"/>
          </rPr>
          <t>&lt;[[DEVDeals] - [Associated TC Deal (Seq: 1)] - [TC Property Current Stage (Seq: 1)] - [9% Construction Property Costs (Seq: 1)] Rehab Addl Cost 4 - Send]&gt;</t>
        </r>
      </text>
    </comment>
    <comment ref="H619" authorId="0" shapeId="0" xr:uid="{7211B1F5-2D8F-4ADF-A223-08844CCEBB26}">
      <text>
        <r>
          <rPr>
            <b/>
            <sz val="9"/>
            <color indexed="81"/>
            <rFont val="Tahoma"/>
            <family val="2"/>
          </rPr>
          <t>&lt;[[DEVDeals] - [Budget Initial (Seq: 1)] SC Legal - Send]&gt;</t>
        </r>
      </text>
    </comment>
    <comment ref="AM619" authorId="0" shapeId="0" xr:uid="{71B758C3-51B9-42D1-9C34-1E172AA330D1}">
      <text>
        <r>
          <rPr>
            <b/>
            <sz val="9"/>
            <color indexed="81"/>
            <rFont val="Tahoma"/>
            <family val="2"/>
          </rPr>
          <t>&lt;[[DEVDeals] - [Associated TC Deal (Seq: 1)] - [TC Property Current Stage (Seq: 1)] Additional Costs5 - Send]&gt;</t>
        </r>
      </text>
    </comment>
    <comment ref="AN619" authorId="0" shapeId="0" xr:uid="{F0616D0F-69E8-48C6-82DD-59DCBB7E225C}">
      <text>
        <r>
          <rPr>
            <b/>
            <sz val="9"/>
            <color indexed="81"/>
            <rFont val="Tahoma"/>
            <family val="2"/>
          </rPr>
          <t>&lt;[[DEVDeals] - [Associated TC Deal (Seq: 1)] - [TC Property Current Stage (Seq: 1)] - [4% Construction Property Costs (Seq: 1)] Rehab Addl Cost 5 - Send]&gt;</t>
        </r>
      </text>
    </comment>
    <comment ref="BD619" authorId="0" shapeId="0" xr:uid="{F31D0736-CF93-43BA-8730-F3115EF85A59}">
      <text>
        <r>
          <rPr>
            <b/>
            <sz val="9"/>
            <color indexed="81"/>
            <rFont val="Tahoma"/>
            <family val="2"/>
          </rPr>
          <t>&lt;[[DEVDeals] - [Associated TC Deal (Seq: 1)] - [TC Property Current Stage (Seq: 1)] - [9% Construction Property Costs (Seq: 1)] Rehab Addl Cost 5 - Send]&gt;</t>
        </r>
      </text>
    </comment>
    <comment ref="H620" authorId="0" shapeId="0" xr:uid="{D4D5AF3E-C6B7-404B-BD6C-65AB28CDEF94}">
      <text>
        <r>
          <rPr>
            <b/>
            <sz val="9"/>
            <color indexed="81"/>
            <rFont val="Tahoma"/>
            <family val="2"/>
          </rPr>
          <t>&lt;[[DEVDeals] - [Budget Initial (Seq: 1)] SC Title Recording - Send]&gt;</t>
        </r>
      </text>
    </comment>
    <comment ref="AN620" authorId="0" shapeId="0" xr:uid="{E5FD43BB-FE4B-41B1-9527-2EE775C11FEF}">
      <text>
        <r>
          <rPr>
            <b/>
            <sz val="9"/>
            <color indexed="81"/>
            <rFont val="Tahoma"/>
            <family val="2"/>
          </rPr>
          <t>&lt;[[DEVDeals] - [Associated TC Deal (Seq: 1)] - [TC Property Current Stage (Seq: 1)] - [4% Construction Property Costs (Seq: 1)] Title And Recording - Send]&gt;</t>
        </r>
      </text>
    </comment>
    <comment ref="BD620" authorId="0" shapeId="0" xr:uid="{CDB4E679-9BC1-4F0F-98AB-7180F4A786E5}">
      <text>
        <r>
          <rPr>
            <b/>
            <sz val="9"/>
            <color indexed="81"/>
            <rFont val="Tahoma"/>
            <family val="2"/>
          </rPr>
          <t>&lt;[[DEVDeals] - [Associated TC Deal (Seq: 1)] - [TC Property Current Stage (Seq: 1)] - [9% Construction Property Costs (Seq: 1)] Title And Recording - Send]&gt;</t>
        </r>
      </text>
    </comment>
    <comment ref="H621" authorId="0" shapeId="0" xr:uid="{E6B9BC25-8D26-417F-B4C7-2276751FE9DD}">
      <text>
        <r>
          <rPr>
            <b/>
            <sz val="9"/>
            <color indexed="81"/>
            <rFont val="Tahoma"/>
            <family val="2"/>
          </rPr>
          <t>&lt;[[DEVDeals] - [Budget Initial (Seq: 1)] SC Certification - Send]&gt;</t>
        </r>
      </text>
    </comment>
    <comment ref="AN621" authorId="0" shapeId="0" xr:uid="{AED04DF5-45B9-4A9A-960D-AFE8FA4813CD}">
      <text>
        <r>
          <rPr>
            <b/>
            <sz val="9"/>
            <color indexed="81"/>
            <rFont val="Tahoma"/>
            <family val="2"/>
          </rPr>
          <t>&lt;[[DEVDeals] - [Associated TC Deal (Seq: 1)] - [TC Property Current Stage (Seq: 1)] - [4% Construction Property Costs (Seq: 1)] Cost Cert Fee - Send]&gt;</t>
        </r>
      </text>
    </comment>
    <comment ref="BD621" authorId="0" shapeId="0" xr:uid="{E4380F51-10B4-4B12-AD02-CCAE4261E345}">
      <text>
        <r>
          <rPr>
            <b/>
            <sz val="9"/>
            <color indexed="81"/>
            <rFont val="Tahoma"/>
            <family val="2"/>
          </rPr>
          <t>&lt;[[DEVDeals] - [Associated TC Deal (Seq: 1)] - [TC Property Current Stage (Seq: 1)] - [9% Construction Property Costs (Seq: 1)] Cost Cert Fee - Send]&gt;</t>
        </r>
      </text>
    </comment>
    <comment ref="H622" authorId="0" shapeId="0" xr:uid="{677D39B8-93BD-4526-8BDE-65F21C31F6B6}">
      <text>
        <r>
          <rPr>
            <b/>
            <sz val="9"/>
            <color indexed="81"/>
            <rFont val="Tahoma"/>
            <family val="2"/>
          </rPr>
          <t>&lt;[[DEVDeals] - [Budget Initial (Seq: 1)] SC Accounting - Send]&gt;</t>
        </r>
      </text>
    </comment>
    <comment ref="AM622" authorId="0" shapeId="0" xr:uid="{FE69E8BC-4777-4955-85FB-0D1F23CEB7F6}">
      <text>
        <r>
          <rPr>
            <b/>
            <sz val="9"/>
            <color indexed="81"/>
            <rFont val="Tahoma"/>
            <family val="2"/>
          </rPr>
          <t>&lt;[[DEVDeals] - [Associated TC Deal (Seq: 1)] - [TC Property Current Stage (Seq: 1)] Additional Costs6 - Send]&gt;</t>
        </r>
      </text>
    </comment>
    <comment ref="AN622" authorId="0" shapeId="0" xr:uid="{9D880229-9F5F-42A5-85D2-484D2D8D29D7}">
      <text>
        <r>
          <rPr>
            <b/>
            <sz val="9"/>
            <color indexed="81"/>
            <rFont val="Tahoma"/>
            <family val="2"/>
          </rPr>
          <t>&lt;[[DEVDeals] - [Associated TC Deal (Seq: 1)] - [TC Property Current Stage (Seq: 1)] - [4% Construction Property Costs (Seq: 1)] Rehab Addl Cost 6 - Send]&gt;</t>
        </r>
      </text>
    </comment>
    <comment ref="BD622" authorId="0" shapeId="0" xr:uid="{20EBDE8D-5F88-4ED7-8024-B4AC64F96D06}">
      <text>
        <r>
          <rPr>
            <b/>
            <sz val="9"/>
            <color indexed="81"/>
            <rFont val="Tahoma"/>
            <family val="2"/>
          </rPr>
          <t>&lt;[[DEVDeals] - [Associated TC Deal (Seq: 1)] - [TC Property Current Stage (Seq: 1)] - [9% Construction Property Costs (Seq: 1)] Rehab Addl Cost 6 - Send]&gt;</t>
        </r>
      </text>
    </comment>
    <comment ref="H623" authorId="0" shapeId="0" xr:uid="{2B5380AF-7CFC-4F5D-BC58-6AEF4EAEAB98}">
      <text>
        <r>
          <rPr>
            <b/>
            <sz val="9"/>
            <color indexed="81"/>
            <rFont val="Tahoma"/>
            <family val="2"/>
          </rPr>
          <t>&lt;[[DEVDeals] - [Budget Initial (Seq: 1)] SC Appraisal - Send]&gt;</t>
        </r>
      </text>
    </comment>
    <comment ref="AN623" authorId="0" shapeId="0" xr:uid="{6DFA3378-CC81-4EC4-AD7B-9CEA34FDC7C9}">
      <text>
        <r>
          <rPr>
            <b/>
            <sz val="9"/>
            <color indexed="81"/>
            <rFont val="Tahoma"/>
            <family val="2"/>
          </rPr>
          <t>&lt;[[DEVDeals] - [Associated TC Deal (Seq: 1)] - [TC Property Current Stage (Seq: 1)] - [4% Construction Property Costs (Seq: 1)] Appraisal Fee - Send]&gt;</t>
        </r>
      </text>
    </comment>
    <comment ref="BD623" authorId="0" shapeId="0" xr:uid="{C4CCB5AE-E682-41A8-A9B8-2BB7BEC1EE1F}">
      <text>
        <r>
          <rPr>
            <b/>
            <sz val="9"/>
            <color indexed="81"/>
            <rFont val="Tahoma"/>
            <family val="2"/>
          </rPr>
          <t>&lt;[[DEVDeals] - [Associated TC Deal (Seq: 1)] - [TC Property Current Stage (Seq: 1)] - [9% Construction Property Costs (Seq: 1)] Appraisal Fee - Send]&gt;</t>
        </r>
      </text>
    </comment>
    <comment ref="H624" authorId="0" shapeId="0" xr:uid="{8931E354-BF7A-48A3-B618-17C47D33221C}">
      <text>
        <r>
          <rPr>
            <b/>
            <sz val="9"/>
            <color indexed="81"/>
            <rFont val="Tahoma"/>
            <family val="2"/>
          </rPr>
          <t>&lt;[[DEVDeals] - [Budget Initial (Seq: 1)] SC Market Study - Send]&gt;</t>
        </r>
      </text>
    </comment>
    <comment ref="AN624" authorId="0" shapeId="0" xr:uid="{BFEDC2C8-0253-44DB-B088-3FC2158BFB74}">
      <text>
        <r>
          <rPr>
            <b/>
            <sz val="9"/>
            <color indexed="81"/>
            <rFont val="Tahoma"/>
            <family val="2"/>
          </rPr>
          <t>&lt;[[DEVDeals] - [Associated TC Deal (Seq: 1)] - [TC Property Current Stage (Seq: 1)] - [4% Construction Property Costs (Seq: 1)] Market Study - Send]&gt;</t>
        </r>
      </text>
    </comment>
    <comment ref="BD624" authorId="0" shapeId="0" xr:uid="{DFEC1DC2-3F16-4744-8F25-17F17D2B7AAA}">
      <text>
        <r>
          <rPr>
            <b/>
            <sz val="9"/>
            <color indexed="81"/>
            <rFont val="Tahoma"/>
            <family val="2"/>
          </rPr>
          <t>&lt;[[DEVDeals] - [Associated TC Deal (Seq: 1)] - [TC Property Current Stage (Seq: 1)] - [9% Construction Property Costs (Seq: 1)] Market Study - Send]&gt;</t>
        </r>
      </text>
    </comment>
    <comment ref="G625" authorId="0" shapeId="0" xr:uid="{F6F5A20B-41A6-4ED1-845A-111C240ACDFA}">
      <text>
        <r>
          <rPr>
            <b/>
            <sz val="9"/>
            <color indexed="81"/>
            <rFont val="Tahoma"/>
            <family val="2"/>
          </rPr>
          <t>&lt;[[DEVDeals] - [Budget Initial (Seq: 1)] SC Other3 Comments - Send]&gt;</t>
        </r>
      </text>
    </comment>
    <comment ref="H625" authorId="0" shapeId="0" xr:uid="{3B4076F1-7EDB-43D3-843D-25BEC624074C}">
      <text>
        <r>
          <rPr>
            <b/>
            <sz val="9"/>
            <color indexed="81"/>
            <rFont val="Tahoma"/>
            <family val="2"/>
          </rPr>
          <t>&lt;[[DEVDeals] - [Budget Initial (Seq: 1)] SC Other3 - Send]&gt;</t>
        </r>
      </text>
    </comment>
    <comment ref="AM625" authorId="0" shapeId="0" xr:uid="{37DEF022-7363-4C51-849A-76BEBC8A3EBA}">
      <text>
        <r>
          <rPr>
            <b/>
            <sz val="9"/>
            <color indexed="81"/>
            <rFont val="Tahoma"/>
            <family val="2"/>
          </rPr>
          <t>&lt;[[DEVDeals] - [Associated TC Deal (Seq: 1)] - [TC Property Current Stage (Seq: 1)] Additional Costs7 - Send]&gt;</t>
        </r>
      </text>
    </comment>
    <comment ref="AN625" authorId="0" shapeId="0" xr:uid="{DA729A7C-A9D0-48E2-BCA7-D8AE3DFAE535}">
      <text>
        <r>
          <rPr>
            <b/>
            <sz val="9"/>
            <color indexed="81"/>
            <rFont val="Tahoma"/>
            <family val="2"/>
          </rPr>
          <t>&lt;[[DEVDeals] - [Associated TC Deal (Seq: 1)] - [TC Property Current Stage (Seq: 1)] - [4% Construction Property Costs (Seq: 1)] Rehab Addl Cost 7 - Send]&gt;</t>
        </r>
      </text>
    </comment>
    <comment ref="BD625" authorId="0" shapeId="0" xr:uid="{66E70169-0964-4EC0-BCC4-186A70DC6465}">
      <text>
        <r>
          <rPr>
            <b/>
            <sz val="9"/>
            <color indexed="81"/>
            <rFont val="Tahoma"/>
            <family val="2"/>
          </rPr>
          <t>&lt;[[DEVDeals] - [Associated TC Deal (Seq: 1)] - [TC Property Current Stage (Seq: 1)] - [9% Construction Property Costs (Seq: 1)] Rehab Addl Cost 7 - Send]&gt;</t>
        </r>
      </text>
    </comment>
    <comment ref="H626" authorId="0" shapeId="0" xr:uid="{F79CEBA5-290C-466E-8DB8-21184C540003}">
      <text>
        <r>
          <rPr>
            <b/>
            <sz val="9"/>
            <color indexed="81"/>
            <rFont val="Tahoma"/>
            <family val="2"/>
          </rPr>
          <t>&lt;[[DEVDeals] - [Budget Initial (Seq: 1)] SC Furn Fixt Equip - Send]&gt;</t>
        </r>
      </text>
    </comment>
    <comment ref="AN626" authorId="0" shapeId="0" xr:uid="{7DBF29EF-EA34-42B2-87CC-253D8D89B84C}">
      <text>
        <r>
          <rPr>
            <b/>
            <sz val="9"/>
            <color indexed="81"/>
            <rFont val="Tahoma"/>
            <family val="2"/>
          </rPr>
          <t>&lt;[[DEVDeals] - [Associated TC Deal (Seq: 1)] - [TC Property Current Stage (Seq: 1)] - [4% Construction Property Costs (Seq: 1)] Special Equipment - Send]&gt;</t>
        </r>
      </text>
    </comment>
    <comment ref="BD626" authorId="0" shapeId="0" xr:uid="{96111DA6-0611-4834-ADEE-A322483715BD}">
      <text>
        <r>
          <rPr>
            <b/>
            <sz val="9"/>
            <color indexed="81"/>
            <rFont val="Tahoma"/>
            <family val="2"/>
          </rPr>
          <t>&lt;[[DEVDeals] - [Associated TC Deal (Seq: 1)] - [TC Property Current Stage (Seq: 1)] - [9% Construction Property Costs (Seq: 1)] Special Equipment - Send]&gt;</t>
        </r>
      </text>
    </comment>
    <comment ref="H627" authorId="0" shapeId="0" xr:uid="{D1B592A2-79A9-4C5A-BBE5-1C9CF79FCF66}">
      <text>
        <r>
          <rPr>
            <b/>
            <sz val="9"/>
            <color indexed="81"/>
            <rFont val="Tahoma"/>
            <family val="2"/>
          </rPr>
          <t>&lt;[[DEVDeals] - [Budget Initial (Seq: 1)] SC Mrkt Gen Lease Up - Send]&gt;</t>
        </r>
      </text>
    </comment>
    <comment ref="AM627" authorId="0" shapeId="0" xr:uid="{53A6B623-8A50-459E-9317-E4936AFCBB5A}">
      <text>
        <r>
          <rPr>
            <b/>
            <sz val="9"/>
            <color indexed="81"/>
            <rFont val="Tahoma"/>
            <family val="2"/>
          </rPr>
          <t>&lt;[[DEVDeals] - [Associated TC Deal (Seq: 1)] - [TC Property Current Stage (Seq: 1)] Additional Costs8 - Send]&gt;</t>
        </r>
      </text>
    </comment>
    <comment ref="AN627" authorId="0" shapeId="0" xr:uid="{5DCFE960-4BA9-4F12-802E-4B283F566FB2}">
      <text>
        <r>
          <rPr>
            <b/>
            <sz val="9"/>
            <color indexed="81"/>
            <rFont val="Tahoma"/>
            <family val="2"/>
          </rPr>
          <t>&lt;[[DEVDeals] - [Associated TC Deal (Seq: 1)] - [TC Property Current Stage (Seq: 1)] - [4% Construction Property Costs (Seq: 1)] Rehab Addl Cost 8 - Send]&gt;</t>
        </r>
      </text>
    </comment>
    <comment ref="BD627" authorId="0" shapeId="0" xr:uid="{B69AB7C7-14C9-4B6E-A7E2-4BD0532A5073}">
      <text>
        <r>
          <rPr>
            <b/>
            <sz val="9"/>
            <color indexed="81"/>
            <rFont val="Tahoma"/>
            <family val="2"/>
          </rPr>
          <t>&lt;[[DEVDeals] - [Associated TC Deal (Seq: 1)] - [TC Property Current Stage (Seq: 1)] - [9% Construction Property Costs (Seq: 1)] Rehab Addl Cost 8 - Send]&gt;</t>
        </r>
      </text>
    </comment>
    <comment ref="H628" authorId="0" shapeId="0" xr:uid="{258CAE67-E8E0-41CC-9A0D-2E1621E79E8D}">
      <text>
        <r>
          <rPr>
            <b/>
            <sz val="9"/>
            <color indexed="81"/>
            <rFont val="Tahoma"/>
            <family val="2"/>
          </rPr>
          <t>&lt;[[DEVDeals] - [Budget Initial (Seq: 1)] SC Utilities - Send]&gt;</t>
        </r>
      </text>
    </comment>
    <comment ref="AN628" authorId="0" shapeId="0" xr:uid="{EEE1F088-1D5A-4C39-AD15-01D0811757EB}">
      <text>
        <r>
          <rPr>
            <b/>
            <sz val="9"/>
            <color indexed="81"/>
            <rFont val="Tahoma"/>
            <family val="2"/>
          </rPr>
          <t>&lt;[[DEVDeals] - [Associated TC Deal (Seq: 1)] - [TC Property Current Stage (Seq: 1)] - [4% Construction Property Costs (Seq: 1)] Tap Fees - Send]&gt;</t>
        </r>
      </text>
    </comment>
    <comment ref="BD628" authorId="0" shapeId="0" xr:uid="{14A895B3-532F-4D39-819D-E624B963E260}">
      <text>
        <r>
          <rPr>
            <b/>
            <sz val="9"/>
            <color indexed="81"/>
            <rFont val="Tahoma"/>
            <family val="2"/>
          </rPr>
          <t>&lt;[[DEVDeals] - [Associated TC Deal (Seq: 1)] - [TC Property Current Stage (Seq: 1)] - [9% Construction Property Costs (Seq: 1)] Tap Fees - Send]&gt;</t>
        </r>
      </text>
    </comment>
    <comment ref="H629" authorId="0" shapeId="0" xr:uid="{C9F8AB93-5A17-4364-9B64-FCBDDF5DE44C}">
      <text>
        <r>
          <rPr>
            <b/>
            <sz val="9"/>
            <color indexed="81"/>
            <rFont val="Tahoma"/>
            <family val="2"/>
          </rPr>
          <t>&lt;[[DEVDeals] - [Budget Initial (Seq: 1)] SC Tenant Relocation - Send]&gt;</t>
        </r>
      </text>
    </comment>
    <comment ref="AM629" authorId="0" shapeId="0" xr:uid="{1DE481F9-90B8-43B7-A7C0-CF841682B9E1}">
      <text>
        <r>
          <rPr>
            <b/>
            <sz val="9"/>
            <color indexed="81"/>
            <rFont val="Tahoma"/>
            <family val="2"/>
          </rPr>
          <t>&lt;[[DEVDeals] - [Associated TC Deal (Seq: 1)] - [TC Property Current Stage (Seq: 1)] Additional Costs9 - Send]&gt;</t>
        </r>
      </text>
    </comment>
    <comment ref="AN629" authorId="0" shapeId="0" xr:uid="{BDC427F5-4DCD-4AF7-979E-4FAE83CEF778}">
      <text>
        <r>
          <rPr>
            <b/>
            <sz val="9"/>
            <color indexed="81"/>
            <rFont val="Tahoma"/>
            <family val="2"/>
          </rPr>
          <t>&lt;[[DEVDeals] - [Associated TC Deal (Seq: 1)] - [TC Property Current Stage (Seq: 1)] - [4% Construction Property Costs (Seq: 1)] Rehab Addl Cost 9 - Send]&gt;</t>
        </r>
      </text>
    </comment>
    <comment ref="BD629" authorId="0" shapeId="0" xr:uid="{6F329F22-BB63-4614-B4A6-5FB273ECF336}">
      <text>
        <r>
          <rPr>
            <b/>
            <sz val="9"/>
            <color indexed="81"/>
            <rFont val="Tahoma"/>
            <family val="2"/>
          </rPr>
          <t>&lt;[[DEVDeals] - [Associated TC Deal (Seq: 1)] - [TC Property Current Stage (Seq: 1)] - [9% Construction Property Costs (Seq: 1)] Rehab Addl Cost 9 - Send]&gt;</t>
        </r>
      </text>
    </comment>
    <comment ref="H630" authorId="0" shapeId="0" xr:uid="{733EB735-7595-42FE-8B01-B513C7EEB091}">
      <text>
        <r>
          <rPr>
            <b/>
            <sz val="9"/>
            <color indexed="81"/>
            <rFont val="Tahoma"/>
            <family val="2"/>
          </rPr>
          <t>&lt;[[DEVDeals] - [Budget Initial (Seq: 1)] SC Tax Credit Fee - Send]&gt;</t>
        </r>
      </text>
    </comment>
    <comment ref="AM630" authorId="0" shapeId="0" xr:uid="{F8B979E6-2720-4181-BBEC-9CA82FF211CF}">
      <text>
        <r>
          <rPr>
            <b/>
            <sz val="9"/>
            <color indexed="81"/>
            <rFont val="Tahoma"/>
            <family val="2"/>
          </rPr>
          <t>&lt;[[DEVDeals] - [Associated TC Deal (Seq: 1)] - [TC Property Current Stage (Seq: 1)] Additional Costs10 - Send]&gt;</t>
        </r>
      </text>
    </comment>
    <comment ref="AN630" authorId="0" shapeId="0" xr:uid="{9449D357-C70C-49B8-9CD8-FBDAAB47CE9D}">
      <text>
        <r>
          <rPr>
            <b/>
            <sz val="9"/>
            <color indexed="81"/>
            <rFont val="Tahoma"/>
            <family val="2"/>
          </rPr>
          <t>&lt;[[DEVDeals] - [Associated TC Deal (Seq: 1)] - [TC Property Current Stage (Seq: 1)] - [4% Construction Property Costs (Seq: 1)] Rehab Addl Cost 10 - Send]&gt;</t>
        </r>
      </text>
    </comment>
    <comment ref="BD630" authorId="0" shapeId="0" xr:uid="{47B0D9AB-804B-40BB-9767-03233DA0592E}">
      <text>
        <r>
          <rPr>
            <b/>
            <sz val="9"/>
            <color indexed="81"/>
            <rFont val="Tahoma"/>
            <family val="2"/>
          </rPr>
          <t>&lt;[[DEVDeals] - [Associated TC Deal (Seq: 1)] - [TC Property Current Stage (Seq: 1)] - [9% Construction Property Costs (Seq: 1)] Rehab Addl Cost 10 - Send]&gt;</t>
        </r>
      </text>
    </comment>
    <comment ref="G631" authorId="0" shapeId="0" xr:uid="{C8946737-16A5-4EFB-A0CF-44FAE833E821}">
      <text>
        <r>
          <rPr>
            <b/>
            <sz val="9"/>
            <color indexed="81"/>
            <rFont val="Tahoma"/>
            <family val="2"/>
          </rPr>
          <t>&lt;[[DEVDeals] - [Budget Initial (Seq: 1)] SC Other4 Comments - Send]&gt;</t>
        </r>
      </text>
    </comment>
    <comment ref="H631" authorId="0" shapeId="0" xr:uid="{5C9CE8C1-F343-436A-B937-5A064807B392}">
      <text>
        <r>
          <rPr>
            <b/>
            <sz val="9"/>
            <color indexed="81"/>
            <rFont val="Tahoma"/>
            <family val="2"/>
          </rPr>
          <t>&lt;[[DEVDeals] - [Budget Initial (Seq: 1)] SC Other4 - Send]&gt;</t>
        </r>
      </text>
    </comment>
    <comment ref="AM631" authorId="0" shapeId="0" xr:uid="{C7551B93-5D61-4BF7-BF6B-89568389B3E4}">
      <text>
        <r>
          <rPr>
            <b/>
            <sz val="9"/>
            <color indexed="81"/>
            <rFont val="Tahoma"/>
            <family val="2"/>
          </rPr>
          <t>&lt;[[DEVDeals] - [Associated TC Deal (Seq: 1)] - [TC Property Current Stage (Seq: 1)] Additional Costs11 - Send]&gt;</t>
        </r>
      </text>
    </comment>
    <comment ref="AN631" authorId="0" shapeId="0" xr:uid="{3DEA0116-8165-4533-B146-CADE1680C368}">
      <text>
        <r>
          <rPr>
            <b/>
            <sz val="9"/>
            <color indexed="81"/>
            <rFont val="Tahoma"/>
            <family val="2"/>
          </rPr>
          <t>&lt;[[DEVDeals] - [Associated TC Deal (Seq: 1)] - [TC Property Current Stage (Seq: 1)] - [4% Construction Property Costs (Seq: 1)] Rehab Addl Cost 11 - Send]&gt;</t>
        </r>
      </text>
    </comment>
    <comment ref="BD631" authorId="0" shapeId="0" xr:uid="{22D9BE3F-ED8F-4046-B336-962960975B47}">
      <text>
        <r>
          <rPr>
            <b/>
            <sz val="9"/>
            <color indexed="81"/>
            <rFont val="Tahoma"/>
            <family val="2"/>
          </rPr>
          <t>&lt;[[DEVDeals] - [Associated TC Deal (Seq: 1)] - [TC Property Current Stage (Seq: 1)] - [9% Construction Property Costs (Seq: 1)] Rehab Addl Cost 11 - Send]&gt;</t>
        </r>
      </text>
    </comment>
    <comment ref="AM632" authorId="0" shapeId="0" xr:uid="{576C0B99-5F3C-41E6-9777-51A9B707E947}">
      <text>
        <r>
          <rPr>
            <b/>
            <sz val="9"/>
            <color indexed="81"/>
            <rFont val="Tahoma"/>
            <family val="2"/>
          </rPr>
          <t>&lt;[[DEVDeals] - [Associated TC Deal (Seq: 1)] - [TC Property Current Stage (Seq: 1)] Additional Costs17 - Send]&gt;</t>
        </r>
      </text>
    </comment>
    <comment ref="AO632" authorId="0" shapeId="0" xr:uid="{FCCBACD9-3063-465E-BE83-4FB31CF341A8}">
      <text>
        <r>
          <rPr>
            <b/>
            <sz val="9"/>
            <color indexed="81"/>
            <rFont val="Tahoma"/>
            <family val="2"/>
          </rPr>
          <t>&lt;[[DEVDeals] - [Associated TC Deal (Seq: 1)] - [TC Property Current Stage (Seq: 1)] - [4% Construction Property Costs (Seq: 1)] Rehab Addl Cost 17 - Send]&gt;</t>
        </r>
      </text>
    </comment>
    <comment ref="BE632" authorId="0" shapeId="0" xr:uid="{AB3BAB02-2816-48DF-AAC0-C83DBB4FB73F}">
      <text>
        <r>
          <rPr>
            <b/>
            <sz val="9"/>
            <color indexed="81"/>
            <rFont val="Tahoma"/>
            <family val="2"/>
          </rPr>
          <t>&lt;[[DEVDeals] - [Associated TC Deal (Seq: 1)] - [TC Property Current Stage (Seq: 1)] - [9% Construction Property Costs (Seq: 1)] Rehab Addl Cost 17 - Send]&gt;</t>
        </r>
      </text>
    </comment>
    <comment ref="G633" authorId="0" shapeId="0" xr:uid="{481AEBD3-B6AE-48D5-9BF0-220EC2D01559}">
      <text>
        <r>
          <rPr>
            <b/>
            <sz val="9"/>
            <color indexed="81"/>
            <rFont val="Tahoma"/>
            <family val="2"/>
          </rPr>
          <t>&lt;[[DEVDeals] - [Budget Initial (Seq: 1)] SC Other5 Comments - Send]&gt;</t>
        </r>
      </text>
    </comment>
    <comment ref="H633" authorId="0" shapeId="0" xr:uid="{F81D8682-02F2-4994-83B2-E1E3C73AE8BF}">
      <text>
        <r>
          <rPr>
            <b/>
            <sz val="9"/>
            <color indexed="81"/>
            <rFont val="Tahoma"/>
            <family val="2"/>
          </rPr>
          <t>&lt;[[DEVDeals] - [Budget Initial (Seq: 1)] SC Other5 - Send]&gt;</t>
        </r>
      </text>
    </comment>
    <comment ref="G634" authorId="0" shapeId="0" xr:uid="{49F8739A-D047-4623-81E9-C2CED5D64E9C}">
      <text>
        <r>
          <rPr>
            <b/>
            <sz val="9"/>
            <color indexed="81"/>
            <rFont val="Tahoma"/>
            <family val="2"/>
          </rPr>
          <t>&lt;[[DEVDeals] - [Budget Initial (Seq: 1)] SC Other6 Comments - Send]&gt;</t>
        </r>
      </text>
    </comment>
    <comment ref="H634" authorId="0" shapeId="0" xr:uid="{823CB79A-8ADD-4830-B1D0-62F98D707BF5}">
      <text>
        <r>
          <rPr>
            <b/>
            <sz val="9"/>
            <color indexed="81"/>
            <rFont val="Tahoma"/>
            <family val="2"/>
          </rPr>
          <t>&lt;[[DEVDeals] - [Budget Initial (Seq: 1)] SC Other6 - Send]&gt;</t>
        </r>
      </text>
    </comment>
    <comment ref="G635" authorId="0" shapeId="0" xr:uid="{4AA49869-B9B1-4AE6-8D65-7E86D082BA72}">
      <text>
        <r>
          <rPr>
            <b/>
            <sz val="9"/>
            <color indexed="81"/>
            <rFont val="Tahoma"/>
            <family val="2"/>
          </rPr>
          <t>&lt;[[DEVDeals] - [Budget Initial (Seq: 1)] SC Other7 Comments - Send]&gt;</t>
        </r>
      </text>
    </comment>
    <comment ref="H635" authorId="0" shapeId="0" xr:uid="{24D14F9B-ED1C-4706-816A-8808065C6388}">
      <text>
        <r>
          <rPr>
            <b/>
            <sz val="9"/>
            <color indexed="81"/>
            <rFont val="Tahoma"/>
            <family val="2"/>
          </rPr>
          <t>&lt;[[DEVDeals] - [Budget Initial (Seq: 1)] SC Other7 - Send]&gt;</t>
        </r>
      </text>
    </comment>
    <comment ref="G636" authorId="0" shapeId="0" xr:uid="{CD8EB581-CCD3-4F7C-A89A-EDEF1CDD86FC}">
      <text>
        <r>
          <rPr>
            <b/>
            <sz val="9"/>
            <color indexed="81"/>
            <rFont val="Tahoma"/>
            <family val="2"/>
          </rPr>
          <t>&lt;[[DEVDeals] - [Budget Initial (Seq: 1)] SC Other8 Comments - Send]&gt;</t>
        </r>
      </text>
    </comment>
    <comment ref="H636" authorId="0" shapeId="0" xr:uid="{1FE9DB5E-C419-4931-A7DE-4DAA0ABFCD41}">
      <text>
        <r>
          <rPr>
            <b/>
            <sz val="9"/>
            <color indexed="81"/>
            <rFont val="Tahoma"/>
            <family val="2"/>
          </rPr>
          <t>&lt;[[DEVDeals] - [Budget Initial (Seq: 1)] SC Other8 - Send]&gt;</t>
        </r>
      </text>
    </comment>
    <comment ref="H637" authorId="0" shapeId="0" xr:uid="{FACAF7BD-0BC3-4230-8928-B7B7198D36A0}">
      <text>
        <r>
          <rPr>
            <b/>
            <sz val="9"/>
            <color indexed="81"/>
            <rFont val="Tahoma"/>
            <family val="2"/>
          </rPr>
          <t>&lt;[[DEVDeals] - [Budget Initial (Seq: 1)] SC Contingency - Send]&gt;</t>
        </r>
      </text>
    </comment>
    <comment ref="AN637" authorId="0" shapeId="0" xr:uid="{126D59FB-AE02-45C0-8C32-3897CCBE8C88}">
      <text>
        <r>
          <rPr>
            <b/>
            <sz val="9"/>
            <color indexed="81"/>
            <rFont val="Tahoma"/>
            <family val="2"/>
          </rPr>
          <t>&lt;[[DEVDeals] - [Associated TC Deal (Seq: 1)] - [TC Property Current Stage (Seq: 1)] - [4% Construction Property Costs (Seq: 1)] Other Contingency Total - Send]&gt;</t>
        </r>
      </text>
    </comment>
    <comment ref="BD637" authorId="0" shapeId="0" xr:uid="{1C0198E9-DFC6-40F6-9482-2409738D867E}">
      <text>
        <r>
          <rPr>
            <b/>
            <sz val="9"/>
            <color indexed="81"/>
            <rFont val="Tahoma"/>
            <family val="2"/>
          </rPr>
          <t>&lt;[[DEVDeals] - [Associated TC Deal (Seq: 1)] - [TC Property Current Stage (Seq: 1)] - [9% Construction Property Costs (Seq: 1)] Other Contingency Total - Send]&gt;</t>
        </r>
      </text>
    </comment>
    <comment ref="H641" authorId="0" shapeId="0" xr:uid="{15B41553-AE12-44B0-985F-59E25458D8C3}">
      <text>
        <r>
          <rPr>
            <b/>
            <sz val="9"/>
            <color indexed="81"/>
            <rFont val="Tahoma"/>
            <family val="2"/>
          </rPr>
          <t>&lt;[[DEVDeals] - [Budget Initial (Seq: 1)] SC Taxes During Const - Send]&gt;</t>
        </r>
      </text>
    </comment>
    <comment ref="AN641" authorId="0" shapeId="0" xr:uid="{EA58E0D6-0A99-4152-83C0-D008B46704DF}">
      <text>
        <r>
          <rPr>
            <b/>
            <sz val="9"/>
            <color indexed="81"/>
            <rFont val="Tahoma"/>
            <family val="2"/>
          </rPr>
          <t>&lt;[[DEVDeals] - [Associated TC Deal (Seq: 1)] - [TC Property Current Stage (Seq: 1)] - [4% Construction Property Costs (Seq: 1)] Taxes Construction - Send]&gt;</t>
        </r>
      </text>
    </comment>
    <comment ref="BD641" authorId="0" shapeId="0" xr:uid="{904B4593-FDB4-49E8-AE83-FEBB843B6940}">
      <text>
        <r>
          <rPr>
            <b/>
            <sz val="9"/>
            <color indexed="81"/>
            <rFont val="Tahoma"/>
            <family val="2"/>
          </rPr>
          <t>&lt;[[DEVDeals] - [Associated TC Deal (Seq: 1)] - [TC Property Current Stage (Seq: 1)] - [9% Construction Property Costs (Seq: 1)] Taxes Construction - Send]&gt;</t>
        </r>
      </text>
    </comment>
    <comment ref="I642" authorId="0" shapeId="0" xr:uid="{11900899-7A96-482F-9350-FAF65EA86640}">
      <text>
        <r>
          <rPr>
            <b/>
            <sz val="9"/>
            <color indexed="81"/>
            <rFont val="Tahoma"/>
            <family val="2"/>
          </rPr>
          <t>&lt;[[DEVDeals] - [Budget Initial (Seq: 1)] SC HFA Finance Fee - Send]&gt;</t>
        </r>
      </text>
    </comment>
    <comment ref="AM642" authorId="0" shapeId="0" xr:uid="{EB544AA8-7228-43FA-B09F-00A7438A5642}">
      <text>
        <r>
          <rPr>
            <b/>
            <sz val="9"/>
            <color indexed="81"/>
            <rFont val="Tahoma"/>
            <family val="2"/>
          </rPr>
          <t>&lt;[[DEVDeals] - [Associated TC Deal (Seq: 1)] - [TC Property Current Stage (Seq: 1)] Additional Costs12 - Send]&gt;</t>
        </r>
      </text>
    </comment>
    <comment ref="AN642" authorId="0" shapeId="0" xr:uid="{53FA96DB-6D92-4E6A-99A9-07131650E006}">
      <text>
        <r>
          <rPr>
            <b/>
            <sz val="9"/>
            <color indexed="81"/>
            <rFont val="Tahoma"/>
            <family val="2"/>
          </rPr>
          <t>&lt;[[DEVDeals] - [Associated TC Deal (Seq: 1)] - [TC Property Current Stage (Seq: 1)] - [4% Construction Property Costs (Seq: 1)] Rehab Addl Cost 12 - Send]&gt;</t>
        </r>
      </text>
    </comment>
    <comment ref="BD642" authorId="0" shapeId="0" xr:uid="{74C97B89-5B53-4188-BF2C-5B82B0F48A3E}">
      <text>
        <r>
          <rPr>
            <b/>
            <sz val="9"/>
            <color indexed="81"/>
            <rFont val="Tahoma"/>
            <family val="2"/>
          </rPr>
          <t>&lt;[[DEVDeals] - [Associated TC Deal (Seq: 1)] - [TC Property Current Stage (Seq: 1)] - [9% Construction Property Costs (Seq: 1)] Rehab Addl Cost 12 - Send]&gt;</t>
        </r>
      </text>
    </comment>
    <comment ref="H643" authorId="0" shapeId="0" xr:uid="{E4DD9076-079C-4CFC-9507-9BE82FEEE2E7}">
      <text>
        <r>
          <rPr>
            <b/>
            <sz val="9"/>
            <color indexed="81"/>
            <rFont val="Tahoma"/>
            <family val="2"/>
          </rPr>
          <t>&lt;[[DEVDeals] - [Budget Initial (Seq: 1)] SC Construction Interest - Send]&gt;</t>
        </r>
      </text>
    </comment>
    <comment ref="AN643" authorId="0" shapeId="0" xr:uid="{0D56E2BB-40C8-4F71-AB6F-6DF0332BE394}">
      <text>
        <r>
          <rPr>
            <b/>
            <sz val="9"/>
            <color indexed="81"/>
            <rFont val="Tahoma"/>
            <family val="2"/>
          </rPr>
          <t>&lt;[[DEVDeals] - [Associated TC Deal (Seq: 1)] - [TC Property Current Stage (Seq: 1)] - [4% Construction Property Costs (Seq: 1)] Constr Interest - Send]&gt;</t>
        </r>
      </text>
    </comment>
    <comment ref="BD643" authorId="0" shapeId="0" xr:uid="{7C578387-3609-41E7-9357-142B8D902389}">
      <text>
        <r>
          <rPr>
            <b/>
            <sz val="9"/>
            <color indexed="81"/>
            <rFont val="Tahoma"/>
            <family val="2"/>
          </rPr>
          <t>&lt;[[DEVDeals] - [Associated TC Deal (Seq: 1)] - [TC Property Current Stage (Seq: 1)] - [9% Construction Property Costs (Seq: 1)] Constr Interest - Send]&gt;</t>
        </r>
      </text>
    </comment>
    <comment ref="AM644" authorId="0" shapeId="0" xr:uid="{D5AA91E5-EB1E-4DE1-B3E8-75309E3C5489}">
      <text>
        <r>
          <rPr>
            <b/>
            <sz val="9"/>
            <color indexed="81"/>
            <rFont val="Tahoma"/>
            <family val="2"/>
          </rPr>
          <t>&lt;[[DEVDeals] - [Associated TC Deal (Seq: 1)] - [TC Property Current Stage (Seq: 1)] Additional Costs13 - Send]&gt;</t>
        </r>
      </text>
    </comment>
    <comment ref="AN644" authorId="0" shapeId="0" xr:uid="{EE894833-0883-49E0-A11B-6C721EE4229A}">
      <text>
        <r>
          <rPr>
            <b/>
            <sz val="9"/>
            <color indexed="81"/>
            <rFont val="Tahoma"/>
            <family val="2"/>
          </rPr>
          <t>&lt;[[DEVDeals] - [Associated TC Deal (Seq: 1)] - [TC Property Current Stage (Seq: 1)] - [4% Construction Property Costs (Seq: 1)] Rehab Addl Cost 13 - Send]&gt;</t>
        </r>
      </text>
    </comment>
    <comment ref="BD644" authorId="0" shapeId="0" xr:uid="{6C718C52-7071-48AF-B422-EA60BABD17AD}">
      <text>
        <r>
          <rPr>
            <b/>
            <sz val="9"/>
            <color indexed="81"/>
            <rFont val="Tahoma"/>
            <family val="2"/>
          </rPr>
          <t>&lt;[[DEVDeals] - [Associated TC Deal (Seq: 1)] - [TC Property Current Stage (Seq: 1)] - [9% Construction Property Costs (Seq: 1)] Rehab Addl Cost 13 - Send]&gt;</t>
        </r>
      </text>
    </comment>
    <comment ref="AN646" authorId="0" shapeId="0" xr:uid="{7602EF5C-E00B-4EC7-8890-8DA3CD7B21EC}">
      <text>
        <r>
          <rPr>
            <b/>
            <sz val="9"/>
            <color indexed="81"/>
            <rFont val="Tahoma"/>
            <family val="2"/>
          </rPr>
          <t>&lt;[[DEVDeals] - [Associated TC Deal (Seq: 1)] - [TC Property Current Stage (Seq: 1)] - [4% Construction Property Costs (Seq: 1)] Other Perm Loan Fees - Send]&gt;</t>
        </r>
      </text>
    </comment>
    <comment ref="BD646" authorId="0" shapeId="0" xr:uid="{4CE5CE1A-7AE6-42C7-9E3B-A562D5A216E2}">
      <text>
        <r>
          <rPr>
            <b/>
            <sz val="9"/>
            <color indexed="81"/>
            <rFont val="Tahoma"/>
            <family val="2"/>
          </rPr>
          <t>&lt;[[DEVDeals] - [Associated TC Deal (Seq: 1)] - [TC Property Current Stage (Seq: 1)] - [9% Construction Property Costs (Seq: 1)] Other Perm Loan Fees - Send]&gt;</t>
        </r>
      </text>
    </comment>
    <comment ref="AN647" authorId="0" shapeId="0" xr:uid="{3539BED9-7501-4512-8BE2-D5DD5187A57E}">
      <text>
        <r>
          <rPr>
            <b/>
            <sz val="9"/>
            <color indexed="81"/>
            <rFont val="Tahoma"/>
            <family val="2"/>
          </rPr>
          <t>&lt;[[DEVDeals] - [Associated TC Deal (Seq: 1)] - [TC Property Current Stage (Seq: 1)] - [4% Construction Property Costs (Seq: 1)] Other Costs - Send]&gt;</t>
        </r>
      </text>
    </comment>
    <comment ref="BD647" authorId="0" shapeId="0" xr:uid="{090E5C60-C133-424D-82A2-F13B7EBE652A}">
      <text>
        <r>
          <rPr>
            <b/>
            <sz val="9"/>
            <color indexed="81"/>
            <rFont val="Tahoma"/>
            <family val="2"/>
          </rPr>
          <t>&lt;[[DEVDeals] - [Associated TC Deal (Seq: 1)] - [TC Property Current Stage (Seq: 1)] - [9% Construction Property Costs (Seq: 1)] Other Costs - Send]&gt;</t>
        </r>
      </text>
    </comment>
    <comment ref="AN648" authorId="0" shapeId="0" xr:uid="{A83B8D18-3BC9-4244-A9D0-5A98B4E5B872}">
      <text>
        <r>
          <rPr>
            <b/>
            <sz val="9"/>
            <color indexed="81"/>
            <rFont val="Tahoma"/>
            <family val="2"/>
          </rPr>
          <t>&lt;[[DEVDeals] - [Associated TC Deal (Seq: 1)] - [TC Property Current Stage (Seq: 1)] - [4% Construction Property Costs (Seq: 1)] Tax Credit Fee - Send]&gt;</t>
        </r>
      </text>
    </comment>
    <comment ref="BD648" authorId="0" shapeId="0" xr:uid="{4317076D-6692-4FAF-BB59-897E1435F0C6}">
      <text>
        <r>
          <rPr>
            <b/>
            <sz val="9"/>
            <color indexed="81"/>
            <rFont val="Tahoma"/>
            <family val="2"/>
          </rPr>
          <t>&lt;[[DEVDeals] - [Associated TC Deal (Seq: 1)] - [TC Property Current Stage (Seq: 1)] - [9% Construction Property Costs (Seq: 1)] Tax Credit Fee - Send]&gt;</t>
        </r>
      </text>
    </comment>
    <comment ref="G649" authorId="0" shapeId="0" xr:uid="{727F3343-8553-4380-93C5-AA5DDC698177}">
      <text>
        <r>
          <rPr>
            <b/>
            <sz val="9"/>
            <color indexed="81"/>
            <rFont val="Tahoma"/>
            <family val="2"/>
          </rPr>
          <t>&lt;[[DEVDeals] - [Budget Initial (Seq: 1)] SC Other9 Comments - Send]&gt;</t>
        </r>
      </text>
    </comment>
    <comment ref="I649" authorId="0" shapeId="0" xr:uid="{A2AA9852-E3BF-4F8C-99F2-5E75B9158B4E}">
      <text>
        <r>
          <rPr>
            <b/>
            <sz val="9"/>
            <color indexed="81"/>
            <rFont val="Tahoma"/>
            <family val="2"/>
          </rPr>
          <t>&lt;[[DEVDeals] - [Budget Initial (Seq: 1)] SC Other9 - Send]&gt;</t>
        </r>
      </text>
    </comment>
    <comment ref="AM649" authorId="0" shapeId="0" xr:uid="{73B46BF5-B3C7-4E5D-90F4-4A47C3D03332}">
      <text>
        <r>
          <rPr>
            <b/>
            <sz val="9"/>
            <color indexed="81"/>
            <rFont val="Tahoma"/>
            <family val="2"/>
          </rPr>
          <t>&lt;[[DEVDeals] - [Associated TC Deal (Seq: 1)] - [TC Property Current Stage (Seq: 1)] Additional Costs19 - Send]&gt;</t>
        </r>
      </text>
    </comment>
    <comment ref="AO649" authorId="0" shapeId="0" xr:uid="{4D3292BA-AD15-45CF-A477-0A07B19F61E6}">
      <text>
        <r>
          <rPr>
            <b/>
            <sz val="9"/>
            <color indexed="81"/>
            <rFont val="Tahoma"/>
            <family val="2"/>
          </rPr>
          <t>&lt;[[DEVDeals] - [Associated TC Deal (Seq: 1)] - [TC Property Current Stage (Seq: 1)] - [4% Construction Property Costs (Seq: 1)] Rehab Addl Cost 19 - Send]&gt;</t>
        </r>
      </text>
    </comment>
    <comment ref="BE649" authorId="0" shapeId="0" xr:uid="{E3B1F10B-06A9-4441-96B9-FA481EC988BE}">
      <text>
        <r>
          <rPr>
            <b/>
            <sz val="9"/>
            <color indexed="81"/>
            <rFont val="Tahoma"/>
            <family val="2"/>
          </rPr>
          <t>&lt;[[DEVDeals] - [Associated TC Deal (Seq: 1)] - [TC Property Current Stage (Seq: 1)] - [9% Construction Property Costs (Seq: 1)] Rehab Addl Cost 19 - Send]&gt;</t>
        </r>
      </text>
    </comment>
    <comment ref="AM657" authorId="0" shapeId="0" xr:uid="{F7C7B0BB-2073-4919-BF1A-82A141F039D6}">
      <text>
        <r>
          <rPr>
            <b/>
            <sz val="9"/>
            <color indexed="81"/>
            <rFont val="Tahoma"/>
            <family val="2"/>
          </rPr>
          <t>&lt;[[DEVDeals] - [Associated TC Deal (Seq: 1)] - [TC Property Current Stage (Seq: 1)] Additional Costs14 - Send]&gt;</t>
        </r>
      </text>
    </comment>
    <comment ref="AN657" authorId="0" shapeId="0" xr:uid="{0C97C1AC-DC0C-4690-B5F1-F007D141D9F2}">
      <text>
        <r>
          <rPr>
            <b/>
            <sz val="9"/>
            <color indexed="81"/>
            <rFont val="Tahoma"/>
            <family val="2"/>
          </rPr>
          <t>&lt;[[DEVDeals] - [Associated TC Deal (Seq: 1)] - [TC Property Current Stage (Seq: 1)] - [4% Construction Property Costs (Seq: 1)] Rehab Addl Cost 14 - Send]&gt;</t>
        </r>
      </text>
    </comment>
    <comment ref="BD657" authorId="0" shapeId="0" xr:uid="{DD7D76D3-9F65-4567-94F6-04CD80C31C41}">
      <text>
        <r>
          <rPr>
            <b/>
            <sz val="9"/>
            <color indexed="81"/>
            <rFont val="Tahoma"/>
            <family val="2"/>
          </rPr>
          <t>&lt;[[DEVDeals] - [Associated TC Deal (Seq: 1)] - [TC Property Current Stage (Seq: 1)] - [9% Construction Property Costs (Seq: 1)] Rehab Addl Cost 14 - Send]&gt;</t>
        </r>
      </text>
    </comment>
    <comment ref="AM658" authorId="0" shapeId="0" xr:uid="{5AE282CD-725B-4CC6-A89C-7F5E8F3A0BD3}">
      <text>
        <r>
          <rPr>
            <b/>
            <sz val="9"/>
            <color indexed="81"/>
            <rFont val="Tahoma"/>
            <family val="2"/>
          </rPr>
          <t>&lt;[[DEVDeals] - [Associated TC Deal (Seq: 1)] - [TC Property Current Stage (Seq: 1)] Additional Costs15 - Send]&gt;</t>
        </r>
      </text>
    </comment>
    <comment ref="AN658" authorId="0" shapeId="0" xr:uid="{70FC6C20-D9AC-47C4-B538-BAC6B673DC2A}">
      <text>
        <r>
          <rPr>
            <b/>
            <sz val="9"/>
            <color indexed="81"/>
            <rFont val="Tahoma"/>
            <family val="2"/>
          </rPr>
          <t>&lt;[[DEVDeals] - [Associated TC Deal (Seq: 1)] - [TC Property Current Stage (Seq: 1)] - [4% Construction Property Costs (Seq: 1)] Rehab Addl Cost 15 - Send]&gt;</t>
        </r>
      </text>
    </comment>
    <comment ref="BD658" authorId="0" shapeId="0" xr:uid="{0BD4D7A5-F4C8-4184-B06E-FA596677B03E}">
      <text>
        <r>
          <rPr>
            <b/>
            <sz val="9"/>
            <color indexed="81"/>
            <rFont val="Tahoma"/>
            <family val="2"/>
          </rPr>
          <t>&lt;[[DEVDeals] - [Associated TC Deal (Seq: 1)] - [TC Property Current Stage (Seq: 1)] - [9% Construction Property Costs (Seq: 1)] Rehab Addl Cost 15 - Send]&gt;</t>
        </r>
      </text>
    </comment>
    <comment ref="AN659" authorId="0" shapeId="0" xr:uid="{1E20B72E-21BD-4F1C-8C28-3B415CE8930A}">
      <text>
        <r>
          <rPr>
            <b/>
            <sz val="9"/>
            <color indexed="81"/>
            <rFont val="Tahoma"/>
            <family val="2"/>
          </rPr>
          <t>&lt;[[DEVDeals] - [Associated TC Deal (Seq: 1)] - [TC Property Current Stage (Seq: 1)] - [4% Construction Property Costs (Seq: 1)] Oper Reserve - Send]&gt;</t>
        </r>
      </text>
    </comment>
    <comment ref="BD659" authorId="0" shapeId="0" xr:uid="{5BAED651-B449-4DB2-9C02-35018768D24A}">
      <text>
        <r>
          <rPr>
            <b/>
            <sz val="9"/>
            <color indexed="81"/>
            <rFont val="Tahoma"/>
            <family val="2"/>
          </rPr>
          <t>&lt;[[DEVDeals] - [Associated TC Deal (Seq: 1)] - [TC Property Current Stage (Seq: 1)] - [9% Construction Property Costs (Seq: 1)] Oper Reserve - Send]&gt;</t>
        </r>
      </text>
    </comment>
    <comment ref="AM660" authorId="0" shapeId="0" xr:uid="{E1D7C35C-4612-4C14-BE95-E6A458C4B289}">
      <text>
        <r>
          <rPr>
            <b/>
            <sz val="9"/>
            <color indexed="81"/>
            <rFont val="Tahoma"/>
            <family val="2"/>
          </rPr>
          <t>&lt;[[DEVDeals] - [Associated TC Deal (Seq: 1)] - [TC Property Current Stage (Seq: 1)] Additional Costs16 - Send]&gt;</t>
        </r>
      </text>
    </comment>
    <comment ref="AN660" authorId="0" shapeId="0" xr:uid="{200A4D1F-9CF4-429D-8A81-C34AC19B6810}">
      <text>
        <r>
          <rPr>
            <b/>
            <sz val="9"/>
            <color indexed="81"/>
            <rFont val="Tahoma"/>
            <family val="2"/>
          </rPr>
          <t>&lt;[[DEVDeals] - [Associated TC Deal (Seq: 1)] - [TC Property Current Stage (Seq: 1)] - [4% Construction Property Costs (Seq: 1)] Rehab Addl Cost 16 - Send]&gt;</t>
        </r>
      </text>
    </comment>
    <comment ref="BD660" authorId="0" shapeId="0" xr:uid="{8B4D2906-0305-421F-B94A-9D9B3AEEC5E5}">
      <text>
        <r>
          <rPr>
            <b/>
            <sz val="9"/>
            <color indexed="81"/>
            <rFont val="Tahoma"/>
            <family val="2"/>
          </rPr>
          <t>&lt;[[DEVDeals] - [Associated TC Deal (Seq: 1)] - [TC Property Current Stage (Seq: 1)] - [9% Construction Property Costs (Seq: 1)] Rehab Addl Cost 16 - Send]&gt;</t>
        </r>
      </text>
    </comment>
    <comment ref="AM661" authorId="0" shapeId="0" xr:uid="{E8D7171D-0037-41FF-AD89-33E10DBCE3A4}">
      <text>
        <r>
          <rPr>
            <b/>
            <sz val="9"/>
            <color indexed="81"/>
            <rFont val="Tahoma"/>
            <family val="2"/>
          </rPr>
          <t>&lt;[[DEVDeals] - [Associated TC Deal (Seq: 1)] - [TC Property Current Stage (Seq: 1)] Additional Costs20 - Send]&gt;</t>
        </r>
      </text>
    </comment>
    <comment ref="AO661" authorId="0" shapeId="0" xr:uid="{2671A5C0-8749-41AB-B2C3-270F01B8269C}">
      <text>
        <r>
          <rPr>
            <b/>
            <sz val="9"/>
            <color indexed="81"/>
            <rFont val="Tahoma"/>
            <family val="2"/>
          </rPr>
          <t>&lt;[[DEVDeals] - [Associated TC Deal (Seq: 1)] - [TC Property Current Stage (Seq: 1)] - [4% Construction Property Costs (Seq: 1)] Rehab Addl Cost 20 - Send]&gt;</t>
        </r>
      </text>
    </comment>
    <comment ref="BE661" authorId="0" shapeId="0" xr:uid="{C86E3308-ADC2-4A45-B7F6-520F443813A0}">
      <text>
        <r>
          <rPr>
            <b/>
            <sz val="9"/>
            <color indexed="81"/>
            <rFont val="Tahoma"/>
            <family val="2"/>
          </rPr>
          <t>&lt;[[DEVDeals] - [Associated TC Deal (Seq: 1)] - [TC Property Current Stage (Seq: 1)] - [9% Construction Property Costs (Seq: 1)] Rehab Addl Cost 20 - Send]&gt;</t>
        </r>
      </text>
    </comment>
    <comment ref="I664" authorId="0" shapeId="0" xr:uid="{9541E78D-EE14-4B29-8627-50D8A8C744E0}">
      <text>
        <r>
          <rPr>
            <b/>
            <sz val="9"/>
            <color indexed="81"/>
            <rFont val="Tahoma"/>
            <family val="2"/>
          </rPr>
          <t>&lt;[[DEVDeals] - [Budget Initial (Seq: 1)] SC Reserves - Send]&gt;</t>
        </r>
      </text>
    </comment>
    <comment ref="I667" authorId="0" shapeId="0" xr:uid="{0C81C9AD-210D-4B00-A084-A7D54EC1FCDA}">
      <text>
        <r>
          <rPr>
            <b/>
            <sz val="9"/>
            <color indexed="81"/>
            <rFont val="Tahoma"/>
            <family val="2"/>
          </rPr>
          <t>&lt;[[DEVDeals] - [Budget Initial (Seq: 1)] SC Development Mgt - Send]&gt;</t>
        </r>
      </text>
    </comment>
    <comment ref="AO667" authorId="0" shapeId="0" xr:uid="{E3BB2A47-DE91-4E4C-A2FC-3F539D29478F}">
      <text>
        <r>
          <rPr>
            <b/>
            <sz val="9"/>
            <color indexed="81"/>
            <rFont val="Tahoma"/>
            <family val="2"/>
          </rPr>
          <t>&lt;[[DEVDeals] - [Associated TC Deal (Seq: 1)] - [TC Property Current Stage (Seq: 1)] - [4% Construction Property Costs (Seq: 1)] Developer Fees - Send]&gt;</t>
        </r>
      </text>
    </comment>
    <comment ref="BE667" authorId="0" shapeId="0" xr:uid="{EB209D7A-D8B9-4AF9-B821-A84D855E2E4D}">
      <text>
        <r>
          <rPr>
            <b/>
            <sz val="9"/>
            <color indexed="81"/>
            <rFont val="Tahoma"/>
            <family val="2"/>
          </rPr>
          <t>&lt;[[DEVDeals] - [Associated TC Deal (Seq: 1)] - [TC Property Current Stage (Seq: 1)] - [9% Construction Property Costs (Seq: 1)] Developer Fees - Send]&gt;</t>
        </r>
      </text>
    </comment>
    <comment ref="A710" authorId="0" shapeId="0" xr:uid="{4C4ED9ED-18BA-4208-911E-212DC9FC2DED}">
      <text>
        <r>
          <rPr>
            <b/>
            <sz val="9"/>
            <color indexed="81"/>
            <rFont val="Tahoma"/>
            <family val="2"/>
          </rPr>
          <t>Lenore Coughlin:</t>
        </r>
        <r>
          <rPr>
            <sz val="9"/>
            <color indexed="81"/>
            <rFont val="Tahoma"/>
            <family val="2"/>
          </rPr>
          <t xml:space="preserve">
UDF's in Dev Deals</t>
        </r>
      </text>
    </comment>
    <comment ref="H711" authorId="0" shapeId="0" xr:uid="{0FEDD873-400A-4C00-93D9-117FFF9900B5}">
      <text>
        <r>
          <rPr>
            <b/>
            <sz val="9"/>
            <color indexed="81"/>
            <rFont val="Tahoma"/>
            <family val="2"/>
          </rPr>
          <t>&lt;[[DEVDeals] - [DEV User Defined Fields (Seq: 1)] Operating Subsidy - HPF-ELI Program Award - Send]&gt;</t>
        </r>
      </text>
    </comment>
    <comment ref="BX711" authorId="0" shapeId="0" xr:uid="{B3E3A2E2-F163-4889-B252-22AF74DD024B}">
      <text>
        <r>
          <rPr>
            <b/>
            <sz val="9"/>
            <color indexed="81"/>
            <rFont val="Tahoma"/>
            <family val="2"/>
          </rPr>
          <t xml:space="preserve"> &lt;[[DEVDeals] - [Primary Portfolio Property (Seq: 1)] - [Primary Property - User Defined Field Values (Seq: 1)] Programs - HPF-ELI Award Amount - Send]&gt;</t>
        </r>
      </text>
    </comment>
    <comment ref="H713" authorId="0" shapeId="0" xr:uid="{FEECB3B6-7485-4C95-BCC2-D76A24707BB1}">
      <text>
        <r>
          <rPr>
            <b/>
            <sz val="9"/>
            <color indexed="81"/>
            <rFont val="Tahoma"/>
            <family val="2"/>
          </rPr>
          <t>&lt;[[DEVDeals] - [DEV User Defined Fields (Seq: 1)] Operating Subsidy - Total HPF-ELI Units - Send]&gt;</t>
        </r>
      </text>
    </comment>
    <comment ref="BX713" authorId="0" shapeId="0" xr:uid="{076A1CDE-9E4E-43D1-AE22-42A1CF11A2ED}">
      <text>
        <r>
          <rPr>
            <b/>
            <sz val="9"/>
            <color indexed="81"/>
            <rFont val="Tahoma"/>
            <family val="2"/>
          </rPr>
          <t xml:space="preserve"> &lt;[[DEVDeals] - [Primary Portfolio Property (Seq: 1)] - [Primary Property - User Defined Field Values (Seq: 1)] Programs - HPF-ELI Units Committed - Send]&gt;</t>
        </r>
      </text>
    </comment>
    <comment ref="H716" authorId="0" shapeId="0" xr:uid="{32577501-8541-419D-9E14-B82CC3A1EF6A}">
      <text>
        <r>
          <rPr>
            <b/>
            <sz val="9"/>
            <color indexed="81"/>
            <rFont val="Tahoma"/>
            <family val="2"/>
          </rPr>
          <t>&lt;[[DEVDeals] - [DEV User Defined Fields (Seq: 1)] Operating Subsidy - HPF-ELI 30% SRO Units - Send]&gt;</t>
        </r>
      </text>
    </comment>
    <comment ref="H717" authorId="0" shapeId="0" xr:uid="{F32DE2AA-CA33-4976-978D-52478C702B9D}">
      <text>
        <r>
          <rPr>
            <b/>
            <sz val="9"/>
            <color indexed="81"/>
            <rFont val="Tahoma"/>
            <family val="2"/>
          </rPr>
          <t>&lt;[[DEVDeals] - [DEV User Defined Fields (Seq: 1)] Operating Subsidy - HPF-ELI 30% Efficiency Units - Send]&gt;</t>
        </r>
      </text>
    </comment>
    <comment ref="H718" authorId="0" shapeId="0" xr:uid="{E5B5C139-49C3-43B2-9D90-2D388123C1DA}">
      <text>
        <r>
          <rPr>
            <b/>
            <sz val="9"/>
            <color indexed="81"/>
            <rFont val="Tahoma"/>
            <family val="2"/>
          </rPr>
          <t>&lt;[[DEVDeals] - [DEV User Defined Fields (Seq: 1)] Operating Subsidy - HPF-ELI 30% 1BR Units - Send]&gt;</t>
        </r>
      </text>
    </comment>
    <comment ref="H719" authorId="0" shapeId="0" xr:uid="{DFF428A1-0CA5-453A-92EA-4D150C617C94}">
      <text>
        <r>
          <rPr>
            <b/>
            <sz val="9"/>
            <color indexed="81"/>
            <rFont val="Tahoma"/>
            <family val="2"/>
          </rPr>
          <t>&lt;[[DEVDeals] - [DEV User Defined Fields (Seq: 1)] Operating Subsidy - HPF-ELI 30% 2BR Units - Send]&gt;</t>
        </r>
      </text>
    </comment>
    <comment ref="H720" authorId="0" shapeId="0" xr:uid="{15EF7AA3-7233-49D4-9BDF-CC51BA4D2C56}">
      <text>
        <r>
          <rPr>
            <b/>
            <sz val="9"/>
            <color indexed="81"/>
            <rFont val="Tahoma"/>
            <family val="2"/>
          </rPr>
          <t>&lt;[[DEVDeals] - [DEV User Defined Fields (Seq: 1)] Operating Subsidy - HPF-ELI 30% 3BR Units - Send]&gt;</t>
        </r>
      </text>
    </comment>
    <comment ref="H721" authorId="0" shapeId="0" xr:uid="{5AF931F6-9B78-4AA5-9421-A20D1C5F8863}">
      <text>
        <r>
          <rPr>
            <b/>
            <sz val="9"/>
            <color indexed="81"/>
            <rFont val="Tahoma"/>
            <family val="2"/>
          </rPr>
          <t>&lt;[[DEVDeals] - [DEV User Defined Fields (Seq: 1)] Operating Subsidy - HPF-ELI 30% 4BR Units - Send]&gt;</t>
        </r>
      </text>
    </comment>
    <comment ref="H722" authorId="0" shapeId="0" xr:uid="{0DD04D47-C14B-433C-8C3F-E6E511FD4D3F}">
      <text>
        <r>
          <rPr>
            <b/>
            <sz val="9"/>
            <color indexed="81"/>
            <rFont val="Tahoma"/>
            <family val="2"/>
          </rPr>
          <t>&lt;[[DEVDeals] - [DEV User Defined Fields (Seq: 1)] Operating Subsidy - HPF-ELI 30% 5BR Units - Send]&gt;</t>
        </r>
      </text>
    </comment>
    <comment ref="H725" authorId="0" shapeId="0" xr:uid="{B9BDCC18-EF51-407D-81BC-8DF647C56AA9}">
      <text>
        <r>
          <rPr>
            <b/>
            <sz val="9"/>
            <color indexed="81"/>
            <rFont val="Tahoma"/>
            <family val="2"/>
          </rPr>
          <t>&lt;[[DEVDeals] - [DEV User Defined Fields (Seq: 1)] Operating Subsidy - RIH-ELI Program Award - Send]&gt;</t>
        </r>
      </text>
    </comment>
    <comment ref="BX725" authorId="0" shapeId="0" xr:uid="{80EBB478-61B2-43B0-A7A4-F2A41888F073}">
      <text>
        <r>
          <rPr>
            <b/>
            <sz val="9"/>
            <color indexed="81"/>
            <rFont val="Tahoma"/>
            <family val="2"/>
          </rPr>
          <t xml:space="preserve"> &lt;[[DEVDeals] - [Primary Portfolio Property (Seq: 1)] - [Primary Property - User Defined Field Values (Seq: 1)] Programs - RIH-ELI Award Amount - Send]&gt;</t>
        </r>
      </text>
    </comment>
    <comment ref="H727" authorId="0" shapeId="0" xr:uid="{91BAEC99-A95C-4E00-BA29-DD83BFF1943B}">
      <text>
        <r>
          <rPr>
            <b/>
            <sz val="9"/>
            <color indexed="81"/>
            <rFont val="Tahoma"/>
            <family val="2"/>
          </rPr>
          <t>&lt;[[DEVDeals] - [DEV User Defined Fields (Seq: 1)] Operating Subsidy - Total RIH-ELI Units - Send]&gt;</t>
        </r>
      </text>
    </comment>
    <comment ref="BX727" authorId="0" shapeId="0" xr:uid="{8BEDC552-19DC-453D-B4A6-27D9BACFEF82}">
      <text>
        <r>
          <rPr>
            <b/>
            <sz val="9"/>
            <color indexed="81"/>
            <rFont val="Tahoma"/>
            <family val="2"/>
          </rPr>
          <t xml:space="preserve"> &lt;[[DEVDeals] - [Primary Portfolio Property (Seq: 1)] - [Primary Property - User Defined Field Values (Seq: 1)] Programs - RIH-ELI Units Committed - Send]&gt;</t>
        </r>
      </text>
    </comment>
    <comment ref="H730" authorId="0" shapeId="0" xr:uid="{DEEF18B1-09EE-4A98-B3F3-7D3A30F42F94}">
      <text>
        <r>
          <rPr>
            <b/>
            <sz val="9"/>
            <color indexed="81"/>
            <rFont val="Tahoma"/>
            <family val="2"/>
          </rPr>
          <t>&lt;[[DEVDeals] - [DEV User Defined Fields (Seq: 1)] Operating Subsidy - RIH-ELI 30% SRO Units - Send]&gt;</t>
        </r>
      </text>
    </comment>
    <comment ref="H731" authorId="0" shapeId="0" xr:uid="{25C9F2C5-429F-466F-8A58-ED29F81CD52E}">
      <text>
        <r>
          <rPr>
            <b/>
            <sz val="9"/>
            <color indexed="81"/>
            <rFont val="Tahoma"/>
            <family val="2"/>
          </rPr>
          <t>&lt;[[DEVDeals] - [DEV User Defined Fields (Seq: 1)] Operating Subsidy - RIH-ELI 30% Efficiency Units - Send]&gt;</t>
        </r>
      </text>
    </comment>
    <comment ref="H732" authorId="0" shapeId="0" xr:uid="{C697FEB4-5731-4241-8C94-945D301B5BF0}">
      <text>
        <r>
          <rPr>
            <b/>
            <sz val="9"/>
            <color indexed="81"/>
            <rFont val="Tahoma"/>
            <family val="2"/>
          </rPr>
          <t>&lt;[[DEVDeals] - [DEV User Defined Fields (Seq: 1)] Operating Subsidy - RIH-ELI 30% 1BR Units - Send]&gt;</t>
        </r>
      </text>
    </comment>
    <comment ref="H733" authorId="0" shapeId="0" xr:uid="{A4D84F83-AAEF-4FAC-B749-E7514838A6FE}">
      <text>
        <r>
          <rPr>
            <b/>
            <sz val="9"/>
            <color indexed="81"/>
            <rFont val="Tahoma"/>
            <family val="2"/>
          </rPr>
          <t>&lt;[[DEVDeals] - [DEV User Defined Fields (Seq: 1)] Operating Subsidy - RIH-ELI 30% 2BR Units - Send]&gt;</t>
        </r>
      </text>
    </comment>
    <comment ref="H734" authorId="0" shapeId="0" xr:uid="{3532D773-39AE-44AD-8690-335C08515882}">
      <text>
        <r>
          <rPr>
            <b/>
            <sz val="9"/>
            <color indexed="81"/>
            <rFont val="Tahoma"/>
            <family val="2"/>
          </rPr>
          <t>&lt;[[DEVDeals] - [DEV User Defined Fields (Seq: 1)] Operating Subsidy - RIH-ELI 30% 3BR Units - Send]&gt;</t>
        </r>
      </text>
    </comment>
    <comment ref="H735" authorId="0" shapeId="0" xr:uid="{D964E665-2650-4D2D-9D5D-0AB033BF33A9}">
      <text>
        <r>
          <rPr>
            <b/>
            <sz val="9"/>
            <color indexed="81"/>
            <rFont val="Tahoma"/>
            <family val="2"/>
          </rPr>
          <t>&lt;[[DEVDeals] - [DEV User Defined Fields (Seq: 1)] Operating Subsidy - RIH-ELI 30% 4BR Units - Send]&gt;</t>
        </r>
      </text>
    </comment>
    <comment ref="H736" authorId="0" shapeId="0" xr:uid="{E49042EE-E868-4D34-9F64-04890292AD1F}">
      <text>
        <r>
          <rPr>
            <b/>
            <sz val="9"/>
            <color indexed="81"/>
            <rFont val="Tahoma"/>
            <family val="2"/>
          </rPr>
          <t>&lt;[[DEVDeals] - [DEV User Defined Fields (Seq: 1)] Operating Subsidy - RIH-ELI 30% 5BR Units - Send]&gt;</t>
        </r>
      </text>
    </comment>
    <comment ref="H743" authorId="0" shapeId="0" xr:uid="{355651C8-78A6-4751-8151-D71921A0971A}">
      <text>
        <r>
          <rPr>
            <b/>
            <sz val="9"/>
            <color indexed="81"/>
            <rFont val="Tahoma"/>
            <family val="2"/>
          </rPr>
          <t>&lt;[[DEVDeals] - [DEV User Defined Fields (Seq: 1)] Permanent Supportive Housing - 811 SRO Unit Count - Send]&gt;</t>
        </r>
      </text>
    </comment>
    <comment ref="H744" authorId="0" shapeId="0" xr:uid="{58493137-7F22-48D9-A0CA-7CF217C663B0}">
      <text>
        <r>
          <rPr>
            <b/>
            <sz val="9"/>
            <color indexed="81"/>
            <rFont val="Tahoma"/>
            <family val="2"/>
          </rPr>
          <t>&lt;[[DEVDeals] - [DEV User Defined Fields (Seq: 1)] Permanent Supportive Housing - 811 EFF Unit Count - Send]&gt;</t>
        </r>
      </text>
    </comment>
    <comment ref="H745" authorId="0" shapeId="0" xr:uid="{DE92DFC8-024A-4EBD-9AB8-57E33357D2AC}">
      <text>
        <r>
          <rPr>
            <b/>
            <sz val="9"/>
            <color indexed="81"/>
            <rFont val="Tahoma"/>
            <family val="2"/>
          </rPr>
          <t>&lt;[[DEVDeals] - [DEV User Defined Fields (Seq: 1)] Permanent Supportive Housing - 811 1BR Unit Count - Send]&gt;</t>
        </r>
      </text>
    </comment>
    <comment ref="H746" authorId="0" shapeId="0" xr:uid="{E831849E-6EBE-4757-AB76-7A425E1BD643}">
      <text>
        <r>
          <rPr>
            <b/>
            <sz val="9"/>
            <color indexed="81"/>
            <rFont val="Tahoma"/>
            <family val="2"/>
          </rPr>
          <t>&lt;[[DEVDeals] - [DEV User Defined Fields (Seq: 1)] Permanent Supportive Housing - 811 2BR Unit Count - Send]&gt;</t>
        </r>
      </text>
    </comment>
    <comment ref="H747" authorId="0" shapeId="0" xr:uid="{16F89645-73FC-41CF-AB4A-D6165122147B}">
      <text>
        <r>
          <rPr>
            <b/>
            <sz val="9"/>
            <color indexed="81"/>
            <rFont val="Tahoma"/>
            <family val="2"/>
          </rPr>
          <t>&lt;[[DEVDeals] - [DEV User Defined Fields (Seq: 1)] Permanent Supportive Housing - 811 3BR Unit Count - Send]&gt;</t>
        </r>
      </text>
    </comment>
    <comment ref="H748" authorId="0" shapeId="0" xr:uid="{9B67125E-DA12-4E20-90D1-93BFA5DF0843}">
      <text>
        <r>
          <rPr>
            <b/>
            <sz val="9"/>
            <color indexed="81"/>
            <rFont val="Tahoma"/>
            <family val="2"/>
          </rPr>
          <t>&lt;[[DEVDeals] - [DEV User Defined Fields (Seq: 1)] Permanent Supportive Housing - 811 4BR Unit Count - Send]&gt;</t>
        </r>
      </text>
    </comment>
    <comment ref="H749" authorId="0" shapeId="0" xr:uid="{78347140-6B49-4575-9C46-56C2694B0482}">
      <text>
        <r>
          <rPr>
            <b/>
            <sz val="9"/>
            <color indexed="81"/>
            <rFont val="Tahoma"/>
            <family val="2"/>
          </rPr>
          <t>&lt;[[DEVDeals] - [DEV User Defined Fields (Seq: 1)] Permanent Supportive Housing - 811 5BR Unit Count - Send]&gt;</t>
        </r>
      </text>
    </comment>
    <comment ref="H750" authorId="0" shapeId="0" xr:uid="{DD41D3E5-2AA1-47B2-B44C-375600CA2606}">
      <text>
        <r>
          <rPr>
            <b/>
            <sz val="9"/>
            <color indexed="81"/>
            <rFont val="Tahoma"/>
            <family val="2"/>
          </rPr>
          <t>&lt;[[DEVDeals] - [DEV User Defined Fields (Seq: 1)] Permanent Supportive Housing - 811 Undefined Unit Count - Send]&gt;</t>
        </r>
      </text>
    </comment>
    <comment ref="H753" authorId="0" shapeId="0" xr:uid="{2936D766-FF7D-4A12-BA47-0105EB981249}">
      <text>
        <r>
          <rPr>
            <b/>
            <sz val="9"/>
            <color indexed="81"/>
            <rFont val="Tahoma"/>
            <family val="2"/>
          </rPr>
          <t>&lt;[[DEVDeals] - [Proxy Entities (Seq: 21)] Deal Entity Role - Send]&gt;</t>
        </r>
      </text>
    </comment>
    <comment ref="I753" authorId="0" shapeId="0" xr:uid="{AE651F31-23EC-4100-A0E4-AAAB11320EDE}">
      <text>
        <r>
          <rPr>
            <b/>
            <sz val="9"/>
            <color indexed="81"/>
            <rFont val="Tahoma"/>
            <family val="2"/>
          </rPr>
          <t>&lt;[[DEVDeals] - [Proxy Entities (Seq: 22)] Deal Entity Role - Send]&gt;</t>
        </r>
      </text>
    </comment>
    <comment ref="H754" authorId="0" shapeId="0" xr:uid="{70BFE533-8D2D-414C-A100-EAE547AD37E1}">
      <text>
        <r>
          <rPr>
            <b/>
            <sz val="9"/>
            <color indexed="81"/>
            <rFont val="Tahoma"/>
            <family val="2"/>
          </rPr>
          <t>&lt;[[DEVDeals] - [Proxy Entities (Seq: 21)] Company or Individual? - Send]&gt;</t>
        </r>
      </text>
    </comment>
    <comment ref="I754" authorId="0" shapeId="0" xr:uid="{C5819656-539F-4881-8C51-CD574041CCB3}">
      <text>
        <r>
          <rPr>
            <b/>
            <sz val="9"/>
            <color indexed="81"/>
            <rFont val="Tahoma"/>
            <family val="2"/>
          </rPr>
          <t>&lt;[[DEVDeals] - [Proxy Entities (Seq: 22)] Company or Individual? - Send]&gt;</t>
        </r>
      </text>
    </comment>
    <comment ref="H755" authorId="0" shapeId="0" xr:uid="{3190D31B-7FA7-4ACF-B768-7BB5B2A83D1D}">
      <text>
        <r>
          <rPr>
            <b/>
            <sz val="9"/>
            <color indexed="81"/>
            <rFont val="Tahoma"/>
            <family val="2"/>
          </rPr>
          <t>&lt;[[DEVDeals] - [Proxy Entities (Seq: 21)] Name (Doing Business As) - Send]&gt;</t>
        </r>
      </text>
    </comment>
    <comment ref="H756" authorId="0" shapeId="0" xr:uid="{66779BA0-D715-494E-882C-A91A3E6524EA}">
      <text>
        <r>
          <rPr>
            <b/>
            <sz val="9"/>
            <color indexed="81"/>
            <rFont val="Tahoma"/>
            <family val="2"/>
          </rPr>
          <t>&lt;[[DEVDeals] - [Proxy Entities (Seq: 21)] Address 1 - Send]&gt;</t>
        </r>
      </text>
    </comment>
    <comment ref="I756" authorId="0" shapeId="0" xr:uid="{11F8262E-A2BD-4557-A098-41E70459CDC2}">
      <text>
        <r>
          <rPr>
            <b/>
            <sz val="9"/>
            <color indexed="81"/>
            <rFont val="Tahoma"/>
            <family val="2"/>
          </rPr>
          <t>&lt;[[DEVDeals] - [Proxy Entities (Seq: 22)] Address 1 - Send]&gt;</t>
        </r>
      </text>
    </comment>
    <comment ref="H758" authorId="0" shapeId="0" xr:uid="{3473A9B3-9099-400E-B2EE-E58C3BB13BEC}">
      <text>
        <r>
          <rPr>
            <b/>
            <sz val="9"/>
            <color indexed="81"/>
            <rFont val="Tahoma"/>
            <family val="2"/>
          </rPr>
          <t>&lt;[[DEVDeals] - [Proxy Entities (Seq: 21)] City - Send]&gt;</t>
        </r>
      </text>
    </comment>
    <comment ref="I758" authorId="0" shapeId="0" xr:uid="{60009978-6DF3-495E-BCFD-1508AE422EFF}">
      <text>
        <r>
          <rPr>
            <b/>
            <sz val="9"/>
            <color indexed="81"/>
            <rFont val="Tahoma"/>
            <family val="2"/>
          </rPr>
          <t>&lt;[[DEVDeals] - [Proxy Entities (Seq: 22)] City - Send]&gt;</t>
        </r>
      </text>
    </comment>
    <comment ref="H759" authorId="0" shapeId="0" xr:uid="{954487B6-6B28-4334-A3AA-68EA813C9F56}">
      <text>
        <r>
          <rPr>
            <b/>
            <sz val="9"/>
            <color indexed="81"/>
            <rFont val="Tahoma"/>
            <family val="2"/>
          </rPr>
          <t>&lt;[[DEVDeals] - [Proxy Entities (Seq: 21)] State - Send]&gt;</t>
        </r>
      </text>
    </comment>
    <comment ref="I759" authorId="0" shapeId="0" xr:uid="{CE593999-C702-40FD-90CE-DF9E33673E46}">
      <text>
        <r>
          <rPr>
            <b/>
            <sz val="9"/>
            <color indexed="81"/>
            <rFont val="Tahoma"/>
            <family val="2"/>
          </rPr>
          <t>&lt;[[DEVDeals] - [Proxy Entities (Seq: 22)] State - Send]&gt;</t>
        </r>
      </text>
    </comment>
    <comment ref="H760" authorId="0" shapeId="0" xr:uid="{3410E845-1B70-4973-B635-AF27055A80EA}">
      <text>
        <r>
          <rPr>
            <b/>
            <sz val="9"/>
            <color indexed="81"/>
            <rFont val="Tahoma"/>
            <family val="2"/>
          </rPr>
          <t>&lt;[[DEVDeals] - [Proxy Entities (Seq: 21)] Zip Code - Send]&gt;</t>
        </r>
      </text>
    </comment>
    <comment ref="I760" authorId="0" shapeId="0" xr:uid="{963BF3DE-0703-4BDF-B5F2-E175E989B1D8}">
      <text>
        <r>
          <rPr>
            <b/>
            <sz val="9"/>
            <color indexed="81"/>
            <rFont val="Tahoma"/>
            <family val="2"/>
          </rPr>
          <t>&lt;[[DEVDeals] - [Proxy Entities (Seq: 22)] Zip Code - Send]&gt;</t>
        </r>
      </text>
    </comment>
    <comment ref="I762" authorId="0" shapeId="0" xr:uid="{FC052668-6F3C-46E4-8F8E-A5A490467258}">
      <text>
        <r>
          <rPr>
            <b/>
            <sz val="9"/>
            <color indexed="81"/>
            <rFont val="Tahoma"/>
            <family val="2"/>
          </rPr>
          <t>&lt;[[DEVDeals] - [Proxy Entities (Seq: 22)] First Name - Send]&gt;</t>
        </r>
      </text>
    </comment>
    <comment ref="I763" authorId="0" shapeId="0" xr:uid="{8388BD9F-5137-4716-8D7D-0F00ECC27EDD}">
      <text>
        <r>
          <rPr>
            <b/>
            <sz val="9"/>
            <color indexed="81"/>
            <rFont val="Tahoma"/>
            <family val="2"/>
          </rPr>
          <t>&lt;[[DEVDeals] - [Proxy Entities (Seq: 22)] Last Name - Send]&gt;</t>
        </r>
      </text>
    </comment>
    <comment ref="H764" authorId="0" shapeId="0" xr:uid="{985D6EF7-3597-4B85-AD8E-D122A0DDE72B}">
      <text>
        <r>
          <rPr>
            <b/>
            <sz val="9"/>
            <color indexed="81"/>
            <rFont val="Tahoma"/>
            <family val="2"/>
          </rPr>
          <t>&lt;[[DEVDeals] - [Proxy Entities (Seq: 21)] Direct Phone - Send]&gt;</t>
        </r>
      </text>
    </comment>
    <comment ref="I764" authorId="0" shapeId="0" xr:uid="{239971D0-B3F0-4862-B3DE-35501BF9BFA1}">
      <text>
        <r>
          <rPr>
            <b/>
            <sz val="9"/>
            <color indexed="81"/>
            <rFont val="Tahoma"/>
            <family val="2"/>
          </rPr>
          <t>&lt;[[DEVDeals] - [Proxy Entities (Seq: 22)] Direct Phone - Send]&gt;</t>
        </r>
      </text>
    </comment>
    <comment ref="H765" authorId="0" shapeId="0" xr:uid="{11892D4E-9B7D-417C-AF6D-5A6BDF9355BB}">
      <text>
        <r>
          <rPr>
            <b/>
            <sz val="9"/>
            <color indexed="81"/>
            <rFont val="Tahoma"/>
            <family val="2"/>
          </rPr>
          <t>&lt;[[DEVDeals] - [Proxy Entities (Seq: 21)] Email Address 1 - Send]&gt;</t>
        </r>
      </text>
    </comment>
    <comment ref="I765" authorId="0" shapeId="0" xr:uid="{484AC238-6B8B-4C12-BCD3-4567A98C4055}">
      <text>
        <r>
          <rPr>
            <b/>
            <sz val="9"/>
            <color indexed="81"/>
            <rFont val="Tahoma"/>
            <family val="2"/>
          </rPr>
          <t>&lt;[[DEVDeals] - [Proxy Entities (Seq: 22)] Email Address 1 - Send]&gt;</t>
        </r>
      </text>
    </comment>
    <comment ref="H782" authorId="0" shapeId="0" xr:uid="{85CEE41E-8682-43A9-AF24-F5C420C49686}">
      <text>
        <r>
          <rPr>
            <b/>
            <sz val="9"/>
            <color indexed="81"/>
            <rFont val="Tahoma"/>
            <family val="2"/>
          </rPr>
          <t>&lt;[[DEVDeals] - [Proxy Entities (Seq: 23)] Deal Entity Role - Send]&gt;</t>
        </r>
      </text>
    </comment>
    <comment ref="I782" authorId="0" shapeId="0" xr:uid="{E04C877E-153B-4DE7-AF5E-630F4EFE2919}">
      <text>
        <r>
          <rPr>
            <b/>
            <sz val="9"/>
            <color indexed="81"/>
            <rFont val="Tahoma"/>
            <family val="2"/>
          </rPr>
          <t>&lt;[[DEVDeals] - [Proxy Entities (Seq: 24)] Deal Entity Role - Send]&gt;</t>
        </r>
      </text>
    </comment>
    <comment ref="H783" authorId="0" shapeId="0" xr:uid="{4542A450-86CF-4BB4-897B-48325E84E863}">
      <text>
        <r>
          <rPr>
            <b/>
            <sz val="9"/>
            <color indexed="81"/>
            <rFont val="Tahoma"/>
            <family val="2"/>
          </rPr>
          <t>&lt;[[DEVDeals] - [Proxy Entities (Seq: 23)] Company or Individual? - Send]&gt;</t>
        </r>
      </text>
    </comment>
    <comment ref="I783" authorId="0" shapeId="0" xr:uid="{8910A1F0-A62A-4903-8772-A91E65EB54C7}">
      <text>
        <r>
          <rPr>
            <b/>
            <sz val="9"/>
            <color indexed="81"/>
            <rFont val="Tahoma"/>
            <family val="2"/>
          </rPr>
          <t>&lt;[[DEVDeals] - [Proxy Entities (Seq: 24)] Company or Individual? - Send]&gt;</t>
        </r>
      </text>
    </comment>
    <comment ref="H784" authorId="0" shapeId="0" xr:uid="{9685079A-31E8-490F-9A53-65BFBD155259}">
      <text>
        <r>
          <rPr>
            <b/>
            <sz val="9"/>
            <color indexed="81"/>
            <rFont val="Tahoma"/>
            <family val="2"/>
          </rPr>
          <t>&lt;[[DEVDeals] - [Proxy Entities (Seq: 23)] Name (Doing Business As) - Send]&gt;</t>
        </r>
      </text>
    </comment>
    <comment ref="H785" authorId="0" shapeId="0" xr:uid="{6B8B6DE7-BF42-4C74-B2CF-B6DD8AB09E15}">
      <text>
        <r>
          <rPr>
            <b/>
            <sz val="9"/>
            <color indexed="81"/>
            <rFont val="Tahoma"/>
            <family val="2"/>
          </rPr>
          <t>&lt;[[DEVDeals] - [Proxy Entities (Seq: 23)] Address 1 - Send]&gt;</t>
        </r>
      </text>
    </comment>
    <comment ref="I785" authorId="0" shapeId="0" xr:uid="{4CE51BBC-7A6E-4501-B987-1BDCAD4D53DC}">
      <text>
        <r>
          <rPr>
            <b/>
            <sz val="9"/>
            <color indexed="81"/>
            <rFont val="Tahoma"/>
            <family val="2"/>
          </rPr>
          <t>&lt;[[DEVDeals] - [Proxy Entities (Seq: 24)] Address 1 - Send]&gt;</t>
        </r>
      </text>
    </comment>
    <comment ref="H787" authorId="0" shapeId="0" xr:uid="{6AFF6357-2D3D-4DAB-B9F1-7F0ADD9CEE75}">
      <text>
        <r>
          <rPr>
            <b/>
            <sz val="9"/>
            <color indexed="81"/>
            <rFont val="Tahoma"/>
            <family val="2"/>
          </rPr>
          <t>&lt;[[DEVDeals] - [Proxy Entities (Seq: 23)] City - Send]&gt;</t>
        </r>
      </text>
    </comment>
    <comment ref="I787" authorId="0" shapeId="0" xr:uid="{07314A7F-9433-4B73-B480-8707870EECCB}">
      <text>
        <r>
          <rPr>
            <b/>
            <sz val="9"/>
            <color indexed="81"/>
            <rFont val="Tahoma"/>
            <family val="2"/>
          </rPr>
          <t>&lt;[[DEVDeals] - [Proxy Entities (Seq: 24)] City - Send]&gt;</t>
        </r>
      </text>
    </comment>
    <comment ref="H788" authorId="0" shapeId="0" xr:uid="{C188F9EE-7DBA-4739-ABB5-36CCC3E281C8}">
      <text>
        <r>
          <rPr>
            <b/>
            <sz val="9"/>
            <color indexed="81"/>
            <rFont val="Tahoma"/>
            <family val="2"/>
          </rPr>
          <t>&lt;[[DEVDeals] - [Proxy Entities (Seq: 23)] State - Send]&gt;</t>
        </r>
      </text>
    </comment>
    <comment ref="I788" authorId="0" shapeId="0" xr:uid="{E44E9DAF-4526-4E37-8642-E743F83A6760}">
      <text>
        <r>
          <rPr>
            <b/>
            <sz val="9"/>
            <color indexed="81"/>
            <rFont val="Tahoma"/>
            <family val="2"/>
          </rPr>
          <t>&lt;[[DEVDeals] - [Proxy Entities (Seq: 24)] State - Send]&gt;</t>
        </r>
      </text>
    </comment>
    <comment ref="H789" authorId="0" shapeId="0" xr:uid="{E7031491-B6F1-4303-A8F1-ECF187CB4389}">
      <text>
        <r>
          <rPr>
            <b/>
            <sz val="9"/>
            <color indexed="81"/>
            <rFont val="Tahoma"/>
            <family val="2"/>
          </rPr>
          <t>&lt;[[DEVDeals] - [Proxy Entities (Seq: 23)] Zip Code - Send]&gt;</t>
        </r>
      </text>
    </comment>
    <comment ref="I789" authorId="0" shapeId="0" xr:uid="{C7B18814-0794-4BF4-A8A8-1046D99F99A8}">
      <text>
        <r>
          <rPr>
            <b/>
            <sz val="9"/>
            <color indexed="81"/>
            <rFont val="Tahoma"/>
            <family val="2"/>
          </rPr>
          <t>&lt;[[DEVDeals] - [Proxy Entities (Seq: 24)] Zip Code - Send]&gt;</t>
        </r>
      </text>
    </comment>
    <comment ref="I791" authorId="0" shapeId="0" xr:uid="{B6B58AE9-8A8A-4AD2-9990-D33D5A0449D4}">
      <text>
        <r>
          <rPr>
            <b/>
            <sz val="9"/>
            <color indexed="81"/>
            <rFont val="Tahoma"/>
            <family val="2"/>
          </rPr>
          <t>&lt;[[DEVDeals] - [Proxy Entities (Seq: 24)] First Name - Send]&gt;</t>
        </r>
      </text>
    </comment>
    <comment ref="I792" authorId="0" shapeId="0" xr:uid="{1676293C-6BE0-4C1D-909C-D66249B5D77C}">
      <text>
        <r>
          <rPr>
            <b/>
            <sz val="9"/>
            <color indexed="81"/>
            <rFont val="Tahoma"/>
            <family val="2"/>
          </rPr>
          <t>&lt;[[DEVDeals] - [Proxy Entities (Seq: 24)] Last Name - Send]&gt;</t>
        </r>
      </text>
    </comment>
    <comment ref="H793" authorId="0" shapeId="0" xr:uid="{EF31664F-F74C-4A95-B775-C8E486334407}">
      <text>
        <r>
          <rPr>
            <b/>
            <sz val="9"/>
            <color indexed="81"/>
            <rFont val="Tahoma"/>
            <family val="2"/>
          </rPr>
          <t>&lt;[[DEVDeals] - [Proxy Entities (Seq: 23)] Direct Phone - Send]&gt;</t>
        </r>
      </text>
    </comment>
    <comment ref="I793" authorId="0" shapeId="0" xr:uid="{E0050803-DC2B-477A-BBC0-29855D2FC43E}">
      <text>
        <r>
          <rPr>
            <b/>
            <sz val="9"/>
            <color indexed="81"/>
            <rFont val="Tahoma"/>
            <family val="2"/>
          </rPr>
          <t>&lt;[[DEVDeals] - [Proxy Entities (Seq: 24)] Direct Phone - Send]&gt;</t>
        </r>
      </text>
    </comment>
    <comment ref="H794" authorId="0" shapeId="0" xr:uid="{4ED676C9-D538-4CFF-B2D5-14E94579046D}">
      <text>
        <r>
          <rPr>
            <b/>
            <sz val="9"/>
            <color indexed="81"/>
            <rFont val="Tahoma"/>
            <family val="2"/>
          </rPr>
          <t>&lt;[[DEVDeals] - [Proxy Entities (Seq: 23)] Email Address 1 - Send]&gt;</t>
        </r>
      </text>
    </comment>
    <comment ref="I794" authorId="0" shapeId="0" xr:uid="{EDF1893D-7AA1-4EB9-A740-4D4BC640B84D}">
      <text>
        <r>
          <rPr>
            <b/>
            <sz val="9"/>
            <color indexed="81"/>
            <rFont val="Tahoma"/>
            <family val="2"/>
          </rPr>
          <t>&lt;[[DEVDeals] - [Proxy Entities (Seq: 24)] Email Address 1 - Send]&gt;</t>
        </r>
      </text>
    </comment>
    <comment ref="H798" authorId="0" shapeId="0" xr:uid="{81CA54CA-61A4-4114-BE4B-1384031B6403}">
      <text>
        <r>
          <rPr>
            <b/>
            <sz val="9"/>
            <color indexed="81"/>
            <rFont val="Tahoma"/>
            <family val="2"/>
          </rPr>
          <t>&lt;[[DEVDeals] - [DEV User Defined Fields (Seq: 1)] Permanent Supportive Housing - PSH SRO 20% Unit Count - Send]&gt;</t>
        </r>
      </text>
    </comment>
    <comment ref="I798" authorId="0" shapeId="0" xr:uid="{0FBA1518-7CD3-471E-9F3C-9E0DEA7B871C}">
      <text>
        <r>
          <rPr>
            <b/>
            <sz val="9"/>
            <color indexed="81"/>
            <rFont val="Tahoma"/>
            <family val="2"/>
          </rPr>
          <t>&lt;[[DEVDeals] - [DEV User Defined Fields (Seq: 1)] Permanent Supportive Housing - PSH EFF 20% Unit Count - Send]&gt;</t>
        </r>
      </text>
    </comment>
    <comment ref="J798" authorId="0" shapeId="0" xr:uid="{67A59122-82FD-4050-8622-88CB5B6DCA70}">
      <text>
        <r>
          <rPr>
            <b/>
            <sz val="9"/>
            <color indexed="81"/>
            <rFont val="Tahoma"/>
            <family val="2"/>
          </rPr>
          <t>&lt;[[DEVDeals] - [DEV User Defined Fields (Seq: 1)] Permanent Supportive Housing - PSH 1BR 20% Unit Count - Send]&gt;</t>
        </r>
      </text>
    </comment>
    <comment ref="K798" authorId="0" shapeId="0" xr:uid="{66714D45-F76F-4252-81C7-23BBC1DA163F}">
      <text>
        <r>
          <rPr>
            <b/>
            <sz val="9"/>
            <color indexed="81"/>
            <rFont val="Tahoma"/>
            <family val="2"/>
          </rPr>
          <t>&lt;[[DEVDeals] - [DEV User Defined Fields (Seq: 1)] Permanent Supportive Housing - PSH 2BR 20% Unit Count - Send]&gt;</t>
        </r>
      </text>
    </comment>
    <comment ref="L798" authorId="0" shapeId="0" xr:uid="{6F48F056-CBB8-40A7-9FD9-5B5161F90FA0}">
      <text>
        <r>
          <rPr>
            <b/>
            <sz val="9"/>
            <color indexed="81"/>
            <rFont val="Tahoma"/>
            <family val="2"/>
          </rPr>
          <t>&lt;[[DEVDeals] - [DEV User Defined Fields (Seq: 1)] Permanent Supportive Housing - PSH 3BR 20% Unit Count - Send]&gt;</t>
        </r>
      </text>
    </comment>
    <comment ref="M798" authorId="0" shapeId="0" xr:uid="{B208C8DE-6867-4F62-98D1-D91AE4A4485F}">
      <text>
        <r>
          <rPr>
            <b/>
            <sz val="9"/>
            <color indexed="81"/>
            <rFont val="Tahoma"/>
            <family val="2"/>
          </rPr>
          <t>&lt;[[DEVDeals] - [DEV User Defined Fields (Seq: 1)] Permanent Supportive Housing - PSH 4BR 20% Unit Count - Send]&gt;</t>
        </r>
      </text>
    </comment>
    <comment ref="N798" authorId="0" shapeId="0" xr:uid="{A0894B4A-0337-4376-8863-8772F6DEB38B}">
      <text>
        <r>
          <rPr>
            <b/>
            <sz val="9"/>
            <color indexed="81"/>
            <rFont val="Tahoma"/>
            <family val="2"/>
          </rPr>
          <t>&lt;[[DEVDeals] - [DEV User Defined Fields (Seq: 1)] Permanent Supportive Housing - PSH 5BR 20% Unit Count - Send]&gt;</t>
        </r>
      </text>
    </comment>
    <comment ref="O798" authorId="0" shapeId="0" xr:uid="{BAFAC66B-3CCA-4305-9D90-EB735CF887AE}">
      <text>
        <r>
          <rPr>
            <b/>
            <sz val="9"/>
            <color indexed="81"/>
            <rFont val="Tahoma"/>
            <family val="2"/>
          </rPr>
          <t>&lt;[[DEVDeals] - [DEV User Defined Fields (Seq: 1)] Permanent Supportive Housing - PSH Undefined 20% Unit Count - Send]&gt;</t>
        </r>
      </text>
    </comment>
    <comment ref="H799" authorId="0" shapeId="0" xr:uid="{66F41307-C95D-4B27-98F9-73CA82A7C820}">
      <text>
        <r>
          <rPr>
            <b/>
            <sz val="9"/>
            <color indexed="81"/>
            <rFont val="Tahoma"/>
            <family val="2"/>
          </rPr>
          <t>&lt;[[DEVDeals] - [DEV User Defined Fields (Seq: 1)] Permanent Supportive Housing - PSH SRO 30% Unit Count - Send]&gt;</t>
        </r>
      </text>
    </comment>
    <comment ref="I799" authorId="0" shapeId="0" xr:uid="{8DA3C1FB-C165-43E1-A4A4-C4DF371E8195}">
      <text>
        <r>
          <rPr>
            <b/>
            <sz val="9"/>
            <color indexed="81"/>
            <rFont val="Tahoma"/>
            <family val="2"/>
          </rPr>
          <t>&lt;[[DEVDeals] - [DEV User Defined Fields (Seq: 1)] Permanent Supportive Housing - PSH EFF 30% Unit Count - Send]&gt;</t>
        </r>
      </text>
    </comment>
    <comment ref="J799" authorId="0" shapeId="0" xr:uid="{9311EEE7-B75C-4295-B61F-06C0734D3D9F}">
      <text>
        <r>
          <rPr>
            <b/>
            <sz val="9"/>
            <color indexed="81"/>
            <rFont val="Tahoma"/>
            <family val="2"/>
          </rPr>
          <t>&lt;[[DEVDeals] - [DEV User Defined Fields (Seq: 1)] Permanent Supportive Housing - PSH 1BR 30% Unit Count - Send]&gt;</t>
        </r>
      </text>
    </comment>
    <comment ref="K799" authorId="0" shapeId="0" xr:uid="{94F613F1-5875-47FD-88B1-7A5D98065C84}">
      <text>
        <r>
          <rPr>
            <b/>
            <sz val="9"/>
            <color indexed="81"/>
            <rFont val="Tahoma"/>
            <family val="2"/>
          </rPr>
          <t>&lt;[[DEVDeals] - [DEV User Defined Fields (Seq: 1)] Permanent Supportive Housing - PSH 2BR 30% Unit Count - Send]&gt;</t>
        </r>
      </text>
    </comment>
    <comment ref="L799" authorId="0" shapeId="0" xr:uid="{E5B4F871-0E06-4EB8-8F9E-C823E025C20E}">
      <text>
        <r>
          <rPr>
            <b/>
            <sz val="9"/>
            <color indexed="81"/>
            <rFont val="Tahoma"/>
            <family val="2"/>
          </rPr>
          <t>&lt;[[DEVDeals] - [DEV User Defined Fields (Seq: 1)] Permanent Supportive Housing - PSH 3BR 30% Unit Count - Send]&gt;</t>
        </r>
      </text>
    </comment>
    <comment ref="M799" authorId="0" shapeId="0" xr:uid="{FFA77FD2-834B-4157-9406-D9377668DDBB}">
      <text>
        <r>
          <rPr>
            <b/>
            <sz val="9"/>
            <color indexed="81"/>
            <rFont val="Tahoma"/>
            <family val="2"/>
          </rPr>
          <t>&lt;[[DEVDeals] - [DEV User Defined Fields (Seq: 1)] Permanent Supportive Housing - PSH 4BR 30% Unit Count - Send]&gt;</t>
        </r>
      </text>
    </comment>
    <comment ref="N799" authorId="0" shapeId="0" xr:uid="{117692B5-DDEF-4D2F-8C6D-BE66BF5DEDB7}">
      <text>
        <r>
          <rPr>
            <b/>
            <sz val="9"/>
            <color indexed="81"/>
            <rFont val="Tahoma"/>
            <family val="2"/>
          </rPr>
          <t>&lt;[[DEVDeals] - [DEV User Defined Fields (Seq: 1)] Permanent Supportive Housing - PSH 5BR 30% Unit Count - Send]&gt;</t>
        </r>
      </text>
    </comment>
    <comment ref="O799" authorId="0" shapeId="0" xr:uid="{48BB8E67-486B-4A7A-A3C2-C74EE789E58C}">
      <text>
        <r>
          <rPr>
            <b/>
            <sz val="9"/>
            <color indexed="81"/>
            <rFont val="Tahoma"/>
            <family val="2"/>
          </rPr>
          <t>&lt;[[DEVDeals] - [DEV User Defined Fields (Seq: 1)] Permanent Supportive Housing - PSH Undefined 30% Unit Count - Send]&gt;</t>
        </r>
      </text>
    </comment>
    <comment ref="H800" authorId="0" shapeId="0" xr:uid="{97C5EC86-D53A-49D5-8F87-B4103503355D}">
      <text>
        <r>
          <rPr>
            <b/>
            <sz val="9"/>
            <color indexed="81"/>
            <rFont val="Tahoma"/>
            <family val="2"/>
          </rPr>
          <t>&lt;[[DEVDeals] - [DEV User Defined Fields (Seq: 1)] Permanent Supportive Housing - PSH SRO 40% Unit Count - Send]&gt;</t>
        </r>
      </text>
    </comment>
    <comment ref="I800" authorId="0" shapeId="0" xr:uid="{67860078-7328-48DC-886C-9C163A4423D9}">
      <text>
        <r>
          <rPr>
            <b/>
            <sz val="9"/>
            <color indexed="81"/>
            <rFont val="Tahoma"/>
            <family val="2"/>
          </rPr>
          <t>&lt;[[DEVDeals] - [DEV User Defined Fields (Seq: 1)] Permanent Supportive Housing - PSH EFF 40% Unit Count - Send]&gt;</t>
        </r>
      </text>
    </comment>
    <comment ref="J800" authorId="0" shapeId="0" xr:uid="{4EAFBC13-47BB-4434-8F11-A2D53ECBF4BF}">
      <text>
        <r>
          <rPr>
            <b/>
            <sz val="9"/>
            <color indexed="81"/>
            <rFont val="Tahoma"/>
            <family val="2"/>
          </rPr>
          <t>&lt;[[DEVDeals] - [DEV User Defined Fields (Seq: 1)] Permanent Supportive Housing - PSH 1BR 40% Unit Count - Send]&gt;</t>
        </r>
      </text>
    </comment>
    <comment ref="K800" authorId="0" shapeId="0" xr:uid="{E5086B6E-A87A-4408-B255-B97DAECBA9B0}">
      <text>
        <r>
          <rPr>
            <b/>
            <sz val="9"/>
            <color indexed="81"/>
            <rFont val="Tahoma"/>
            <family val="2"/>
          </rPr>
          <t>&lt;[[DEVDeals] - [DEV User Defined Fields (Seq: 1)] Permanent Supportive Housing - PSH 2BR 40% Unit Count - Send]&gt;</t>
        </r>
      </text>
    </comment>
    <comment ref="L800" authorId="0" shapeId="0" xr:uid="{D4AFFDE4-C93F-4249-BFEF-E20F1AC80A67}">
      <text>
        <r>
          <rPr>
            <b/>
            <sz val="9"/>
            <color indexed="81"/>
            <rFont val="Tahoma"/>
            <family val="2"/>
          </rPr>
          <t>&lt;[[DEVDeals] - [DEV User Defined Fields (Seq: 1)] Permanent Supportive Housing - PSH 3BR 40% Unit Count - Send]&gt;</t>
        </r>
      </text>
    </comment>
    <comment ref="M800" authorId="0" shapeId="0" xr:uid="{31C0834A-84B3-4441-AFB3-D3ADCF4084A3}">
      <text>
        <r>
          <rPr>
            <b/>
            <sz val="9"/>
            <color indexed="81"/>
            <rFont val="Tahoma"/>
            <family val="2"/>
          </rPr>
          <t>&lt;[[DEVDeals] - [DEV User Defined Fields (Seq: 1)] Permanent Supportive Housing - PSH 4BR 40% Unit Count - Send]&gt;</t>
        </r>
      </text>
    </comment>
    <comment ref="N800" authorId="0" shapeId="0" xr:uid="{29E3D737-AFAE-4F51-A39D-FD5F4327DE2D}">
      <text>
        <r>
          <rPr>
            <b/>
            <sz val="9"/>
            <color indexed="81"/>
            <rFont val="Tahoma"/>
            <family val="2"/>
          </rPr>
          <t>&lt;[[DEVDeals] - [DEV User Defined Fields (Seq: 1)] Permanent Supportive Housing - PSH 5BR 40% Unit Count - Send]&gt;</t>
        </r>
      </text>
    </comment>
    <comment ref="O800" authorId="0" shapeId="0" xr:uid="{73D82CBD-7595-493D-AFA3-7A0FC7A630CF}">
      <text>
        <r>
          <rPr>
            <b/>
            <sz val="9"/>
            <color indexed="81"/>
            <rFont val="Tahoma"/>
            <family val="2"/>
          </rPr>
          <t>&lt;[[DEVDeals] - [DEV User Defined Fields (Seq: 1)] Permanent Supportive Housing - PSH Undefined 40% Unit Count - Send]&gt;</t>
        </r>
      </text>
    </comment>
    <comment ref="H801" authorId="0" shapeId="0" xr:uid="{6D890543-1159-4B57-9D30-C052139797DE}">
      <text>
        <r>
          <rPr>
            <b/>
            <sz val="9"/>
            <color indexed="81"/>
            <rFont val="Tahoma"/>
            <family val="2"/>
          </rPr>
          <t>&lt;[[DEVDeals] - [DEV User Defined Fields (Seq: 1)] Permanent Supportive Housing - PSH SRO 50% Unit Count - Send]&gt;</t>
        </r>
      </text>
    </comment>
    <comment ref="I801" authorId="0" shapeId="0" xr:uid="{DDBFCF7C-0175-4632-B797-0E4E349BF376}">
      <text>
        <r>
          <rPr>
            <b/>
            <sz val="9"/>
            <color indexed="81"/>
            <rFont val="Tahoma"/>
            <family val="2"/>
          </rPr>
          <t>&lt;[[DEVDeals] - [DEV User Defined Fields (Seq: 1)] Permanent Supportive Housing - PSH EFF 50% Unit Count - Send]&gt;</t>
        </r>
      </text>
    </comment>
    <comment ref="J801" authorId="0" shapeId="0" xr:uid="{C8FAE5BA-A7F0-45BC-8E79-97C9228C3730}">
      <text>
        <r>
          <rPr>
            <b/>
            <sz val="9"/>
            <color indexed="81"/>
            <rFont val="Tahoma"/>
            <family val="2"/>
          </rPr>
          <t>&lt;[[DEVDeals] - [DEV User Defined Fields (Seq: 1)] Permanent Supportive Housing - PSH 1BR 50% Unit Count - Send]&gt;</t>
        </r>
      </text>
    </comment>
    <comment ref="K801" authorId="0" shapeId="0" xr:uid="{47ED2739-1879-46E3-BCEF-08150EBE8A0D}">
      <text>
        <r>
          <rPr>
            <b/>
            <sz val="9"/>
            <color indexed="81"/>
            <rFont val="Tahoma"/>
            <family val="2"/>
          </rPr>
          <t>&lt;[[DEVDeals] - [DEV User Defined Fields (Seq: 1)] Permanent Supportive Housing - PSH 2BR 50% Unit Count - Send]&gt;</t>
        </r>
      </text>
    </comment>
    <comment ref="L801" authorId="0" shapeId="0" xr:uid="{72212FB5-A859-48A8-BF5B-876C08CB98F9}">
      <text>
        <r>
          <rPr>
            <b/>
            <sz val="9"/>
            <color indexed="81"/>
            <rFont val="Tahoma"/>
            <family val="2"/>
          </rPr>
          <t>&lt;[[DEVDeals] - [DEV User Defined Fields (Seq: 1)] Permanent Supportive Housing - PSH 3BR 50% Unit Count - Send]&gt;</t>
        </r>
      </text>
    </comment>
    <comment ref="M801" authorId="0" shapeId="0" xr:uid="{2F9669AC-5671-40B0-85ED-BB31BCB7ECC2}">
      <text>
        <r>
          <rPr>
            <b/>
            <sz val="9"/>
            <color indexed="81"/>
            <rFont val="Tahoma"/>
            <family val="2"/>
          </rPr>
          <t>&lt;[[DEVDeals] - [DEV User Defined Fields (Seq: 1)] Permanent Supportive Housing - PSH 4BR 50% Unit Count - Send]&gt;</t>
        </r>
      </text>
    </comment>
    <comment ref="N801" authorId="0" shapeId="0" xr:uid="{FFE5C6D6-6CE8-49D3-AF54-9CB649294238}">
      <text>
        <r>
          <rPr>
            <b/>
            <sz val="9"/>
            <color indexed="81"/>
            <rFont val="Tahoma"/>
            <family val="2"/>
          </rPr>
          <t>&lt;[[DEVDeals] - [DEV User Defined Fields (Seq: 1)] Permanent Supportive Housing - PSH 5BR 50% Unit Count - Send]&gt;</t>
        </r>
      </text>
    </comment>
    <comment ref="O801" authorId="0" shapeId="0" xr:uid="{17C178D7-6BAA-4AF2-A709-C6EE02F04DDE}">
      <text>
        <r>
          <rPr>
            <b/>
            <sz val="9"/>
            <color indexed="81"/>
            <rFont val="Tahoma"/>
            <family val="2"/>
          </rPr>
          <t>&lt;[[DEVDeals] - [DEV User Defined Fields (Seq: 1)] Permanent Supportive Housing - PSH Undefined 50% Unit Count - Send]&gt;</t>
        </r>
      </text>
    </comment>
    <comment ref="H802" authorId="0" shapeId="0" xr:uid="{96CB1A60-3967-4EF0-8C39-FCCE116CA783}">
      <text>
        <r>
          <rPr>
            <b/>
            <sz val="9"/>
            <color indexed="81"/>
            <rFont val="Tahoma"/>
            <family val="2"/>
          </rPr>
          <t>&lt;[[DEVDeals] - [DEV User Defined Fields (Seq: 1)] Permanent Supportive Housing - PSH SRO 60% Unit Count - Send]&gt;</t>
        </r>
      </text>
    </comment>
    <comment ref="I802" authorId="0" shapeId="0" xr:uid="{4FC24BAF-9685-423C-B622-7E3882518994}">
      <text>
        <r>
          <rPr>
            <b/>
            <sz val="9"/>
            <color indexed="81"/>
            <rFont val="Tahoma"/>
            <family val="2"/>
          </rPr>
          <t>&lt;[[DEVDeals] - [DEV User Defined Fields (Seq: 1)] Permanent Supportive Housing - PSH EFF 60% Unit Count - Send]&gt;</t>
        </r>
      </text>
    </comment>
    <comment ref="J802" authorId="0" shapeId="0" xr:uid="{AEB019AC-6721-4F91-906E-39385B66F211}">
      <text>
        <r>
          <rPr>
            <b/>
            <sz val="9"/>
            <color indexed="81"/>
            <rFont val="Tahoma"/>
            <family val="2"/>
          </rPr>
          <t>&lt;[[DEVDeals] - [DEV User Defined Fields (Seq: 1)] Permanent Supportive Housing - PSH 1BR 60% Unit Count - Send]&gt;</t>
        </r>
      </text>
    </comment>
    <comment ref="K802" authorId="0" shapeId="0" xr:uid="{04B35208-9344-4E58-AFB5-53A680AAF709}">
      <text>
        <r>
          <rPr>
            <b/>
            <sz val="9"/>
            <color indexed="81"/>
            <rFont val="Tahoma"/>
            <family val="2"/>
          </rPr>
          <t>&lt;[[DEVDeals] - [DEV User Defined Fields (Seq: 1)] Permanent Supportive Housing - PSH 2BR 60% Unit Count - Send]&gt;</t>
        </r>
      </text>
    </comment>
    <comment ref="L802" authorId="0" shapeId="0" xr:uid="{5AF278B2-173D-49A6-82FF-1704CE240E64}">
      <text>
        <r>
          <rPr>
            <b/>
            <sz val="9"/>
            <color indexed="81"/>
            <rFont val="Tahoma"/>
            <family val="2"/>
          </rPr>
          <t>&lt;[[DEVDeals] - [DEV User Defined Fields (Seq: 1)] Permanent Supportive Housing - PSH 3BR 60% Unit Count - Send]&gt;</t>
        </r>
      </text>
    </comment>
    <comment ref="M802" authorId="0" shapeId="0" xr:uid="{B687A393-8D1D-494D-80C8-C8F406C859E3}">
      <text>
        <r>
          <rPr>
            <b/>
            <sz val="9"/>
            <color indexed="81"/>
            <rFont val="Tahoma"/>
            <family val="2"/>
          </rPr>
          <t>&lt;[[DEVDeals] - [DEV User Defined Fields (Seq: 1)] Permanent Supportive Housing - PSH 4BR 60% Unit Count - Send]&gt;</t>
        </r>
      </text>
    </comment>
    <comment ref="N802" authorId="0" shapeId="0" xr:uid="{2CE84883-4B8F-4057-B9EF-9357146F76B4}">
      <text>
        <r>
          <rPr>
            <b/>
            <sz val="9"/>
            <color indexed="81"/>
            <rFont val="Tahoma"/>
            <family val="2"/>
          </rPr>
          <t>&lt;[[DEVDeals] - [DEV User Defined Fields (Seq: 1)] Permanent Supportive Housing - PSH 5BR 60% Unit Count - Send]&gt;</t>
        </r>
      </text>
    </comment>
    <comment ref="O802" authorId="0" shapeId="0" xr:uid="{FE6CED82-5D66-43C4-B452-516B99E6FE61}">
      <text>
        <r>
          <rPr>
            <b/>
            <sz val="9"/>
            <color indexed="81"/>
            <rFont val="Tahoma"/>
            <family val="2"/>
          </rPr>
          <t>&lt;[[DEVDeals] - [DEV User Defined Fields (Seq: 1)] Permanent Supportive Housing - PSH Undefined 60% Unit Count - Send]&gt;</t>
        </r>
      </text>
    </comment>
    <comment ref="H803" authorId="0" shapeId="0" xr:uid="{BFEBA125-1461-48CF-A33F-7F88749EAB17}">
      <text>
        <r>
          <rPr>
            <b/>
            <sz val="9"/>
            <color indexed="81"/>
            <rFont val="Tahoma"/>
            <family val="2"/>
          </rPr>
          <t>&lt;[[DEVDeals] - [DEV User Defined Fields (Seq: 1)] Permanent Supportive Housing - PSH SRO 70% Unit Count - Send]&gt;</t>
        </r>
      </text>
    </comment>
    <comment ref="I803" authorId="0" shapeId="0" xr:uid="{CEF24821-3222-45F6-968C-D7D28D840FC0}">
      <text>
        <r>
          <rPr>
            <b/>
            <sz val="9"/>
            <color indexed="81"/>
            <rFont val="Tahoma"/>
            <family val="2"/>
          </rPr>
          <t>&lt;[[DEVDeals] - [DEV User Defined Fields (Seq: 1)] Permanent Supportive Housing - PSH EFF 70% Unit Count - Send]&gt;</t>
        </r>
      </text>
    </comment>
    <comment ref="J803" authorId="0" shapeId="0" xr:uid="{46AF2EF2-0B49-419E-ADF3-10874566765B}">
      <text>
        <r>
          <rPr>
            <b/>
            <sz val="9"/>
            <color indexed="81"/>
            <rFont val="Tahoma"/>
            <family val="2"/>
          </rPr>
          <t>&lt;[[DEVDeals] - [DEV User Defined Fields (Seq: 1)] Permanent Supportive Housing - PSH 1BR 70% Unit Count - Send]&gt;</t>
        </r>
      </text>
    </comment>
    <comment ref="K803" authorId="0" shapeId="0" xr:uid="{0E8325F0-3102-40D1-9BC4-B5CEEA1383A2}">
      <text>
        <r>
          <rPr>
            <b/>
            <sz val="9"/>
            <color indexed="81"/>
            <rFont val="Tahoma"/>
            <family val="2"/>
          </rPr>
          <t>&lt;[[DEVDeals] - [DEV User Defined Fields (Seq: 1)] Permanent Supportive Housing - PSH 2BR 70% Unit Count - Send]&gt;</t>
        </r>
      </text>
    </comment>
    <comment ref="L803" authorId="0" shapeId="0" xr:uid="{0EC190B2-877F-4B1C-B8F2-15833C8E689E}">
      <text>
        <r>
          <rPr>
            <b/>
            <sz val="9"/>
            <color indexed="81"/>
            <rFont val="Tahoma"/>
            <family val="2"/>
          </rPr>
          <t>&lt;[[DEVDeals] - [DEV User Defined Fields (Seq: 1)] Permanent Supportive Housing - PSH 3BR 70% Unit Count - Send]&gt;</t>
        </r>
      </text>
    </comment>
    <comment ref="M803" authorId="0" shapeId="0" xr:uid="{7FA2DC08-203B-4F7A-BB6C-0F38F179389A}">
      <text>
        <r>
          <rPr>
            <b/>
            <sz val="9"/>
            <color indexed="81"/>
            <rFont val="Tahoma"/>
            <family val="2"/>
          </rPr>
          <t>&lt;[[DEVDeals] - [DEV User Defined Fields (Seq: 1)] Permanent Supportive Housing - PSH 4BR 70% Unit Count - Send]&gt;</t>
        </r>
      </text>
    </comment>
    <comment ref="N803" authorId="0" shapeId="0" xr:uid="{4C89264A-73FD-44FE-93E1-47D838EEF7D6}">
      <text>
        <r>
          <rPr>
            <b/>
            <sz val="9"/>
            <color indexed="81"/>
            <rFont val="Tahoma"/>
            <family val="2"/>
          </rPr>
          <t>&lt;[[DEVDeals] - [DEV User Defined Fields (Seq: 1)] Permanent Supportive Housing - PSH 5BR 70% Unit Count - Send]&gt;</t>
        </r>
      </text>
    </comment>
    <comment ref="O803" authorId="0" shapeId="0" xr:uid="{1C515B8D-74C4-43BB-9B4B-B293D4DB289D}">
      <text>
        <r>
          <rPr>
            <b/>
            <sz val="9"/>
            <color indexed="81"/>
            <rFont val="Tahoma"/>
            <family val="2"/>
          </rPr>
          <t>&lt;[[DEVDeals] - [DEV User Defined Fields (Seq: 1)] Permanent Supportive Housing - PSH Undefined 70% Unit Count - Send]&gt;</t>
        </r>
      </text>
    </comment>
    <comment ref="H804" authorId="0" shapeId="0" xr:uid="{E679A972-6B31-46C8-8001-536CC19B2282}">
      <text>
        <r>
          <rPr>
            <b/>
            <sz val="9"/>
            <color indexed="81"/>
            <rFont val="Tahoma"/>
            <family val="2"/>
          </rPr>
          <t>&lt;[[DEVDeals] - [DEV User Defined Fields (Seq: 1)] Permanent Supportive Housing - PSH SRO 80% Unit Count - Send]&gt;</t>
        </r>
      </text>
    </comment>
    <comment ref="I804" authorId="0" shapeId="0" xr:uid="{C7D3FBAC-2031-4181-8C12-4CC125A3FF04}">
      <text>
        <r>
          <rPr>
            <b/>
            <sz val="9"/>
            <color indexed="81"/>
            <rFont val="Tahoma"/>
            <family val="2"/>
          </rPr>
          <t>&lt;[[DEVDeals] - [DEV User Defined Fields (Seq: 1)] Permanent Supportive Housing - PSH EFF 80% Unit Count - Send]&gt;</t>
        </r>
      </text>
    </comment>
    <comment ref="J804" authorId="0" shapeId="0" xr:uid="{040EE928-7084-4609-9277-EC058548AF60}">
      <text>
        <r>
          <rPr>
            <b/>
            <sz val="9"/>
            <color indexed="81"/>
            <rFont val="Tahoma"/>
            <family val="2"/>
          </rPr>
          <t>&lt;[[DEVDeals] - [DEV User Defined Fields (Seq: 1)] Permanent Supportive Housing - PSH 1BR 80% Unit Count - Send]&gt;</t>
        </r>
      </text>
    </comment>
    <comment ref="K804" authorId="0" shapeId="0" xr:uid="{E8770100-9F50-4889-8FD5-893CD5920832}">
      <text>
        <r>
          <rPr>
            <b/>
            <sz val="9"/>
            <color indexed="81"/>
            <rFont val="Tahoma"/>
            <family val="2"/>
          </rPr>
          <t>&lt;[[DEVDeals] - [DEV User Defined Fields (Seq: 1)] Permanent Supportive Housing - PSH 2BR 80% Unit Count - Send]&gt;</t>
        </r>
      </text>
    </comment>
    <comment ref="L804" authorId="0" shapeId="0" xr:uid="{5C1668E7-E201-49D7-ACFE-FF097BF3EC69}">
      <text>
        <r>
          <rPr>
            <b/>
            <sz val="9"/>
            <color indexed="81"/>
            <rFont val="Tahoma"/>
            <family val="2"/>
          </rPr>
          <t>&lt;[[DEVDeals] - [DEV User Defined Fields (Seq: 1)] Permanent Supportive Housing - PSH 3BR 80% Unit Count - Send]&gt;</t>
        </r>
      </text>
    </comment>
    <comment ref="M804" authorId="0" shapeId="0" xr:uid="{D8BFE5FD-8265-4F5D-9440-FF657E856D23}">
      <text>
        <r>
          <rPr>
            <b/>
            <sz val="9"/>
            <color indexed="81"/>
            <rFont val="Tahoma"/>
            <family val="2"/>
          </rPr>
          <t>&lt;[[DEVDeals] - [DEV User Defined Fields (Seq: 1)] Permanent Supportive Housing - PSH 4BR 80% Unit Count - Send]&gt;</t>
        </r>
      </text>
    </comment>
    <comment ref="N804" authorId="0" shapeId="0" xr:uid="{0BF88642-69E9-47D8-BCAC-BB80F7F680B0}">
      <text>
        <r>
          <rPr>
            <b/>
            <sz val="9"/>
            <color indexed="81"/>
            <rFont val="Tahoma"/>
            <family val="2"/>
          </rPr>
          <t>&lt;[[DEVDeals] - [DEV User Defined Fields (Seq: 1)] Permanent Supportive Housing - PSH 5BR 80% Unit Count - Send]&gt;</t>
        </r>
      </text>
    </comment>
    <comment ref="O804" authorId="0" shapeId="0" xr:uid="{F4C67DFB-DAD8-4AC6-8967-9B90D6187AEC}">
      <text>
        <r>
          <rPr>
            <b/>
            <sz val="9"/>
            <color indexed="81"/>
            <rFont val="Tahoma"/>
            <family val="2"/>
          </rPr>
          <t>&lt;[[DEVDeals] - [DEV User Defined Fields (Seq: 1)] Permanent Supportive Housing - PSH Undefined 80% Unit Count - Send]&gt;</t>
        </r>
      </text>
    </comment>
    <comment ref="H805" authorId="0" shapeId="0" xr:uid="{E057ABB1-42B0-46C6-9EF2-080F25DB44FB}">
      <text>
        <r>
          <rPr>
            <b/>
            <sz val="9"/>
            <color indexed="81"/>
            <rFont val="Tahoma"/>
            <family val="2"/>
          </rPr>
          <t>&lt;[[DEVDeals] - [DEV User Defined Fields (Seq: 1)] Permanent Supportive Housing - PSH SRO 100% Unit Count - Send]&gt;</t>
        </r>
      </text>
    </comment>
    <comment ref="I805" authorId="0" shapeId="0" xr:uid="{14F6DE7B-1A58-4A2E-AA42-B4B4735CAE49}">
      <text>
        <r>
          <rPr>
            <b/>
            <sz val="9"/>
            <color indexed="81"/>
            <rFont val="Tahoma"/>
            <family val="2"/>
          </rPr>
          <t>&lt;[[DEVDeals] - [DEV User Defined Fields (Seq: 1)] Permanent Supportive Housing - PSH EFF 100% Unit Count - Send]&gt;</t>
        </r>
      </text>
    </comment>
    <comment ref="J805" authorId="0" shapeId="0" xr:uid="{042B2FE4-27F6-4E2C-8323-BA60257C00F1}">
      <text>
        <r>
          <rPr>
            <b/>
            <sz val="9"/>
            <color indexed="81"/>
            <rFont val="Tahoma"/>
            <family val="2"/>
          </rPr>
          <t>&lt;[[DEVDeals] - [DEV User Defined Fields (Seq: 1)] Permanent Supportive Housing - PSH 1BR 100% Unit Count - Send]&gt;</t>
        </r>
      </text>
    </comment>
    <comment ref="K805" authorId="0" shapeId="0" xr:uid="{52373635-0B3F-4A61-A59B-AFC32D19C3D9}">
      <text>
        <r>
          <rPr>
            <b/>
            <sz val="9"/>
            <color indexed="81"/>
            <rFont val="Tahoma"/>
            <family val="2"/>
          </rPr>
          <t>&lt;[[DEVDeals] - [DEV User Defined Fields (Seq: 1)] Permanent Supportive Housing - PSH 2BR 100% Unit Count - Send]&gt;</t>
        </r>
      </text>
    </comment>
    <comment ref="L805" authorId="0" shapeId="0" xr:uid="{EBC3618C-E084-4C46-8BD9-FCB52D02EB4A}">
      <text>
        <r>
          <rPr>
            <b/>
            <sz val="9"/>
            <color indexed="81"/>
            <rFont val="Tahoma"/>
            <family val="2"/>
          </rPr>
          <t>&lt;[[DEVDeals] - [DEV User Defined Fields (Seq: 1)] Permanent Supportive Housing - PSH 3BR 100% Unit Count - Send]&gt;</t>
        </r>
      </text>
    </comment>
    <comment ref="M805" authorId="0" shapeId="0" xr:uid="{C27257F5-3D41-4AE8-BFCB-F7DB69E79EB4}">
      <text>
        <r>
          <rPr>
            <b/>
            <sz val="9"/>
            <color indexed="81"/>
            <rFont val="Tahoma"/>
            <family val="2"/>
          </rPr>
          <t>&lt;[[DEVDeals] - [DEV User Defined Fields (Seq: 1)] Permanent Supportive Housing - PSH 4BR 100% Unit Count - Send]&gt;</t>
        </r>
      </text>
    </comment>
    <comment ref="N805" authorId="0" shapeId="0" xr:uid="{C6401D37-14D7-4845-A224-A7E9C4F6B307}">
      <text>
        <r>
          <rPr>
            <b/>
            <sz val="9"/>
            <color indexed="81"/>
            <rFont val="Tahoma"/>
            <family val="2"/>
          </rPr>
          <t>&lt;[[DEVDeals] - [DEV User Defined Fields (Seq: 1)] Permanent Supportive Housing - PSH 5BR 100% Unit Count - Send]&gt;</t>
        </r>
      </text>
    </comment>
    <comment ref="O805" authorId="0" shapeId="0" xr:uid="{5225DF5E-576B-48C3-8B77-7271E141F555}">
      <text>
        <r>
          <rPr>
            <b/>
            <sz val="9"/>
            <color indexed="81"/>
            <rFont val="Tahoma"/>
            <family val="2"/>
          </rPr>
          <t>&lt;[[DEVDeals] - [DEV User Defined Fields (Seq: 1)] Permanent Supportive Housing - PSH Undefined 100% Unit Count - Send]&gt;</t>
        </r>
      </text>
    </comment>
    <comment ref="H806" authorId="0" shapeId="0" xr:uid="{0CD6D4B7-CEA5-4A36-80A7-AAAFDAEEBE5A}">
      <text>
        <r>
          <rPr>
            <b/>
            <sz val="9"/>
            <color indexed="81"/>
            <rFont val="Tahoma"/>
            <family val="2"/>
          </rPr>
          <t>&lt;[[DEVDeals] - [DEV User Defined Fields (Seq: 1)] Permanent Supportive Housing - PSH SRO 120% Unit Count - Send]&gt;</t>
        </r>
      </text>
    </comment>
    <comment ref="I806" authorId="0" shapeId="0" xr:uid="{0200B686-B97E-40BA-A995-37353FC9AFA5}">
      <text>
        <r>
          <rPr>
            <b/>
            <sz val="9"/>
            <color indexed="81"/>
            <rFont val="Tahoma"/>
            <family val="2"/>
          </rPr>
          <t>&lt;[[DEVDeals] - [DEV User Defined Fields (Seq: 1)] Permanent Supportive Housing - PSH EFF 120% Unit Count - Send]&gt;</t>
        </r>
      </text>
    </comment>
    <comment ref="J806" authorId="0" shapeId="0" xr:uid="{A9AD8F10-B7DB-4581-A6F8-5286CDF9D4C7}">
      <text>
        <r>
          <rPr>
            <b/>
            <sz val="9"/>
            <color indexed="81"/>
            <rFont val="Tahoma"/>
            <family val="2"/>
          </rPr>
          <t>&lt;[[DEVDeals] - [DEV User Defined Fields (Seq: 1)] Permanent Supportive Housing - PSH 1BR 120% Unit Count - Send]&gt;</t>
        </r>
      </text>
    </comment>
    <comment ref="K806" authorId="0" shapeId="0" xr:uid="{EA737963-F168-42EE-95E3-392CE7481872}">
      <text>
        <r>
          <rPr>
            <b/>
            <sz val="9"/>
            <color indexed="81"/>
            <rFont val="Tahoma"/>
            <family val="2"/>
          </rPr>
          <t>&lt;[[DEVDeals] - [DEV User Defined Fields (Seq: 1)] Permanent Supportive Housing - PSH 2BR 120% Unit Count - Send]&gt;</t>
        </r>
      </text>
    </comment>
    <comment ref="L806" authorId="0" shapeId="0" xr:uid="{55516604-0D86-4CBB-9F5A-A4E8900C086C}">
      <text>
        <r>
          <rPr>
            <b/>
            <sz val="9"/>
            <color indexed="81"/>
            <rFont val="Tahoma"/>
            <family val="2"/>
          </rPr>
          <t>&lt;[[DEVDeals] - [DEV User Defined Fields (Seq: 1)] Permanent Supportive Housing - PSH 3BR 120% Unit Count - Send]&gt;</t>
        </r>
      </text>
    </comment>
    <comment ref="M806" authorId="0" shapeId="0" xr:uid="{1D4F78E7-9463-447B-BEB8-189DEC793DBF}">
      <text>
        <r>
          <rPr>
            <b/>
            <sz val="9"/>
            <color indexed="81"/>
            <rFont val="Tahoma"/>
            <family val="2"/>
          </rPr>
          <t>&lt;[[DEVDeals] - [DEV User Defined Fields (Seq: 1)] Permanent Supportive Housing - PSH 4BR 120% Unit Count - Send]&gt;</t>
        </r>
      </text>
    </comment>
    <comment ref="N806" authorId="0" shapeId="0" xr:uid="{C3D7EEB9-A026-46B0-84E3-796859E2318E}">
      <text>
        <r>
          <rPr>
            <b/>
            <sz val="9"/>
            <color indexed="81"/>
            <rFont val="Tahoma"/>
            <family val="2"/>
          </rPr>
          <t>&lt;[[DEVDeals] - [DEV User Defined Fields (Seq: 1)] Permanent Supportive Housing - PSH 5BR 120% Unit Count - Send]&gt;</t>
        </r>
      </text>
    </comment>
    <comment ref="O806" authorId="0" shapeId="0" xr:uid="{0ECE3492-DFD3-400C-8BED-E66090A96D29}">
      <text>
        <r>
          <rPr>
            <b/>
            <sz val="9"/>
            <color indexed="81"/>
            <rFont val="Tahoma"/>
            <family val="2"/>
          </rPr>
          <t>&lt;[[DEVDeals] - [DEV User Defined Fields (Seq: 1)] Permanent Supportive Housing - PSH Undefined 120% Unit Count - Send]&gt;</t>
        </r>
      </text>
    </comment>
    <comment ref="H807" authorId="0" shapeId="0" xr:uid="{EC80AE02-0B87-4495-A8C6-E81C446754E1}">
      <text>
        <r>
          <rPr>
            <b/>
            <sz val="9"/>
            <color indexed="81"/>
            <rFont val="Tahoma"/>
            <family val="2"/>
          </rPr>
          <t>&lt;[[DEVDeals] - [DEV User Defined Fields (Seq: 1)] Permanent Supportive Housing - PSH SRO MKT Unit Count - Send]&gt;</t>
        </r>
      </text>
    </comment>
    <comment ref="I807" authorId="0" shapeId="0" xr:uid="{749DF08B-17D7-48FB-9B62-E8C4F6220210}">
      <text>
        <r>
          <rPr>
            <b/>
            <sz val="9"/>
            <color indexed="81"/>
            <rFont val="Tahoma"/>
            <family val="2"/>
          </rPr>
          <t>&lt;[[DEVDeals] - [DEV User Defined Fields (Seq: 1)] Permanent Supportive Housing - PSH EFF MKT Unit Count - Send]&gt;</t>
        </r>
      </text>
    </comment>
    <comment ref="J807" authorId="0" shapeId="0" xr:uid="{BAEC56CB-8A72-4043-8308-3850AF1A609A}">
      <text>
        <r>
          <rPr>
            <b/>
            <sz val="9"/>
            <color indexed="81"/>
            <rFont val="Tahoma"/>
            <family val="2"/>
          </rPr>
          <t>&lt;[[DEVDeals] - [DEV User Defined Fields (Seq: 1)] Permanent Supportive Housing - PSH 1BR MKT% Unit Count - Send]&gt;</t>
        </r>
      </text>
    </comment>
    <comment ref="K807" authorId="0" shapeId="0" xr:uid="{9D2758CD-5102-4482-8AB5-6FF3A6911C13}">
      <text>
        <r>
          <rPr>
            <b/>
            <sz val="9"/>
            <color indexed="81"/>
            <rFont val="Tahoma"/>
            <family val="2"/>
          </rPr>
          <t>&lt;[[DEVDeals] - [DEV User Defined Fields (Seq: 1)] Permanent Supportive Housing - PSH 2BR MKT Unit Count - Send]&gt;</t>
        </r>
      </text>
    </comment>
    <comment ref="L807" authorId="0" shapeId="0" xr:uid="{FCC11BB7-3860-4F64-9CE7-56509714F8CB}">
      <text>
        <r>
          <rPr>
            <b/>
            <sz val="9"/>
            <color indexed="81"/>
            <rFont val="Tahoma"/>
            <family val="2"/>
          </rPr>
          <t>&lt;[[DEVDeals] - [DEV User Defined Fields (Seq: 1)] Permanent Supportive Housing - PSH 3BR MKT Unit Count - Send]&gt;</t>
        </r>
      </text>
    </comment>
    <comment ref="M807" authorId="0" shapeId="0" xr:uid="{B8FDA748-B5F6-40BD-B7B7-1F4DAC3C9048}">
      <text>
        <r>
          <rPr>
            <b/>
            <sz val="9"/>
            <color indexed="81"/>
            <rFont val="Tahoma"/>
            <family val="2"/>
          </rPr>
          <t>&lt;[[DEVDeals] - [DEV User Defined Fields (Seq: 1)] Permanent Supportive Housing - PSH 4BR MKT Unit Count - Send]&gt;</t>
        </r>
      </text>
    </comment>
    <comment ref="N807" authorId="0" shapeId="0" xr:uid="{1EDA6754-EE23-4205-8B31-7AC65DE0748E}">
      <text>
        <r>
          <rPr>
            <b/>
            <sz val="9"/>
            <color indexed="81"/>
            <rFont val="Tahoma"/>
            <family val="2"/>
          </rPr>
          <t>&lt;[[DEVDeals] - [DEV User Defined Fields (Seq: 1)] Permanent Supportive Housing - PSH 5BR MKT Unit Count - Send]&gt;</t>
        </r>
      </text>
    </comment>
    <comment ref="O807" authorId="0" shapeId="0" xr:uid="{0F7B9587-009E-42C5-BD72-37F9FFE8BB68}">
      <text>
        <r>
          <rPr>
            <b/>
            <sz val="9"/>
            <color indexed="81"/>
            <rFont val="Tahoma"/>
            <family val="2"/>
          </rPr>
          <t>&lt;[[DEVDeals] - [DEV User Defined Fields (Seq: 1)] Permanent Supportive Housing - PSH Undefined MKT Unit Count - Send]&gt;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Dang</author>
  </authors>
  <commentList>
    <comment ref="C12" authorId="0" shapeId="0" xr:uid="{78A5609B-2147-4472-ACFC-ECD32DFA6494}">
      <text>
        <r>
          <rPr>
            <b/>
            <sz val="10"/>
            <color indexed="81"/>
            <rFont val="Tahoma"/>
            <family val="2"/>
          </rPr>
          <t>If the project is scattered site, please input other addresses in Acquisition section</t>
        </r>
      </text>
    </comment>
    <comment ref="C16" authorId="0" shapeId="0" xr:uid="{00000000-0006-0000-0800-000002000000}">
      <text>
        <r>
          <rPr>
            <b/>
            <sz val="10"/>
            <color indexed="81"/>
            <rFont val="Tahoma"/>
            <family val="2"/>
          </rPr>
          <t>If the project is scattered site, please input other census tracts in Acquisition section</t>
        </r>
      </text>
    </comment>
    <comment ref="G223" authorId="0" shapeId="0" xr:uid="{00000000-0006-0000-0800-000003000000}">
      <text>
        <r>
          <rPr>
            <b/>
            <sz val="9"/>
            <color indexed="81"/>
            <rFont val="Tahoma"/>
            <family val="2"/>
          </rPr>
          <t>Please enter Census Tract, such as 1.01, 120, 506, etc.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 Ruona</author>
    <author>Tom Dang</author>
  </authors>
  <commentList>
    <comment ref="U6" authorId="0" shapeId="0" xr:uid="{00000000-0006-0000-0900-000001000000}">
      <text>
        <r>
          <rPr>
            <b/>
            <sz val="8"/>
            <color indexed="81"/>
            <rFont val="Tahoma"/>
            <family val="2"/>
          </rPr>
          <t>The LIHTC Rents are true maximums, i.e. the tenant will never pay a total rent above this value.  Thus, the "rent portion" of this maximum will reduce by the amount of any applicable Utility Allowance (U/A). For example, if the applicable 1 Bed Max LIHTC Rent is $500 and the tenant paid utilities are $50, the "rent portion" will actually be $450. Rent portion plus U/A must not exceed the LIHTC Maximum Rent.</t>
        </r>
      </text>
    </comment>
    <comment ref="T7" authorId="1" shapeId="0" xr:uid="{00000000-0006-0000-0900-000002000000}">
      <text>
        <r>
          <rPr>
            <b/>
            <sz val="9"/>
            <color indexed="81"/>
            <rFont val="Tahoma"/>
            <family val="2"/>
          </rPr>
          <t>Note: These rent limits are not the official limits calculated by RI Housing. Please verify against the anually released income and rent limits.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Lenore Coughlin</author>
  </authors>
  <commentList>
    <comment ref="B9" authorId="0" shapeId="0" xr:uid="{DFBF7393-6423-402B-8605-B85BF766E23E}">
      <text>
        <r>
          <rPr>
            <b/>
            <sz val="9"/>
            <color indexed="81"/>
            <rFont val="Tahoma"/>
            <family val="2"/>
          </rPr>
          <t>&lt;[[DEVDeals] - [Funding (Seq: 1)] All DEV Funding Sources - Get]&gt;</t>
        </r>
      </text>
    </comment>
    <comment ref="B10" authorId="0" shapeId="0" xr:uid="{AF515BD2-80CB-4FDC-92BA-5DD824D54055}">
      <text>
        <r>
          <rPr>
            <b/>
            <sz val="9"/>
            <color indexed="81"/>
            <rFont val="Tahoma"/>
            <family val="2"/>
          </rPr>
          <t>&lt;[[DEVDeals] - [Funding (Seq: 2)] All DEV Funding Sources - Get]&gt;</t>
        </r>
      </text>
    </comment>
    <comment ref="B11" authorId="0" shapeId="0" xr:uid="{A14AC9F2-0156-4BED-AD67-2EBA4EAF3466}">
      <text>
        <r>
          <rPr>
            <b/>
            <sz val="9"/>
            <color indexed="81"/>
            <rFont val="Tahoma"/>
            <family val="2"/>
          </rPr>
          <t>&lt;[[DEVDeals] - [Funding (Seq: 3)] All DEV Funding Sources - Get]&gt;</t>
        </r>
      </text>
    </comment>
    <comment ref="B12" authorId="0" shapeId="0" xr:uid="{2901FD5D-F3FA-42B1-B927-D22DE5B52C70}">
      <text>
        <r>
          <rPr>
            <b/>
            <sz val="9"/>
            <color indexed="81"/>
            <rFont val="Tahoma"/>
            <family val="2"/>
          </rPr>
          <t>&lt;[[DEVDeals] - [Funding (Seq: 4)] All DEV Funding Sources - Get]&gt;</t>
        </r>
      </text>
    </comment>
    <comment ref="B13" authorId="0" shapeId="0" xr:uid="{2EC830FA-B081-4716-ABA8-2DECDD0F5B3C}">
      <text>
        <r>
          <rPr>
            <b/>
            <sz val="9"/>
            <color indexed="81"/>
            <rFont val="Tahoma"/>
            <family val="2"/>
          </rPr>
          <t>&lt;[[DEVDeals] - [Funding (Seq: 5)] All DEV Funding Sources - Get]&gt;</t>
        </r>
      </text>
    </comment>
    <comment ref="B14" authorId="0" shapeId="0" xr:uid="{FF4FC6BA-8557-4BF8-BDFB-2221512C3CE8}">
      <text>
        <r>
          <rPr>
            <b/>
            <sz val="9"/>
            <color indexed="81"/>
            <rFont val="Tahoma"/>
            <family val="2"/>
          </rPr>
          <t>&lt;[[DEVDeals] - [Funding (Seq: 6)] All DEV Funding Sources - Get]&gt;</t>
        </r>
      </text>
    </comment>
    <comment ref="B15" authorId="0" shapeId="0" xr:uid="{51CADC4B-3EC0-4FE6-AAB1-E174E39AD7EF}">
      <text>
        <r>
          <rPr>
            <b/>
            <sz val="9"/>
            <color indexed="81"/>
            <rFont val="Tahoma"/>
            <family val="2"/>
          </rPr>
          <t>&lt;[[DEVDeals] - [Funding (Seq: 7)] All DEV Funding Sources - Get]&gt;</t>
        </r>
      </text>
    </comment>
    <comment ref="B16" authorId="0" shapeId="0" xr:uid="{FCBB7F1E-374A-4B57-9E04-98E5A678968F}">
      <text>
        <r>
          <rPr>
            <b/>
            <sz val="9"/>
            <color indexed="81"/>
            <rFont val="Tahoma"/>
            <family val="2"/>
          </rPr>
          <t>&lt;[[DEVDeals] - [Funding (Seq: 8)] All DEV Funding Sources - Get]&gt;</t>
        </r>
      </text>
    </comment>
    <comment ref="B17" authorId="0" shapeId="0" xr:uid="{850F6D91-F7DB-45B8-9E33-3F82E6F1DEEC}">
      <text>
        <r>
          <rPr>
            <b/>
            <sz val="9"/>
            <color indexed="81"/>
            <rFont val="Tahoma"/>
            <family val="2"/>
          </rPr>
          <t>&lt;[[DEVDeals] - [Funding (Seq: 9)] All DEV Funding Sources - Get]&gt;</t>
        </r>
      </text>
    </comment>
    <comment ref="B18" authorId="0" shapeId="0" xr:uid="{6482AD31-AB83-4D7D-B66A-1740EDDC7E64}">
      <text>
        <r>
          <rPr>
            <b/>
            <sz val="9"/>
            <color indexed="81"/>
            <rFont val="Tahoma"/>
            <family val="2"/>
          </rPr>
          <t>&lt;[[DEVDeals] - [Funding (Seq: 10)] All DEV Funding Sources - Get]&gt;</t>
        </r>
      </text>
    </comment>
    <comment ref="B19" authorId="0" shapeId="0" xr:uid="{4E9C71FD-FD72-47CD-92DE-386DCA946F8D}">
      <text>
        <r>
          <rPr>
            <b/>
            <sz val="9"/>
            <color indexed="81"/>
            <rFont val="Tahoma"/>
            <family val="2"/>
          </rPr>
          <t>&lt;[[DEVDeals] - [Funding (Seq: 11)] All DEV Funding Sources - Get]&gt;</t>
        </r>
      </text>
    </comment>
    <comment ref="B20" authorId="0" shapeId="0" xr:uid="{1CC6095F-FDB0-4058-8A93-19BCE97FC309}">
      <text>
        <r>
          <rPr>
            <b/>
            <sz val="9"/>
            <color indexed="81"/>
            <rFont val="Tahoma"/>
            <family val="2"/>
          </rPr>
          <t>&lt;[[DEVDeals] - [Funding (Seq: 12)] All DEV Funding Sources - Get]&gt;</t>
        </r>
      </text>
    </comment>
    <comment ref="B21" authorId="0" shapeId="0" xr:uid="{53134767-8168-4132-967D-10E6C2847317}">
      <text>
        <r>
          <rPr>
            <b/>
            <sz val="9"/>
            <color indexed="81"/>
            <rFont val="Tahoma"/>
            <family val="2"/>
          </rPr>
          <t>&lt;[[DEVDeals] - [Funding (Seq: 13)] All DEV Funding Sources - Get]&gt;</t>
        </r>
      </text>
    </comment>
    <comment ref="B22" authorId="0" shapeId="0" xr:uid="{F020F4D7-8409-4B26-A74F-968E30B93BC5}">
      <text>
        <r>
          <rPr>
            <b/>
            <sz val="9"/>
            <color indexed="81"/>
            <rFont val="Tahoma"/>
            <family val="2"/>
          </rPr>
          <t>&lt;[[DEVDeals] - [Funding (Seq: 14)] All DEV Funding Sources - Get]&gt;</t>
        </r>
      </text>
    </comment>
    <comment ref="B27" authorId="0" shapeId="0" xr:uid="{ACFE149D-843F-4841-B210-7ECD88F156C3}">
      <text>
        <r>
          <rPr>
            <b/>
            <sz val="9"/>
            <color indexed="81"/>
            <rFont val="Tahoma"/>
            <family val="2"/>
          </rPr>
          <t>&lt;[[DEVDeals] - [Funding (Seq: 15)] All DEV Funding Sources - Get]&gt;</t>
        </r>
      </text>
    </comment>
    <comment ref="B28" authorId="0" shapeId="0" xr:uid="{9F8AEEDD-08B1-4912-AD76-40DEDB064E10}">
      <text>
        <r>
          <rPr>
            <b/>
            <sz val="9"/>
            <color indexed="81"/>
            <rFont val="Tahoma"/>
            <family val="2"/>
          </rPr>
          <t>&lt;[[DEVDeals] - [Funding (Seq: 16)] All DEV Funding Sources - Get]&gt;</t>
        </r>
      </text>
    </comment>
    <comment ref="B29" authorId="0" shapeId="0" xr:uid="{E31C8B60-C806-45EC-B262-58750E3117F1}">
      <text>
        <r>
          <rPr>
            <b/>
            <sz val="9"/>
            <color indexed="81"/>
            <rFont val="Tahoma"/>
            <family val="2"/>
          </rPr>
          <t>&lt;[[DEVDeals] - [Funding (Seq: 17)] All DEV Funding Sources - Get]&gt;</t>
        </r>
      </text>
    </comment>
    <comment ref="B30" authorId="0" shapeId="0" xr:uid="{EF5654F7-0C08-4DC1-9971-676894F7B0A8}">
      <text>
        <r>
          <rPr>
            <b/>
            <sz val="9"/>
            <color indexed="81"/>
            <rFont val="Tahoma"/>
            <family val="2"/>
          </rPr>
          <t>&lt;[[DEVDeals] - [Funding (Seq: 18)] All DEV Funding Sources - Get]&gt;</t>
        </r>
      </text>
    </comment>
    <comment ref="B32" authorId="0" shapeId="0" xr:uid="{733163D4-BBB3-4B38-8FC9-E296E69E431F}">
      <text>
        <r>
          <rPr>
            <b/>
            <sz val="9"/>
            <color indexed="81"/>
            <rFont val="Tahoma"/>
            <family val="2"/>
          </rPr>
          <t>&lt;[[DEVDeals] - [Funding (Seq: 19)] All DEV Funding Sources - Get]&gt;</t>
        </r>
      </text>
    </comment>
    <comment ref="B37" authorId="0" shapeId="0" xr:uid="{AB07C74D-6E00-450C-BDFF-6018D514DBA3}">
      <text>
        <r>
          <rPr>
            <b/>
            <sz val="9"/>
            <color indexed="81"/>
            <rFont val="Tahoma"/>
            <family val="2"/>
          </rPr>
          <t>&lt;[[DEVDeals] - [Funding (Seq: 20)] All DEV Funding Sources - Get]&gt;</t>
        </r>
      </text>
    </comment>
    <comment ref="B38" authorId="0" shapeId="0" xr:uid="{B1BD8E49-2BE0-49C0-87CB-666AD12F7164}">
      <text>
        <r>
          <rPr>
            <b/>
            <sz val="9"/>
            <color indexed="81"/>
            <rFont val="Tahoma"/>
            <family val="2"/>
          </rPr>
          <t>&lt;[[DEVDeals] - [Funding (Seq: 21)] All DEV Funding Sources - Get]&gt;</t>
        </r>
      </text>
    </comment>
    <comment ref="B39" authorId="0" shapeId="0" xr:uid="{E98E7C0F-DC6B-474C-AD81-794786294CBE}">
      <text>
        <r>
          <rPr>
            <b/>
            <sz val="9"/>
            <color indexed="81"/>
            <rFont val="Tahoma"/>
            <family val="2"/>
          </rPr>
          <t>&lt;[[DEVDeals] - [Funding (Seq: 22)] All DEV Funding Sources - Get]&gt;</t>
        </r>
      </text>
    </comment>
    <comment ref="B40" authorId="0" shapeId="0" xr:uid="{8E00B2E2-2B80-4909-B879-4FBC4AD73640}">
      <text>
        <r>
          <rPr>
            <b/>
            <sz val="9"/>
            <color indexed="81"/>
            <rFont val="Tahoma"/>
            <family val="2"/>
          </rPr>
          <t>&lt;[[DEVDeals] - [Funding (Seq: 23)] All DEV Funding Sources - Get]&gt;</t>
        </r>
      </text>
    </comment>
    <comment ref="B41" authorId="0" shapeId="0" xr:uid="{4A216F3C-8563-4418-9CAE-27B95688901D}">
      <text>
        <r>
          <rPr>
            <b/>
            <sz val="9"/>
            <color indexed="81"/>
            <rFont val="Tahoma"/>
            <family val="2"/>
          </rPr>
          <t>&lt;[[DEVDeals] - [Funding (Seq: 24)] All DEV Funding Sources - Get]&gt;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Tom Dang</author>
    <author>Alison Hickman</author>
  </authors>
  <commentList>
    <comment ref="E7" authorId="0" shapeId="0" xr:uid="{13FC0103-E4D6-41F6-818E-09D1BF37E7FD}">
      <text>
        <r>
          <rPr>
            <b/>
            <sz val="9"/>
            <color indexed="81"/>
            <rFont val="Tahoma"/>
            <family val="2"/>
          </rPr>
          <t>Enter your calculation here if different from default</t>
        </r>
      </text>
    </comment>
    <comment ref="B9" authorId="1" shapeId="0" xr:uid="{00000000-0006-0000-0D00-000001000000}">
      <text>
        <r>
          <rPr>
            <sz val="9"/>
            <color indexed="81"/>
            <rFont val="Tahoma"/>
            <family val="2"/>
          </rPr>
          <t>Enter as a negative number</t>
        </r>
      </text>
    </comment>
    <comment ref="B10" authorId="1" shapeId="0" xr:uid="{00000000-0006-0000-0D00-000002000000}">
      <text>
        <r>
          <rPr>
            <sz val="9"/>
            <color indexed="81"/>
            <rFont val="Tahoma"/>
            <family val="2"/>
          </rPr>
          <t>Enter as a negative number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Lenore Coughlin</author>
  </authors>
  <commentList>
    <comment ref="C9" authorId="0" shapeId="0" xr:uid="{3ACB75D9-D6F4-46E3-83A8-DC7BED26C892}">
      <text>
        <r>
          <rPr>
            <b/>
            <sz val="9"/>
            <color indexed="81"/>
            <rFont val="Tahoma"/>
            <family val="2"/>
          </rPr>
          <t>Lenore Coughlin:</t>
        </r>
        <r>
          <rPr>
            <sz val="9"/>
            <color indexed="81"/>
            <rFont val="Tahoma"/>
            <family val="2"/>
          </rPr>
          <t xml:space="preserve">
RIHousing Development Officer: Enter the HPF-ELI Award Amount</t>
        </r>
      </text>
    </comment>
    <comment ref="C21" authorId="0" shapeId="0" xr:uid="{A0D22687-C87F-4C65-A5D3-5CEC3DA44A9A}">
      <text>
        <r>
          <rPr>
            <b/>
            <sz val="9"/>
            <color indexed="81"/>
            <rFont val="Tahoma"/>
            <family val="2"/>
          </rPr>
          <t>Lenore Coughlin:</t>
        </r>
        <r>
          <rPr>
            <sz val="9"/>
            <color indexed="81"/>
            <rFont val="Tahoma"/>
            <family val="2"/>
          </rPr>
          <t xml:space="preserve">
RIHousing Development Officer: Enter the HPF-ELI Award Amount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Lenore Coughlin</author>
  </authors>
  <commentList>
    <comment ref="C9" authorId="0" shapeId="0" xr:uid="{F8F25334-F541-40C2-9082-E908B69D88F9}">
      <text>
        <r>
          <rPr>
            <b/>
            <sz val="9"/>
            <color indexed="81"/>
            <rFont val="Tahoma"/>
            <family val="2"/>
          </rPr>
          <t>Lenore Coughlin:</t>
        </r>
        <r>
          <rPr>
            <sz val="9"/>
            <color indexed="81"/>
            <rFont val="Tahoma"/>
            <family val="2"/>
          </rPr>
          <t xml:space="preserve">
RIHousing Development Officer: Enter the HPF-ELI Award Amount</t>
        </r>
      </text>
    </comment>
    <comment ref="C22" authorId="0" shapeId="0" xr:uid="{084404F4-7760-4030-989B-BA68F2228EAA}">
      <text>
        <r>
          <rPr>
            <b/>
            <sz val="9"/>
            <color indexed="81"/>
            <rFont val="Tahoma"/>
            <family val="2"/>
          </rPr>
          <t>Lenore Coughlin:</t>
        </r>
        <r>
          <rPr>
            <sz val="9"/>
            <color indexed="81"/>
            <rFont val="Tahoma"/>
            <family val="2"/>
          </rPr>
          <t xml:space="preserve">
RIHousing Development Officer: Enter the HPF-ELI Award Amount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Tom Dang</author>
  </authors>
  <commentList>
    <comment ref="E4" authorId="0" shapeId="0" xr:uid="{BF2669F9-0445-4E5A-B4E6-F355743505EA}">
      <text>
        <r>
          <rPr>
            <sz val="9"/>
            <color indexed="81"/>
            <rFont val="Tahoma"/>
            <family val="2"/>
          </rPr>
          <t xml:space="preserve">Please enter number of months in construction period and click "Show Construction Months timeline" button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<sst xmlns="http://schemas.openxmlformats.org/spreadsheetml/2006/main" count="6706" uniqueCount="2588">
  <si>
    <t>RHODE ISLAND HOUSING</t>
  </si>
  <si>
    <t>UNDERWRITING MODEL</t>
  </si>
  <si>
    <t>Sign-in page</t>
  </si>
  <si>
    <t>Password:</t>
  </si>
  <si>
    <t>Rhode Island Housing Underwriting Model</t>
  </si>
  <si>
    <t>Stage of Progress (Describe Stage, e.g. Initial Submittal to Committee, etc.)</t>
  </si>
  <si>
    <t>Person Responsible</t>
  </si>
  <si>
    <t>Date of Progress /
Last Edit</t>
  </si>
  <si>
    <t/>
  </si>
  <si>
    <t>Nov 2016 Changes</t>
  </si>
  <si>
    <t xml:space="preserve">Page 3 - deleted preservation as option </t>
  </si>
  <si>
    <t>Page 4 -Corrected cell D30</t>
  </si>
  <si>
    <t>Page 7 -Updated rent tables</t>
  </si>
  <si>
    <t>Page 14 - Expanded Operating Categories to match HUD chart of accounts</t>
  </si>
  <si>
    <t xml:space="preserve">Page 14A - Added comparable OPEX for new deals with no operating history </t>
  </si>
  <si>
    <t>Page 16 - cashflow extends to 42 yrs</t>
  </si>
  <si>
    <t>Page 19 - Calculates operating deficits prior to stabilization if filled out</t>
  </si>
  <si>
    <t>Page 20 - Simplified inputs</t>
  </si>
  <si>
    <t>Page 23 - Revised construction cash flow to more accurately calculate interest draws</t>
  </si>
  <si>
    <t>Latest</t>
  </si>
  <si>
    <t>Page 25 - Extended amortization tables to 40 years</t>
  </si>
  <si>
    <t>Additional sheets for RIH internal Review</t>
  </si>
  <si>
    <t>CC Summary for credit committee &amp; Sources-Uses for RFAs</t>
  </si>
  <si>
    <t>HOME - Per unit and Square Ft calculations</t>
  </si>
  <si>
    <t>HOME - Maximum subsidy amounts</t>
  </si>
  <si>
    <t xml:space="preserve">Subsidy layering </t>
  </si>
  <si>
    <t>Master Data Field List</t>
  </si>
  <si>
    <t>File Name</t>
  </si>
  <si>
    <t>Location</t>
  </si>
  <si>
    <t>Description</t>
  </si>
  <si>
    <t>Data Field Main Category</t>
  </si>
  <si>
    <t>Data Field Description</t>
  </si>
  <si>
    <t>Data Field Value</t>
  </si>
  <si>
    <t>Data Field Name Range/Reference</t>
  </si>
  <si>
    <t>Current File Information</t>
  </si>
  <si>
    <t>File Description</t>
  </si>
  <si>
    <t>Project Information</t>
  </si>
  <si>
    <t>Project Name</t>
  </si>
  <si>
    <t>Project ID</t>
  </si>
  <si>
    <t>Street Address 1</t>
  </si>
  <si>
    <t>City 1</t>
  </si>
  <si>
    <t>Zip Code</t>
  </si>
  <si>
    <t>Property Type</t>
  </si>
  <si>
    <t>Program Type</t>
  </si>
  <si>
    <t>Set Aside</t>
  </si>
  <si>
    <t>Development Type</t>
  </si>
  <si>
    <t>Tenancy Type</t>
  </si>
  <si>
    <t>Credit Type</t>
  </si>
  <si>
    <t>Construction Loan</t>
  </si>
  <si>
    <t>Construction Loan Interest</t>
  </si>
  <si>
    <t>Project Type</t>
  </si>
  <si>
    <t>Construction Type</t>
  </si>
  <si>
    <t>Financing Type</t>
  </si>
  <si>
    <t>Income</t>
  </si>
  <si>
    <t>Number of Units</t>
  </si>
  <si>
    <t>Number of LIHTC Units</t>
  </si>
  <si>
    <t>Number of Market Rate Units</t>
  </si>
  <si>
    <t>Expense</t>
  </si>
  <si>
    <t>Operating Expense Per Unit Underwritten</t>
  </si>
  <si>
    <t>Sources</t>
  </si>
  <si>
    <t>First Mortgage Amount</t>
  </si>
  <si>
    <t>First Mortgage Interest Rate</t>
  </si>
  <si>
    <t>Project Equity</t>
  </si>
  <si>
    <t>LIHTC Proceeds</t>
  </si>
  <si>
    <t>Nonprofit Sponsor</t>
  </si>
  <si>
    <t>Closing Date</t>
  </si>
  <si>
    <t>Uses</t>
  </si>
  <si>
    <t>Total Dev Cost</t>
  </si>
  <si>
    <t>Cost per unit</t>
  </si>
  <si>
    <t>LIHTC allocation per unit</t>
  </si>
  <si>
    <t>Developer Fee per unit</t>
  </si>
  <si>
    <t>Construction Cost per Unit</t>
  </si>
  <si>
    <t>Construction Cost per Square Foot</t>
  </si>
  <si>
    <t>Acquisition per unit</t>
  </si>
  <si>
    <t>Soft Costs per unit</t>
  </si>
  <si>
    <t>Acquisition</t>
  </si>
  <si>
    <t>Dev Fee as % of TDC</t>
  </si>
  <si>
    <t>Construction Cost (w/out contingency)</t>
  </si>
  <si>
    <t>Contingency</t>
  </si>
  <si>
    <t>Soft Costs</t>
  </si>
  <si>
    <t>Reserves</t>
  </si>
  <si>
    <t>Developer Fee</t>
  </si>
  <si>
    <t>RIH HOME Loan</t>
  </si>
  <si>
    <t>RIH Second Mortgage</t>
  </si>
  <si>
    <t>Housing Trust Fund</t>
  </si>
  <si>
    <t>Thresholds</t>
  </si>
  <si>
    <t>Preservation Loan Fund Program</t>
  </si>
  <si>
    <t>Preservation Revitalization Deferred Loan Program (CIP)</t>
  </si>
  <si>
    <t>Capital Magnet Fund</t>
  </si>
  <si>
    <t>Building Homes Rhode Island</t>
  </si>
  <si>
    <t>FHLB Affordable Housing Program</t>
  </si>
  <si>
    <t>Community Development Block Grant</t>
  </si>
  <si>
    <t>Seller Loan</t>
  </si>
  <si>
    <t>Sponsor Loan</t>
  </si>
  <si>
    <t>Assumed Debt (Rollover)</t>
  </si>
  <si>
    <t>Lead Loan</t>
  </si>
  <si>
    <t>Other</t>
  </si>
  <si>
    <t>Address</t>
  </si>
  <si>
    <t>City</t>
  </si>
  <si>
    <t>County</t>
  </si>
  <si>
    <t>Tract</t>
  </si>
  <si>
    <t>Rhode Island Housing Underwriting Model - drop down</t>
  </si>
  <si>
    <t>INSTRUCTION:</t>
  </si>
  <si>
    <r>
      <t xml:space="preserve">1. </t>
    </r>
    <r>
      <rPr>
        <b/>
        <sz val="12"/>
        <rFont val="Garamond"/>
        <family val="1"/>
      </rPr>
      <t>Add a drop down</t>
    </r>
    <r>
      <rPr>
        <sz val="12"/>
        <rFont val="Garamond"/>
        <family val="1"/>
      </rPr>
      <t xml:space="preserve"> </t>
    </r>
    <r>
      <rPr>
        <b/>
        <sz val="12"/>
        <rFont val="Garamond"/>
        <family val="1"/>
      </rPr>
      <t>item</t>
    </r>
    <r>
      <rPr>
        <sz val="12"/>
        <rFont val="Garamond"/>
        <family val="1"/>
      </rPr>
      <t>: go to the desired table, navigate to the last row, and press Tab button. There will be a row added to the end of the table - fill out the new drop down in this row.</t>
    </r>
  </si>
  <si>
    <r>
      <t xml:space="preserve">2. </t>
    </r>
    <r>
      <rPr>
        <b/>
        <sz val="12"/>
        <rFont val="Garamond"/>
        <family val="1"/>
      </rPr>
      <t>Remove a drop down item:</t>
    </r>
    <r>
      <rPr>
        <sz val="12"/>
        <rFont val="Garamond"/>
        <family val="1"/>
      </rPr>
      <t xml:space="preserve"> navigate to the desired drop down line in the table, and click Ctrl+"-" (minus sign).</t>
    </r>
  </si>
  <si>
    <t>NAVIGATE TO A DROP DOWN:</t>
  </si>
  <si>
    <t>Construction Type Individual</t>
  </si>
  <si>
    <t>Other Assistance Type</t>
  </si>
  <si>
    <t>Low Income Set Aside</t>
  </si>
  <si>
    <t>Zoning Status</t>
  </si>
  <si>
    <t>Borrowing Entity</t>
  </si>
  <si>
    <t>Energy Type</t>
  </si>
  <si>
    <t>Structural System</t>
  </si>
  <si>
    <t>Bedroom Type</t>
  </si>
  <si>
    <t>AMI</t>
  </si>
  <si>
    <t>Month</t>
  </si>
  <si>
    <t>Affordable/Market</t>
  </si>
  <si>
    <t>Years</t>
  </si>
  <si>
    <t>MSA</t>
  </si>
  <si>
    <t>Commercial Type</t>
  </si>
  <si>
    <t>New/Rehab</t>
  </si>
  <si>
    <t>Other Income Type</t>
  </si>
  <si>
    <t>Utilities Type</t>
  </si>
  <si>
    <t>Operating Expense</t>
  </si>
  <si>
    <t>Loan Type</t>
  </si>
  <si>
    <t>Project Amenities</t>
  </si>
  <si>
    <t>Heat System</t>
  </si>
  <si>
    <t>Existing Debt</t>
  </si>
  <si>
    <t>Construction Type Details</t>
  </si>
  <si>
    <t>Census Tract Factor</t>
  </si>
  <si>
    <t>Building Type</t>
  </si>
  <si>
    <t>Project Based Subsidy</t>
  </si>
  <si>
    <t>Rental Production</t>
  </si>
  <si>
    <t>Multifamily</t>
  </si>
  <si>
    <t>State RAP</t>
  </si>
  <si>
    <t>20%/50%</t>
  </si>
  <si>
    <t>Legal Conforming</t>
  </si>
  <si>
    <t>Scattered Site</t>
  </si>
  <si>
    <t>General Partnership</t>
  </si>
  <si>
    <t>Natural Gas</t>
  </si>
  <si>
    <t>Wood Frame</t>
  </si>
  <si>
    <t>SRO</t>
  </si>
  <si>
    <t>20%</t>
  </si>
  <si>
    <t>Affordable</t>
  </si>
  <si>
    <t>Providence</t>
  </si>
  <si>
    <t>Retail</t>
  </si>
  <si>
    <t>New Construction</t>
  </si>
  <si>
    <t>Garage &amp; Parking Spaces</t>
  </si>
  <si>
    <t>Gas</t>
  </si>
  <si>
    <t>Comparable</t>
  </si>
  <si>
    <t>Basketball Court</t>
  </si>
  <si>
    <t>Residential - New Construction</t>
  </si>
  <si>
    <t>Hydronic Baseboard Heat (gas/propane)</t>
  </si>
  <si>
    <t>1st Mortgage</t>
  </si>
  <si>
    <t>Family</t>
  </si>
  <si>
    <t>Urban (includes scattered site and urban in-fill)</t>
  </si>
  <si>
    <t>4%</t>
  </si>
  <si>
    <t>Hi-rise</t>
  </si>
  <si>
    <t>Section 8</t>
  </si>
  <si>
    <t>Refinancing</t>
  </si>
  <si>
    <t>Multifamily/Retail</t>
  </si>
  <si>
    <t>NOP</t>
  </si>
  <si>
    <t>40%/60%</t>
  </si>
  <si>
    <t>Legal Non-Conforming</t>
  </si>
  <si>
    <t>Single Site</t>
  </si>
  <si>
    <t>Limited Partnership</t>
  </si>
  <si>
    <t>Bottled Gas</t>
  </si>
  <si>
    <t>Steel Frame</t>
  </si>
  <si>
    <t>EFF</t>
  </si>
  <si>
    <t>30%</t>
  </si>
  <si>
    <t>Market</t>
  </si>
  <si>
    <t>Newport</t>
  </si>
  <si>
    <t>Office</t>
  </si>
  <si>
    <t>Rehabilitation</t>
  </si>
  <si>
    <t>Laundry</t>
  </si>
  <si>
    <t>Electric</t>
  </si>
  <si>
    <t>Historical</t>
  </si>
  <si>
    <t>Community Room</t>
  </si>
  <si>
    <t>Residential - Rehabilitation</t>
  </si>
  <si>
    <t>Air Sourced Heat Pump/Mini-splits (electric)</t>
  </si>
  <si>
    <t>RIH Targeted Loan</t>
  </si>
  <si>
    <t>Senior (55+)</t>
  </si>
  <si>
    <t>Historic Mill Conversion</t>
  </si>
  <si>
    <t>9%</t>
  </si>
  <si>
    <t>Low-rise</t>
  </si>
  <si>
    <t>Project Based Vouchers</t>
  </si>
  <si>
    <t>Preservation</t>
  </si>
  <si>
    <t>Multifamily/Office</t>
  </si>
  <si>
    <t>Rural Development</t>
  </si>
  <si>
    <t>Corporation</t>
  </si>
  <si>
    <t>Oil</t>
  </si>
  <si>
    <t>Masonry</t>
  </si>
  <si>
    <t>40%</t>
  </si>
  <si>
    <t>Washington</t>
  </si>
  <si>
    <t>Retail &amp; Office</t>
  </si>
  <si>
    <t>New Construction and Rehab.</t>
  </si>
  <si>
    <t>Other Income</t>
  </si>
  <si>
    <t>Water</t>
  </si>
  <si>
    <t>Laundry: Common Area</t>
  </si>
  <si>
    <t>Commercial</t>
  </si>
  <si>
    <t>VRF Systems</t>
  </si>
  <si>
    <t>HOME - RIH</t>
  </si>
  <si>
    <t>Senior (62+)</t>
  </si>
  <si>
    <t>Suburban/Rural Cluster Subdivision (buildings contain less than 8 units per building)</t>
  </si>
  <si>
    <t>4% and 9%</t>
  </si>
  <si>
    <t>Congregate Care</t>
  </si>
  <si>
    <t>Project Based Section 8 (Non-HAP)</t>
  </si>
  <si>
    <t>Income Averaging</t>
  </si>
  <si>
    <t>Limited Liability Company</t>
  </si>
  <si>
    <t>50%</t>
  </si>
  <si>
    <t>Other Utilities</t>
  </si>
  <si>
    <t>Playground</t>
  </si>
  <si>
    <t>Hydronic Heat Pump (gas/propane)</t>
  </si>
  <si>
    <t>HOME - other</t>
  </si>
  <si>
    <t>Special Needs</t>
  </si>
  <si>
    <t>Garden style apartment up to 3 stories (no elevator)</t>
  </si>
  <si>
    <t>Historic</t>
  </si>
  <si>
    <t>Assisted Living</t>
  </si>
  <si>
    <t>Trust</t>
  </si>
  <si>
    <t>60%</t>
  </si>
  <si>
    <t>Pool</t>
  </si>
  <si>
    <t>Electric Heat Pumps</t>
  </si>
  <si>
    <t>Mixed Tenancy</t>
  </si>
  <si>
    <t>Up to 4 Story building with elevator</t>
  </si>
  <si>
    <t>LIHTC and Historic</t>
  </si>
  <si>
    <t>No</t>
  </si>
  <si>
    <t>Nursing Home</t>
  </si>
  <si>
    <t>Limited Liability Partnership</t>
  </si>
  <si>
    <t>70%</t>
  </si>
  <si>
    <t>Tennis Court</t>
  </si>
  <si>
    <t>Forced Hot Air Heating</t>
  </si>
  <si>
    <t>Mixed Use</t>
  </si>
  <si>
    <t>4 or 5 Story Stick built on Podium Parking</t>
  </si>
  <si>
    <t>No Credit</t>
  </si>
  <si>
    <t>Sole Proprietorship</t>
  </si>
  <si>
    <t>80% LIHTC</t>
  </si>
  <si>
    <t>Other (Comment)</t>
  </si>
  <si>
    <t>Forced Hot Air Split System with AC</t>
  </si>
  <si>
    <t>Individual(s)</t>
  </si>
  <si>
    <t>80% Non-LIHTC</t>
  </si>
  <si>
    <t>Electric Resistant Baseboard</t>
  </si>
  <si>
    <t>100%</t>
  </si>
  <si>
    <t>120%</t>
  </si>
  <si>
    <t>Over 120%</t>
  </si>
  <si>
    <t>Rent Limit, QCT/DDA and Opportunity Zone References</t>
  </si>
  <si>
    <t>Current Model Progress Date:</t>
  </si>
  <si>
    <t>Income Limits</t>
  </si>
  <si>
    <t>Order</t>
  </si>
  <si>
    <t>Studio</t>
  </si>
  <si>
    <t>S FMR</t>
  </si>
  <si>
    <t>S LOW HOME</t>
  </si>
  <si>
    <t>s HIGH HOME</t>
  </si>
  <si>
    <t>S tc50</t>
  </si>
  <si>
    <t>S tc60</t>
  </si>
  <si>
    <t>1bed</t>
  </si>
  <si>
    <t>1fmr</t>
  </si>
  <si>
    <t>1 LOW HOME</t>
  </si>
  <si>
    <t>1 HIGH HOME</t>
  </si>
  <si>
    <t>1tc50</t>
  </si>
  <si>
    <t>1tc60</t>
  </si>
  <si>
    <t>2bed</t>
  </si>
  <si>
    <t>2fmr</t>
  </si>
  <si>
    <t>2 LOW HOME</t>
  </si>
  <si>
    <t>2 HIGH HOME</t>
  </si>
  <si>
    <t>2tc50</t>
  </si>
  <si>
    <t>2tc60</t>
  </si>
  <si>
    <t>3bed</t>
  </si>
  <si>
    <t>3fmr</t>
  </si>
  <si>
    <t>3 LOW HOME</t>
  </si>
  <si>
    <t>3 HIGH HOME</t>
  </si>
  <si>
    <t>3tc50</t>
  </si>
  <si>
    <t>3tc60</t>
  </si>
  <si>
    <t>4bed</t>
  </si>
  <si>
    <t>4fmr</t>
  </si>
  <si>
    <t>4 LOW HOME</t>
  </si>
  <si>
    <t>4 HIGH HOME</t>
  </si>
  <si>
    <t>4tc50</t>
  </si>
  <si>
    <t>4tc60</t>
  </si>
  <si>
    <t>MedInc</t>
  </si>
  <si>
    <t>%Assist</t>
  </si>
  <si>
    <t>Burden</t>
  </si>
  <si>
    <t>Dilapidated</t>
  </si>
  <si>
    <t>Crime</t>
  </si>
  <si>
    <t>Population</t>
  </si>
  <si>
    <t>MTSP Lim50_18p4</t>
  </si>
  <si>
    <t>Barrington</t>
  </si>
  <si>
    <t>Bristol</t>
  </si>
  <si>
    <t>Burrillville</t>
  </si>
  <si>
    <t>Central Falls</t>
  </si>
  <si>
    <t>Charlestown</t>
  </si>
  <si>
    <t>Coventry</t>
  </si>
  <si>
    <t>Kent</t>
  </si>
  <si>
    <t>Cranston</t>
  </si>
  <si>
    <t>Cumberland</t>
  </si>
  <si>
    <t>East Greenwich</t>
  </si>
  <si>
    <t>East Providence</t>
  </si>
  <si>
    <t>Exeter</t>
  </si>
  <si>
    <t>Foster</t>
  </si>
  <si>
    <t>Glocester</t>
  </si>
  <si>
    <t>Hopkinton</t>
  </si>
  <si>
    <t>Jamestown</t>
  </si>
  <si>
    <t>Johnston</t>
  </si>
  <si>
    <t>Lincoln</t>
  </si>
  <si>
    <t>Little Compton</t>
  </si>
  <si>
    <t>Middletown</t>
  </si>
  <si>
    <t>Narragansett</t>
  </si>
  <si>
    <t>New Shoreham</t>
  </si>
  <si>
    <t>North Kingstown</t>
  </si>
  <si>
    <t>North Providence</t>
  </si>
  <si>
    <t>North Smithfield</t>
  </si>
  <si>
    <t>Pawtucket</t>
  </si>
  <si>
    <t>Portsmouth</t>
  </si>
  <si>
    <t>Richmond</t>
  </si>
  <si>
    <t>Scituate</t>
  </si>
  <si>
    <t>Smithfield</t>
  </si>
  <si>
    <t>South Kingstown</t>
  </si>
  <si>
    <t>Tiverton</t>
  </si>
  <si>
    <t>Warren</t>
  </si>
  <si>
    <t>Warwick</t>
  </si>
  <si>
    <t>West Warwick</t>
  </si>
  <si>
    <t>West Greenwich</t>
  </si>
  <si>
    <t>Westerly</t>
  </si>
  <si>
    <t>Woonsocket</t>
  </si>
  <si>
    <t>Income, Rents, Occupancy</t>
  </si>
  <si>
    <t>TABLE 2: INCOME</t>
  </si>
  <si>
    <t>1 person</t>
  </si>
  <si>
    <t>2 person</t>
  </si>
  <si>
    <t>3 person</t>
  </si>
  <si>
    <t>4 person</t>
  </si>
  <si>
    <t>5 person</t>
  </si>
  <si>
    <t>6 person</t>
  </si>
  <si>
    <t>7 person</t>
  </si>
  <si>
    <t>8 person</t>
  </si>
  <si>
    <t>VL</t>
  </si>
  <si>
    <t>L</t>
  </si>
  <si>
    <t>New London</t>
  </si>
  <si>
    <t>TABLE 3: RENTS</t>
  </si>
  <si>
    <t>TABLE 4: OCCUPANCY</t>
  </si>
  <si>
    <t>THE LIHTC RENTS ARE FOR DEVELOPMENTS PLACED IN SERVICE AFTER 5/14/2010.  IF UNITS WERE PIS PRIOR THIS DATE CONTACT RHODE ISLAND HOUSING FOR ALTERNATIVE RENTS</t>
  </si>
  <si>
    <t>QCT/DDA and Opportunity Zone Identifier</t>
  </si>
  <si>
    <t>GEOID</t>
  </si>
  <si>
    <t>COUNTY</t>
  </si>
  <si>
    <t>COUNTY Code</t>
  </si>
  <si>
    <t>Census Tract</t>
  </si>
  <si>
    <t>Concatenate (for calculation)</t>
  </si>
  <si>
    <t>QCT</t>
  </si>
  <si>
    <t>Ozone</t>
  </si>
  <si>
    <t>Kent9800</t>
  </si>
  <si>
    <t>Bristol303</t>
  </si>
  <si>
    <t>Bristol304</t>
  </si>
  <si>
    <t>Providence19</t>
  </si>
  <si>
    <t>Yes</t>
  </si>
  <si>
    <t>Providence127.02</t>
  </si>
  <si>
    <t>Providence128.01</t>
  </si>
  <si>
    <t>Providence136</t>
  </si>
  <si>
    <t>Providence184</t>
  </si>
  <si>
    <t>Kent202</t>
  </si>
  <si>
    <t>Newport412</t>
  </si>
  <si>
    <t>Providence35</t>
  </si>
  <si>
    <t>Providence138</t>
  </si>
  <si>
    <t>Washington503.01</t>
  </si>
  <si>
    <t>Kent207.01</t>
  </si>
  <si>
    <t>Newport9900</t>
  </si>
  <si>
    <t>Providence145.01</t>
  </si>
  <si>
    <t>Providence145.02</t>
  </si>
  <si>
    <t>Providence146</t>
  </si>
  <si>
    <t>Kent214.01</t>
  </si>
  <si>
    <t>Kent214.02</t>
  </si>
  <si>
    <t>Newport403.02</t>
  </si>
  <si>
    <t>Providence112</t>
  </si>
  <si>
    <t>Providence113.02</t>
  </si>
  <si>
    <t>Providence114.01</t>
  </si>
  <si>
    <t>Providence156</t>
  </si>
  <si>
    <t>Providence158</t>
  </si>
  <si>
    <t>Washington514</t>
  </si>
  <si>
    <t>Washington515.02</t>
  </si>
  <si>
    <t>Kent208</t>
  </si>
  <si>
    <t>Providence134</t>
  </si>
  <si>
    <t>Providence135</t>
  </si>
  <si>
    <t>Washington415</t>
  </si>
  <si>
    <t>Washington501.02</t>
  </si>
  <si>
    <t>Kent211</t>
  </si>
  <si>
    <t>Kent213</t>
  </si>
  <si>
    <t>Kent222.02</t>
  </si>
  <si>
    <t>Kent223</t>
  </si>
  <si>
    <t>Newport405</t>
  </si>
  <si>
    <t>Newport406</t>
  </si>
  <si>
    <t>Providence8</t>
  </si>
  <si>
    <t>Providence9</t>
  </si>
  <si>
    <t>Providence27</t>
  </si>
  <si>
    <t>Providence28</t>
  </si>
  <si>
    <t>Providence111</t>
  </si>
  <si>
    <t>Providence121.03</t>
  </si>
  <si>
    <t>Providence121.04</t>
  </si>
  <si>
    <t>Providence155</t>
  </si>
  <si>
    <t>Providence132.02</t>
  </si>
  <si>
    <t>Providence133</t>
  </si>
  <si>
    <t>Providence157</t>
  </si>
  <si>
    <t>Providence173</t>
  </si>
  <si>
    <t>Providence174</t>
  </si>
  <si>
    <t>Washington513.02</t>
  </si>
  <si>
    <t>Washington513.04</t>
  </si>
  <si>
    <t>Washington513.06</t>
  </si>
  <si>
    <t>Kent209.04</t>
  </si>
  <si>
    <t>Kent210.01</t>
  </si>
  <si>
    <t>Kent210.02</t>
  </si>
  <si>
    <t>Kent212</t>
  </si>
  <si>
    <t>Kent221</t>
  </si>
  <si>
    <t>Kent222.01</t>
  </si>
  <si>
    <t>Providence6</t>
  </si>
  <si>
    <t>Providence7</t>
  </si>
  <si>
    <t>Providence108</t>
  </si>
  <si>
    <t>Providence109</t>
  </si>
  <si>
    <t>Providence110</t>
  </si>
  <si>
    <t>Providence113.01</t>
  </si>
  <si>
    <t>Providence120</t>
  </si>
  <si>
    <t>Providence121.02</t>
  </si>
  <si>
    <t>Providence152</t>
  </si>
  <si>
    <t>Providence153</t>
  </si>
  <si>
    <t>Providence154</t>
  </si>
  <si>
    <t>Providence170</t>
  </si>
  <si>
    <t>Providence171</t>
  </si>
  <si>
    <t>Washington512.01</t>
  </si>
  <si>
    <t>Washington512.02</t>
  </si>
  <si>
    <t>Washington513.05</t>
  </si>
  <si>
    <t>Kent209.03</t>
  </si>
  <si>
    <t>Kent219.03</t>
  </si>
  <si>
    <t>Kent220</t>
  </si>
  <si>
    <t>Providence4</t>
  </si>
  <si>
    <t>Providence5</t>
  </si>
  <si>
    <t>Providence107.02</t>
  </si>
  <si>
    <t>Providence119.01</t>
  </si>
  <si>
    <t>Providence119.02</t>
  </si>
  <si>
    <t>Providence151</t>
  </si>
  <si>
    <t>Providence168</t>
  </si>
  <si>
    <t>Providence169</t>
  </si>
  <si>
    <t>Washington511.02</t>
  </si>
  <si>
    <t>Bristol301</t>
  </si>
  <si>
    <t>Bristol302</t>
  </si>
  <si>
    <t>Kent224</t>
  </si>
  <si>
    <t>Providence10</t>
  </si>
  <si>
    <t>Providence11</t>
  </si>
  <si>
    <t>Providence12</t>
  </si>
  <si>
    <t>Providence13</t>
  </si>
  <si>
    <t>Providence14</t>
  </si>
  <si>
    <t>Providence15</t>
  </si>
  <si>
    <t>Providence16</t>
  </si>
  <si>
    <t>Providence17</t>
  </si>
  <si>
    <t>Providence18</t>
  </si>
  <si>
    <t>Providence122</t>
  </si>
  <si>
    <t>Providence123</t>
  </si>
  <si>
    <t>Providence124.01</t>
  </si>
  <si>
    <t>Providence124.02</t>
  </si>
  <si>
    <t>Providence125</t>
  </si>
  <si>
    <t>Providence126.01</t>
  </si>
  <si>
    <t>Providence126.02</t>
  </si>
  <si>
    <t>Providence127.01</t>
  </si>
  <si>
    <t>Providence175</t>
  </si>
  <si>
    <t>Providence176</t>
  </si>
  <si>
    <t>Providence177</t>
  </si>
  <si>
    <t>Providence178</t>
  </si>
  <si>
    <t>Providence179</t>
  </si>
  <si>
    <t>Providence180</t>
  </si>
  <si>
    <t>Providence181</t>
  </si>
  <si>
    <t>Providence182</t>
  </si>
  <si>
    <t>Providence183</t>
  </si>
  <si>
    <t>Kent215.01</t>
  </si>
  <si>
    <t>Kent215.02</t>
  </si>
  <si>
    <t>Kent216</t>
  </si>
  <si>
    <t>Kent217</t>
  </si>
  <si>
    <t>Kent218</t>
  </si>
  <si>
    <t>Kent219.02</t>
  </si>
  <si>
    <t>Providence1.01</t>
  </si>
  <si>
    <t>Providence1.02</t>
  </si>
  <si>
    <t>Providence2</t>
  </si>
  <si>
    <t>Providence3</t>
  </si>
  <si>
    <t>Providence114.02</t>
  </si>
  <si>
    <t>Providence114.03</t>
  </si>
  <si>
    <t>Providence115</t>
  </si>
  <si>
    <t>Providence116</t>
  </si>
  <si>
    <t>Providence117.01</t>
  </si>
  <si>
    <t>Providence118</t>
  </si>
  <si>
    <t>Providence159</t>
  </si>
  <si>
    <t>Providence160</t>
  </si>
  <si>
    <t>Providence161</t>
  </si>
  <si>
    <t>Providence163</t>
  </si>
  <si>
    <t>Providence164</t>
  </si>
  <si>
    <t>Providence165</t>
  </si>
  <si>
    <t>Providence166</t>
  </si>
  <si>
    <t>Providence167</t>
  </si>
  <si>
    <t>Washington515.03</t>
  </si>
  <si>
    <t>Washington515.04</t>
  </si>
  <si>
    <t>Washington9901</t>
  </si>
  <si>
    <t>Washington9902</t>
  </si>
  <si>
    <t>Kent209.01</t>
  </si>
  <si>
    <t>Providence107.01</t>
  </si>
  <si>
    <t>Providence150</t>
  </si>
  <si>
    <t>Kent201.01</t>
  </si>
  <si>
    <t>Kent201.02</t>
  </si>
  <si>
    <t>Newport410</t>
  </si>
  <si>
    <t>Newport411</t>
  </si>
  <si>
    <t>Providence33</t>
  </si>
  <si>
    <t>Providence34</t>
  </si>
  <si>
    <t>Providence137.01</t>
  </si>
  <si>
    <t>Providence137.02</t>
  </si>
  <si>
    <t>Washington501.03</t>
  </si>
  <si>
    <t>Washington501.04</t>
  </si>
  <si>
    <t>Bristol305</t>
  </si>
  <si>
    <t>Bristol306.01</t>
  </si>
  <si>
    <t>Bristol306.02</t>
  </si>
  <si>
    <t>Bristol307</t>
  </si>
  <si>
    <t>Newport401.01</t>
  </si>
  <si>
    <t>Newport401.02</t>
  </si>
  <si>
    <t>Newport401.03</t>
  </si>
  <si>
    <t>Newport402</t>
  </si>
  <si>
    <t>Providence20</t>
  </si>
  <si>
    <t>Providence21.01</t>
  </si>
  <si>
    <t>Providence21.02</t>
  </si>
  <si>
    <t>Providence22</t>
  </si>
  <si>
    <t>Providence128.02</t>
  </si>
  <si>
    <t>Providence128.03</t>
  </si>
  <si>
    <t>Providence129</t>
  </si>
  <si>
    <t>Providence130.01</t>
  </si>
  <si>
    <t>Providence130.02</t>
  </si>
  <si>
    <t>Providence185</t>
  </si>
  <si>
    <t>Kent219.01</t>
  </si>
  <si>
    <t>Newport409</t>
  </si>
  <si>
    <t>Providence32</t>
  </si>
  <si>
    <t>Providence117.02</t>
  </si>
  <si>
    <t>Kent203</t>
  </si>
  <si>
    <t>Kent204</t>
  </si>
  <si>
    <t>Kent205</t>
  </si>
  <si>
    <t>Newport413</t>
  </si>
  <si>
    <t>Newport414</t>
  </si>
  <si>
    <t>Newport416.01</t>
  </si>
  <si>
    <t>Providence36.01</t>
  </si>
  <si>
    <t>Providence36.02</t>
  </si>
  <si>
    <t>Providence37</t>
  </si>
  <si>
    <t>Providence139</t>
  </si>
  <si>
    <t>Providence140</t>
  </si>
  <si>
    <t>Providence141</t>
  </si>
  <si>
    <t>Washington503.02</t>
  </si>
  <si>
    <t>Washington504.01</t>
  </si>
  <si>
    <t>Washington504.02</t>
  </si>
  <si>
    <t>Kent206.04</t>
  </si>
  <si>
    <t>Kent207.02</t>
  </si>
  <si>
    <t>Kent207.03</t>
  </si>
  <si>
    <t>Providence104</t>
  </si>
  <si>
    <t>Providence105.01</t>
  </si>
  <si>
    <t>Providence105.02</t>
  </si>
  <si>
    <t>Providence106</t>
  </si>
  <si>
    <t>Providence147</t>
  </si>
  <si>
    <t>Providence148</t>
  </si>
  <si>
    <t>Washington508.02</t>
  </si>
  <si>
    <t>Washington509.01</t>
  </si>
  <si>
    <t>Washington509.02</t>
  </si>
  <si>
    <t>Washington510</t>
  </si>
  <si>
    <t>Washington511.01</t>
  </si>
  <si>
    <t>Bristol308</t>
  </si>
  <si>
    <t>Kent206.01</t>
  </si>
  <si>
    <t>Kent206.02</t>
  </si>
  <si>
    <t>Kent206.03</t>
  </si>
  <si>
    <t>Newport403.03</t>
  </si>
  <si>
    <t>Newport416.02</t>
  </si>
  <si>
    <t>Newport417.01</t>
  </si>
  <si>
    <t>Newport417.02</t>
  </si>
  <si>
    <t>Providence23</t>
  </si>
  <si>
    <t>Providence24</t>
  </si>
  <si>
    <t>Providence101.01</t>
  </si>
  <si>
    <t>Providence101.02</t>
  </si>
  <si>
    <t>Providence102</t>
  </si>
  <si>
    <t>Providence103</t>
  </si>
  <si>
    <t>Providence142</t>
  </si>
  <si>
    <t>Providence143</t>
  </si>
  <si>
    <t>Providence144</t>
  </si>
  <si>
    <t>Washington505</t>
  </si>
  <si>
    <t>Washington506</t>
  </si>
  <si>
    <t>Washington507</t>
  </si>
  <si>
    <t>Washington508.01</t>
  </si>
  <si>
    <t>Newport407</t>
  </si>
  <si>
    <t>Newport408</t>
  </si>
  <si>
    <t>Providence29</t>
  </si>
  <si>
    <t>Providence31</t>
  </si>
  <si>
    <t>Bristol309.01</t>
  </si>
  <si>
    <t>Bristol309.02</t>
  </si>
  <si>
    <t>Newport403.04</t>
  </si>
  <si>
    <t>Newport404</t>
  </si>
  <si>
    <t>Providence25</t>
  </si>
  <si>
    <t>Providence26</t>
  </si>
  <si>
    <t>Providence131.01</t>
  </si>
  <si>
    <t>Providence131.02</t>
  </si>
  <si>
    <t>Providence132.01</t>
  </si>
  <si>
    <t>State</t>
  </si>
  <si>
    <t>AK</t>
  </si>
  <si>
    <t>Company</t>
  </si>
  <si>
    <t>Efficiency</t>
  </si>
  <si>
    <t>AL</t>
  </si>
  <si>
    <t>Applicant</t>
  </si>
  <si>
    <t>Individual</t>
  </si>
  <si>
    <t>AR</t>
  </si>
  <si>
    <t>Auditor</t>
  </si>
  <si>
    <t>Bed</t>
  </si>
  <si>
    <t>AZ</t>
  </si>
  <si>
    <t>1BR, 1BA</t>
  </si>
  <si>
    <t>CA</t>
  </si>
  <si>
    <t>Construction Inspector</t>
  </si>
  <si>
    <t>1BR, 1.5BA</t>
  </si>
  <si>
    <t>CO</t>
  </si>
  <si>
    <t>General Contractor</t>
  </si>
  <si>
    <t>1BR, 2BA</t>
  </si>
  <si>
    <t>CT</t>
  </si>
  <si>
    <t>Insurance Broker</t>
  </si>
  <si>
    <t>2BR, 1BA</t>
  </si>
  <si>
    <t>DC</t>
  </si>
  <si>
    <t>Insurance Carrier</t>
  </si>
  <si>
    <t>2BR, 1.5BA</t>
  </si>
  <si>
    <t>DE</t>
  </si>
  <si>
    <t>2BR, 2BA</t>
  </si>
  <si>
    <t>FL</t>
  </si>
  <si>
    <t>Law Firm</t>
  </si>
  <si>
    <t>2BR, 2.5BA</t>
  </si>
  <si>
    <t>GA</t>
  </si>
  <si>
    <t>Mortgagor</t>
  </si>
  <si>
    <t>2BR, 3BA</t>
  </si>
  <si>
    <t>HI</t>
  </si>
  <si>
    <t>2BR, 3.5BA</t>
  </si>
  <si>
    <t>IA</t>
  </si>
  <si>
    <t>Partner</t>
  </si>
  <si>
    <t>3BR, 1BA</t>
  </si>
  <si>
    <t>ID</t>
  </si>
  <si>
    <t>3BR, 1.5BA</t>
  </si>
  <si>
    <t>IL</t>
  </si>
  <si>
    <t>Sponsor</t>
  </si>
  <si>
    <t>3BR, 2BA</t>
  </si>
  <si>
    <t>IN</t>
  </si>
  <si>
    <t>Syndicator</t>
  </si>
  <si>
    <t>3BR, 2.5BA</t>
  </si>
  <si>
    <t>KS</t>
  </si>
  <si>
    <t>Title Company</t>
  </si>
  <si>
    <t>3BR, 3BA</t>
  </si>
  <si>
    <t>KY</t>
  </si>
  <si>
    <t>Developer</t>
  </si>
  <si>
    <t>3BR, 3.5BA</t>
  </si>
  <si>
    <t>LA</t>
  </si>
  <si>
    <t>Management Agent</t>
  </si>
  <si>
    <t>4BR, 1BA</t>
  </si>
  <si>
    <t>MA</t>
  </si>
  <si>
    <t>Owner</t>
  </si>
  <si>
    <t>4BR, 1.5BA</t>
  </si>
  <si>
    <t>MD</t>
  </si>
  <si>
    <t>Accountant</t>
  </si>
  <si>
    <t>4BR, 2BA</t>
  </si>
  <si>
    <t>ME</t>
  </si>
  <si>
    <t>Architect</t>
  </si>
  <si>
    <t>4BR, 2.5BA</t>
  </si>
  <si>
    <t>MI</t>
  </si>
  <si>
    <t>Lender</t>
  </si>
  <si>
    <t>4BR, 3.5BA</t>
  </si>
  <si>
    <t>MN</t>
  </si>
  <si>
    <t>Management Entity</t>
  </si>
  <si>
    <t>4BR, 3BA</t>
  </si>
  <si>
    <t>MO</t>
  </si>
  <si>
    <t>Mortgage Banker</t>
  </si>
  <si>
    <t>4BR, 4BA</t>
  </si>
  <si>
    <t>MS</t>
  </si>
  <si>
    <t>Partnership</t>
  </si>
  <si>
    <t>5BR, 1BA</t>
  </si>
  <si>
    <t>MT</t>
  </si>
  <si>
    <t>5BR, 1.5BA</t>
  </si>
  <si>
    <t>NC</t>
  </si>
  <si>
    <t>5BR, 2BA</t>
  </si>
  <si>
    <t>ND</t>
  </si>
  <si>
    <t>5BR, 2.5BA</t>
  </si>
  <si>
    <t>NE</t>
  </si>
  <si>
    <t>5BR, 3.5BA</t>
  </si>
  <si>
    <t>NH</t>
  </si>
  <si>
    <t>5BR, 3BA</t>
  </si>
  <si>
    <t>NJ</t>
  </si>
  <si>
    <t>6BR or More</t>
  </si>
  <si>
    <t>NM</t>
  </si>
  <si>
    <t>NV</t>
  </si>
  <si>
    <t>NY</t>
  </si>
  <si>
    <t>OH</t>
  </si>
  <si>
    <t>OK</t>
  </si>
  <si>
    <t>OR</t>
  </si>
  <si>
    <t>PA</t>
  </si>
  <si>
    <t>RI</t>
  </si>
  <si>
    <t>SC</t>
  </si>
  <si>
    <t>SD</t>
  </si>
  <si>
    <t>TN</t>
  </si>
  <si>
    <t>TX</t>
  </si>
  <si>
    <t>UT</t>
  </si>
  <si>
    <t>VA</t>
  </si>
  <si>
    <t>VT</t>
  </si>
  <si>
    <t>WA</t>
  </si>
  <si>
    <t>WI</t>
  </si>
  <si>
    <t>WV</t>
  </si>
  <si>
    <t>WY</t>
  </si>
  <si>
    <t>Note: These income and rent limits are not the official limits calcluated by RI Housing. Please verify against the annually released income and rent limits</t>
  </si>
  <si>
    <t>Maximum Income Limits</t>
  </si>
  <si>
    <t>Tenants</t>
  </si>
  <si>
    <t>% Median</t>
  </si>
  <si>
    <t>1 Person</t>
  </si>
  <si>
    <t>2 Person</t>
  </si>
  <si>
    <t>3 Person</t>
  </si>
  <si>
    <t>4 Person</t>
  </si>
  <si>
    <t>5 Person</t>
  </si>
  <si>
    <t>6 Person</t>
  </si>
  <si>
    <t>7 Person</t>
  </si>
  <si>
    <t>8 Person</t>
  </si>
  <si>
    <t>Percentage</t>
  </si>
  <si>
    <t>Approximate tenant count</t>
  </si>
  <si>
    <t>1.5 person</t>
  </si>
  <si>
    <t>3 people</t>
  </si>
  <si>
    <t>4.5 people</t>
  </si>
  <si>
    <t>6 people</t>
  </si>
  <si>
    <t>7.5 people</t>
  </si>
  <si>
    <t>Rent Limits</t>
  </si>
  <si>
    <t>Bedrooms</t>
  </si>
  <si>
    <t>Rent Determinant</t>
  </si>
  <si>
    <t>SRO/EFF</t>
  </si>
  <si>
    <t>Low HOME</t>
  </si>
  <si>
    <t>High HOME</t>
  </si>
  <si>
    <t>Instruction</t>
  </si>
  <si>
    <t>Input</t>
  </si>
  <si>
    <t>01_1_General Data: General Project information, including:</t>
  </si>
  <si>
    <t>*Note: users can navigate through the sheet using the buttons on top of the page.</t>
  </si>
  <si>
    <t>1. General Data: project information, property information, first mortgage, construction loan, owner/borrower information.</t>
  </si>
  <si>
    <t>a. Please fill out MIP in cell K16 as "0%" if there is no MIP.</t>
  </si>
  <si>
    <t>b. If there is more than 1 address, please enter a "primary" address in this section and the rest in the "Acquisition" section.</t>
  </si>
  <si>
    <t>2. Building Information/Configuration: number of buildings, amenities, square footage summary, utilities.</t>
  </si>
  <si>
    <t>3. Equity Pay-in: project milestone dates, together with the equity pay-in schedule</t>
  </si>
  <si>
    <t>a. Please fill out all the expected dates of the milestones even if an equity payment is not associated with the milestone. These dates will trigger calculations throughout the model.</t>
  </si>
  <si>
    <t>4. Trending Assumption: input income and expense trend percentages as well as vacancy rates for underwriting</t>
  </si>
  <si>
    <t>a. If it is necessary to modify the trending assumption differently for individual years (rather than using the same trending rate), please use the button "Modify Yearly Trending Assumption".</t>
  </si>
  <si>
    <t>5. Absorption Schedule: units occupied in the lease-up / pre-stabilization period, commercial and other income occupied percentage</t>
  </si>
  <si>
    <t>a. Please note that in the first year, the months before lease up date will be automatically grayed out.</t>
  </si>
  <si>
    <t>b. Please enter the total expected affordable / market units count for each month.</t>
  </si>
  <si>
    <t>6. Development Team Information: input development team information</t>
  </si>
  <si>
    <t>7. Acquisition: building/address list, census tract, QCT/Opportunity Zone identification, information on existing debt</t>
  </si>
  <si>
    <t>8. Throughout the model, Construction Loan and Bridge Loan is the same thing.</t>
  </si>
  <si>
    <t>02_1_Income: input rental, commercial and other income information</t>
  </si>
  <si>
    <t>1. Rental income: bedroom type, number of units, targeted AMI, net rent</t>
  </si>
  <si>
    <t>2. Commercial, other income: units, net square footage</t>
  </si>
  <si>
    <t>3. Utilities table: enter different utility types, cost per each bedroom type and utilities data year</t>
  </si>
  <si>
    <t>02_2_Expense: input projected expenses and comparable / historical expenses</t>
  </si>
  <si>
    <t>1. Projected expenses: input expenses to be used in underwriting. Input expenses from the Appraisal</t>
  </si>
  <si>
    <t>2. For other projections, first choose between "Historical" and "Comparable" in the drop down.  For existing properties, you will want to input their historical expenses.</t>
  </si>
  <si>
    <t>a. Please fill out all information - property name, number of units, projection year</t>
  </si>
  <si>
    <t>b. The Revenue and Net Income/Debt service section will not require an input for comparable data.</t>
  </si>
  <si>
    <t>c. Use button "Add a Projection" in order to add additional columns as needed.</t>
  </si>
  <si>
    <t>3. Section "Comparison" utilizes the average of Comparable/Historical projections.</t>
  </si>
  <si>
    <t>a. The "Historical" comparison section will appear if "Rehabilitation" or "New Construction and Rehabilitation" is chosen for Development Type in the General Data page.</t>
  </si>
  <si>
    <t>b. All comparison will be trended to the Underwritten year.</t>
  </si>
  <si>
    <t>02_3_Sources: input fund sources for the project</t>
  </si>
  <si>
    <t>1. In the "Debt" section, the first two lines is defaulted to be RIH First Mortgage and RIH Second Mortgage.</t>
  </si>
  <si>
    <t>2. When listing each Debt, please use the drop down, identify whether if it's debt service / cash flow, and what is the percentage of cash flow going to that certain debt.</t>
  </si>
  <si>
    <t>02_4_Uses: input all development costs for the project</t>
  </si>
  <si>
    <t>1. Please make sure to choose a Construction type using the drop down. For projects with only one construction type, only one column will be populated.</t>
  </si>
  <si>
    <t>2. Please enter Residential and Commercial uses in separate columns.</t>
  </si>
  <si>
    <t>3. Columns allow the user to identify which costs are eligible for Acquisition Credits, for New Construction / Rehab Credits, HOME eligible basis, and for tax-exempt bond deals, the aggregate basis plus land.</t>
  </si>
  <si>
    <t>4. Note that the Construction Costs will flow from the detailed schedules on tab "03_1_Construction Cost"</t>
  </si>
  <si>
    <t>02_5_LIHTC Proceeds: input calculation for total LIHTC Proceeds</t>
  </si>
  <si>
    <t>1. Total Eligible Uses will automatically flow from tab "02_4_Uses"</t>
  </si>
  <si>
    <t>2. Select the appropriate Census Tract factor of 100% or 130% using the drop down.</t>
  </si>
  <si>
    <t>3. Tax Credit Percentage will be automatically 9% for New/Rehab credit if 9% is chosen in the General data tab. Otherwise, it will be a manual input.</t>
  </si>
  <si>
    <t>4. Enter investor percentage (i.e. 99.99%) and price per credit accordingly.</t>
  </si>
  <si>
    <t>03_1_Construction Cost: input each line item under construction cost</t>
  </si>
  <si>
    <t>1. Different construction types come directly from uses page.  For projects with only one construction type, only one column will be populated.</t>
  </si>
  <si>
    <t>03_2_Construction Schedule: input construction draw schedule during the Construction period, including each sources and expense line items</t>
  </si>
  <si>
    <t>1. Enter the expected Construction period (in months) and click the "Show Construction months timeline" button.</t>
  </si>
  <si>
    <t>2. Button "Compact Schedule" is to hide the rows that are not necessary. Button "Decompact Schedule" is to show all the rows.</t>
  </si>
  <si>
    <t>a. For example, not all Sources line items are filled out, or not all Expenses line items will be filled out. These could be hidden to compact the schedule.</t>
  </si>
  <si>
    <t>03_3_Amortizations</t>
  </si>
  <si>
    <t>1. This tab is used to calculate amortization for each loan.</t>
  </si>
  <si>
    <t>2. Please fill out the first payment date for each applicable loan.</t>
  </si>
  <si>
    <t>03_4_NH-Assisted Living Data: input income / expense for Nursing home / Assisted living as applicable</t>
  </si>
  <si>
    <t>1. This tab will only appear when "Nursing Home", "Assisted Living" or "Congregate Care" is chosen in General data tab.</t>
  </si>
  <si>
    <t>04_2_Pre-Stabilization</t>
  </si>
  <si>
    <t>1.  Fill out expected expenses for each month during the pre-stabilization period.</t>
  </si>
  <si>
    <t>a. The button "Paste Monthly trending PAR" is used to auto-populate the Expense as a guideline.</t>
  </si>
  <si>
    <t>b. The default model will have formulas for all Expense line items. However, the user can overwrite those formulas if need be.</t>
  </si>
  <si>
    <t>04_3_Reserves</t>
  </si>
  <si>
    <t>1.  Fill out inflated annual needs from Capital Needs Assessment</t>
  </si>
  <si>
    <t>Output</t>
  </si>
  <si>
    <t>04_1_Pro Forma</t>
  </si>
  <si>
    <t>1. The pro forma projects DSCR and cash flow over a 40-year term.</t>
  </si>
  <si>
    <t>2. The first year of the pro forma will be the first full stabilized year.</t>
  </si>
  <si>
    <t xml:space="preserve">1. This is a pro forma to serve the pre-stabilization period to assist in calculating the cash flow generated during this period. </t>
  </si>
  <si>
    <t xml:space="preserve">2. This pro forma runs from the beginning of lease-up and can continue up to three years. </t>
  </si>
  <si>
    <t>3. Rental Income and vacancy reflected on this tab flow from the Absorption schedule in the General Data tab.</t>
  </si>
  <si>
    <t xml:space="preserve">1. This page tracks the reserve balance each year and measures the reserve balance against projected annual repairs. </t>
  </si>
  <si>
    <t>06_1_Summary Printout</t>
  </si>
  <si>
    <t>1. One page summary on a selection of relevant information about the project</t>
  </si>
  <si>
    <t>06_4_Scoring</t>
  </si>
  <si>
    <t>1. Weighted Average Total development cost scoring for the deal.</t>
  </si>
  <si>
    <t>Instruction - for Rhode Island Housing users</t>
  </si>
  <si>
    <t>Controlling / Using output tabs</t>
  </si>
  <si>
    <t>00_2_Master Data Field List</t>
  </si>
  <si>
    <t>1. Fill out cell D6 for each deal. That will be the Project ID for each project.</t>
  </si>
  <si>
    <t>00_3_Drop Down</t>
  </si>
  <si>
    <t>1. To navigate to a drop down, choose among the items in the list and click "Go to drop down" button.</t>
  </si>
  <si>
    <t>06_2_Credit Committee:</t>
  </si>
  <si>
    <t>1. Use the "Hide" and "Show" line items to navigate between different summary levels.</t>
  </si>
  <si>
    <t>a. Section 1: Default is all Revenue and Income line items. Hide the line items to show only from Net Operating Income</t>
  </si>
  <si>
    <t>b. Section 3: Default is all Sources and Uses lines. Hiding the $0 lines will omit the unused Sources or Uses line items.</t>
  </si>
  <si>
    <t>c. Section 5: Default is all Unit types line items. Hide the blank lines so that the report only contains the lines that are filled out.</t>
  </si>
  <si>
    <t>2. "Lock down Preliminary": this button is used to lock down the Preliminary sources and usese.</t>
  </si>
  <si>
    <t>a. Please make sure to lock down Preliminary before going to the next phase.</t>
  </si>
  <si>
    <t>b. After locking down, if a change is necessary, the RIH user will need to unlock the page and manually make the necessary change.</t>
  </si>
  <si>
    <t>06_3_UWChecklist</t>
  </si>
  <si>
    <t>1. Use the "All", "GU" and "CC" buttons to apply desired filters.</t>
  </si>
  <si>
    <t>a. "All" will show all underwriting criterias</t>
  </si>
  <si>
    <t>b. "GU" will show all underwriting criterias that are applicable for general underwriting</t>
  </si>
  <si>
    <t>c. "CC" will show all underwriting criterias that are applicable for credit committee</t>
  </si>
  <si>
    <t>2. If there are exceptions to the criterias, please fill out exceptions justifications.</t>
  </si>
  <si>
    <t>Database intake suggestion</t>
  </si>
  <si>
    <t>1. All necessary information on a project has been listed out in the Project Description table, in field "Data Field Value".</t>
  </si>
  <si>
    <t>2. Use Project ID to identify the information related to that property.</t>
  </si>
  <si>
    <t>a. Please make sure Project ID is filled out, and is unique.</t>
  </si>
  <si>
    <t>3. For the addresses, since a Project might have several addresses, it is suggested that there is a "PropertyAddress" table in your database. The layout of the table can be something like so:</t>
  </si>
  <si>
    <t>ProjectID</t>
  </si>
  <si>
    <t>Adress Count</t>
  </si>
  <si>
    <t>Zip Cide</t>
  </si>
  <si>
    <t>Sample</t>
  </si>
  <si>
    <t>a. The database manager can intake the address like so: "Address &lt;&gt; 0" - meaning only take in the rows that have been filled out.</t>
  </si>
  <si>
    <t>Updating</t>
  </si>
  <si>
    <t>1. To add a data point into the list, please unprotect the sheet and add a line at the end of the table.</t>
  </si>
  <si>
    <t>a. Please make sure the data point being added will correspond with your database intake procedure.</t>
  </si>
  <si>
    <t>1. The instruction on how to update a drop down is right on the drop down page.</t>
  </si>
  <si>
    <t>a. This should help the drop downs to be updated automatically</t>
  </si>
  <si>
    <t>b. When updating Loan Type, plese only add an extra row instead of rearranging the rows; since these might affect the Master Data Field list.</t>
  </si>
  <si>
    <t>00_4_Reference Tables</t>
  </si>
  <si>
    <t>1. Please update the Income limits table every year. Match the income limits by county.</t>
  </si>
  <si>
    <t>2. Please update the QCT Identification every year. Match and update by Census tracts.</t>
  </si>
  <si>
    <t>1. If there is an update to a certain category, please use the "Program Bulletin / Underwriting Criteria Update" section.</t>
  </si>
  <si>
    <t xml:space="preserve">a. Update criteria accordingly based on each categories. </t>
  </si>
  <si>
    <t>b. The updates will automatically flow through to the criteria checklist.</t>
  </si>
  <si>
    <t>VBA Window</t>
  </si>
  <si>
    <t>1. The VBA Window is locked using the same RIH's password. In case there is any needs to change the code, please use the RIH password to unlock VBA modules.</t>
  </si>
  <si>
    <t>Tab</t>
  </si>
  <si>
    <t>Section</t>
  </si>
  <si>
    <t>Sub-Section</t>
  </si>
  <si>
    <t>Notes</t>
  </si>
  <si>
    <t>Possible ProLinkHFA Field Name</t>
  </si>
  <si>
    <t>Field Name</t>
  </si>
  <si>
    <t>Mapping</t>
  </si>
  <si>
    <t>01_1_General Data</t>
  </si>
  <si>
    <t>General Information</t>
  </si>
  <si>
    <t>[Project Name]</t>
  </si>
  <si>
    <t>Current Model Prgress Date:</t>
  </si>
  <si>
    <t>Primary Address</t>
  </si>
  <si>
    <t xml:space="preserve">City </t>
  </si>
  <si>
    <t>Look at TC Current stage node when mappiong</t>
  </si>
  <si>
    <t>Property Use on Edit Dev Property</t>
  </si>
  <si>
    <t>RIH Underwriter</t>
  </si>
  <si>
    <t>Model Revision Date</t>
  </si>
  <si>
    <t>Model Version number</t>
  </si>
  <si>
    <t>Property Information</t>
  </si>
  <si>
    <t>Date Acquired</t>
  </si>
  <si>
    <t>Total Land Area (sf)</t>
  </si>
  <si>
    <t>Ground Lease/Fee/Other</t>
  </si>
  <si>
    <t>Brownfield Site (Yes/No)?</t>
  </si>
  <si>
    <t>Historic Credit (Yes/No)?</t>
  </si>
  <si>
    <t>Public Water (Yes/No)?</t>
  </si>
  <si>
    <t>Public Sewer (Yes/No)?</t>
  </si>
  <si>
    <t>Year Built</t>
  </si>
  <si>
    <t>UDF for this?
Scattered Site
Single Site
Other</t>
  </si>
  <si>
    <t>Type of Project</t>
  </si>
  <si>
    <t>Sum of Residential Buildings only. Is this right?</t>
  </si>
  <si>
    <t>Number of Buildings</t>
  </si>
  <si>
    <t>Number of Elevators</t>
  </si>
  <si>
    <t>Sprinklered (Yes/No)?</t>
  </si>
  <si>
    <t>Number of Parking Spaces</t>
  </si>
  <si>
    <t>Program and Rental Assistance Information</t>
  </si>
  <si>
    <t>RIH Program Type</t>
  </si>
  <si>
    <t>Is this a Section 8 Project (Yes/No)?</t>
  </si>
  <si>
    <t>Other Assistance (Yes/No)?</t>
  </si>
  <si>
    <t>Type of  Other Assistance</t>
  </si>
  <si>
    <t>Low-Income Set Aside</t>
  </si>
  <si>
    <t>These fields are aimed at RIH owning the Loan? ProLink captures Loan owners, including clients</t>
  </si>
  <si>
    <t>First Mortgage Information</t>
  </si>
  <si>
    <t>This field captures the name of the banker, whether it's RIH or not</t>
  </si>
  <si>
    <t>RIH Mortgage (Yes/No)?</t>
  </si>
  <si>
    <t>Risk Sharing (Yes/No)?</t>
  </si>
  <si>
    <t>Interest Rate</t>
  </si>
  <si>
    <t>RIH Mortgage Interest Rate</t>
  </si>
  <si>
    <t>There are 2 "Debt Service" fields. One in DEV, the other in AM</t>
  </si>
  <si>
    <t>Debt Service</t>
  </si>
  <si>
    <t>Debt Service Coverage Ratio (DSCR):</t>
  </si>
  <si>
    <t>Term (in months)</t>
  </si>
  <si>
    <t>RIH Mortgage Term (Years)</t>
  </si>
  <si>
    <t>Taxable Financing or Tax Exempt Financing?</t>
  </si>
  <si>
    <t>Mortgage Insurance Premium</t>
  </si>
  <si>
    <t>There are 2 "Program Type" fields. One on Activity Admin, the other on Edit DEV Deal</t>
  </si>
  <si>
    <t>Mortgage Program Type</t>
  </si>
  <si>
    <t>Construction Loan Information</t>
  </si>
  <si>
    <t>Construction Loan lender is RIH? (Yes/No)</t>
  </si>
  <si>
    <t>Construction Loan Total Amount</t>
  </si>
  <si>
    <t>Owner/Borrower Information</t>
  </si>
  <si>
    <t>Borrower Name</t>
  </si>
  <si>
    <t>ProLinkHFA screen = Edit Loan Borrower - Main tab</t>
  </si>
  <si>
    <t>Address 1</t>
  </si>
  <si>
    <t>State &amp; Zip</t>
  </si>
  <si>
    <t>Phone</t>
  </si>
  <si>
    <t>Telephone Number</t>
  </si>
  <si>
    <t>Major Principal(s)</t>
  </si>
  <si>
    <t xml:space="preserve">     Principal 1:</t>
  </si>
  <si>
    <t xml:space="preserve">     Principal 2:</t>
  </si>
  <si>
    <t xml:space="preserve">     Principal 3:</t>
  </si>
  <si>
    <t xml:space="preserve">     Principal 4:</t>
  </si>
  <si>
    <t>Nonprofit (Yes/No)?</t>
  </si>
  <si>
    <t>Entity Type</t>
  </si>
  <si>
    <t>Single Asset Entity (Yes/No)?</t>
  </si>
  <si>
    <t xml:space="preserve"> </t>
  </si>
  <si>
    <t>Tax Exempt FinancingNot Applicable</t>
  </si>
  <si>
    <t>Total Tax Exempt Financing Amount</t>
  </si>
  <si>
    <t>Aggregate Basis plus Land</t>
  </si>
  <si>
    <t>Estimated "50%" Test</t>
  </si>
  <si>
    <t>Not Applicable</t>
  </si>
  <si>
    <t>Check to the right</t>
  </si>
  <si>
    <t>All fields identified on this row are in Portfolio - Locations</t>
  </si>
  <si>
    <t>Descriptive Building Type</t>
  </si>
  <si>
    <t>Number of Stories</t>
  </si>
  <si>
    <t>Primary Exterior Finish</t>
  </si>
  <si>
    <t>Commercial Building Type</t>
  </si>
  <si>
    <t>Commercial Sq. Feet</t>
  </si>
  <si>
    <t>Building Configuration</t>
  </si>
  <si>
    <t>Type of Structure(s)</t>
  </si>
  <si>
    <t>Exterior Finish</t>
  </si>
  <si>
    <t>Gross Square Feet</t>
  </si>
  <si>
    <t>Residential</t>
  </si>
  <si>
    <t>Community</t>
  </si>
  <si>
    <t>Total Buiding Count</t>
  </si>
  <si>
    <t>Descriptive Building Type AKA Type of Structure</t>
  </si>
  <si>
    <t>Rearrange this into a more meaningful way that uses the names of the fields in HFA</t>
  </si>
  <si>
    <t>Gross Square Feet Residential</t>
  </si>
  <si>
    <t>Gross Square Feet Commercial</t>
  </si>
  <si>
    <t>Gross Square Feet Community</t>
  </si>
  <si>
    <t>Gross Square Feet Unfinished</t>
  </si>
  <si>
    <t>Total Gross Square Feet</t>
  </si>
  <si>
    <t>NRSF Residential</t>
  </si>
  <si>
    <t>NRSF Commercial</t>
  </si>
  <si>
    <t>Total NRSF</t>
  </si>
  <si>
    <t>% NRSF Residential</t>
  </si>
  <si>
    <t>% NRSF Commercial</t>
  </si>
  <si>
    <t>Residential Equipment and Utilities/Amenities beyond basic requirements</t>
  </si>
  <si>
    <t>Edit Unit - Amenities Tab</t>
  </si>
  <si>
    <t>Unit Equipment/Amenities:</t>
  </si>
  <si>
    <t>Air Conditioner</t>
  </si>
  <si>
    <t>Air Conditioning Units</t>
  </si>
  <si>
    <t>Cable Included</t>
  </si>
  <si>
    <t>Cable Hookup</t>
  </si>
  <si>
    <t>Dishwasher</t>
  </si>
  <si>
    <t>Garbage Disposal</t>
  </si>
  <si>
    <t>Cooking Type</t>
  </si>
  <si>
    <t>Kitchen Exhaust</t>
  </si>
  <si>
    <t>Washer/Dryer</t>
  </si>
  <si>
    <t>Laundry: Hookups</t>
  </si>
  <si>
    <t>Laundry: In each unit</t>
  </si>
  <si>
    <t>Security/Video System</t>
  </si>
  <si>
    <t>Other (Describe)</t>
  </si>
  <si>
    <t>Comment</t>
  </si>
  <si>
    <t>Rearrange this to use the fields in HFA to match what they have in the ProForma</t>
  </si>
  <si>
    <t>Then use a Vloookup to populate the fields if Basketball court is selected in the ProForma then populate it to the corresponding HFA field</t>
  </si>
  <si>
    <t>Community room</t>
  </si>
  <si>
    <t>Locations&gt;Structure/Utilities/Amenities</t>
  </si>
  <si>
    <t>See below</t>
  </si>
  <si>
    <t>Heating Type</t>
  </si>
  <si>
    <t>Services/Utilities:</t>
  </si>
  <si>
    <t>Send to ProLinkHFA</t>
  </si>
  <si>
    <t>Provided</t>
  </si>
  <si>
    <t>Included in Rent</t>
  </si>
  <si>
    <t>Heating System</t>
  </si>
  <si>
    <t>Heat</t>
  </si>
  <si>
    <t>Hot Water</t>
  </si>
  <si>
    <t>Hot Water Type</t>
  </si>
  <si>
    <t>Cooking</t>
  </si>
  <si>
    <t>AC</t>
  </si>
  <si>
    <t>Central Air Conditioning</t>
  </si>
  <si>
    <t>Air Conditioning Type</t>
  </si>
  <si>
    <t>Cable</t>
  </si>
  <si>
    <t>Cable TV</t>
  </si>
  <si>
    <t>Lights</t>
  </si>
  <si>
    <t>Electricity</t>
  </si>
  <si>
    <t>Sewer</t>
  </si>
  <si>
    <t>Trash Removal</t>
  </si>
  <si>
    <t>Edit Dev Construction Control - Main tab</t>
  </si>
  <si>
    <t>Equity Pay-in Schedule</t>
  </si>
  <si>
    <t>Milestones</t>
  </si>
  <si>
    <t>Expected/Actual Date</t>
  </si>
  <si>
    <t>Equity Pay-in</t>
  </si>
  <si>
    <t>Equity Pay-in %</t>
  </si>
  <si>
    <t>Closing:</t>
  </si>
  <si>
    <t>Construction begins:</t>
  </si>
  <si>
    <t>Other (describe)</t>
  </si>
  <si>
    <t>Construction completion:</t>
  </si>
  <si>
    <t>Anticipated Completion Date</t>
  </si>
  <si>
    <t>Lease-up Start:</t>
  </si>
  <si>
    <t>Stabilization:</t>
  </si>
  <si>
    <t>Rental achievement:</t>
  </si>
  <si>
    <t>Issuance of 8609</t>
  </si>
  <si>
    <t>Total</t>
  </si>
  <si>
    <t>Trending Assumption</t>
  </si>
  <si>
    <t>Absorption Schedule</t>
  </si>
  <si>
    <t>All of these are on Property Entity</t>
  </si>
  <si>
    <t>Development Team Information</t>
  </si>
  <si>
    <t>Proxy Entities
Will need to add Company or Individual field for each time it's entered</t>
  </si>
  <si>
    <t>Role</t>
  </si>
  <si>
    <t>Company or Individual?</t>
  </si>
  <si>
    <t>Name (Doing Business as)</t>
  </si>
  <si>
    <t>Address1</t>
  </si>
  <si>
    <t>State/Zip</t>
  </si>
  <si>
    <t>Zip</t>
  </si>
  <si>
    <t>Fax</t>
  </si>
  <si>
    <t>Main Phone</t>
  </si>
  <si>
    <t>Email Address 1</t>
  </si>
  <si>
    <t>Need to add this to the General Data tab</t>
  </si>
  <si>
    <t>Co-Sponsor</t>
  </si>
  <si>
    <t>Manager</t>
  </si>
  <si>
    <t>Legal</t>
  </si>
  <si>
    <t>LIHTC Legal</t>
  </si>
  <si>
    <t>Contractor</t>
  </si>
  <si>
    <t>Consultant1</t>
  </si>
  <si>
    <t>Consultant2</t>
  </si>
  <si>
    <t>As Is Appraised</t>
  </si>
  <si>
    <t>Sale Price</t>
  </si>
  <si>
    <t>QCT/DDA</t>
  </si>
  <si>
    <t>Opportunity Zone</t>
  </si>
  <si>
    <t>Do not do Existing Debt</t>
  </si>
  <si>
    <t>TOTALS</t>
  </si>
  <si>
    <t>02_1_Income</t>
  </si>
  <si>
    <t>Residential and Commercial Rent Summary</t>
  </si>
  <si>
    <t>Deal Property&gt; Locations&gt;Location Unit Mix</t>
  </si>
  <si>
    <t>Edit Deal&gt;Main</t>
  </si>
  <si>
    <t>Deal Property&gt;Deal Property</t>
  </si>
  <si>
    <t>Edit Property Locations - Commercial Agreements</t>
  </si>
  <si>
    <t>Edit Unit - Main Tab</t>
  </si>
  <si>
    <t>Edit Portfolio Set-Aside</t>
  </si>
  <si>
    <t>Unit Type</t>
  </si>
  <si>
    <t>UnitMix AMI percent</t>
  </si>
  <si>
    <t>Deal Type</t>
  </si>
  <si>
    <t>Total Units</t>
  </si>
  <si>
    <t>Process Type</t>
  </si>
  <si>
    <t>Rent</t>
  </si>
  <si>
    <t>Market Rent</t>
  </si>
  <si>
    <t>Residential Summary: Underwritten Year One Rents</t>
  </si>
  <si>
    <t>RIH Year 1 Proposed Gross Rent PUPM</t>
  </si>
  <si>
    <t>RIH Year 1 Proposed Net Rent PUPM</t>
  </si>
  <si>
    <t>Note: Max LIHTC Rents Include Utility Allowances (U/A).  See cell T8 comment at right.</t>
  </si>
  <si>
    <t>Number of Bedrooms: SRO, EFF, 1 through 5</t>
  </si>
  <si>
    <t>Number of Baths</t>
  </si>
  <si>
    <t>Concatenated fields</t>
  </si>
  <si>
    <t>NRSF per Unit</t>
  </si>
  <si>
    <t>Contract Expiration</t>
  </si>
  <si>
    <t>Contract Administrator</t>
  </si>
  <si>
    <t>Tenant Paid Utilities (U/A)</t>
  </si>
  <si>
    <t xml:space="preserve">Gross Market Rent Per Unit Per Month </t>
  </si>
  <si>
    <t xml:space="preserve">Net Market Rent Per Unit Per Month </t>
  </si>
  <si>
    <t>Discount from Market Rent</t>
  </si>
  <si>
    <t>Gross Contract Rent PUPM (If applicable)</t>
  </si>
  <si>
    <t>Net Contract Rent PUPM (If applicable)</t>
  </si>
  <si>
    <t>LIHTC Max Rent PUPM</t>
  </si>
  <si>
    <t>Discount from LIHTC rent</t>
  </si>
  <si>
    <t>Project based Subsidy</t>
  </si>
  <si>
    <t>Residential Summary is UNIT MIX</t>
  </si>
  <si>
    <t>Market rate = if it wasn't low income what could they charge?</t>
  </si>
  <si>
    <t>Need to coordinate AMI% values</t>
  </si>
  <si>
    <t>Do not do other income summary</t>
  </si>
  <si>
    <t>Do not do last summary resi config</t>
  </si>
  <si>
    <t>Totals</t>
  </si>
  <si>
    <t>Residential Market Vacancy:</t>
  </si>
  <si>
    <t>Residential Affordable Vacancy:</t>
  </si>
  <si>
    <t>Effective Gross Income</t>
  </si>
  <si>
    <t>Theres a commercial Building Type on Deal Properties&gt;Structure/Utilities/Amenities but no Commercial Income Type</t>
  </si>
  <si>
    <t>Commercial Summary: Underwritten Year One Rents</t>
  </si>
  <si>
    <t>Commercial Summary section comes from commercial space</t>
  </si>
  <si>
    <t>Complete if applicable</t>
  </si>
  <si>
    <t>Type of Space:</t>
  </si>
  <si>
    <t xml:space="preserve">There's a field called "Commercial Space?" [Checkbox] on Deal Property&gt;Deal Property. If yes, set up the data captured as a new Deal Property and populate data based on that setting </t>
  </si>
  <si>
    <t xml:space="preserve">If Commercial Building Type (found under Deal Property&gt;Structure/Utilities/Amenities tab) is not null, create a new Deal Property &amp; populate as many fields listed here as possible? </t>
  </si>
  <si>
    <t>Commercial Income Type</t>
  </si>
  <si>
    <t>NRSF Per Unit</t>
  </si>
  <si>
    <t>Rent per Units</t>
  </si>
  <si>
    <t>Yearly Rent</t>
  </si>
  <si>
    <t>N/A</t>
  </si>
  <si>
    <t>Vacancy</t>
  </si>
  <si>
    <t>Number of units - New Construction</t>
  </si>
  <si>
    <t>Number of units - Rehabilitation</t>
  </si>
  <si>
    <t>Number of bedrooms - New Construction</t>
  </si>
  <si>
    <t>Number of bedrooms - Rehabilitation</t>
  </si>
  <si>
    <t>Type</t>
  </si>
  <si>
    <t># of Bedrooms</t>
  </si>
  <si>
    <t>Utilities Table: Detailed Utilities for SRO, EFF or 1 through 5 bedroom units</t>
  </si>
  <si>
    <t>Tenant Paid?</t>
  </si>
  <si>
    <t>Data Year</t>
  </si>
  <si>
    <t>Total Tenant Paid</t>
  </si>
  <si>
    <t>===='01_1_General Data'!K70</t>
  </si>
  <si>
    <t>Information from Data Input page</t>
  </si>
  <si>
    <t>Applicable Fraction - Units</t>
  </si>
  <si>
    <t>Applicable Fraction - NRSF</t>
  </si>
  <si>
    <t>02_2_Expense</t>
  </si>
  <si>
    <t>Projected Income and Expenses</t>
  </si>
  <si>
    <t>INCOME AND EXPENSE</t>
  </si>
  <si>
    <t>Chart of Acct. #</t>
  </si>
  <si>
    <t>PROJECTED</t>
  </si>
  <si>
    <t>COMPARISON</t>
  </si>
  <si>
    <t>Map on the TC side but might be blank on the DEV side</t>
  </si>
  <si>
    <t>Projection Type</t>
  </si>
  <si>
    <t>Underwritten</t>
  </si>
  <si>
    <t>Appraisal</t>
  </si>
  <si>
    <t>Average Comparable Per Unit</t>
  </si>
  <si>
    <t>Percentage Difference</t>
  </si>
  <si>
    <t>Average Trended Historical Per Unit</t>
  </si>
  <si>
    <t>Do not map stabilized staffing detail</t>
  </si>
  <si>
    <t>Property Name</t>
  </si>
  <si>
    <t>Year</t>
  </si>
  <si>
    <t>$ Amt</t>
  </si>
  <si>
    <t>$/Unit/Year</t>
  </si>
  <si>
    <t>INCOME</t>
  </si>
  <si>
    <t>Rental Revenue Gross Potential</t>
  </si>
  <si>
    <t>Stores &amp; Commercial Revenue</t>
  </si>
  <si>
    <t>Vacancies (enter as negative)</t>
  </si>
  <si>
    <t>Total NH/Asst Living/Elderly Care</t>
  </si>
  <si>
    <t>Other Rev</t>
  </si>
  <si>
    <t>5900T</t>
  </si>
  <si>
    <t>EFFECTIVE GROSS INCOME</t>
  </si>
  <si>
    <t>OPERATING EXPENSES:</t>
  </si>
  <si>
    <t xml:space="preserve">Administrative Expenses </t>
  </si>
  <si>
    <t>Conventions &amp; Meetings</t>
  </si>
  <si>
    <t>Consulting Fees</t>
  </si>
  <si>
    <t>Advertising</t>
  </si>
  <si>
    <t>Rent Expense</t>
  </si>
  <si>
    <t>Office Salaries</t>
  </si>
  <si>
    <t>Office Expense</t>
  </si>
  <si>
    <t>Office or Model Apartment Rent</t>
  </si>
  <si>
    <t>Postage</t>
  </si>
  <si>
    <t>Management Fee: 0.00% of EGI</t>
  </si>
  <si>
    <t>Managers Salary</t>
  </si>
  <si>
    <t>Admin Rent Free Unit</t>
  </si>
  <si>
    <t>Legal Expense</t>
  </si>
  <si>
    <t>Auditing Expense</t>
  </si>
  <si>
    <t>Bookkeeping- Acctg fees</t>
  </si>
  <si>
    <t>Telephone &amp; Answering Svc</t>
  </si>
  <si>
    <t>Tax Credit Monitoring</t>
  </si>
  <si>
    <t>Office Equipment Lease</t>
  </si>
  <si>
    <t>Bad Debts</t>
  </si>
  <si>
    <t xml:space="preserve">Miscellaneous Administrative Expenses </t>
  </si>
  <si>
    <t>Total Administrative Expenses:</t>
  </si>
  <si>
    <t xml:space="preserve">Utilities Expense </t>
  </si>
  <si>
    <t xml:space="preserve">Fuel Oil/Coal </t>
  </si>
  <si>
    <t xml:space="preserve">Electricity </t>
  </si>
  <si>
    <t xml:space="preserve">Water </t>
  </si>
  <si>
    <t xml:space="preserve">Gas </t>
  </si>
  <si>
    <t xml:space="preserve">Sewer </t>
  </si>
  <si>
    <t>Cable TV / Internet</t>
  </si>
  <si>
    <t>Total Utilities Expenses:</t>
  </si>
  <si>
    <t xml:space="preserve">Operations &amp; Maintenance Expenses </t>
  </si>
  <si>
    <t>Payroll</t>
  </si>
  <si>
    <t>Supplies</t>
  </si>
  <si>
    <t>Contracts</t>
  </si>
  <si>
    <t>Exterminating Contract</t>
  </si>
  <si>
    <t>Exterminating Supplies</t>
  </si>
  <si>
    <t>Maint Rent Free Unit</t>
  </si>
  <si>
    <t>Security Payroll/Contracts</t>
  </si>
  <si>
    <t>Grounds Payroll</t>
  </si>
  <si>
    <t>Grounds Supplies</t>
  </si>
  <si>
    <t>Grounds Contracts</t>
  </si>
  <si>
    <t>Repairs Payroll</t>
  </si>
  <si>
    <t>Repairs Supplies</t>
  </si>
  <si>
    <t>Repairs Contract</t>
  </si>
  <si>
    <t>Plumbing Maint.</t>
  </si>
  <si>
    <t>Electrical Maint.</t>
  </si>
  <si>
    <t>Elevator Maintenance</t>
  </si>
  <si>
    <t>HVAC Maintenance</t>
  </si>
  <si>
    <t>REAC</t>
  </si>
  <si>
    <t>Snow Removal</t>
  </si>
  <si>
    <t>Appliance Replacement</t>
  </si>
  <si>
    <t>Decorating P/R</t>
  </si>
  <si>
    <t>Decorating Supplies</t>
  </si>
  <si>
    <t>Vehicle &amp; Equip Ops &amp; Repairs</t>
  </si>
  <si>
    <t>Misc Ops/Maint Expenses</t>
  </si>
  <si>
    <t>Total Ops. &amp; Maint. Expenses:</t>
  </si>
  <si>
    <t xml:space="preserve">Taxes &amp; Insurance </t>
  </si>
  <si>
    <t xml:space="preserve">Real Estate Taxes </t>
  </si>
  <si>
    <t>Payroll Taxes (Project's Share)</t>
  </si>
  <si>
    <t>Miscellaneous Taxes, Licenses and Permits</t>
  </si>
  <si>
    <t>Property &amp; Liability Insurance (Hazard)</t>
  </si>
  <si>
    <t xml:space="preserve">Fidelity Bond Insurance </t>
  </si>
  <si>
    <t xml:space="preserve">Workmen's Compensation </t>
  </si>
  <si>
    <t xml:space="preserve">Health Ins. &amp; Other Emp. Benefits </t>
  </si>
  <si>
    <t>Other Insurance (specify)</t>
  </si>
  <si>
    <t>Misc</t>
  </si>
  <si>
    <t>Total Taxes &amp; Insurance:</t>
  </si>
  <si>
    <t>Replacement Reserves</t>
  </si>
  <si>
    <t>TOTAL OPERATING EXPENSES:</t>
  </si>
  <si>
    <t>NET OPERATING INCOME</t>
  </si>
  <si>
    <t>DEBT SERVICE</t>
  </si>
  <si>
    <t>FIRST MORTGAGE DEBT SERVICE:</t>
  </si>
  <si>
    <t>FIRST MORTGAGE INSURANCE PREMIUM (MIP):</t>
  </si>
  <si>
    <t>SECOND MORTGAGE DEBT SERVICE:</t>
  </si>
  <si>
    <t>OTHER DEBT SERVICE:</t>
  </si>
  <si>
    <t>TOTAL MORTGAGE DEBT SERVICE:</t>
  </si>
  <si>
    <t>First Mortgage DSCR:</t>
  </si>
  <si>
    <t>NAP</t>
  </si>
  <si>
    <t>02_3_Sources</t>
  </si>
  <si>
    <t>Fund Sources and Loan Sizing</t>
  </si>
  <si>
    <t>DSCR Contraint</t>
  </si>
  <si>
    <t>LTV Constraint</t>
  </si>
  <si>
    <t>Year 15 DSCR Constraint</t>
  </si>
  <si>
    <t>Max. Loan Amount</t>
  </si>
  <si>
    <t>Maximum New First Mortgage:</t>
  </si>
  <si>
    <t>GAP (If Uses Exceed Sources):</t>
  </si>
  <si>
    <t>Excess(Sources Exceed Uses)</t>
  </si>
  <si>
    <t>Amount</t>
  </si>
  <si>
    <t>DEBT</t>
  </si>
  <si>
    <t>Term (Years)</t>
  </si>
  <si>
    <t>Amortization Start Date</t>
  </si>
  <si>
    <t>Debt Service / Cash Flow</t>
  </si>
  <si>
    <t>Debt Service Coverage Ratio</t>
  </si>
  <si>
    <t>Percentage of Cash Flow</t>
  </si>
  <si>
    <t>Taxable/Tax Exempt</t>
  </si>
  <si>
    <t>TOTAL</t>
  </si>
  <si>
    <t>Annual Debt Service Payment</t>
  </si>
  <si>
    <t>RIH First Mortgage</t>
  </si>
  <si>
    <t>TOTAL LOANS</t>
  </si>
  <si>
    <t>EQUITY</t>
  </si>
  <si>
    <t>Describe Other Equity</t>
  </si>
  <si>
    <t>Fed. Historic Tax Credit Proceeds</t>
  </si>
  <si>
    <t>-</t>
  </si>
  <si>
    <t>General Partner Capital</t>
  </si>
  <si>
    <t>State Historic TC Proceeds</t>
  </si>
  <si>
    <t>TOTAL EQUITY</t>
  </si>
  <si>
    <t>TOTAL OTHER</t>
  </si>
  <si>
    <t>TOTAL TAX EXEMPT SOURCES</t>
  </si>
  <si>
    <t>TOTAL SOURCES</t>
  </si>
  <si>
    <t>TOTAL USES</t>
  </si>
  <si>
    <t>2ND MORTGAGE SIZING TEST 1: DSCR ON YEAR 1 CASH AFTER 1ST DEBT SERVICE</t>
  </si>
  <si>
    <t>Cash Flow After 1st Debt Service:</t>
  </si>
  <si>
    <t>Debt Service Coverage Ratio:</t>
  </si>
  <si>
    <t>Cash Flow for Debt Service:</t>
  </si>
  <si>
    <t>Interest Rate:</t>
  </si>
  <si>
    <t>Term (Months):</t>
  </si>
  <si>
    <t>Maximum 2nd Mortgage</t>
  </si>
  <si>
    <t>02_4_Uses</t>
  </si>
  <si>
    <t>Do the whole grid but need one field for the DEV side, but 3 for the TC side</t>
  </si>
  <si>
    <t>Construction 
Type 1</t>
  </si>
  <si>
    <t>Construction 
Type 2</t>
  </si>
  <si>
    <t>Construction 
Type 3</t>
  </si>
  <si>
    <t>Each Item as a % of Subtotal</t>
  </si>
  <si>
    <t>Eligible for Acquisition Credit</t>
  </si>
  <si>
    <t>Eligible for New Construction / Rehab. Credit</t>
  </si>
  <si>
    <t>Ineligible for Credit</t>
  </si>
  <si>
    <t>HOME Eligible Basis</t>
  </si>
  <si>
    <t>Do not do the grids at the bottomm</t>
  </si>
  <si>
    <t>ACQUISITION COSTS</t>
  </si>
  <si>
    <t>Land Cost</t>
  </si>
  <si>
    <t>Existing Structures</t>
  </si>
  <si>
    <t>Off-site Improvements</t>
  </si>
  <si>
    <t>Demolition</t>
  </si>
  <si>
    <t>TOTAL ACQUISITION</t>
  </si>
  <si>
    <t>CONSTRUCTION/REHAB. COSTS (input on Construction Cost tab)</t>
  </si>
  <si>
    <t>Buildings</t>
  </si>
  <si>
    <t>Site Work</t>
  </si>
  <si>
    <t>General Requirements: Typically 8%</t>
  </si>
  <si>
    <t>Builders General Overhead: Typically 2%</t>
  </si>
  <si>
    <t>Builders Profit: Typically 9%</t>
  </si>
  <si>
    <t>Bond Premium</t>
  </si>
  <si>
    <t>Extraordinary Conditions</t>
  </si>
  <si>
    <t>Other Fees</t>
  </si>
  <si>
    <t>TOTAL HARD COSTS</t>
  </si>
  <si>
    <t>Construction Contingency: Typically 10%</t>
  </si>
  <si>
    <t>TOTAL CONSTRUCTION/REHABILITATION</t>
  </si>
  <si>
    <t>SOFT COSTS</t>
  </si>
  <si>
    <t>Architect Fee - Design</t>
  </si>
  <si>
    <t>Architect Fee - Supervision</t>
  </si>
  <si>
    <t>Survey</t>
  </si>
  <si>
    <t>Environmental</t>
  </si>
  <si>
    <t>Structural Engineering &amp; Reports</t>
  </si>
  <si>
    <t>Fire Code Compliance Report</t>
  </si>
  <si>
    <t>Builders Risk Insurance</t>
  </si>
  <si>
    <t>Clerk of the Works</t>
  </si>
  <si>
    <t>Owner Legal Fees</t>
  </si>
  <si>
    <t>RIH Legal Fees</t>
  </si>
  <si>
    <t>Syndicator Legal</t>
  </si>
  <si>
    <t>Title and Recording</t>
  </si>
  <si>
    <t>Cost Certification</t>
  </si>
  <si>
    <t>LIHTC Accounting</t>
  </si>
  <si>
    <t>Market Study</t>
  </si>
  <si>
    <t>Capital Needs Assessment</t>
  </si>
  <si>
    <t>Furniture, Fixtures and Equipment</t>
  </si>
  <si>
    <t>Marketing and Lease-up</t>
  </si>
  <si>
    <t>Sewer, Water and Utility Hookups</t>
  </si>
  <si>
    <t>Relocation</t>
  </si>
  <si>
    <t>RE Tax Fee Set up</t>
  </si>
  <si>
    <t>Credit Report</t>
  </si>
  <si>
    <t>Soft Cost Contingency</t>
  </si>
  <si>
    <t>TOTAL SOFT COSTS</t>
  </si>
  <si>
    <t xml:space="preserve">FINANCING </t>
  </si>
  <si>
    <t>Taxes During Construction</t>
  </si>
  <si>
    <t>Risk Sharing Premium</t>
  </si>
  <si>
    <t>Construction Loan Origination Fee</t>
  </si>
  <si>
    <t>RIH Origination Fee</t>
  </si>
  <si>
    <t>Other Lender Origination Fee</t>
  </si>
  <si>
    <t>Cost of Issuance (bond deals only)</t>
  </si>
  <si>
    <t>TOTAL FINANCING COSTS</t>
  </si>
  <si>
    <t>RESERVES</t>
  </si>
  <si>
    <t>1st Year Property Tax Escrow</t>
  </si>
  <si>
    <t>1st Year Insurance Escrow</t>
  </si>
  <si>
    <t>Operating Reserve: Typ. $000</t>
  </si>
  <si>
    <t>Replacement Reserve</t>
  </si>
  <si>
    <t>Lease-up Reserve</t>
  </si>
  <si>
    <t>TOTAL RESERVES</t>
  </si>
  <si>
    <t>PLEASE ADJUST THE ORIGINATION FEE, MINIMUM ORIGINATION FEE IS $20,000</t>
  </si>
  <si>
    <t>DEVELOPER FEE</t>
  </si>
  <si>
    <t>Base Developer Fee: Typ. $000</t>
  </si>
  <si>
    <t>Eligible Incentive Developer Fee</t>
  </si>
  <si>
    <t>TOTAL DEVELOPER FEE</t>
  </si>
  <si>
    <t>SUBTOTAL CONSTRUCTION &amp; SOFT COSTS</t>
  </si>
  <si>
    <t>TOTAL DEVELOPMENT COSTS</t>
  </si>
  <si>
    <t>Developer Fee Property &amp; Program Information:</t>
  </si>
  <si>
    <t>02_5_LIHTC Proceeds</t>
  </si>
  <si>
    <t>LINE ITEMS</t>
  </si>
  <si>
    <t>ACQUISITION</t>
  </si>
  <si>
    <t>NEW / REHAB</t>
  </si>
  <si>
    <t>Custom Calculation</t>
  </si>
  <si>
    <t>Total Eligible Uses (from Uses tab)</t>
  </si>
  <si>
    <t>Edit Deal&gt;Deal Funding&gt;Funding Source</t>
  </si>
  <si>
    <t xml:space="preserve">minus Historic Tax Credit  </t>
  </si>
  <si>
    <t>minus Other Non-Qualifying Financing or Adjustments</t>
  </si>
  <si>
    <t>Adjusted Project Costs</t>
  </si>
  <si>
    <t>Adjustment for QCT / DDA</t>
  </si>
  <si>
    <t>Eligible Basis</t>
  </si>
  <si>
    <t>Applicable Fraction</t>
  </si>
  <si>
    <t>Qualified Basis</t>
  </si>
  <si>
    <t>Tax Credit Percentage</t>
  </si>
  <si>
    <t>Maximum Annual Tax Credit</t>
  </si>
  <si>
    <t>Allocation Adjustment</t>
  </si>
  <si>
    <t>Actual Allocation</t>
  </si>
  <si>
    <t>Years of Eligibility</t>
  </si>
  <si>
    <t>Total 10 Years of Credit</t>
  </si>
  <si>
    <t>Investor Percentage</t>
  </si>
  <si>
    <t>Price for Credits</t>
  </si>
  <si>
    <t>Total Credit Syndication Proceeds</t>
  </si>
  <si>
    <t>ABOVE TAX CREDIT TOTALS</t>
  </si>
  <si>
    <t>To Investor</t>
  </si>
  <si>
    <t>Annual Tax Credit Amount</t>
  </si>
  <si>
    <t>Ten Year Totals</t>
  </si>
  <si>
    <t>HISTORIC TAX CREDIT</t>
  </si>
  <si>
    <t>FEDERAL</t>
  </si>
  <si>
    <t>STATE</t>
  </si>
  <si>
    <t>Historic Tax Credit Amount</t>
  </si>
  <si>
    <t>Historic Tax Credit Actual</t>
  </si>
  <si>
    <t>General Data</t>
  </si>
  <si>
    <t>GENERAL INFORMATION</t>
  </si>
  <si>
    <t>Above ratio should be subject to analysis and confirmation by bond counsel.</t>
  </si>
  <si>
    <t>BUILDING CONFIGURATION</t>
  </si>
  <si>
    <t>Total Building Count</t>
  </si>
  <si>
    <t>EQUITY PAY-IN SCHEDULE</t>
  </si>
  <si>
    <t>Expected/
Actual Date</t>
  </si>
  <si>
    <t>TRENDING ASSUMPTION</t>
  </si>
  <si>
    <t>Income and Expense Trending</t>
  </si>
  <si>
    <t>First Year of Pro Forma:</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</si>
  <si>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</si>
  <si>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</si>
  <si>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</si>
  <si>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</si>
  <si>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</si>
  <si>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</si>
  <si>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</si>
  <si>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</si>
  <si>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</si>
  <si>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</si>
  <si>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</si>
  <si>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</si>
  <si>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</si>
  <si>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</si>
  <si>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</si>
  <si>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</si>
  <si>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</si>
  <si>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</si>
  <si>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</si>
  <si>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</si>
  <si>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</si>
  <si>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</si>
  <si>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</si>
  <si>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</si>
  <si>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</si>
  <si>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</si>
  <si>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</si>
  <si>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</si>
  <si>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</si>
  <si>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</si>
  <si>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</si>
  <si>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</si>
  <si>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</si>
  <si>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</si>
  <si>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</si>
  <si>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</si>
  <si>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</si>
  <si>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</si>
  <si>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</si>
  <si>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</si>
  <si>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</si>
  <si>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</si>
  <si>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YEARS:</t>
  </si>
  <si>
    <t>Rental Income Trending Rate:</t>
  </si>
  <si>
    <t>Commercial Income Trending Rate:</t>
  </si>
  <si>
    <t>Other Income Trending Rate:</t>
  </si>
  <si>
    <t>Nursing Home / Assisted Living Income Trending Rate:</t>
  </si>
  <si>
    <t>Real Estate Tax Trending Rate:</t>
  </si>
  <si>
    <t>Property &amp; Liability Insurance Trending Rate:</t>
  </si>
  <si>
    <t>Operating Expense Trending Rate:</t>
  </si>
  <si>
    <t>Management Fee (% of EGI):</t>
  </si>
  <si>
    <t>Vacancy Rate</t>
  </si>
  <si>
    <t>Commercial Market Vacancy:</t>
  </si>
  <si>
    <t>NH/Assisted/Congregate Care Vacancy:</t>
  </si>
  <si>
    <t>Other Income Vacancy:</t>
  </si>
  <si>
    <t>Reserves Deposit Trending Rate:</t>
  </si>
  <si>
    <t>Reserve Account Interest Rate:</t>
  </si>
  <si>
    <t>ABSORPTION SCHEDULE</t>
  </si>
  <si>
    <t>First Lease-up date</t>
  </si>
  <si>
    <t>Please fill out Total Unit Occupied each month for Affordable Units / Market Rate Units.</t>
  </si>
  <si>
    <t>Please fill out percentage of Commercial or Other units occupied each month.</t>
  </si>
  <si>
    <t>January</t>
  </si>
  <si>
    <t>February</t>
  </si>
  <si>
    <t>March</t>
  </si>
  <si>
    <t>April</t>
  </si>
  <si>
    <t>May</t>
  </si>
  <si>
    <t>June</t>
  </si>
  <si>
    <t>July</t>
  </si>
  <si>
    <t>August</t>
  </si>
  <si>
    <t>September</t>
  </si>
  <si>
    <t>October</t>
  </si>
  <si>
    <t>November</t>
  </si>
  <si>
    <t>December</t>
  </si>
  <si>
    <t>Affordable Units Occupied</t>
  </si>
  <si>
    <t>Market Rate Units Occupied</t>
  </si>
  <si>
    <t>Annual %</t>
  </si>
  <si>
    <t>% Affordable Units Occupancy</t>
  </si>
  <si>
    <t>% Market Occupancy</t>
  </si>
  <si>
    <t>Commercial Units Occupancy</t>
  </si>
  <si>
    <t>Other Income Occupancy</t>
  </si>
  <si>
    <t>DEVELOPMENT TEAM INFORMATION</t>
  </si>
  <si>
    <t>Contact</t>
  </si>
  <si>
    <t>Cell</t>
  </si>
  <si>
    <t>Email</t>
  </si>
  <si>
    <t>Consultant</t>
  </si>
  <si>
    <t>Number of properties at time of purchase:</t>
  </si>
  <si>
    <t>EXISTING DEBT</t>
  </si>
  <si>
    <t>Principal amount</t>
  </si>
  <si>
    <t>Accrued Interest</t>
  </si>
  <si>
    <t>Maturity Date</t>
  </si>
  <si>
    <t>Below: SRO or EFF weighting data</t>
  </si>
  <si>
    <t>Bedroom</t>
  </si>
  <si>
    <t>Bedroom x Units</t>
  </si>
  <si>
    <t>Sub Units</t>
  </si>
  <si>
    <t>Mkt Units</t>
  </si>
  <si>
    <t>Sub Annl. Net Inc.</t>
  </si>
  <si>
    <t>Mkt Annl. Net Inc.</t>
  </si>
  <si>
    <t>Type Lookup</t>
  </si>
  <si>
    <t>SRO Subz</t>
  </si>
  <si>
    <t>EFF Subz</t>
  </si>
  <si>
    <t>SRO Mkt</t>
  </si>
  <si>
    <t>EFF Mkt</t>
  </si>
  <si>
    <t>0BR-SRO Summary</t>
  </si>
  <si>
    <t>Net</t>
  </si>
  <si>
    <t>0BR-EFF  Summary</t>
  </si>
  <si>
    <t>1BR  Summary</t>
  </si>
  <si>
    <t>2BR  Summary</t>
  </si>
  <si>
    <t>3BR  Summary</t>
  </si>
  <si>
    <t>4BR  Summary</t>
  </si>
  <si>
    <t>5BR  Summary</t>
  </si>
  <si>
    <t>Bath #</t>
  </si>
  <si>
    <t>Unit #</t>
  </si>
  <si>
    <t>SF</t>
  </si>
  <si>
    <t>RIH</t>
  </si>
  <si>
    <t>Mkt</t>
  </si>
  <si>
    <t>Contract</t>
  </si>
  <si>
    <t>Ave/Total/Wgt. Ave</t>
  </si>
  <si>
    <t>Total SRO/EFF Subz</t>
  </si>
  <si>
    <t xml:space="preserve"> Commercial Summary: Underwritten Year One Rents</t>
  </si>
  <si>
    <t>Total SRO/EFF Mkt</t>
  </si>
  <si>
    <t>SCRATCH PAD - this section is for any side calculation</t>
  </si>
  <si>
    <t xml:space="preserve"> Other Income Summary: Underwritten Year One</t>
  </si>
  <si>
    <t>Income Type</t>
  </si>
  <si>
    <t>Summary Residential Configuration</t>
  </si>
  <si>
    <t>Number of Bedrooms</t>
  </si>
  <si>
    <t># LIHTC Units</t>
  </si>
  <si>
    <t># Market Units</t>
  </si>
  <si>
    <t>NRSF/Unit (Weighted Average)</t>
  </si>
  <si>
    <t>Net Rentable Square Feet LIHTC</t>
  </si>
  <si>
    <t>Net Rentable Square Feet Market</t>
  </si>
  <si>
    <t>RIH Proposed Rent (LIHTC calculation)</t>
  </si>
  <si>
    <t>RIH Proposed Rent (Market calculation)</t>
  </si>
  <si>
    <t>Current Contract Rent</t>
  </si>
  <si>
    <t>OTHER PROJECTION 1</t>
  </si>
  <si>
    <t>OTHER PROJECTION 2</t>
  </si>
  <si>
    <t>OTHER PROJECTION 3</t>
  </si>
  <si>
    <t>OTHER PROJECTION 4</t>
  </si>
  <si>
    <t>OTHER PROJECTION 5</t>
  </si>
  <si>
    <t>OTHER PROJECTION 6</t>
  </si>
  <si>
    <t>OTHER PROJECTION 7</t>
  </si>
  <si>
    <t>OTHER PROJECTION 8</t>
  </si>
  <si>
    <t>OTHER PROJECTION 9</t>
  </si>
  <si>
    <t>OTHER PROJECTION 10</t>
  </si>
  <si>
    <t>OTHER PROJECTION 11</t>
  </si>
  <si>
    <t>OTHER PROJECTION 12</t>
  </si>
  <si>
    <t>Line Item Specific Comments</t>
  </si>
  <si>
    <t>Stabilized Staffing Detail</t>
  </si>
  <si>
    <t>ADMINISTRATIVE &amp; GENERAL</t>
  </si>
  <si>
    <t>SALARY</t>
  </si>
  <si>
    <t>PAY RATE</t>
  </si>
  <si>
    <t>FIXED FTE'S (#)</t>
  </si>
  <si>
    <t>VARIABLE FTE'S (#)</t>
  </si>
  <si>
    <t>TOTAL FTE'S</t>
  </si>
  <si>
    <t>Executive Director</t>
  </si>
  <si>
    <t>Property Manager</t>
  </si>
  <si>
    <t>Secretary/Receptionist</t>
  </si>
  <si>
    <t>Resident Services Coordinator</t>
  </si>
  <si>
    <t>MARKETING</t>
  </si>
  <si>
    <t>Director</t>
  </si>
  <si>
    <t>ACTIVITIES</t>
  </si>
  <si>
    <t>Services Coordinator</t>
  </si>
  <si>
    <t>HOUSEKEEPING</t>
  </si>
  <si>
    <t>Housekeepers</t>
  </si>
  <si>
    <t>LAUNDRY</t>
  </si>
  <si>
    <t>Aides</t>
  </si>
  <si>
    <t>MAINTENANCE</t>
  </si>
  <si>
    <t>Maintenance Supervisor</t>
  </si>
  <si>
    <t>Maintenance Man</t>
  </si>
  <si>
    <t>Janitor</t>
  </si>
  <si>
    <t>FOOD SERVICE</t>
  </si>
  <si>
    <t>Food Service Director</t>
  </si>
  <si>
    <t>Executive Chef</t>
  </si>
  <si>
    <t>Cook</t>
  </si>
  <si>
    <t>Dishwasher/Wait Staff</t>
  </si>
  <si>
    <t>Dining Manager</t>
  </si>
  <si>
    <t>RESIDENT CARE</t>
  </si>
  <si>
    <t>Director/RN</t>
  </si>
  <si>
    <t>LPN/Social Worker</t>
  </si>
  <si>
    <t>Aides/CNAs</t>
  </si>
  <si>
    <t>STABILIZED STAFFING TOTALS</t>
  </si>
  <si>
    <t>Development/Rehabilitation Costs (USES)</t>
  </si>
  <si>
    <t>Fees Check</t>
  </si>
  <si>
    <t>Const. Total</t>
  </si>
  <si>
    <t>GC:  % of Cons.</t>
  </si>
  <si>
    <t>Profit:  % of Cons.</t>
  </si>
  <si>
    <t>% of GC &amp; OH</t>
  </si>
  <si>
    <t>Architect Fee Total</t>
  </si>
  <si>
    <t>% Design</t>
  </si>
  <si>
    <t>% Supervision</t>
  </si>
  <si>
    <t>Clerk of the Works Fee</t>
  </si>
  <si>
    <t>% of Hard Const Costs</t>
  </si>
  <si>
    <r>
      <t>CONSTRUCTION/REHAB. COSTS (</t>
    </r>
    <r>
      <rPr>
        <b/>
        <i/>
        <sz val="9"/>
        <rFont val="Garamond"/>
        <family val="1"/>
      </rPr>
      <t>input on Construction Cost tab)</t>
    </r>
  </si>
  <si>
    <t>Developer Fee as Percentage of Total Development Costs, Net of Reserves and Latent Defects:</t>
  </si>
  <si>
    <t>Developer Fee as Percentage of Total Development Costs and Acquisition, Net of Reserves and Latent Defects:</t>
  </si>
  <si>
    <t>PER UNIT</t>
  </si>
  <si>
    <t>TOTAL RIH REHABILITATION COSTS FOR 15% TEST</t>
  </si>
  <si>
    <t>TOTAL RIH ACQUISITION COSTS FOR 15% TEST</t>
  </si>
  <si>
    <t>RATIO OF RIH REHABILITATION COSTS TO RIH ACQUISITION COSTS</t>
  </si>
  <si>
    <t>Developer Fee Summary for Reference</t>
  </si>
  <si>
    <t>Result 1: Preservation or Refinance</t>
  </si>
  <si>
    <t>Result is 5% of Acq. + 10% of Dev. Costs, not including Reserves</t>
  </si>
  <si>
    <t>Result 2: Rental Production, Single Site</t>
  </si>
  <si>
    <t>Result 3: Rental Production, Scattered Site</t>
  </si>
  <si>
    <t>Result 4: Combined New Construction and Preservation</t>
  </si>
  <si>
    <t>Result is combining Preservation and New Construction portion</t>
  </si>
  <si>
    <t>Calculation of Incentive Fee for 4% credit deals</t>
  </si>
  <si>
    <t>TDC Minus Reserves and Fee</t>
  </si>
  <si>
    <t>Tax Credit Proceeds</t>
  </si>
  <si>
    <r>
      <t xml:space="preserve">Total Eligible Uses </t>
    </r>
    <r>
      <rPr>
        <i/>
        <sz val="12"/>
        <rFont val="Garamond"/>
        <family val="1"/>
      </rPr>
      <t>(from Uses tab)</t>
    </r>
  </si>
  <si>
    <r>
      <t xml:space="preserve">minus </t>
    </r>
    <r>
      <rPr>
        <sz val="12"/>
        <rFont val="Garamond"/>
        <family val="1"/>
      </rPr>
      <t xml:space="preserve">Historic Tax Credit  </t>
    </r>
  </si>
  <si>
    <r>
      <t xml:space="preserve">minus </t>
    </r>
    <r>
      <rPr>
        <sz val="12"/>
        <rFont val="Garamond"/>
        <family val="1"/>
      </rPr>
      <t>Other Non-Qualifying Financing or Adjustments</t>
    </r>
  </si>
  <si>
    <t>Construction Costs</t>
  </si>
  <si>
    <t>Date:</t>
  </si>
  <si>
    <r>
      <t xml:space="preserve">CONTRACTOR’S </t>
    </r>
    <r>
      <rPr>
        <b/>
        <sz val="9"/>
        <color theme="1"/>
        <rFont val="Garamond"/>
        <family val="1"/>
      </rPr>
      <t>and/or</t>
    </r>
    <r>
      <rPr>
        <b/>
        <sz val="12"/>
        <color theme="1"/>
        <rFont val="Garamond"/>
        <family val="1"/>
      </rPr>
      <t xml:space="preserve"> MORTGAGOR’S</t>
    </r>
  </si>
  <si>
    <t>Project Number:</t>
  </si>
  <si>
    <t>Construction Type 1</t>
  </si>
  <si>
    <t>Construction Type 2</t>
  </si>
  <si>
    <t>Construction Type 3</t>
  </si>
  <si>
    <t>Sponsor:</t>
  </si>
  <si>
    <t>COST BREAKDOWN</t>
  </si>
  <si>
    <t>Building Identification:</t>
  </si>
  <si>
    <t>Name of Project:</t>
  </si>
  <si>
    <t>Location:</t>
  </si>
  <si>
    <t>D</t>
  </si>
  <si>
    <t>TRADE  ITEM</t>
  </si>
  <si>
    <t>COST</t>
  </si>
  <si>
    <t>TRADE DESCRIPTION</t>
  </si>
  <si>
    <t>Total Cost</t>
  </si>
  <si>
    <t>Concrete</t>
  </si>
  <si>
    <t>Metals</t>
  </si>
  <si>
    <t>Rough Carpentry</t>
  </si>
  <si>
    <t>Finish Carpentry</t>
  </si>
  <si>
    <t>Waterproofing</t>
  </si>
  <si>
    <t>Insulation</t>
  </si>
  <si>
    <t>Roofing</t>
  </si>
  <si>
    <t>Sheet Metal</t>
  </si>
  <si>
    <t>Doors and Hardware</t>
  </si>
  <si>
    <t>Windows</t>
  </si>
  <si>
    <t>Lath and Plaster</t>
  </si>
  <si>
    <t>Drywall</t>
  </si>
  <si>
    <t>Tile Work</t>
  </si>
  <si>
    <t>Acoustical</t>
  </si>
  <si>
    <t>Wood Flooring</t>
  </si>
  <si>
    <t>Resilient Flooring</t>
  </si>
  <si>
    <t>Painting and Decorating</t>
  </si>
  <si>
    <t>Specialties</t>
  </si>
  <si>
    <t>Special Equipment</t>
  </si>
  <si>
    <t>Cabinets</t>
  </si>
  <si>
    <t>Appliances</t>
  </si>
  <si>
    <t>Blinds and Shades, Artwork</t>
  </si>
  <si>
    <t>Carpets</t>
  </si>
  <si>
    <t>Special Construction</t>
  </si>
  <si>
    <t>Elevators</t>
  </si>
  <si>
    <t>Plumbing and Hot Water</t>
  </si>
  <si>
    <t>Heat and Ventilation</t>
  </si>
  <si>
    <t>Air Conditioning</t>
  </si>
  <si>
    <t>Electrical</t>
  </si>
  <si>
    <t>SUBTOTAL (Structures)</t>
  </si>
  <si>
    <t>Earth Work</t>
  </si>
  <si>
    <t>Site Utilities</t>
  </si>
  <si>
    <t>Roads and Walks</t>
  </si>
  <si>
    <t>Site Improvements</t>
  </si>
  <si>
    <t>Lawns and Planting</t>
  </si>
  <si>
    <t>Unusual Site Conditions</t>
  </si>
  <si>
    <t>SUBTOTAL (LAND IMPRVTS.)</t>
  </si>
  <si>
    <t>TOT. STRUCT. &amp; LAND IMPRVTS.</t>
  </si>
  <si>
    <t>GENERAL REQUIREMENT</t>
  </si>
  <si>
    <t>SUBTOTAL (Lines 40 and 41)</t>
  </si>
  <si>
    <t>BUILDER’S OVERHEAD</t>
  </si>
  <si>
    <t>BUILDER’S PROFIT</t>
  </si>
  <si>
    <t>OTHER FEES</t>
  </si>
  <si>
    <t>BOND PREMIUM</t>
  </si>
  <si>
    <t>TOTAL IMPROVEMENTS</t>
  </si>
  <si>
    <t>By</t>
  </si>
  <si>
    <t>Date</t>
  </si>
  <si>
    <t>RIH D/C</t>
  </si>
  <si>
    <t xml:space="preserve">RIH Approved </t>
  </si>
  <si>
    <t>Form #:  RIH 2F-2328</t>
  </si>
  <si>
    <t>Construction Cashflow</t>
  </si>
  <si>
    <t>Construction Period (Months)</t>
  </si>
  <si>
    <t>BUDGET</t>
  </si>
  <si>
    <t>Cross Check</t>
  </si>
  <si>
    <t xml:space="preserve"> CLOSING</t>
  </si>
  <si>
    <t>MONTH 1</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</si>
  <si>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</si>
  <si>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</si>
  <si>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</si>
  <si>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</si>
  <si>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</si>
  <si>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</si>
  <si>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</si>
  <si>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</si>
  <si>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</si>
  <si>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</si>
  <si>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</si>
  <si>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</si>
  <si>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</si>
  <si>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</si>
  <si>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</si>
  <si>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</si>
  <si>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</si>
  <si>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</si>
  <si>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</si>
  <si>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</si>
  <si>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</si>
  <si>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</si>
  <si>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MONTH 24</t>
  </si>
  <si>
    <t>MONTH 25</t>
  </si>
  <si>
    <t>MONTH 26</t>
  </si>
  <si>
    <t>MONTH 27</t>
  </si>
  <si>
    <t>MONTH 28</t>
  </si>
  <si>
    <t>MONTH 29</t>
  </si>
  <si>
    <t>MONTH 30</t>
  </si>
  <si>
    <t>BALANCE</t>
  </si>
  <si>
    <t>SOURCES</t>
  </si>
  <si>
    <t>GAP/SURPLUS</t>
  </si>
  <si>
    <t>USES</t>
  </si>
  <si>
    <t>TOTAL EXPENDITURES</t>
  </si>
  <si>
    <t>Cumulative Expenditures</t>
  </si>
  <si>
    <t>Cumulative Draw on Construction (Sources less Expenditures)</t>
  </si>
  <si>
    <t>Cumulative Interest on Construction Loan 1</t>
  </si>
  <si>
    <t>Construction Loan Draw</t>
  </si>
  <si>
    <t>Repayment</t>
  </si>
  <si>
    <t>Construction Loan Balance</t>
  </si>
  <si>
    <t>Interest Calculation</t>
  </si>
  <si>
    <t>Construction Loan Interest Input</t>
  </si>
  <si>
    <t>Calculated Loan Interest</t>
  </si>
  <si>
    <t>Amortizations</t>
  </si>
  <si>
    <t>1st Loan</t>
  </si>
  <si>
    <t>2nd Loan</t>
  </si>
  <si>
    <t>3rd Loan</t>
  </si>
  <si>
    <t>4th Loan</t>
  </si>
  <si>
    <t>5th Loan</t>
  </si>
  <si>
    <t>6th Loan</t>
  </si>
  <si>
    <t>7th Loan</t>
  </si>
  <si>
    <t>8th Loan</t>
  </si>
  <si>
    <t>1st Mortgage Principal:</t>
  </si>
  <si>
    <t>2nd Loan Principal</t>
  </si>
  <si>
    <t>3rd Loan Principal</t>
  </si>
  <si>
    <t>4th Loan Principal</t>
  </si>
  <si>
    <t>5th Loan Principal</t>
  </si>
  <si>
    <t>6th Loan Principal</t>
  </si>
  <si>
    <t>7th Loan Principal</t>
  </si>
  <si>
    <t>8th Loan Principal</t>
  </si>
  <si>
    <t>1st Mortgage Interest Rate:</t>
  </si>
  <si>
    <t>2nd Loan Interest Rate</t>
  </si>
  <si>
    <t>3rd Loan Interest Rate</t>
  </si>
  <si>
    <t>4th Loan Interest Rate</t>
  </si>
  <si>
    <t>5th Loan Interest Rate</t>
  </si>
  <si>
    <t>6th Loan Interest Rate</t>
  </si>
  <si>
    <t>7th Loan Interest Rate</t>
  </si>
  <si>
    <t>8th Loan Interest Rate</t>
  </si>
  <si>
    <t>1st Mortgage Term:</t>
  </si>
  <si>
    <t>2nd Loan Term</t>
  </si>
  <si>
    <t>3rd Loan Term</t>
  </si>
  <si>
    <t>4th Loan Term</t>
  </si>
  <si>
    <t>5th Loan Term</t>
  </si>
  <si>
    <t>6th Loan Term</t>
  </si>
  <si>
    <t>7th Loan Term</t>
  </si>
  <si>
    <t>8th Loan Term</t>
  </si>
  <si>
    <t>First Payment Date:</t>
  </si>
  <si>
    <t>Refer to the Sources worksheet to select first mortgage terms.</t>
  </si>
  <si>
    <t>BegBal</t>
  </si>
  <si>
    <t>TotPmt</t>
  </si>
  <si>
    <t>IntPmt</t>
  </si>
  <si>
    <t>PrinPmt</t>
  </si>
  <si>
    <t>EndBal</t>
  </si>
  <si>
    <t>MIP</t>
  </si>
  <si>
    <t>Nursing Home/Assisted Living Data</t>
  </si>
  <si>
    <t>Number of Medicaid Units:</t>
  </si>
  <si>
    <t>Number of Medicaid Waivers:</t>
  </si>
  <si>
    <t>Number of Medicaid Recipients:</t>
  </si>
  <si>
    <t>Income Not Already Included in Rent (on Rent Input page)</t>
  </si>
  <si>
    <t>Underwritten Year 1</t>
  </si>
  <si>
    <t>SRO/EFF Bedroom Services Income</t>
  </si>
  <si>
    <t>1 Bedroom Services Income</t>
  </si>
  <si>
    <t>2 Bedroom Services Income</t>
  </si>
  <si>
    <t>3 Bedroom Services Income</t>
  </si>
  <si>
    <t>4 Bedroom Services Income</t>
  </si>
  <si>
    <t>5 Bedroom Services Income</t>
  </si>
  <si>
    <t>Total Services Income</t>
  </si>
  <si>
    <t>Expenses not already accounted for on Historic and Projected Inc&amp;Exp pages</t>
  </si>
  <si>
    <t>Administrative</t>
  </si>
  <si>
    <t xml:space="preserve">   Telephone</t>
  </si>
  <si>
    <t xml:space="preserve">   Compliance Monitoring (LIHTC only)</t>
  </si>
  <si>
    <t>Subtotal</t>
  </si>
  <si>
    <t>Administrative Payroll</t>
  </si>
  <si>
    <t xml:space="preserve">   Executive Director</t>
  </si>
  <si>
    <t xml:space="preserve">   Secretary</t>
  </si>
  <si>
    <t xml:space="preserve">   Marketing Director</t>
  </si>
  <si>
    <t xml:space="preserve">   Resident Services Coordinator</t>
  </si>
  <si>
    <t>Services Payroll</t>
  </si>
  <si>
    <t xml:space="preserve">   Housekeepers</t>
  </si>
  <si>
    <t xml:space="preserve">   Laundry Aide</t>
  </si>
  <si>
    <t xml:space="preserve">   Food Service Director</t>
  </si>
  <si>
    <t xml:space="preserve">   Executive Chef</t>
  </si>
  <si>
    <t xml:space="preserve">   Cook</t>
  </si>
  <si>
    <t xml:space="preserve">   Dishwasher/Wait Staff</t>
  </si>
  <si>
    <t xml:space="preserve">   Dining Manager</t>
  </si>
  <si>
    <t xml:space="preserve">   Service Coordinator</t>
  </si>
  <si>
    <t xml:space="preserve">   RN/LPN/Social Worker</t>
  </si>
  <si>
    <t xml:space="preserve">   Personal Care Aides/CNAs</t>
  </si>
  <si>
    <t xml:space="preserve">   Activities Director/Assistant</t>
  </si>
  <si>
    <t>NOTE: REFER TO THE TABLE BELOW THIS ONE FOR STABILIZED STAFFING DETAIL</t>
  </si>
  <si>
    <t>Food Services</t>
  </si>
  <si>
    <t xml:space="preserve">   Food</t>
  </si>
  <si>
    <t xml:space="preserve">   Services</t>
  </si>
  <si>
    <t>Operations</t>
  </si>
  <si>
    <t xml:space="preserve">   Housekeeping/Laundry Supplies</t>
  </si>
  <si>
    <t xml:space="preserve">   Transportation</t>
  </si>
  <si>
    <t>Maintenance</t>
  </si>
  <si>
    <t xml:space="preserve">   Grounds keeping</t>
  </si>
  <si>
    <t xml:space="preserve">   Painting and Decorating</t>
  </si>
  <si>
    <t xml:space="preserve">   Structural Repairs</t>
  </si>
  <si>
    <t xml:space="preserve">   Plumbing Maintenance</t>
  </si>
  <si>
    <t xml:space="preserve">   Electrical Maintenance</t>
  </si>
  <si>
    <t xml:space="preserve">   Reserves for Painting and Decorating</t>
  </si>
  <si>
    <t xml:space="preserve">   Replacement Reserve</t>
  </si>
  <si>
    <t xml:space="preserve">   Project Equipment and Purchase</t>
  </si>
  <si>
    <t xml:space="preserve">   Other</t>
  </si>
  <si>
    <r>
      <t xml:space="preserve">NOTE: RESERVE TOTALS </t>
    </r>
    <r>
      <rPr>
        <b/>
        <u/>
        <sz val="12"/>
        <color indexed="10"/>
        <rFont val="Garamond"/>
        <family val="1"/>
      </rPr>
      <t>WILL NOT</t>
    </r>
    <r>
      <rPr>
        <b/>
        <sz val="12"/>
        <color indexed="10"/>
        <rFont val="Garamond"/>
        <family val="1"/>
      </rPr>
      <t xml:space="preserve"> FEED THE HISTORIC, PROJECTED, AND RESERVES WORKSHEETS AUTOMATICALLY TO AVOID DOUBLE-COUNTING. PLEASE UPDATE THOSE PAGES MANUALLY. TOTALS BELOW </t>
    </r>
    <r>
      <rPr>
        <b/>
        <u/>
        <sz val="12"/>
        <color indexed="10"/>
        <rFont val="Garamond"/>
        <family val="1"/>
      </rPr>
      <t>DO NOT</t>
    </r>
    <r>
      <rPr>
        <b/>
        <sz val="12"/>
        <color indexed="10"/>
        <rFont val="Garamond"/>
        <family val="1"/>
      </rPr>
      <t xml:space="preserve"> INCLUDE THE ABOVE RESERVES.</t>
    </r>
  </si>
  <si>
    <t>Total Expenses (Not Including Reserves)</t>
  </si>
  <si>
    <t>TOTAL WAGE</t>
  </si>
  <si>
    <t>Proforma</t>
  </si>
  <si>
    <t>Trends</t>
  </si>
  <si>
    <t xml:space="preserve">Residential Affordable Income </t>
  </si>
  <si>
    <t xml:space="preserve">Residential Market Rate Income </t>
  </si>
  <si>
    <t>Commercial Income</t>
  </si>
  <si>
    <t>Gross Project Income</t>
  </si>
  <si>
    <t>Vacancy Allowance Residential Affordable</t>
  </si>
  <si>
    <t>Vacancy Allowance Residential Market</t>
  </si>
  <si>
    <t>Vacancy Allowance Commercial</t>
  </si>
  <si>
    <t>Vacancy Allowance Other</t>
  </si>
  <si>
    <t>Expenses</t>
  </si>
  <si>
    <t>Management Fee</t>
  </si>
  <si>
    <t>Utilities</t>
  </si>
  <si>
    <t>Operations &amp; Maintenance</t>
  </si>
  <si>
    <t>Real Estate Taxes</t>
  </si>
  <si>
    <t>Property &amp; Liability Insurance</t>
  </si>
  <si>
    <t>Other Taxes &amp; Insurance</t>
  </si>
  <si>
    <t>NH / Assisted Living /Elderly Care</t>
  </si>
  <si>
    <t>Total Expenses</t>
  </si>
  <si>
    <t>Management Fee is calculated as a percentage of EGI</t>
  </si>
  <si>
    <t>Net Operating Income</t>
  </si>
  <si>
    <t>Debt Service Financing</t>
  </si>
  <si>
    <t>Total Debt Service</t>
  </si>
  <si>
    <t>Cash Flow</t>
  </si>
  <si>
    <t>Debt Coverage Ratio</t>
  </si>
  <si>
    <t>Cash Flow Financing</t>
  </si>
  <si>
    <t>Total Cash Flow Debt</t>
  </si>
  <si>
    <t>Remaining Cash Flow</t>
  </si>
  <si>
    <t>Rep. Reserve Sch</t>
  </si>
  <si>
    <t>Inflated Annual Needs from Capital Needs Assessment</t>
  </si>
  <si>
    <t>Starting Balance</t>
  </si>
  <si>
    <t>Annual Reserve Deposit from Property Cash Flow</t>
  </si>
  <si>
    <t>Balance After Reserve Deposit</t>
  </si>
  <si>
    <t>Withdrawals (Equal to Inflated Annual Needs)</t>
  </si>
  <si>
    <t>Interest Income</t>
  </si>
  <si>
    <t>Ending Balance</t>
  </si>
  <si>
    <t>Indicators of Reserve Inadequacy</t>
  </si>
  <si>
    <t>Project Summary</t>
  </si>
  <si>
    <t>RIH Program Type:</t>
  </si>
  <si>
    <t>Per Unit</t>
  </si>
  <si>
    <t>Per NRSF</t>
  </si>
  <si>
    <t>Permanent Loans</t>
  </si>
  <si>
    <t>Financing</t>
  </si>
  <si>
    <t>Equity</t>
  </si>
  <si>
    <t>Tax + Insurance</t>
  </si>
  <si>
    <t>Total Equity</t>
  </si>
  <si>
    <t>Grants</t>
  </si>
  <si>
    <t>Total Hard Costs incl. Contingency</t>
  </si>
  <si>
    <t>Year 1 Operating Expenses</t>
  </si>
  <si>
    <t>Total Grants</t>
  </si>
  <si>
    <t>per NRSF</t>
  </si>
  <si>
    <t>UNDERWRITER ASSUMPTIONS</t>
  </si>
  <si>
    <t>Mortgage (Yes or No)?</t>
  </si>
  <si>
    <t>Syndication Credit Detail:</t>
  </si>
  <si>
    <t>Risk Sharing (Yes or No)?</t>
  </si>
  <si>
    <t>Historic Credits (Yes or No)?</t>
  </si>
  <si>
    <t>First Year of Operations/Pro Forma Yr. 1</t>
  </si>
  <si>
    <t>Mortgage Interest Rate</t>
  </si>
  <si>
    <t>Number of Units (Total)</t>
  </si>
  <si>
    <t>Mortgage Term</t>
  </si>
  <si>
    <t>Type Detail</t>
  </si>
  <si>
    <t>LIHTC</t>
  </si>
  <si>
    <t>1 Bedroom</t>
  </si>
  <si>
    <t>Loan to Value</t>
  </si>
  <si>
    <t>2 Bedrooms</t>
  </si>
  <si>
    <t>Vacancy Rates</t>
  </si>
  <si>
    <t>3 Bedrooms</t>
  </si>
  <si>
    <t>Residential Market Rate</t>
  </si>
  <si>
    <t>4 Bedrooms</t>
  </si>
  <si>
    <t>Residential Affordable Rate</t>
  </si>
  <si>
    <t>5 Bedrooms</t>
  </si>
  <si>
    <t>Commercial Market Rate</t>
  </si>
  <si>
    <t>Totals by Type</t>
  </si>
  <si>
    <t>NH/Assisted/Congregate Market Rate</t>
  </si>
  <si>
    <t>Sources pie chart element</t>
  </si>
  <si>
    <t>RIH Mortgage</t>
  </si>
  <si>
    <t>Other Permanent Financing</t>
  </si>
  <si>
    <t>Other Loan</t>
  </si>
  <si>
    <t>Uses pie chart element</t>
  </si>
  <si>
    <t>Construction</t>
  </si>
  <si>
    <t>Credit Committee</t>
  </si>
  <si>
    <t>1. Summary of Changes from Preliminary Approval</t>
  </si>
  <si>
    <t xml:space="preserve">Underwriting Metrics </t>
  </si>
  <si>
    <t xml:space="preserve">Development Team </t>
  </si>
  <si>
    <t>Other Metrics</t>
  </si>
  <si>
    <t xml:space="preserve">Appraisal </t>
  </si>
  <si>
    <t>Variance</t>
  </si>
  <si>
    <t>Current UW</t>
  </si>
  <si>
    <t>Underwriting Metrics</t>
  </si>
  <si>
    <t>Development Team</t>
  </si>
  <si>
    <t>Rent Revenue - Gross Potential</t>
  </si>
  <si>
    <t>Rent Revenue - Commercial</t>
  </si>
  <si>
    <t>Metric</t>
  </si>
  <si>
    <t>Name</t>
  </si>
  <si>
    <t>City/State</t>
  </si>
  <si>
    <t>Risk Rating</t>
  </si>
  <si>
    <t>Breakeven Occupancy</t>
  </si>
  <si>
    <t>Minimum DSCR Occupancy</t>
  </si>
  <si>
    <t>NH/Asst Living Total Revenues</t>
  </si>
  <si>
    <t>Total Development Cost Per Unit</t>
  </si>
  <si>
    <t>Sponsor/Developer</t>
  </si>
  <si>
    <t>Operating Expenses</t>
  </si>
  <si>
    <t>Other Rent Revenue</t>
  </si>
  <si>
    <t>Residential Affordable Vacancy Rate</t>
  </si>
  <si>
    <t>Minimum DSCR</t>
  </si>
  <si>
    <t>Potential Gross Income</t>
  </si>
  <si>
    <t>DCR Year 1</t>
  </si>
  <si>
    <t>Minimum DSCR NOI</t>
  </si>
  <si>
    <t>DCR Year 15</t>
  </si>
  <si>
    <t>Gross Potential Rent</t>
  </si>
  <si>
    <t>Minimum DSCR Vacancy</t>
  </si>
  <si>
    <t>NOI</t>
  </si>
  <si>
    <t>Breakeven Vacancy %</t>
  </si>
  <si>
    <t>Minimum DSCR Occupied Units</t>
  </si>
  <si>
    <t>Rental Income Trending</t>
  </si>
  <si>
    <t>Breakeven Occupied Units</t>
  </si>
  <si>
    <t>Administrative Expenses</t>
  </si>
  <si>
    <t>Operating Expense Trending</t>
  </si>
  <si>
    <t>Utilities Expenses</t>
  </si>
  <si>
    <t>Ops. &amp; Maintenance Expenses</t>
  </si>
  <si>
    <t>Initial Installment (%) of syndication proceeds</t>
  </si>
  <si>
    <t>Taxes &amp; Insurance</t>
  </si>
  <si>
    <t>Acquisition Price equal to or less than Appraised value</t>
  </si>
  <si>
    <t>Requires manual input</t>
  </si>
  <si>
    <t>NH/Asst Living/Elderly Care</t>
  </si>
  <si>
    <t>Operating Reserve (Amt and confirm consistency with UW requirements)</t>
  </si>
  <si>
    <t>Replacement Reserve (Amt and confirm consistency with UW requirements)</t>
  </si>
  <si>
    <t>OPERATING EXPENSES</t>
  </si>
  <si>
    <t>Appraisal Cap Rate</t>
  </si>
  <si>
    <t>Valuation</t>
  </si>
  <si>
    <t>Loan Principal</t>
  </si>
  <si>
    <t>LTV</t>
  </si>
  <si>
    <t>3. Executive Summary - Sources and Uses</t>
  </si>
  <si>
    <t>Preliminary</t>
  </si>
  <si>
    <t>Firm</t>
  </si>
  <si>
    <t>Delta</t>
  </si>
  <si>
    <t>% change from Prelim to Firm</t>
  </si>
  <si>
    <t>Total Sources</t>
  </si>
  <si>
    <t>Operating Reserve</t>
  </si>
  <si>
    <t>Lease Up Reserve</t>
  </si>
  <si>
    <t>Replacement Reserve Year 1 Deposit</t>
  </si>
  <si>
    <t>Other Reserves</t>
  </si>
  <si>
    <t>Total Uses</t>
  </si>
  <si>
    <t>5. Underwriting</t>
  </si>
  <si>
    <t>Unit</t>
  </si>
  <si>
    <t>Rent Type</t>
  </si>
  <si>
    <t>Gross Rent</t>
  </si>
  <si>
    <t>Net Rent</t>
  </si>
  <si>
    <t>LIHTC Max Rent</t>
  </si>
  <si>
    <t>Discount from LIHTC Max Rent</t>
  </si>
  <si>
    <t>Gross Rent as a % of LIHTC Max Rent</t>
  </si>
  <si>
    <t>Gross Rent as a % of Gross MAX AMI Rent</t>
  </si>
  <si>
    <t>Underwriting Criteria Report</t>
  </si>
  <si>
    <t>All Criteria</t>
  </si>
  <si>
    <t>Program Bulletin / Underwriting Criteria Update</t>
  </si>
  <si>
    <t>General Underwriting</t>
  </si>
  <si>
    <t>Credit Committee metric</t>
  </si>
  <si>
    <t>1st category</t>
  </si>
  <si>
    <t>2nd category</t>
  </si>
  <si>
    <t>3rd category</t>
  </si>
  <si>
    <t>Benchmark</t>
  </si>
  <si>
    <t>Current</t>
  </si>
  <si>
    <t>Exceptions</t>
  </si>
  <si>
    <t>Exception Justification</t>
  </si>
  <si>
    <t>RI Housing Description</t>
  </si>
  <si>
    <t>Development Budget</t>
  </si>
  <si>
    <t>a</t>
  </si>
  <si>
    <t>b</t>
  </si>
  <si>
    <t>TDC Cap depends on Building type</t>
  </si>
  <si>
    <t>CC</t>
  </si>
  <si>
    <t>Total Development Cost Cap</t>
  </si>
  <si>
    <t>Note: Update this in "06_4_Scoring" tab</t>
  </si>
  <si>
    <t>High rise: 7.5% of total allowable construction cost. Low rise: 6% of total allowable construction cost. Rehab: 7.5%</t>
  </si>
  <si>
    <t>GU</t>
  </si>
  <si>
    <t>Architectural Fees</t>
  </si>
  <si>
    <t>High Rise</t>
  </si>
  <si>
    <t>Low Rise</t>
  </si>
  <si>
    <t>Rehab</t>
  </si>
  <si>
    <t>Clerk of the Works Contract</t>
  </si>
  <si>
    <t>Percent of the total allowable Construction Contract</t>
  </si>
  <si>
    <t>Preservation: a=Acquisition , b=Rehabilitation</t>
  </si>
  <si>
    <t>Single Site: a=0 to 2 bed units, b=3 bed or greater</t>
  </si>
  <si>
    <t>Scattered Site: a=0 to 2 bed units, b=3 bed or greater</t>
  </si>
  <si>
    <t>Legal Fees</t>
  </si>
  <si>
    <t>Development that are not syndicated</t>
  </si>
  <si>
    <t>Developments that will use tax credits</t>
  </si>
  <si>
    <t>First Mortgage Financing Fee</t>
  </si>
  <si>
    <t>First $5,000,000</t>
  </si>
  <si>
    <t>Thereafter</t>
  </si>
  <si>
    <t>Minimum if no first mortgage or if first mortgage is less than $1,000,000</t>
  </si>
  <si>
    <t>Tax Credit Allocation Fee</t>
  </si>
  <si>
    <t>4% Deal</t>
  </si>
  <si>
    <t>9% Deal</t>
  </si>
  <si>
    <t>Underwriting Fees</t>
  </si>
  <si>
    <t>If RIH is not permanent Lender and combined loan is up to $1,000,000</t>
  </si>
  <si>
    <t>If RIH is not permanent Lender and combined loan is up to $3,000,000</t>
  </si>
  <si>
    <t>If RIH is not permanent Lender and combined loan is up to $5,000,000</t>
  </si>
  <si>
    <t>Initial Deposit to Replacement Reserves</t>
  </si>
  <si>
    <r>
      <rPr>
        <b/>
        <sz val="12.5"/>
        <color theme="1"/>
        <rFont val="Garamond"/>
        <family val="1"/>
      </rPr>
      <t>New Construction:</t>
    </r>
    <r>
      <rPr>
        <sz val="12.5"/>
        <color theme="1"/>
        <rFont val="Garamond"/>
        <family val="1"/>
      </rPr>
      <t xml:space="preserve"> 6 months DS &amp; 6 Months OpEx
</t>
    </r>
    <r>
      <rPr>
        <b/>
        <sz val="12.5"/>
        <color theme="1"/>
        <rFont val="Garamond"/>
        <family val="1"/>
      </rPr>
      <t>Preservation:</t>
    </r>
    <r>
      <rPr>
        <sz val="12.5"/>
        <color theme="1"/>
        <rFont val="Garamond"/>
        <family val="1"/>
      </rPr>
      <t xml:space="preserve"> 6 months DS &amp; 6 Months OpEx (excluding deposit to RR)</t>
    </r>
  </si>
  <si>
    <t>Initial Deposit to Operating Reserves</t>
  </si>
  <si>
    <t>New Construction: 6 months of DS and 6 months of OpEx</t>
  </si>
  <si>
    <t>Initial Deposit to Tax Escrow</t>
  </si>
  <si>
    <t>Months of Estimated Tax payment</t>
  </si>
  <si>
    <t xml:space="preserve">Initial Deposit to Insurance Escrow </t>
  </si>
  <si>
    <t>Months of Estimated Insurance payment</t>
  </si>
  <si>
    <t>Less than 8% of Gross Potential Rent</t>
  </si>
  <si>
    <t>Income &amp; Expenses</t>
  </si>
  <si>
    <t>Operating Expense PUPA Range</t>
  </si>
  <si>
    <t>Minimum</t>
  </si>
  <si>
    <t>Maximum</t>
  </si>
  <si>
    <t>If total units is larger than 61</t>
  </si>
  <si>
    <t>If total units is larger than 41</t>
  </si>
  <si>
    <t>If total units is 40 or less</t>
  </si>
  <si>
    <t>Lower end</t>
  </si>
  <si>
    <t>Higher end</t>
  </si>
  <si>
    <t>Standard</t>
  </si>
  <si>
    <t>Reserves for Replacement PUPA</t>
  </si>
  <si>
    <t>Income Trending</t>
  </si>
  <si>
    <t>Expense Trending</t>
  </si>
  <si>
    <t>Trending Spread</t>
  </si>
  <si>
    <t>Differential between Income and Expense</t>
  </si>
  <si>
    <t>Loan Sizing</t>
  </si>
  <si>
    <t>Maximum LTV for first mortgage</t>
  </si>
  <si>
    <t>A minimum of 115% debt coverage is required on the first mortgage for 9% deals.  
Tax exempt bond financed developments will be underwritten at debt coverage of 120% with risk analysis enabling a higher or lower coverage ratio.  
Assisted Living Developments will be underwritten at higher ratios depending upon risk.</t>
  </si>
  <si>
    <t>DSCR Year 1</t>
  </si>
  <si>
    <t>4% Deal and other deal types</t>
  </si>
  <si>
    <t>A minimum of 115% debt coverage is required on year 15.</t>
  </si>
  <si>
    <t>DSCR Year 15</t>
  </si>
  <si>
    <t>Any deal type</t>
  </si>
  <si>
    <t xml:space="preserve">50% Test Estimate </t>
  </si>
  <si>
    <t>Construction Loan within parameters</t>
  </si>
  <si>
    <t>If RIH is Construction Loan lender</t>
  </si>
  <si>
    <t>Additional Metrics</t>
  </si>
  <si>
    <t>Initial installment of syndication</t>
  </si>
  <si>
    <t>Percentage of Developer Fee paid at closing</t>
  </si>
  <si>
    <t>Allowable paid at closing</t>
  </si>
  <si>
    <t>Acquisition Price no greater than the appraised value</t>
  </si>
  <si>
    <t>Text - Dollar</t>
  </si>
  <si>
    <t>Text - Percentage</t>
  </si>
  <si>
    <t>0.0%</t>
  </si>
  <si>
    <t>Total Development Cost</t>
  </si>
  <si>
    <t>Rhode Island Housing</t>
  </si>
  <si>
    <t>NOTES</t>
  </si>
  <si>
    <t>Subsidy Layering Analysis</t>
  </si>
  <si>
    <t>FILL IN PROJECT NAME</t>
  </si>
  <si>
    <t>FILL IN GREEN CELLS</t>
  </si>
  <si>
    <t>B. Subsidy Layering</t>
  </si>
  <si>
    <t>Actual</t>
  </si>
  <si>
    <t>No Identity of Interest</t>
  </si>
  <si>
    <t>Identity of Interest</t>
  </si>
  <si>
    <t>Standard #1 - calculate based on construction amount and corresponding fees</t>
  </si>
  <si>
    <t>1.</t>
  </si>
  <si>
    <t>Standard #1:</t>
  </si>
  <si>
    <t>HUD Calculation</t>
  </si>
  <si>
    <t>Alternative</t>
  </si>
  <si>
    <t>HUD BSPRA</t>
  </si>
  <si>
    <t>Builder's Profit</t>
  </si>
  <si>
    <r>
      <t>HUD Calculation</t>
    </r>
    <r>
      <rPr>
        <sz val="10"/>
        <rFont val="Times New Roman"/>
        <family val="1"/>
      </rPr>
      <t xml:space="preserve"> - this calculation is the same as the Alternative which are RIH max limits per handbook</t>
    </r>
  </si>
  <si>
    <t>Builder's Overhead</t>
  </si>
  <si>
    <t>NA</t>
  </si>
  <si>
    <t>General Requirements</t>
  </si>
  <si>
    <r>
      <t>BSPRA</t>
    </r>
    <r>
      <rPr>
        <sz val="10"/>
        <rFont val="Times New Roman"/>
        <family val="1"/>
      </rPr>
      <t xml:space="preserve"> - NA unless there is an Identity of interest between borrower and contractor</t>
    </r>
  </si>
  <si>
    <t>Safe Harbor</t>
  </si>
  <si>
    <r>
      <t xml:space="preserve">SPRA </t>
    </r>
    <r>
      <rPr>
        <sz val="10"/>
        <rFont val="Times New Roman"/>
        <family val="1"/>
      </rPr>
      <t>- 10% of TDC</t>
    </r>
  </si>
  <si>
    <t>2.</t>
  </si>
  <si>
    <t>Standard #2:</t>
  </si>
  <si>
    <r>
      <t xml:space="preserve">Ceiling Standard </t>
    </r>
    <r>
      <rPr>
        <sz val="10"/>
        <rFont val="Arial"/>
        <family val="2"/>
      </rPr>
      <t>- 15% of TDC</t>
    </r>
  </si>
  <si>
    <t>Sponsor's Profit</t>
  </si>
  <si>
    <t>SPRA</t>
  </si>
  <si>
    <t>5% acq &amp;</t>
  </si>
  <si>
    <t>10% rehab/sc</t>
  </si>
  <si>
    <t>Ceiling Standard</t>
  </si>
  <si>
    <t>3.</t>
  </si>
  <si>
    <t>Standard #3:</t>
  </si>
  <si>
    <t>Public</t>
  </si>
  <si>
    <t>Private</t>
  </si>
  <si>
    <t>Syndication Expenses</t>
  </si>
  <si>
    <t>If No LIHTC, then NA</t>
  </si>
  <si>
    <t>4.</t>
  </si>
  <si>
    <t>Standard #4:</t>
  </si>
  <si>
    <t>Market Rate Assumption</t>
  </si>
  <si>
    <t>General Contractor Fees per Section 9</t>
  </si>
  <si>
    <t>Construction Value</t>
  </si>
  <si>
    <t>Gen. Requirements</t>
  </si>
  <si>
    <t>Overhead</t>
  </si>
  <si>
    <t>Profit</t>
  </si>
  <si>
    <t>Up to $1MM</t>
  </si>
  <si>
    <t>$1 - 2MM</t>
  </si>
  <si>
    <t>$2-3MM</t>
  </si>
  <si>
    <t>$3-4MM</t>
  </si>
  <si>
    <t>$4-4MM</t>
  </si>
  <si>
    <t>Over $5MM</t>
  </si>
  <si>
    <t>SOURCES AND USES STATEMENT</t>
  </si>
  <si>
    <t>Project Sources</t>
  </si>
  <si>
    <t>Debt Sources</t>
  </si>
  <si>
    <t>HUD Maximum Insurable Mortgage</t>
  </si>
  <si>
    <t>Other Loans (Specify)</t>
  </si>
  <si>
    <t>Existing Operating Reserve</t>
  </si>
  <si>
    <t>Existing Replacement Reserves</t>
  </si>
  <si>
    <t>Any other debt-related other government assistance (specify)</t>
  </si>
  <si>
    <t>SUBTOTAL DEBT</t>
  </si>
  <si>
    <t>Equity Sources:</t>
  </si>
  <si>
    <t>Grants available for project uses</t>
  </si>
  <si>
    <t>Estimated net syndication proceeds (LIHTC Only)</t>
  </si>
  <si>
    <t>Additional newly required sponsor equity contribution/Non LIHTC:</t>
  </si>
  <si>
    <t>Existing Reserves</t>
  </si>
  <si>
    <t>SUBTOTAL EQUITY</t>
  </si>
  <si>
    <t>TOTAL PROJECT SOURCES</t>
  </si>
  <si>
    <t>Project Uses:</t>
  </si>
  <si>
    <t>Mortgageable Replacement Cost Uses</t>
  </si>
  <si>
    <t>Estimated cost including builder and developers overhead &amp; profit</t>
  </si>
  <si>
    <t>Estimated cost excluding builder and developer's overhead &amp; profit</t>
  </si>
  <si>
    <t>HCA Elected FHA Mortgageable Replacement Costs Uses</t>
  </si>
  <si>
    <t>(Use one of the two estimates above in accordance with alternative</t>
  </si>
  <si>
    <t>.</t>
  </si>
  <si>
    <t>Funding election)</t>
  </si>
  <si>
    <r>
      <t xml:space="preserve">Non-Mortgage Uses </t>
    </r>
    <r>
      <rPr>
        <i/>
        <sz val="10"/>
        <rFont val="Arial"/>
        <family val="2"/>
      </rPr>
      <t>(Uses payable by sources other than the mortgage)</t>
    </r>
  </si>
  <si>
    <t>RIH fees (LIHTC cases)</t>
  </si>
  <si>
    <t>Resident Initiative Fund</t>
  </si>
  <si>
    <t>Working Capital Reserve (or LC costs)</t>
  </si>
  <si>
    <t>Additional working capital req. over 2 percent</t>
  </si>
  <si>
    <t>Operating deficit reserve (or LC costs)</t>
  </si>
  <si>
    <t>Additional rent reserves:  Replacement Reserve</t>
  </si>
  <si>
    <t>Alternative builders profit</t>
  </si>
  <si>
    <t>Alternative Developer's fee</t>
  </si>
  <si>
    <t>Off site costs (lime M17, Form HUD 92264)</t>
  </si>
  <si>
    <t>Demolition Costs</t>
  </si>
  <si>
    <t>Tangible personal property, furnishings and fixtures</t>
  </si>
  <si>
    <t>Other (specify)</t>
  </si>
  <si>
    <t>SUBTOTAL NON-MORTGAGEABLE USES</t>
  </si>
  <si>
    <t>TOTAL PROJECT USES</t>
  </si>
  <si>
    <t>SYNDICATION AND ALLOCATION INFORMATION</t>
  </si>
  <si>
    <t>A. Allocation Calculation</t>
  </si>
  <si>
    <t>1. Gap filler proceeds necessary (from S &amp; U)</t>
  </si>
  <si>
    <t>2. Market derived rate assumed</t>
  </si>
  <si>
    <t>3. Maximum allocation (1 divided by 2)</t>
  </si>
  <si>
    <t>4. Actual allocation (e.g., may be limited by other criteria such as</t>
  </si>
  <si>
    <t xml:space="preserve">    actual cost calculation)</t>
  </si>
  <si>
    <t>B. Syndication Expenses</t>
  </si>
  <si>
    <t>1. Account's fee</t>
  </si>
  <si>
    <t>2. Syndicator's fee</t>
  </si>
  <si>
    <t>3. Attorney's fee</t>
  </si>
  <si>
    <t>4. Organizational expenses</t>
  </si>
  <si>
    <t>5. Syndicators required reserves</t>
  </si>
  <si>
    <t>6. Other    (specify)</t>
  </si>
  <si>
    <t>7. Other    (specify)</t>
  </si>
  <si>
    <t>8. Syndication expenses total (sum of B1 through B7)</t>
  </si>
  <si>
    <t>9. Gross proceeds (sum total of face amounts acceptable)</t>
  </si>
  <si>
    <t>10.Line 8 divided by line 9</t>
  </si>
  <si>
    <t>C. Bridge Loan/Net Present Value Analysis</t>
  </si>
  <si>
    <t>1. Bridge loan costs including interest</t>
  </si>
  <si>
    <t>1a.Bridge loan rate</t>
  </si>
  <si>
    <t>2. Compounding rate (as required by HCA for "early" installments</t>
  </si>
  <si>
    <t>3. Discounting rate (for "late" installments)</t>
  </si>
  <si>
    <t>4. Net Present Value of net syndication proceeds (as of PIS date)</t>
  </si>
  <si>
    <t>D. Reconciliation</t>
  </si>
  <si>
    <t>1. C4 divided by A1</t>
  </si>
  <si>
    <t>2. If D1 is greater than 100%, the HCA has reduced or will reduce the Reservation/Allocation of LIHTCs</t>
  </si>
  <si>
    <t xml:space="preserve">   as follows:</t>
  </si>
  <si>
    <t xml:space="preserve">3. If D1 is less than 100%, does the sponsor show sufficient working capital to fund the difference and </t>
  </si>
  <si>
    <t>proceed to closing, and if not, what are the HCA's intentions? (e.g., increase the allocation)</t>
  </si>
  <si>
    <t>Form HUD 92664</t>
  </si>
  <si>
    <t>Estimated Replacement Costs</t>
  </si>
  <si>
    <t>36a</t>
  </si>
  <si>
    <t>Unusual Land Improvements</t>
  </si>
  <si>
    <t>36b</t>
  </si>
  <si>
    <t>Other Land Improvments</t>
  </si>
  <si>
    <t>36c</t>
  </si>
  <si>
    <t>Total Land Improvements</t>
  </si>
  <si>
    <t>STRUCTURES</t>
  </si>
  <si>
    <t>Main Building</t>
  </si>
  <si>
    <t>Accessory building</t>
  </si>
  <si>
    <t>Garages</t>
  </si>
  <si>
    <t>All Other buildings</t>
  </si>
  <si>
    <t>Total Structures</t>
  </si>
  <si>
    <t>FEES</t>
  </si>
  <si>
    <t>Builders Gen. Overhead -______%</t>
  </si>
  <si>
    <t>Builders Profit - _______%</t>
  </si>
  <si>
    <t>Arch. Fee - Design</t>
  </si>
  <si>
    <t>Arch Fee - Supervision</t>
  </si>
  <si>
    <t>TOTAL FEES</t>
  </si>
  <si>
    <t>Total All Improvements (36c,41,42,49)</t>
  </si>
  <si>
    <t>Cost per Sq. Ft</t>
  </si>
  <si>
    <t>Estimated Construction Time</t>
  </si>
  <si>
    <t>CARRYING CHARGES &amp; FINANCING</t>
  </si>
  <si>
    <t>Int___Mos____@_____%</t>
  </si>
  <si>
    <t>on $_____________</t>
  </si>
  <si>
    <t>Taxes</t>
  </si>
  <si>
    <t>Insurance</t>
  </si>
  <si>
    <t>FHA Ins. Premium (.5%)</t>
  </si>
  <si>
    <t>FHA Exam Fee</t>
  </si>
  <si>
    <t>FHA Insp. Fee</t>
  </si>
  <si>
    <t>Financing Fee</t>
  </si>
  <si>
    <t>AMPO</t>
  </si>
  <si>
    <t>FNMA/GNMA Fee</t>
  </si>
  <si>
    <t>Title Recording</t>
  </si>
  <si>
    <t>TOTAL CARRYING CHGS/FINANC</t>
  </si>
  <si>
    <t>LEGAL, ORG, AUDIT FEE</t>
  </si>
  <si>
    <t>Organization</t>
  </si>
  <si>
    <t>Cost Certification/Audit Fee</t>
  </si>
  <si>
    <t>TOTAL LEGAL/ORG/AUDIT FEES</t>
  </si>
  <si>
    <t>Builder and Sponsor Profit &amp; Risk</t>
  </si>
  <si>
    <t>Consultant Fee</t>
  </si>
  <si>
    <t>Supplemental Management Fund</t>
  </si>
  <si>
    <t>Contingency reserve (10%</t>
  </si>
  <si>
    <t>TOTAL EST. DEV'T COST</t>
  </si>
  <si>
    <t>Standard Method, Cost Allocation Worksheet</t>
  </si>
  <si>
    <t>Project Address:</t>
  </si>
  <si>
    <t>See instructions in several columns to the right →</t>
  </si>
  <si>
    <t>Date of Review:</t>
  </si>
  <si>
    <t>Step 1: Determine Comparability, Select Method of Cost Allocation</t>
  </si>
  <si>
    <t>Gross Residential Sq. Ft.</t>
  </si>
  <si>
    <t>Step 2: Proposed HOME Investment</t>
  </si>
  <si>
    <t>Proposed Home Investment</t>
  </si>
  <si>
    <t>Step 3: Calculate Actual Cost of HOME Units</t>
  </si>
  <si>
    <t>Ineligible HOME Costs</t>
  </si>
  <si>
    <t>Unit-Specific Upgrades</t>
  </si>
  <si>
    <t>Relocation Costs</t>
  </si>
  <si>
    <t>Assign Relocation Exclusively to HOME Units?</t>
  </si>
  <si>
    <t>Base Project Cost</t>
  </si>
  <si>
    <t>Base Cost/Sq. Ft.</t>
  </si>
  <si>
    <t>Assign Units - Each HOME unit gets its own line below</t>
  </si>
  <si>
    <t>Description/Notes</t>
  </si>
  <si>
    <t>No. of BRs</t>
  </si>
  <si>
    <t>Sq. Ft.</t>
  </si>
  <si>
    <t>Ind. Unit Cost</t>
  </si>
  <si>
    <t>Right click and unhide lines 20-29 to open additional rows as needed.</t>
  </si>
  <si>
    <t>Subtotal of HOME Unit Costs</t>
  </si>
  <si>
    <t>Relocation costs allocated exclusively to HOME Units (if applicable)</t>
  </si>
  <si>
    <t>Actual Cost of HOME Units</t>
  </si>
  <si>
    <t>Step 4: Calculate Maximum Project Subsidy</t>
  </si>
  <si>
    <t># of Units</t>
  </si>
  <si>
    <t>Unit Size</t>
  </si>
  <si>
    <t>Max. Subsidy/Unit*</t>
  </si>
  <si>
    <t>Maximum Subsidy by Unit Size</t>
  </si>
  <si>
    <t>0 Bedroom/Efficiency</t>
  </si>
  <si>
    <t>2 Bedroom</t>
  </si>
  <si>
    <t>3 Bedroom</t>
  </si>
  <si>
    <t>4 Bedroom</t>
  </si>
  <si>
    <t>Maximum Project Subsidy</t>
  </si>
  <si>
    <t>Step 5: Maximum HOME Investment, lesser of</t>
  </si>
  <si>
    <t>Proposed Investment (Gap) (from Step 2)</t>
  </si>
  <si>
    <t>Actual Cost of HOME Units (from Step 3)</t>
  </si>
  <si>
    <t>Maximum Project Subsidy (from Step 4)</t>
  </si>
  <si>
    <t>Maximum HOME Investment</t>
  </si>
  <si>
    <t>*Updated effective 6/4/2018</t>
  </si>
  <si>
    <t>TCATrigger</t>
  </si>
  <si>
    <t>Urban</t>
  </si>
  <si>
    <t>Up to 4 story building with elevator</t>
  </si>
  <si>
    <t>4 or 5 story building with elevator</t>
  </si>
  <si>
    <t>Or is this Base Entity Type (Assoc TC Deal&gt;Deal Owner)?</t>
  </si>
  <si>
    <t>Actuals</t>
  </si>
  <si>
    <t>TCA = 4%</t>
  </si>
  <si>
    <t>=IF(TCATrigger="No","",IF(FourPercentTrigger="No","",</t>
  </si>
  <si>
    <t>New grid herre</t>
  </si>
  <si>
    <t>Map to Laundry facilities</t>
  </si>
  <si>
    <t>Map under the Property Amenities (Deal Property) Amenities</t>
  </si>
  <si>
    <t>Current Stage - Target Type</t>
  </si>
  <si>
    <t>Current Stage - Bldg Alloc Type</t>
  </si>
  <si>
    <t>Current Stage - Construction Type</t>
  </si>
  <si>
    <t>Current Stage - Census Tract</t>
  </si>
  <si>
    <t>Current Stage - Building Type</t>
  </si>
  <si>
    <t>Current Stage - Num Buildings</t>
  </si>
  <si>
    <t>Current Stage - Num Proposed Parking Spaces</t>
  </si>
  <si>
    <t>Current Stage - Has Rental Assistance</t>
  </si>
  <si>
    <t>Current Stage - Debt Coverage Year 1</t>
  </si>
  <si>
    <t>Current Stage - Commercial Sq Feet</t>
  </si>
  <si>
    <t>Current Stage = Total Res Heated Sq Ft</t>
  </si>
  <si>
    <t>Current Stage -Total Floor Sq Feet</t>
  </si>
  <si>
    <t>Current Stage - Has Laundry</t>
  </si>
  <si>
    <t>Need some clarification</t>
  </si>
  <si>
    <t>CALCULATIONS</t>
  </si>
  <si>
    <t>MOVED</t>
  </si>
  <si>
    <t>Acquisition/Rehab</t>
  </si>
  <si>
    <t>Existing</t>
  </si>
  <si>
    <t>Adaptive Reuse</t>
  </si>
  <si>
    <t>New Construction/Adaptive Reuse</t>
  </si>
  <si>
    <t>Multiple Buildings</t>
  </si>
  <si>
    <t>Single Building</t>
  </si>
  <si>
    <t>List</t>
  </si>
  <si>
    <t>rng02_4_Uses_TotalDevCosts</t>
  </si>
  <si>
    <t>Other Comments Mapping</t>
  </si>
  <si>
    <t>Counts</t>
  </si>
  <si>
    <t>Comments</t>
  </si>
  <si>
    <t>unmap</t>
  </si>
  <si>
    <t>Gen Data Info</t>
  </si>
  <si>
    <t>Seq Location</t>
  </si>
  <si>
    <t>T/F</t>
  </si>
  <si>
    <t>Comments Mapping</t>
  </si>
  <si>
    <t>Flag Mapping</t>
  </si>
  <si>
    <t>Number of Bedroom</t>
  </si>
  <si>
    <t>Done</t>
  </si>
  <si>
    <t>I unmapped and mapped in the table below for Laundry Common Area</t>
  </si>
  <si>
    <t>Permanent</t>
  </si>
  <si>
    <t>Subsidized Funding</t>
  </si>
  <si>
    <t>Grant</t>
  </si>
  <si>
    <t>Total Units Prop</t>
  </si>
  <si>
    <t>HOME</t>
  </si>
  <si>
    <t>Forced Hot Split System with AC</t>
  </si>
  <si>
    <t>1 BR</t>
  </si>
  <si>
    <t>2 BR</t>
  </si>
  <si>
    <t>3 BR</t>
  </si>
  <si>
    <t>4 BR</t>
  </si>
  <si>
    <t>5 BR</t>
  </si>
  <si>
    <t>Tax Credit Allocation Fee: Typ $0</t>
  </si>
  <si>
    <t>Other Assistance</t>
  </si>
  <si>
    <t>Housing Production Fund</t>
  </si>
  <si>
    <t>Middle Income Program</t>
  </si>
  <si>
    <t>Community Revitalization</t>
  </si>
  <si>
    <t>HOME-ARP</t>
  </si>
  <si>
    <t>ARPA Production Fund</t>
  </si>
  <si>
    <t>Number of Lines needed</t>
  </si>
  <si>
    <t>changed D23 to subtract just RE taxes (not taxes and insurance)</t>
  </si>
  <si>
    <t>Electronic Heat Pumps</t>
  </si>
  <si>
    <t>2 P/12NC</t>
  </si>
  <si>
    <t>4 or 5 Story Stick Built on Podium Parking</t>
  </si>
  <si>
    <t>Garden Style Apartment Up to 3 Stories (no elevator)</t>
  </si>
  <si>
    <t>New Production - NC</t>
  </si>
  <si>
    <t>New Production - Rehab</t>
  </si>
  <si>
    <t>Preservation (FFB)</t>
  </si>
  <si>
    <t>Preservation/NC</t>
  </si>
  <si>
    <t>Single Family Homeownership</t>
  </si>
  <si>
    <t>Small Rental</t>
  </si>
  <si>
    <t>Up to 4 Story Building with Elevator</t>
  </si>
  <si>
    <t>Under Owner Costs</t>
  </si>
  <si>
    <t>Additional Soft Costs</t>
  </si>
  <si>
    <t>Additional Financing Costs</t>
  </si>
  <si>
    <t>Additional Reserve Costs</t>
  </si>
  <si>
    <t>Additional Reserves Costs</t>
  </si>
  <si>
    <t>4% LIHTC</t>
  </si>
  <si>
    <t>9% LIHTC</t>
  </si>
  <si>
    <t>Acquisition Revialization Program (ARP)</t>
  </si>
  <si>
    <t>Construction Financing</t>
  </si>
  <si>
    <t>Permanent Financing</t>
  </si>
  <si>
    <t>State ARPA</t>
  </si>
  <si>
    <t>Tax Exempt Bonds</t>
  </si>
  <si>
    <t>Workforce Housing Fund</t>
  </si>
  <si>
    <t>Rollover Debt</t>
  </si>
  <si>
    <t>811</t>
  </si>
  <si>
    <t>Affordable Housing Trust</t>
  </si>
  <si>
    <t>Neighborhood Stabilization Program (NSP)</t>
  </si>
  <si>
    <t>Rhode Island Rebounds</t>
  </si>
  <si>
    <t>ProLink Mapping Tab</t>
  </si>
  <si>
    <t>Deal Name:</t>
  </si>
  <si>
    <t>DEV Deal Number:</t>
  </si>
  <si>
    <t>HFA Number:</t>
  </si>
  <si>
    <t>Section 5</t>
  </si>
  <si>
    <t>Fund Sources and Loan Sizing (Tab: 02_3_Sources)</t>
  </si>
  <si>
    <t>TCA Deal Number:</t>
  </si>
  <si>
    <t>B9</t>
  </si>
  <si>
    <t>B10</t>
  </si>
  <si>
    <t>B11</t>
  </si>
  <si>
    <t>B12</t>
  </si>
  <si>
    <t>B13</t>
  </si>
  <si>
    <t>B14</t>
  </si>
  <si>
    <t>B15</t>
  </si>
  <si>
    <t>B16</t>
  </si>
  <si>
    <t>B17</t>
  </si>
  <si>
    <t>B18</t>
  </si>
  <si>
    <t>B19</t>
  </si>
  <si>
    <t>B20</t>
  </si>
  <si>
    <t>B21</t>
  </si>
  <si>
    <t>B22</t>
  </si>
  <si>
    <t>Range Name</t>
  </si>
  <si>
    <t>rng02_Sources_Debt3</t>
  </si>
  <si>
    <t>rng02_Sources_Debt1</t>
  </si>
  <si>
    <t>rng02_Sources_Debt2</t>
  </si>
  <si>
    <t>rng02_Sources_Debt4</t>
  </si>
  <si>
    <t>rng02_Sources_Debt5</t>
  </si>
  <si>
    <t>rng02_Sources_Debt6</t>
  </si>
  <si>
    <t>rng02_Sources_Debt7</t>
  </si>
  <si>
    <t>rng02_Sources_Debt8</t>
  </si>
  <si>
    <t>rng02_Sources_Debt9</t>
  </si>
  <si>
    <t>rng02_Sources_Debt10</t>
  </si>
  <si>
    <t>rng02_Sources_Debt11</t>
  </si>
  <si>
    <t>rng02_Sources_Debt12</t>
  </si>
  <si>
    <t>rng02_Sources_Debt13</t>
  </si>
  <si>
    <t>rng02_Sources_Debt14</t>
  </si>
  <si>
    <t>Debt</t>
  </si>
  <si>
    <t>Annual Debt Service</t>
  </si>
  <si>
    <t>B27</t>
  </si>
  <si>
    <t>B28</t>
  </si>
  <si>
    <t>B29</t>
  </si>
  <si>
    <t>B30</t>
  </si>
  <si>
    <t>B31</t>
  </si>
  <si>
    <t>B36</t>
  </si>
  <si>
    <t>B37</t>
  </si>
  <si>
    <t>B38</t>
  </si>
  <si>
    <t>B39</t>
  </si>
  <si>
    <t>B40</t>
  </si>
  <si>
    <t>Source Type</t>
  </si>
  <si>
    <t>Source</t>
  </si>
  <si>
    <t>Other Equity</t>
  </si>
  <si>
    <t>Other Source 2</t>
  </si>
  <si>
    <t>Other Source 3</t>
  </si>
  <si>
    <t>Other Source 4</t>
  </si>
  <si>
    <t>Other Source 5</t>
  </si>
  <si>
    <t>Other Source</t>
  </si>
  <si>
    <t>rng02_Sources_Equiy_FedHistTaxCredProceeds_Tot</t>
  </si>
  <si>
    <t>rng02_Sources_Equity_LIHTCProceeds_Tot</t>
  </si>
  <si>
    <t>rng02_Sources_Equity_GenPartCap_Tot</t>
  </si>
  <si>
    <t>rng02_Sources_Equity_StateHistTCProceeds_Tot</t>
  </si>
  <si>
    <t>rng02_Sources_Equity_Other_Tot</t>
  </si>
  <si>
    <t>ProLink Mapping</t>
  </si>
  <si>
    <t>DEV Funding Sources</t>
  </si>
  <si>
    <t>Funding Source</t>
  </si>
  <si>
    <t>Term (Months)</t>
  </si>
  <si>
    <t>TC Property Financing</t>
  </si>
  <si>
    <t>Loan Term (Months)</t>
  </si>
  <si>
    <t>Energy Grant</t>
  </si>
  <si>
    <t>Housing Fund</t>
  </si>
  <si>
    <t>Housing Program</t>
  </si>
  <si>
    <t>Loan Program</t>
  </si>
  <si>
    <t>NONE</t>
  </si>
  <si>
    <t>Other Programs</t>
  </si>
  <si>
    <t>Special Programs</t>
  </si>
  <si>
    <t>Subsidy Program</t>
  </si>
  <si>
    <t>Deferred Development Fee</t>
  </si>
  <si>
    <t>Only if RIHousing is not the permanent senior lender.</t>
  </si>
  <si>
    <t>Updated Developer Fee</t>
  </si>
  <si>
    <t>RIHousing Underwriting Guidelines</t>
  </si>
  <si>
    <t>updated building TDC's</t>
  </si>
  <si>
    <t>DAH-2</t>
  </si>
  <si>
    <t>PHA Production Fund</t>
  </si>
  <si>
    <t>Third Party Senior Lender</t>
  </si>
  <si>
    <t>ERA 2</t>
  </si>
  <si>
    <t>TOD Fund</t>
  </si>
  <si>
    <t>Priority Projects Fund</t>
  </si>
  <si>
    <t>HPF-ELI</t>
  </si>
  <si>
    <t>Operating Subsidy</t>
  </si>
  <si>
    <t>Program Information</t>
  </si>
  <si>
    <t>Program Award</t>
  </si>
  <si>
    <t>HPF-ELI Unit Commitment</t>
  </si>
  <si>
    <t>Total HPF-ELI Units</t>
  </si>
  <si>
    <t>Total HPF-ELI 30% Units</t>
  </si>
  <si>
    <t>Total 30% HPF-ELI Units</t>
  </si>
  <si>
    <t>HPF-ELI Program Information</t>
  </si>
  <si>
    <t>06_8_Operating Subsidy</t>
  </si>
  <si>
    <t>Federal Earmark</t>
  </si>
  <si>
    <t>[DO Enters]</t>
  </si>
  <si>
    <t>Stabilization date should correspond with the amortization start date on the Sources page</t>
  </si>
  <si>
    <t>Edit DEV Deal UDF's</t>
  </si>
  <si>
    <t>RS Premium = .00125 of Sr. Loan</t>
  </si>
  <si>
    <t>Use 1.5% as a Placeholder for RIH bond issuance</t>
  </si>
  <si>
    <t>NOAH</t>
  </si>
  <si>
    <t>Total Unit Count</t>
  </si>
  <si>
    <t>STATE TAX CREDIT TOTALS</t>
  </si>
  <si>
    <t>FEDERAL TAX CREDIT TOTALS</t>
  </si>
  <si>
    <t>STATE LIHTC</t>
  </si>
  <si>
    <t>Five Year Totals</t>
  </si>
  <si>
    <t>State 4% LIHTC</t>
  </si>
  <si>
    <t>RIH-ELI</t>
  </si>
  <si>
    <t>RIH-ELI Unit Commitment</t>
  </si>
  <si>
    <t>Total 30% RIH-ELI Units</t>
  </si>
  <si>
    <t>Total RIH-ELI Units</t>
  </si>
  <si>
    <t>RIH-ELI Program Information</t>
  </si>
  <si>
    <t>AMI %</t>
  </si>
  <si>
    <t>Market Unit</t>
  </si>
  <si>
    <t>Tenant Status</t>
  </si>
  <si>
    <t>Tenants in Units at Closing</t>
  </si>
  <si>
    <t>Tenants Not in Units at Closing</t>
  </si>
  <si>
    <t>FOR CURRENT UTILITY ALLOWANCES PLEASE GO TO WWW.RIHOUSING.COM OR CONTACT THE DEVELOPMENT DIVISION</t>
  </si>
  <si>
    <t>Total Number of Units</t>
  </si>
  <si>
    <t>All telephone numbers listed below must consist of ten (10) digits.</t>
  </si>
  <si>
    <t>Zip Code (five digits only)</t>
  </si>
  <si>
    <t>Adaptable Units</t>
  </si>
  <si>
    <t>Accessible Units</t>
  </si>
  <si>
    <t>Accessibility &amp; Adaptability</t>
  </si>
  <si>
    <t>State LIHTC proceeds</t>
  </si>
  <si>
    <t>Cashflow from Operations</t>
  </si>
  <si>
    <t xml:space="preserve">RI Rebuild </t>
  </si>
  <si>
    <t>Refer to D&amp;C Standards for Adaptable standards</t>
  </si>
  <si>
    <t>Preservation Units</t>
  </si>
  <si>
    <t>State LIHTC</t>
  </si>
  <si>
    <t>New Construction and Preservation</t>
  </si>
  <si>
    <t>Total RIH-ELI 30% Units</t>
  </si>
  <si>
    <t xml:space="preserve">The lease-up date must be filled in to populate the absorption schedule correctly. </t>
  </si>
  <si>
    <t>Updated with HUD Datea for 2025 on May 20, 2025</t>
  </si>
  <si>
    <t>Permanent Supportive Housing</t>
  </si>
  <si>
    <t>811 Unit Commitment</t>
  </si>
  <si>
    <t>Other PSH Program</t>
  </si>
  <si>
    <t>Provider Name</t>
  </si>
  <si>
    <t>Provider Address</t>
  </si>
  <si>
    <t>Provider City, State, Zip</t>
  </si>
  <si>
    <t>Provider Contact Phone</t>
  </si>
  <si>
    <t>Provider Contact E-mail</t>
  </si>
  <si>
    <t>Provider Contact Name</t>
  </si>
  <si>
    <t>Total 811 30% Units</t>
  </si>
  <si>
    <t>Total 811 Units</t>
  </si>
  <si>
    <t>811 Service Provider</t>
  </si>
  <si>
    <t xml:space="preserve">TCA </t>
  </si>
  <si>
    <t>DEV</t>
  </si>
  <si>
    <t>PP</t>
  </si>
  <si>
    <t>Deed Restricted</t>
  </si>
  <si>
    <t>Boolean</t>
  </si>
  <si>
    <t>Deal Stage Status</t>
  </si>
  <si>
    <t>Pre-Pipeline - Active</t>
  </si>
  <si>
    <t>Pre-Pipeline - Dead</t>
  </si>
  <si>
    <t>Intake - Active</t>
  </si>
  <si>
    <t>Intake - Dead</t>
  </si>
  <si>
    <t>Intake - On Hold</t>
  </si>
  <si>
    <t>B/ED Approval Request - Completed</t>
  </si>
  <si>
    <t>B/ED Approval Request - Dead</t>
  </si>
  <si>
    <t>B/ED Approval Request - On Hold</t>
  </si>
  <si>
    <t>B/ED Approval Request - Resubmit</t>
  </si>
  <si>
    <t>CAR/CARD - Completed</t>
  </si>
  <si>
    <t>CAR/CARD - Dead</t>
  </si>
  <si>
    <t>CAR/CARD - On Hold</t>
  </si>
  <si>
    <t>CAR/CARD - Resubmit</t>
  </si>
  <si>
    <t>Commitment - Completed</t>
  </si>
  <si>
    <t>Commitment - Dead</t>
  </si>
  <si>
    <t>Commitment - On Hold</t>
  </si>
  <si>
    <t>Commitment - Issued</t>
  </si>
  <si>
    <t>Commitment - Amended</t>
  </si>
  <si>
    <t>Rate Lock - Working</t>
  </si>
  <si>
    <t>Rate Lock - Locked</t>
  </si>
  <si>
    <t>Rate Lock - Dead</t>
  </si>
  <si>
    <t>Closing - Pending</t>
  </si>
  <si>
    <t>Closing - Dead</t>
  </si>
  <si>
    <t>Disbursing - Pending</t>
  </si>
  <si>
    <t>Disbursing - Drawing</t>
  </si>
  <si>
    <t>Disbursing - Fully Disbursed</t>
  </si>
  <si>
    <t>Disbursing - In Escrow</t>
  </si>
  <si>
    <t>Preliminary Commitment - Active</t>
  </si>
  <si>
    <t>Preliminary Commitment - Dead</t>
  </si>
  <si>
    <t>Preliminary Commitment - On Hold</t>
  </si>
  <si>
    <t>Firm Commitment - Active</t>
  </si>
  <si>
    <t>Firm Commitment - On Hold</t>
  </si>
  <si>
    <t>Closed - Active</t>
  </si>
  <si>
    <t>Under Construction - Active</t>
  </si>
  <si>
    <t>Under Construction - Completed</t>
  </si>
  <si>
    <t>Stabilized - Active</t>
  </si>
  <si>
    <t>Stabilized - Amended</t>
  </si>
  <si>
    <t>Stabilized - Transitioned to Asset Management</t>
  </si>
  <si>
    <t>Firm Commitment - Dead</t>
  </si>
  <si>
    <t>Closed - Dead</t>
  </si>
  <si>
    <t>Closed - Pending</t>
  </si>
  <si>
    <t>Complete - No Monitoring Required</t>
  </si>
  <si>
    <t>Complete - Active</t>
  </si>
  <si>
    <t>Allow Delete on SmartDox Send?</t>
  </si>
  <si>
    <t>06_9_PSH Units</t>
  </si>
  <si>
    <t>811 Program Information</t>
  </si>
  <si>
    <t>811 Provider Information</t>
  </si>
  <si>
    <t>Other PSH Service Provider</t>
  </si>
  <si>
    <t>Other Program Information</t>
  </si>
  <si>
    <t>Other Unit Commitment</t>
  </si>
  <si>
    <t>Other Provider Information</t>
  </si>
  <si>
    <t>PSH Program Type</t>
  </si>
  <si>
    <t>Undefined</t>
  </si>
  <si>
    <t>Provider's Company Name</t>
  </si>
  <si>
    <t>Total Other Units</t>
  </si>
  <si>
    <t>*Entities can be input into Portfolio Properties from DEV and TCA when Data Update Utility is utilized. Do not map.</t>
  </si>
  <si>
    <t>First</t>
  </si>
  <si>
    <t>Last</t>
  </si>
  <si>
    <t>Company or Individual:</t>
  </si>
  <si>
    <t>Provider City</t>
  </si>
  <si>
    <t>Provider State</t>
  </si>
  <si>
    <t>Provider Zip</t>
  </si>
  <si>
    <t>Other PSH Program Unit Commitment</t>
  </si>
  <si>
    <t>Other PSH Program Provider Information</t>
  </si>
  <si>
    <t>Other PSH Program Information</t>
  </si>
  <si>
    <t>Other PSH Program Unit Matrix</t>
  </si>
  <si>
    <t>Bristol County</t>
  </si>
  <si>
    <t>Kent County</t>
  </si>
  <si>
    <t>Newport County</t>
  </si>
  <si>
    <t>Providence County</t>
  </si>
  <si>
    <t>Washington County</t>
  </si>
  <si>
    <t>HIF Subsidy</t>
  </si>
  <si>
    <t>Turnkey Subsidy</t>
  </si>
  <si>
    <t>Always Contact</t>
  </si>
  <si>
    <t>Management Primary Contact</t>
  </si>
  <si>
    <t>Management Secondary Contact</t>
  </si>
  <si>
    <t>Owner Primary Contact</t>
  </si>
  <si>
    <t>Owner Secondary Contact</t>
  </si>
  <si>
    <t>Property Supervisor</t>
  </si>
  <si>
    <t>Service Provider</t>
  </si>
  <si>
    <t>Voucher/TRACS Primary Contact</t>
  </si>
  <si>
    <t>Voucher/TRACS Secondary Contact</t>
  </si>
  <si>
    <t>Provider Contact First Name</t>
  </si>
  <si>
    <t>Provider Contact Last Name</t>
  </si>
  <si>
    <t>02_6_Average Income Test: complete average income test unit matrix</t>
  </si>
  <si>
    <t>2. The average of the imputed incomel limitations must not exceed 58% of AMI</t>
  </si>
  <si>
    <t>02_7_Operating Subsidy</t>
  </si>
  <si>
    <t>1. When "Income Averaging" is chosen as the Low-Income Set Aside in the Program and Rental Assistance Information section of the 01_1_General Data tab, the unit matrix must be completed by the Developer.</t>
  </si>
  <si>
    <t>1. Unit Commitment calculations are driven from 30% AMI Units with Project Based Subsidy type matching the program name.</t>
  </si>
  <si>
    <t>2. No further edits are required to this sheet by the Developer.</t>
  </si>
  <si>
    <t>02_8_PSH Units</t>
  </si>
  <si>
    <t>1. This tab must be completed independently.</t>
  </si>
  <si>
    <t>2. Developments seeking 811 program commitment must complete the 811 section.</t>
  </si>
  <si>
    <t>c. Provide the number of each bedroom size and income bands to be included in the PSH program.</t>
  </si>
  <si>
    <t>a. Enter the number of bedroom sizes committed to 30% AMI.</t>
  </si>
  <si>
    <t>b. Complete the 811 Service Provider module.</t>
  </si>
  <si>
    <t>3. Developments seeking to commit to another Permanent Supportive Housing Program must complete the Other PSH Program section.</t>
  </si>
  <si>
    <t>a. Enter the name of the PSH Program Type.</t>
  </si>
  <si>
    <t>b. Complete the Other PSH Service Provider module.</t>
  </si>
  <si>
    <t>RIH ELI</t>
  </si>
  <si>
    <t>v13.1h_Small Non-LIHTC</t>
  </si>
  <si>
    <t>2030 ARP</t>
  </si>
  <si>
    <t>Housing 2030 New Rental</t>
  </si>
  <si>
    <t>Housing 2030 PSH</t>
  </si>
  <si>
    <t>Housing 2030 Small Scale</t>
  </si>
  <si>
    <t>ZEOS (Zero Energy for the Ocean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</si>
</sst>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quot;$&quot;#,##0"/>
    <numFmt numFmtId="166" formatCode="0.0%"/>
    <numFmt numFmtId="167" formatCode="0.0"/>
    <numFmt numFmtId="168" formatCode="_(* #,##0_);_(* \(#,##0\);_(* &quot;-&quot;??_);_(@_)"/>
    <numFmt numFmtId="169" formatCode="0.000%"/>
    <numFmt numFmtId="170" formatCode="_(&quot;$&quot;* #,##0_);_(&quot;$&quot;* \(#,##0\);_(&quot;$&quot;* &quot;-&quot;??_);_(@_)"/>
    <numFmt numFmtId="171" formatCode="mmmm\ d\,\ yyyy"/>
    <numFmt numFmtId="172" formatCode="[&lt;=9999999]###\-####;\(###\)\ ###\-####"/>
    <numFmt numFmtId="173" formatCode="General_)"/>
    <numFmt numFmtId="174" formatCode="_(&quot;$&quot;* #,##0.0000_);_(&quot;$&quot;* \(#,##0.0000\);_(&quot;$&quot;* &quot;-&quot;??_);_(@_)"/>
    <numFmt numFmtId="175" formatCode="0_);\(0\)"/>
    <numFmt numFmtId="176" formatCode="_(&quot;$&quot;* #,##0.000_);_(&quot;$&quot;* \(#,##0.000\);_(&quot;$&quot;* &quot;-&quot;_);_(@_)"/>
    <numFmt numFmtId="177" formatCode="0;\-0;&quot;-&quot;"/>
    <numFmt numFmtId="178" formatCode=";;;**"/>
    <numFmt numFmtId="179" formatCode="#,##0.0"/>
    <numFmt numFmtId="180" formatCode="0.000"/>
    <numFmt numFmtId="181" formatCode="0.00&quot;x&quot;"/>
    <numFmt numFmtId="182" formatCode="[$-F800]dddd\,\ mmmm\ dd\,\ yyyy"/>
    <numFmt numFmtId="183" formatCode="[$-409]mmmm\ d\,\ yyyy;@"/>
    <numFmt numFmtId="184" formatCode="00000"/>
  </numFmts>
  <fonts count="188">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10"/>
      <name val="Arial"/>
      <family val="2"/>
    </font>
    <font>
      <sz val="12"/>
      <name val="Arial"/>
      <family val="2"/>
    </font>
    <font>
      <sz val="10"/>
      <name val="Courier"/>
      <family val="3"/>
    </font>
    <font>
      <b/>
      <sz val="10"/>
      <name val="Arial"/>
      <family val="2"/>
    </font>
    <font>
      <sz val="10"/>
      <name val="Times New Roman"/>
      <family val="1"/>
    </font>
    <font>
      <b/>
      <sz val="10"/>
      <name val="Times New Roman"/>
      <family val="1"/>
    </font>
    <font>
      <sz val="8"/>
      <name val="Times New Roman"/>
      <family val="1"/>
    </font>
    <font>
      <sz val="12"/>
      <name val="Arial MT"/>
    </font>
    <font>
      <b/>
      <sz val="8"/>
      <color indexed="81"/>
      <name val="Tahoma"/>
      <family val="2"/>
    </font>
    <font>
      <sz val="10"/>
      <name val="MS Sans Serif"/>
      <family val="2"/>
    </font>
    <font>
      <u/>
      <sz val="8"/>
      <color indexed="12"/>
      <name val="Times New Roman"/>
      <family val="1"/>
    </font>
    <font>
      <sz val="8"/>
      <name val="Times New Roman"/>
      <family val="1"/>
    </font>
    <font>
      <b/>
      <sz val="14"/>
      <name val="Arial"/>
      <family val="2"/>
    </font>
    <font>
      <b/>
      <sz val="9"/>
      <name val="Arial"/>
      <family val="2"/>
    </font>
    <font>
      <u/>
      <sz val="10"/>
      <name val="Arial"/>
      <family val="2"/>
    </font>
    <font>
      <b/>
      <i/>
      <sz val="10"/>
      <name val="Arial"/>
      <family val="2"/>
    </font>
    <font>
      <i/>
      <sz val="10"/>
      <name val="Arial"/>
      <family val="2"/>
    </font>
    <font>
      <sz val="12"/>
      <name val="Garamond"/>
      <family val="1"/>
    </font>
    <font>
      <sz val="10"/>
      <name val="Times New Roman"/>
      <family val="1"/>
    </font>
    <font>
      <sz val="10"/>
      <name val="Arial"/>
      <family val="2"/>
    </font>
    <font>
      <sz val="10"/>
      <name val="Courier"/>
      <family val="3"/>
    </font>
    <font>
      <sz val="10"/>
      <name val="Verdana"/>
      <family val="2"/>
    </font>
    <font>
      <b/>
      <sz val="12"/>
      <name val="Garamond"/>
      <family val="1"/>
    </font>
    <font>
      <b/>
      <sz val="9"/>
      <color indexed="81"/>
      <name val="Tahoma"/>
      <family val="2"/>
    </font>
    <font>
      <u/>
      <sz val="11"/>
      <color theme="10"/>
      <name val="Calibri"/>
      <family val="2"/>
      <scheme val="minor"/>
    </font>
    <font>
      <b/>
      <sz val="18"/>
      <name val="Garamond"/>
      <family val="1"/>
    </font>
    <font>
      <sz val="14"/>
      <name val="Garamond"/>
      <family val="1"/>
    </font>
    <font>
      <sz val="11"/>
      <name val="Garamond"/>
      <family val="1"/>
    </font>
    <font>
      <b/>
      <sz val="14"/>
      <name val="Garamond"/>
      <family val="1"/>
    </font>
    <font>
      <b/>
      <sz val="14"/>
      <color theme="0"/>
      <name val="Garamond"/>
      <family val="1"/>
    </font>
    <font>
      <sz val="14"/>
      <color theme="0"/>
      <name val="Garamond"/>
      <family val="1"/>
    </font>
    <font>
      <b/>
      <sz val="11"/>
      <name val="Garamond"/>
      <family val="1"/>
    </font>
    <font>
      <sz val="10"/>
      <color indexed="12"/>
      <name val="Garamond"/>
      <family val="1"/>
    </font>
    <font>
      <sz val="10"/>
      <name val="Garamond"/>
      <family val="1"/>
    </font>
    <font>
      <b/>
      <sz val="16"/>
      <name val="Garamond"/>
      <family val="1"/>
    </font>
    <font>
      <b/>
      <i/>
      <sz val="10"/>
      <name val="Garamond"/>
      <family val="1"/>
    </font>
    <font>
      <b/>
      <sz val="10"/>
      <name val="Garamond"/>
      <family val="1"/>
    </font>
    <font>
      <sz val="11"/>
      <color theme="0"/>
      <name val="Garamond"/>
      <family val="1"/>
    </font>
    <font>
      <b/>
      <sz val="11"/>
      <color theme="0"/>
      <name val="Garamond"/>
      <family val="1"/>
    </font>
    <font>
      <sz val="11"/>
      <color indexed="12"/>
      <name val="Garamond"/>
      <family val="1"/>
    </font>
    <font>
      <b/>
      <sz val="11"/>
      <color indexed="12"/>
      <name val="Garamond"/>
      <family val="1"/>
    </font>
    <font>
      <b/>
      <sz val="12"/>
      <color theme="0"/>
      <name val="Garamond"/>
      <family val="1"/>
    </font>
    <font>
      <sz val="10"/>
      <color theme="0"/>
      <name val="Garamond"/>
      <family val="1"/>
    </font>
    <font>
      <b/>
      <sz val="10"/>
      <color theme="0"/>
      <name val="Garamond"/>
      <family val="1"/>
    </font>
    <font>
      <sz val="8"/>
      <name val="Garamond"/>
      <family val="1"/>
    </font>
    <font>
      <sz val="10"/>
      <color indexed="14"/>
      <name val="Garamond"/>
      <family val="1"/>
    </font>
    <font>
      <b/>
      <sz val="8"/>
      <name val="Garamond"/>
      <family val="1"/>
    </font>
    <font>
      <sz val="8"/>
      <color indexed="12"/>
      <name val="Garamond"/>
      <family val="1"/>
    </font>
    <font>
      <sz val="8"/>
      <color indexed="8"/>
      <name val="Garamond"/>
      <family val="1"/>
    </font>
    <font>
      <b/>
      <sz val="11"/>
      <color indexed="10"/>
      <name val="Garamond"/>
      <family val="1"/>
    </font>
    <font>
      <i/>
      <sz val="11"/>
      <name val="Garamond"/>
      <family val="1"/>
    </font>
    <font>
      <b/>
      <i/>
      <sz val="11"/>
      <color indexed="10"/>
      <name val="Garamond"/>
      <family val="1"/>
    </font>
    <font>
      <sz val="10"/>
      <color theme="1"/>
      <name val="Garamond"/>
      <family val="1"/>
    </font>
    <font>
      <sz val="12"/>
      <color indexed="12"/>
      <name val="Garamond"/>
      <family val="1"/>
    </font>
    <font>
      <b/>
      <sz val="12"/>
      <color indexed="12"/>
      <name val="Garamond"/>
      <family val="1"/>
    </font>
    <font>
      <b/>
      <i/>
      <sz val="12"/>
      <color indexed="10"/>
      <name val="Garamond"/>
      <family val="1"/>
    </font>
    <font>
      <i/>
      <sz val="12"/>
      <name val="Garamond"/>
      <family val="1"/>
    </font>
    <font>
      <sz val="11"/>
      <color theme="1"/>
      <name val="Garamond"/>
      <family val="1"/>
    </font>
    <font>
      <b/>
      <sz val="11"/>
      <color theme="1"/>
      <name val="Garamond"/>
      <family val="1"/>
    </font>
    <font>
      <sz val="9"/>
      <color theme="1"/>
      <name val="Garamond"/>
      <family val="1"/>
    </font>
    <font>
      <b/>
      <i/>
      <sz val="11"/>
      <name val="Garamond"/>
      <family val="1"/>
    </font>
    <font>
      <b/>
      <sz val="11"/>
      <color rgb="FFFF0000"/>
      <name val="Garamond"/>
      <family val="1"/>
    </font>
    <font>
      <sz val="11"/>
      <color indexed="9"/>
      <name val="Garamond"/>
      <family val="1"/>
    </font>
    <font>
      <b/>
      <i/>
      <sz val="12"/>
      <name val="Garamond"/>
      <family val="1"/>
    </font>
    <font>
      <b/>
      <sz val="12"/>
      <color theme="1"/>
      <name val="Garamond"/>
      <family val="1"/>
    </font>
    <font>
      <sz val="12"/>
      <color theme="1"/>
      <name val="Garamond"/>
      <family val="1"/>
    </font>
    <font>
      <sz val="12"/>
      <color rgb="FF0070C0"/>
      <name val="Garamond"/>
      <family val="1"/>
    </font>
    <font>
      <b/>
      <sz val="16"/>
      <color theme="0"/>
      <name val="Garamond"/>
      <family val="1"/>
    </font>
    <font>
      <u/>
      <sz val="14"/>
      <color indexed="12"/>
      <name val="Garamond"/>
      <family val="1"/>
    </font>
    <font>
      <b/>
      <i/>
      <sz val="14"/>
      <name val="Garamond"/>
      <family val="1"/>
    </font>
    <font>
      <sz val="12"/>
      <color theme="0"/>
      <name val="Garamond"/>
      <family val="1"/>
    </font>
    <font>
      <b/>
      <i/>
      <sz val="12"/>
      <color theme="0"/>
      <name val="Garamond"/>
      <family val="1"/>
    </font>
    <font>
      <u/>
      <sz val="12"/>
      <color indexed="12"/>
      <name val="Garamond"/>
      <family val="1"/>
    </font>
    <font>
      <sz val="12"/>
      <color rgb="FF0000E1"/>
      <name val="Garamond"/>
      <family val="1"/>
    </font>
    <font>
      <sz val="18"/>
      <color theme="0"/>
      <name val="Garamond"/>
      <family val="1"/>
    </font>
    <font>
      <sz val="16"/>
      <color theme="0"/>
      <name val="Garamond"/>
      <family val="1"/>
    </font>
    <font>
      <b/>
      <sz val="20"/>
      <color theme="0"/>
      <name val="Garamond"/>
      <family val="1"/>
    </font>
    <font>
      <b/>
      <i/>
      <sz val="16"/>
      <color theme="0"/>
      <name val="Garamond"/>
      <family val="1"/>
    </font>
    <font>
      <b/>
      <sz val="9"/>
      <color theme="1"/>
      <name val="Garamond"/>
      <family val="1"/>
    </font>
    <font>
      <sz val="12"/>
      <color indexed="10"/>
      <name val="Garamond"/>
      <family val="1"/>
    </font>
    <font>
      <b/>
      <sz val="14"/>
      <color rgb="FFFF0000"/>
      <name val="Garamond"/>
      <family val="1"/>
    </font>
    <font>
      <b/>
      <sz val="14"/>
      <color theme="1"/>
      <name val="Garamond"/>
      <family val="1"/>
    </font>
    <font>
      <sz val="16"/>
      <color theme="1"/>
      <name val="Garamond"/>
      <family val="1"/>
    </font>
    <font>
      <sz val="18"/>
      <color theme="1"/>
      <name val="Garamond"/>
      <family val="1"/>
    </font>
    <font>
      <b/>
      <sz val="11"/>
      <color indexed="8"/>
      <name val="Garamond"/>
      <family val="1"/>
    </font>
    <font>
      <sz val="11"/>
      <color indexed="8"/>
      <name val="Garamond"/>
      <family val="1"/>
    </font>
    <font>
      <sz val="11"/>
      <color rgb="FF0000E1"/>
      <name val="Garamond"/>
      <family val="1"/>
    </font>
    <font>
      <sz val="14"/>
      <color rgb="FFFF0000"/>
      <name val="Garamond"/>
      <family val="1"/>
    </font>
    <font>
      <sz val="11"/>
      <color rgb="FFC0C0C0"/>
      <name val="Garamond"/>
      <family val="1"/>
    </font>
    <font>
      <b/>
      <sz val="10"/>
      <color indexed="81"/>
      <name val="Tahoma"/>
      <family val="2"/>
    </font>
    <font>
      <b/>
      <sz val="14"/>
      <color rgb="FF002060"/>
      <name val="Garamond"/>
      <family val="1"/>
    </font>
    <font>
      <sz val="12.5"/>
      <color theme="1"/>
      <name val="Garamond"/>
      <family val="1"/>
    </font>
    <font>
      <b/>
      <sz val="12.5"/>
      <color rgb="FF002060"/>
      <name val="Garamond"/>
      <family val="1"/>
    </font>
    <font>
      <b/>
      <sz val="12.5"/>
      <color theme="1"/>
      <name val="Garamond"/>
      <family val="1"/>
    </font>
    <font>
      <b/>
      <i/>
      <sz val="12"/>
      <color theme="1"/>
      <name val="Garamond"/>
      <family val="1"/>
    </font>
    <font>
      <sz val="12"/>
      <color indexed="8"/>
      <name val="Garamond"/>
      <family val="1"/>
    </font>
    <font>
      <b/>
      <sz val="12"/>
      <color rgb="FFFF0000"/>
      <name val="Garamond"/>
      <family val="1"/>
    </font>
    <font>
      <b/>
      <sz val="12"/>
      <color theme="0" tint="-0.249977111117893"/>
      <name val="Garamond"/>
      <family val="1"/>
    </font>
    <font>
      <b/>
      <sz val="12"/>
      <color indexed="8"/>
      <name val="Garamond"/>
      <family val="1"/>
    </font>
    <font>
      <sz val="12"/>
      <color rgb="FFC0C0C0"/>
      <name val="Garamond"/>
      <family val="1"/>
    </font>
    <font>
      <b/>
      <sz val="12"/>
      <color rgb="FFC0C0C0"/>
      <name val="Garamond"/>
      <family val="1"/>
    </font>
    <font>
      <sz val="11"/>
      <color theme="0" tint="-0.14999847407452621"/>
      <name val="Garamond"/>
      <family val="1"/>
    </font>
    <font>
      <sz val="11"/>
      <color rgb="FFFF0000"/>
      <name val="Garamond"/>
      <family val="1"/>
    </font>
    <font>
      <b/>
      <u/>
      <sz val="18"/>
      <color theme="0"/>
      <name val="Garamond"/>
      <family val="1"/>
    </font>
    <font>
      <b/>
      <sz val="16"/>
      <color theme="1"/>
      <name val="Garamond"/>
      <family val="1"/>
    </font>
    <font>
      <b/>
      <sz val="12"/>
      <color indexed="10"/>
      <name val="Garamond"/>
      <family val="1"/>
    </font>
    <font>
      <b/>
      <u/>
      <sz val="12"/>
      <color indexed="10"/>
      <name val="Garamond"/>
      <family val="1"/>
    </font>
    <font>
      <b/>
      <sz val="12"/>
      <color rgb="FF0000E1"/>
      <name val="Garamond"/>
      <family val="1"/>
    </font>
    <font>
      <sz val="12"/>
      <color theme="0" tint="-0.249977111117893"/>
      <name val="Garamond"/>
      <family val="1"/>
    </font>
    <font>
      <sz val="11"/>
      <color theme="0"/>
      <name val="Times New Roman"/>
      <family val="1"/>
    </font>
    <font>
      <u/>
      <sz val="12"/>
      <color theme="10"/>
      <name val="Garamond"/>
      <family val="1"/>
    </font>
    <font>
      <b/>
      <i/>
      <sz val="12"/>
      <color rgb="FFFF0000"/>
      <name val="Garamond"/>
      <family val="1"/>
    </font>
    <font>
      <i/>
      <sz val="12"/>
      <color theme="4" tint="-0.499984740745262"/>
      <name val="Garamond"/>
      <family val="1"/>
    </font>
    <font>
      <sz val="12"/>
      <color theme="4" tint="-0.499984740745262"/>
      <name val="Garamond"/>
      <family val="1"/>
    </font>
    <font>
      <sz val="12"/>
      <color theme="0" tint="-0.499984740745262"/>
      <name val="Garamond"/>
      <family val="1"/>
    </font>
    <font>
      <sz val="11"/>
      <color theme="0" tint="-0.499984740745262"/>
      <name val="Garamond"/>
      <family val="1"/>
    </font>
    <font>
      <b/>
      <i/>
      <sz val="14"/>
      <color theme="0"/>
      <name val="Garamond"/>
      <family val="1"/>
    </font>
    <font>
      <sz val="9"/>
      <color indexed="81"/>
      <name val="Tahoma"/>
      <family val="2"/>
    </font>
    <font>
      <b/>
      <i/>
      <sz val="9"/>
      <name val="Garamond"/>
      <family val="1"/>
    </font>
    <font>
      <sz val="10"/>
      <color theme="0" tint="-0.499984740745262"/>
      <name val="Garamond"/>
      <family val="1"/>
    </font>
    <font>
      <sz val="12.5"/>
      <name val="Garamond"/>
      <family val="1"/>
    </font>
    <font>
      <b/>
      <sz val="12.5"/>
      <color rgb="FFFF0000"/>
      <name val="Garamond"/>
      <family val="1"/>
    </font>
    <font>
      <b/>
      <sz val="20"/>
      <color rgb="FF002060"/>
      <name val="Garamond"/>
      <family val="1"/>
    </font>
    <font>
      <b/>
      <sz val="11"/>
      <color rgb="FFFF2929"/>
      <name val="Garamond"/>
      <family val="1"/>
    </font>
    <font>
      <b/>
      <sz val="12"/>
      <color rgb="FF000000"/>
      <name val="Calibri"/>
      <family val="2"/>
    </font>
    <font>
      <sz val="12"/>
      <color rgb="FF595959"/>
      <name val="Garamond"/>
      <family val="1"/>
    </font>
    <font>
      <sz val="8"/>
      <name val="Times New Roman"/>
      <family val="1"/>
    </font>
    <font>
      <sz val="8"/>
      <name val="Times New Roman"/>
      <family val="1"/>
    </font>
    <font>
      <b/>
      <sz val="11"/>
      <color theme="1"/>
      <name val="Calibri"/>
      <family val="2"/>
      <scheme val="minor"/>
    </font>
    <font>
      <sz val="11"/>
      <color theme="0"/>
      <name val="Calibri"/>
      <family val="2"/>
      <scheme val="minor"/>
    </font>
    <font>
      <b/>
      <sz val="20"/>
      <color theme="1"/>
      <name val="Calibri"/>
      <family val="2"/>
    </font>
    <font>
      <b/>
      <sz val="11"/>
      <color theme="1"/>
      <name val="Calibri"/>
      <family val="2"/>
    </font>
    <font>
      <b/>
      <sz val="14"/>
      <color theme="0"/>
      <name val="Calibri"/>
      <family val="2"/>
    </font>
    <font>
      <sz val="12"/>
      <name val="Garamond"/>
      <family val="1"/>
    </font>
    <font>
      <sz val="12"/>
      <name val="Garamond"/>
      <family val="1"/>
    </font>
    <font>
      <sz val="10"/>
      <color theme="0"/>
      <name val="Times New Roman"/>
      <family val="1"/>
    </font>
    <font>
      <b/>
      <sz val="10"/>
      <color theme="0"/>
      <name val="Times New Roman"/>
      <family val="1"/>
    </font>
    <font>
      <sz val="10"/>
      <color rgb="FF0000FF"/>
      <name val="Times New Roman"/>
      <family val="1"/>
    </font>
    <font>
      <sz val="10"/>
      <color rgb="FFBFBFBF"/>
      <name val="Times New Roman"/>
      <family val="1"/>
    </font>
    <font>
      <sz val="11"/>
      <color rgb="FF000000"/>
      <name val="Times New Roman"/>
      <family val="1"/>
    </font>
    <font>
      <sz val="11"/>
      <color rgb="FF000000"/>
      <name val="Calibri"/>
      <family val="2"/>
    </font>
  </fonts>
  <fills count="47">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theme="0"/>
        <bgColor indexed="64"/>
      </patternFill>
    </fill>
    <fill>
      <patternFill patternType="solid">
        <fgColor theme="0" tint="-0.249977111117893"/>
        <bgColor indexed="64"/>
      </patternFill>
    </fill>
    <fill>
      <patternFill patternType="solid">
        <fgColor theme="3" tint="-0.249977111117893"/>
        <bgColor indexed="64"/>
      </patternFill>
    </fill>
    <fill>
      <patternFill patternType="solid">
        <fgColor rgb="FFF2F2F2"/>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BF1DE"/>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C0C0C0"/>
        <bgColor indexed="64"/>
      </patternFill>
    </fill>
    <fill>
      <patternFill patternType="solid">
        <fgColor theme="1"/>
        <bgColor indexed="64"/>
      </patternFill>
    </fill>
    <fill>
      <patternFill patternType="solid">
        <fgColor rgb="FF92D050"/>
        <bgColor indexed="64"/>
      </patternFill>
    </fill>
    <fill>
      <patternFill patternType="solid">
        <fgColor rgb="FF00B050"/>
        <bgColor indexed="64"/>
      </patternFill>
    </fill>
    <fill>
      <patternFill patternType="solid">
        <fgColor rgb="FFFFFF99"/>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E7EEF5"/>
        <bgColor indexed="64"/>
      </patternFill>
    </fill>
    <fill>
      <patternFill patternType="solid">
        <fgColor rgb="FFFFFF00"/>
        <bgColor indexed="64"/>
      </patternFill>
    </fill>
    <fill>
      <patternFill patternType="solid">
        <fgColor rgb="FF595959"/>
        <bgColor indexed="64"/>
      </patternFill>
    </fill>
    <fill>
      <patternFill patternType="solid">
        <fgColor rgb="FFFF0000"/>
        <bgColor indexed="64"/>
      </patternFill>
    </fill>
    <fill>
      <patternFill patternType="solid">
        <fgColor rgb="FF00B0F0"/>
        <bgColor indexed="64"/>
      </patternFill>
    </fill>
    <fill>
      <patternFill patternType="solid">
        <fgColor rgb="FFFF2929"/>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57B20"/>
        <bgColor indexed="64"/>
      </patternFill>
    </fill>
    <fill>
      <patternFill patternType="solid">
        <fgColor theme="0" tint="-0.499984740745262"/>
        <bgColor indexed="64"/>
      </patternFill>
    </fill>
    <fill>
      <patternFill patternType="solid">
        <fgColor rgb="FF76B531"/>
        <bgColor indexed="64"/>
      </patternFill>
    </fill>
    <fill>
      <patternFill patternType="solid">
        <fgColor theme="6" tint="-0.249977111117893"/>
        <bgColor indexed="64"/>
      </patternFill>
    </fill>
    <fill>
      <patternFill patternType="solid">
        <fgColor rgb="FF16365C"/>
        <bgColor indexed="64"/>
      </patternFill>
    </fill>
    <fill>
      <patternFill patternType="solid">
        <fgColor rgb="FF0000E1"/>
        <bgColor indexed="64"/>
      </patternFill>
    </fill>
    <fill>
      <patternFill patternType="solid">
        <fgColor rgb="FF7030A0"/>
        <bgColor indexed="64"/>
      </patternFill>
    </fill>
    <fill>
      <patternFill patternType="solid">
        <fgColor rgb="FFFF0000"/>
        <bgColor rgb="FF000000"/>
      </patternFill>
    </fill>
    <fill>
      <patternFill patternType="gray0625"/>
    </fill>
  </fills>
  <borders count="180">
    <border>
      <left/>
      <right/>
      <top/>
      <bottom/>
      <diagonal/>
    </border>
    <border>
      <left/>
      <right/>
      <top/>
      <bottom style="thin">
        <color indexed="64"/>
      </bottom>
      <diagonal/>
    </border>
    <border>
      <left/>
      <right/>
      <top/>
      <bottom style="thin">
        <color indexed="8"/>
      </bottom>
      <diagonal/>
    </border>
    <border>
      <left style="double">
        <color indexed="64"/>
      </left>
      <right/>
      <top/>
      <bottom/>
      <diagonal/>
    </border>
    <border>
      <left/>
      <right/>
      <top style="double">
        <color indexed="64"/>
      </top>
      <bottom/>
      <diagonal/>
    </border>
    <border>
      <left/>
      <right style="double">
        <color indexed="64"/>
      </right>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double">
        <color indexed="64"/>
      </top>
      <bottom style="medium">
        <color indexed="64"/>
      </bottom>
      <diagonal/>
    </border>
    <border>
      <left/>
      <right/>
      <top/>
      <bottom style="thick">
        <color indexed="64"/>
      </bottom>
      <diagonal/>
    </border>
    <border>
      <left style="medium">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thick">
        <color indexed="64"/>
      </right>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thin">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top style="medium">
        <color indexed="64"/>
      </top>
      <bottom style="double">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diagonal/>
    </border>
    <border>
      <left/>
      <right style="thick">
        <color indexed="64"/>
      </right>
      <top/>
      <bottom style="thin">
        <color indexed="64"/>
      </bottom>
      <diagonal/>
    </border>
    <border>
      <left/>
      <right style="thick">
        <color indexed="64"/>
      </right>
      <top/>
      <bottom style="thick">
        <color indexed="64"/>
      </bottom>
      <diagonal/>
    </border>
    <border>
      <left/>
      <right style="double">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right style="thin">
        <color indexed="64"/>
      </right>
      <top style="double">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medium">
        <color indexed="64"/>
      </top>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style="thick">
        <color indexed="64"/>
      </bottom>
      <diagonal/>
    </border>
    <border>
      <left style="double">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medium">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double">
        <color indexed="64"/>
      </top>
      <bottom style="thick">
        <color indexed="64"/>
      </bottom>
      <diagonal/>
    </border>
    <border>
      <left style="thick">
        <color indexed="64"/>
      </left>
      <right style="thick">
        <color indexed="64"/>
      </right>
      <top style="double">
        <color indexed="64"/>
      </top>
      <bottom style="thick">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s>
  <cellStyleXfs count="1460">
    <xf numFmtId="0" fontId="0" fillId="0" borderId="0"/>
    <xf numFmtId="43" fontId="4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0" fontId="56" fillId="0" borderId="0" applyFont="0" applyFill="0" applyBorder="0" applyAlignment="0" applyProtection="0"/>
    <xf numFmtId="44" fontId="46"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65" fillId="0" borderId="0" applyFont="0" applyFill="0" applyBorder="0" applyAlignment="0" applyProtection="0"/>
    <xf numFmtId="44" fontId="68" fillId="0" borderId="0" applyFont="0" applyFill="0" applyBorder="0" applyAlignment="0" applyProtection="0"/>
    <xf numFmtId="165" fontId="47" fillId="0" borderId="1"/>
    <xf numFmtId="165" fontId="47" fillId="0" borderId="1"/>
    <xf numFmtId="165" fontId="47" fillId="0" borderId="1"/>
    <xf numFmtId="165" fontId="66" fillId="0" borderId="1"/>
    <xf numFmtId="165" fontId="48" fillId="0" borderId="0" applyBorder="0"/>
    <xf numFmtId="0" fontId="49" fillId="0" borderId="2">
      <alignment vertical="center"/>
    </xf>
    <xf numFmtId="0" fontId="49" fillId="0" borderId="2">
      <alignment vertical="center"/>
    </xf>
    <xf numFmtId="0" fontId="49" fillId="0" borderId="2">
      <alignment vertical="center"/>
    </xf>
    <xf numFmtId="0" fontId="67" fillId="0" borderId="2">
      <alignment vertical="center"/>
    </xf>
    <xf numFmtId="0" fontId="57" fillId="0" borderId="0" applyNumberFormat="0" applyFill="0" applyBorder="0" applyAlignment="0" applyProtection="0">
      <alignment vertical="top"/>
      <protection locked="0"/>
    </xf>
    <xf numFmtId="38" fontId="50" fillId="0" borderId="0"/>
    <xf numFmtId="0" fontId="51" fillId="0" borderId="0"/>
    <xf numFmtId="0" fontId="68" fillId="0" borderId="0"/>
    <xf numFmtId="0" fontId="54" fillId="0" borderId="0"/>
    <xf numFmtId="0" fontId="54" fillId="0" borderId="0"/>
    <xf numFmtId="0" fontId="47" fillId="0" borderId="0"/>
    <xf numFmtId="173" fontId="49" fillId="0" borderId="0"/>
    <xf numFmtId="0" fontId="46" fillId="0" borderId="0"/>
    <xf numFmtId="0" fontId="51" fillId="0" borderId="0"/>
    <xf numFmtId="0" fontId="54" fillId="0" borderId="0"/>
    <xf numFmtId="173" fontId="49" fillId="0" borderId="0"/>
    <xf numFmtId="0" fontId="47" fillId="0" borderId="0"/>
    <xf numFmtId="0" fontId="66" fillId="0" borderId="0"/>
    <xf numFmtId="0" fontId="54" fillId="0" borderId="0"/>
    <xf numFmtId="9" fontId="4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65" fillId="0" borderId="0" applyFont="0" applyFill="0" applyBorder="0" applyAlignment="0" applyProtection="0"/>
    <xf numFmtId="9" fontId="68" fillId="0" borderId="0" applyFont="0" applyFill="0" applyBorder="0" applyAlignment="0" applyProtection="0"/>
    <xf numFmtId="0" fontId="45" fillId="0" borderId="0"/>
    <xf numFmtId="0" fontId="71" fillId="0" borderId="0" applyNumberFormat="0" applyFill="0" applyBorder="0" applyAlignment="0" applyProtection="0"/>
    <xf numFmtId="0" fontId="44" fillId="0" borderId="0"/>
    <xf numFmtId="44" fontId="44" fillId="0" borderId="0" applyFont="0" applyFill="0" applyBorder="0" applyAlignment="0" applyProtection="0"/>
    <xf numFmtId="2" fontId="46"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37" fontId="46" fillId="0" borderId="0"/>
    <xf numFmtId="9" fontId="42" fillId="0" borderId="0" applyFont="0" applyFill="0" applyBorder="0" applyAlignment="0" applyProtection="0"/>
    <xf numFmtId="0" fontId="41" fillId="0" borderId="0"/>
    <xf numFmtId="0" fontId="40" fillId="0" borderId="0"/>
    <xf numFmtId="44" fontId="40" fillId="0" borderId="0" applyFont="0" applyFill="0" applyBorder="0" applyAlignment="0" applyProtection="0"/>
    <xf numFmtId="0" fontId="39" fillId="0" borderId="0"/>
    <xf numFmtId="9"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8" fillId="0" borderId="0"/>
    <xf numFmtId="44" fontId="38"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5" fontId="47" fillId="0" borderId="1"/>
    <xf numFmtId="0" fontId="49" fillId="0" borderId="2">
      <alignment vertical="center"/>
    </xf>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44" fontId="37"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9"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9"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9" fontId="34" fillId="0" borderId="0" applyFont="0" applyFill="0" applyBorder="0" applyAlignment="0" applyProtection="0"/>
    <xf numFmtId="0" fontId="46"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9" fontId="33" fillId="0" borderId="0" applyFont="0" applyFill="0" applyBorder="0" applyAlignment="0" applyProtection="0"/>
    <xf numFmtId="0" fontId="32"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482">
    <xf numFmtId="0" fontId="0" fillId="0" borderId="0" xfId="0"/>
    <xf numFmtId="0" fontId="50" fillId="0" borderId="0" xfId="0" applyFont="1"/>
    <xf numFmtId="0" fontId="0" fillId="4" borderId="0" xfId="0" applyFill="1"/>
    <xf numFmtId="0" fontId="50" fillId="4" borderId="41" xfId="0" applyFont="1" applyFill="1" applyBorder="1"/>
    <xf numFmtId="0" fontId="50" fillId="4" borderId="59" xfId="0" applyFont="1" applyFill="1" applyBorder="1"/>
    <xf numFmtId="0" fontId="50" fillId="4" borderId="37" xfId="0" applyFont="1" applyFill="1" applyBorder="1"/>
    <xf numFmtId="0" fontId="50" fillId="4" borderId="25" xfId="0" applyFont="1" applyFill="1" applyBorder="1" applyAlignment="1">
      <alignment horizontal="center"/>
    </xf>
    <xf numFmtId="0" fontId="60" fillId="4" borderId="25" xfId="0" applyFont="1" applyFill="1" applyBorder="1" applyAlignment="1">
      <alignment horizontal="center"/>
    </xf>
    <xf numFmtId="0" fontId="64" fillId="0" borderId="0" xfId="0" applyFont="1"/>
    <xf numFmtId="0" fontId="74" fillId="0" borderId="0" xfId="0" applyFont="1"/>
    <xf numFmtId="0" fontId="78" fillId="0" borderId="0" xfId="0" applyFont="1"/>
    <xf numFmtId="0" fontId="80" fillId="0" borderId="0" xfId="0" applyFont="1"/>
    <xf numFmtId="0" fontId="76" fillId="8" borderId="13" xfId="0" applyFont="1" applyFill="1" applyBorder="1" applyAlignment="1">
      <alignment horizontal="left" indent="1"/>
    </xf>
    <xf numFmtId="0" fontId="76" fillId="8" borderId="13" xfId="0" applyFont="1" applyFill="1" applyBorder="1"/>
    <xf numFmtId="0" fontId="88" fillId="8" borderId="14" xfId="0" applyFont="1" applyFill="1" applyBorder="1"/>
    <xf numFmtId="0" fontId="89" fillId="8" borderId="14" xfId="0" applyFont="1" applyFill="1" applyBorder="1" applyAlignment="1">
      <alignment horizontal="center"/>
    </xf>
    <xf numFmtId="0" fontId="89" fillId="8" borderId="14" xfId="0" applyFont="1" applyFill="1" applyBorder="1"/>
    <xf numFmtId="0" fontId="90" fillId="8" borderId="14" xfId="0" applyFont="1" applyFill="1" applyBorder="1"/>
    <xf numFmtId="0" fontId="89" fillId="8" borderId="15" xfId="0" applyFont="1" applyFill="1" applyBorder="1"/>
    <xf numFmtId="0" fontId="76" fillId="8" borderId="41" xfId="0" applyFont="1" applyFill="1" applyBorder="1" applyAlignment="1">
      <alignment horizontal="left" indent="1"/>
    </xf>
    <xf numFmtId="0" fontId="84" fillId="8" borderId="59" xfId="0" applyFont="1" applyFill="1" applyBorder="1" applyAlignment="1">
      <alignment horizontal="center"/>
    </xf>
    <xf numFmtId="0" fontId="84" fillId="8" borderId="59" xfId="0" applyFont="1" applyFill="1" applyBorder="1"/>
    <xf numFmtId="0" fontId="85" fillId="8" borderId="59" xfId="0" applyFont="1" applyFill="1" applyBorder="1"/>
    <xf numFmtId="0" fontId="80" fillId="8" borderId="59" xfId="0" applyFont="1" applyFill="1" applyBorder="1"/>
    <xf numFmtId="0" fontId="80" fillId="8" borderId="37" xfId="0" applyFont="1" applyFill="1" applyBorder="1"/>
    <xf numFmtId="168" fontId="91" fillId="0" borderId="0" xfId="1" applyNumberFormat="1" applyFont="1" applyAlignment="1">
      <alignment horizontal="right"/>
    </xf>
    <xf numFmtId="0" fontId="80" fillId="0" borderId="0" xfId="29" applyFont="1"/>
    <xf numFmtId="0" fontId="93" fillId="0" borderId="0" xfId="29" applyFont="1"/>
    <xf numFmtId="0" fontId="83" fillId="0" borderId="0" xfId="29" applyFont="1"/>
    <xf numFmtId="0" fontId="79" fillId="0" borderId="0" xfId="29" applyFont="1"/>
    <xf numFmtId="165" fontId="74" fillId="0" borderId="0" xfId="0" applyNumberFormat="1" applyFont="1"/>
    <xf numFmtId="0" fontId="104" fillId="0" borderId="0" xfId="43" applyFont="1"/>
    <xf numFmtId="0" fontId="106" fillId="0" borderId="0" xfId="43" applyFont="1"/>
    <xf numFmtId="0" fontId="74" fillId="0" borderId="0" xfId="0" applyFont="1" applyAlignment="1">
      <alignment horizontal="center"/>
    </xf>
    <xf numFmtId="0" fontId="76" fillId="10" borderId="41" xfId="0" applyFont="1" applyFill="1" applyBorder="1"/>
    <xf numFmtId="0" fontId="88" fillId="10" borderId="59" xfId="0" applyFont="1" applyFill="1" applyBorder="1"/>
    <xf numFmtId="0" fontId="76" fillId="10" borderId="45" xfId="0" applyFont="1" applyFill="1" applyBorder="1" applyAlignment="1">
      <alignment horizontal="center" vertical="center" wrapText="1"/>
    </xf>
    <xf numFmtId="0" fontId="76" fillId="10" borderId="41" xfId="0" applyFont="1" applyFill="1" applyBorder="1" applyAlignment="1">
      <alignment vertical="center"/>
    </xf>
    <xf numFmtId="0" fontId="117" fillId="8" borderId="14" xfId="0" applyFont="1" applyFill="1" applyBorder="1" applyAlignment="1">
      <alignment horizontal="center"/>
    </xf>
    <xf numFmtId="0" fontId="117" fillId="8" borderId="14" xfId="0" applyFont="1" applyFill="1" applyBorder="1"/>
    <xf numFmtId="0" fontId="118" fillId="8" borderId="14" xfId="0" applyFont="1" applyFill="1" applyBorder="1" applyAlignment="1">
      <alignment vertical="center"/>
    </xf>
    <xf numFmtId="0" fontId="64" fillId="8" borderId="15" xfId="0" applyFont="1" applyFill="1" applyBorder="1" applyAlignment="1">
      <alignment vertical="center"/>
    </xf>
    <xf numFmtId="0" fontId="74" fillId="12" borderId="110" xfId="0" applyFont="1" applyFill="1" applyBorder="1" applyProtection="1">
      <protection locked="0"/>
    </xf>
    <xf numFmtId="0" fontId="74" fillId="12" borderId="111" xfId="0" applyFont="1" applyFill="1" applyBorder="1" applyProtection="1">
      <protection locked="0"/>
    </xf>
    <xf numFmtId="0" fontId="74" fillId="12" borderId="104" xfId="0" applyFont="1" applyFill="1" applyBorder="1" applyProtection="1">
      <protection locked="0"/>
    </xf>
    <xf numFmtId="0" fontId="74" fillId="12" borderId="106" xfId="0" applyFont="1" applyFill="1" applyBorder="1" applyProtection="1">
      <protection locked="0"/>
    </xf>
    <xf numFmtId="0" fontId="74" fillId="12" borderId="105" xfId="0" applyFont="1" applyFill="1" applyBorder="1" applyProtection="1">
      <protection locked="0"/>
    </xf>
    <xf numFmtId="0" fontId="86" fillId="12" borderId="105" xfId="0" applyFont="1" applyFill="1" applyBorder="1" applyProtection="1">
      <protection locked="0"/>
    </xf>
    <xf numFmtId="0" fontId="109" fillId="12" borderId="105" xfId="0" applyFont="1" applyFill="1" applyBorder="1" applyProtection="1">
      <protection locked="0"/>
    </xf>
    <xf numFmtId="0" fontId="109" fillId="12" borderId="104" xfId="0" applyFont="1" applyFill="1" applyBorder="1" applyProtection="1">
      <protection locked="0"/>
    </xf>
    <xf numFmtId="0" fontId="74" fillId="12" borderId="107" xfId="0" applyFont="1" applyFill="1" applyBorder="1" applyProtection="1">
      <protection locked="0"/>
    </xf>
    <xf numFmtId="0" fontId="74" fillId="12" borderId="108" xfId="0" applyFont="1" applyFill="1" applyBorder="1" applyProtection="1">
      <protection locked="0"/>
    </xf>
    <xf numFmtId="0" fontId="74" fillId="12" borderId="109" xfId="0" applyFont="1" applyFill="1" applyBorder="1" applyProtection="1">
      <protection locked="0"/>
    </xf>
    <xf numFmtId="2" fontId="76" fillId="8" borderId="91" xfId="45" applyFont="1" applyFill="1" applyBorder="1" applyAlignment="1">
      <alignment horizontal="centerContinuous"/>
    </xf>
    <xf numFmtId="0" fontId="76" fillId="10" borderId="71" xfId="0" applyFont="1" applyFill="1" applyBorder="1" applyAlignment="1">
      <alignment horizontal="center" vertical="center"/>
    </xf>
    <xf numFmtId="0" fontId="76" fillId="8" borderId="91" xfId="0" applyFont="1" applyFill="1" applyBorder="1" applyAlignment="1">
      <alignment vertical="center"/>
    </xf>
    <xf numFmtId="0" fontId="88" fillId="8" borderId="44" xfId="0" applyFont="1" applyFill="1" applyBorder="1" applyAlignment="1">
      <alignment horizontal="center" vertical="center" wrapText="1"/>
    </xf>
    <xf numFmtId="0" fontId="88" fillId="8" borderId="76" xfId="0" applyFont="1" applyFill="1" applyBorder="1" applyAlignment="1">
      <alignment horizontal="center" vertical="center" wrapText="1"/>
    </xf>
    <xf numFmtId="0" fontId="76" fillId="8" borderId="65" xfId="0" applyFont="1" applyFill="1" applyBorder="1" applyAlignment="1">
      <alignment vertical="center"/>
    </xf>
    <xf numFmtId="0" fontId="121" fillId="8" borderId="4" xfId="0" applyFont="1" applyFill="1" applyBorder="1"/>
    <xf numFmtId="0" fontId="121" fillId="8" borderId="0" xfId="0" applyFont="1" applyFill="1"/>
    <xf numFmtId="0" fontId="123" fillId="8" borderId="0" xfId="0" applyFont="1" applyFill="1"/>
    <xf numFmtId="0" fontId="104" fillId="0" borderId="0" xfId="46" applyFont="1"/>
    <xf numFmtId="2" fontId="76" fillId="8" borderId="147" xfId="45" applyFont="1" applyFill="1" applyBorder="1" applyAlignment="1">
      <alignment horizontal="centerContinuous"/>
    </xf>
    <xf numFmtId="165" fontId="117" fillId="8" borderId="36" xfId="25" applyNumberFormat="1" applyFont="1" applyFill="1" applyBorder="1" applyAlignment="1">
      <alignment horizontal="right"/>
    </xf>
    <xf numFmtId="166" fontId="117" fillId="8" borderId="37" xfId="36" applyNumberFormat="1" applyFont="1" applyFill="1" applyBorder="1" applyProtection="1"/>
    <xf numFmtId="0" fontId="88" fillId="8" borderId="13" xfId="0" applyFont="1" applyFill="1" applyBorder="1"/>
    <xf numFmtId="0" fontId="100" fillId="13" borderId="64" xfId="0" applyFont="1" applyFill="1" applyBorder="1" applyAlignment="1" applyProtection="1">
      <alignment horizontal="center"/>
      <protection locked="0"/>
    </xf>
    <xf numFmtId="0" fontId="100" fillId="13" borderId="12" xfId="0" applyFont="1" applyFill="1" applyBorder="1" applyAlignment="1" applyProtection="1">
      <alignment horizontal="center"/>
      <protection locked="0"/>
    </xf>
    <xf numFmtId="0" fontId="100" fillId="13" borderId="68" xfId="0" applyFont="1" applyFill="1" applyBorder="1" applyAlignment="1" applyProtection="1">
      <alignment horizontal="center"/>
      <protection locked="0"/>
    </xf>
    <xf numFmtId="3" fontId="100" fillId="13" borderId="68" xfId="0" applyNumberFormat="1" applyFont="1" applyFill="1" applyBorder="1" applyAlignment="1" applyProtection="1">
      <alignment horizontal="center"/>
      <protection locked="0"/>
    </xf>
    <xf numFmtId="0" fontId="76" fillId="8" borderId="12" xfId="0" applyFont="1" applyFill="1" applyBorder="1" applyAlignment="1">
      <alignment horizontal="center" vertical="center" wrapText="1"/>
    </xf>
    <xf numFmtId="0" fontId="74" fillId="12" borderId="37" xfId="0" applyFont="1" applyFill="1" applyBorder="1" applyProtection="1">
      <protection locked="0"/>
    </xf>
    <xf numFmtId="0" fontId="108" fillId="12" borderId="41" xfId="0" applyFont="1" applyFill="1" applyBorder="1"/>
    <xf numFmtId="0" fontId="74" fillId="12" borderId="59" xfId="0" applyFont="1" applyFill="1" applyBorder="1"/>
    <xf numFmtId="0" fontId="74" fillId="12" borderId="59" xfId="0" applyFont="1" applyFill="1" applyBorder="1" applyProtection="1">
      <protection locked="0"/>
    </xf>
    <xf numFmtId="0" fontId="127" fillId="12" borderId="41" xfId="0" applyFont="1" applyFill="1" applyBorder="1"/>
    <xf numFmtId="165" fontId="117" fillId="8" borderId="45" xfId="25" applyNumberFormat="1" applyFont="1" applyFill="1" applyBorder="1" applyAlignment="1">
      <alignment horizontal="right"/>
    </xf>
    <xf numFmtId="37" fontId="64" fillId="0" borderId="0" xfId="49" applyFont="1"/>
    <xf numFmtId="37" fontId="123" fillId="8" borderId="0" xfId="49" applyFont="1" applyFill="1"/>
    <xf numFmtId="0" fontId="104" fillId="6" borderId="0" xfId="51" applyFont="1" applyFill="1"/>
    <xf numFmtId="0" fontId="80" fillId="13" borderId="35" xfId="0" applyFont="1" applyFill="1" applyBorder="1" applyAlignment="1" applyProtection="1">
      <alignment horizontal="left" wrapText="1"/>
      <protection locked="0"/>
    </xf>
    <xf numFmtId="171" fontId="80" fillId="13" borderId="71" xfId="0" applyNumberFormat="1" applyFont="1" applyFill="1" applyBorder="1" applyAlignment="1" applyProtection="1">
      <alignment horizontal="center"/>
      <protection locked="0"/>
    </xf>
    <xf numFmtId="3" fontId="100" fillId="13" borderId="12" xfId="0" applyNumberFormat="1" applyFont="1" applyFill="1" applyBorder="1" applyAlignment="1" applyProtection="1">
      <alignment horizontal="center"/>
      <protection locked="0"/>
    </xf>
    <xf numFmtId="165" fontId="100" fillId="13" borderId="15" xfId="0" applyNumberFormat="1" applyFont="1" applyFill="1" applyBorder="1" applyAlignment="1" applyProtection="1">
      <alignment horizontal="center"/>
      <protection locked="0"/>
    </xf>
    <xf numFmtId="164" fontId="100" fillId="13" borderId="12" xfId="0" applyNumberFormat="1" applyFont="1" applyFill="1" applyBorder="1" applyAlignment="1" applyProtection="1">
      <alignment horizontal="center"/>
      <protection locked="0"/>
    </xf>
    <xf numFmtId="3" fontId="100" fillId="13" borderId="21" xfId="0" applyNumberFormat="1" applyFont="1" applyFill="1" applyBorder="1" applyAlignment="1" applyProtection="1">
      <alignment horizontal="center"/>
      <protection locked="0"/>
    </xf>
    <xf numFmtId="164" fontId="100" fillId="13" borderId="21" xfId="0" applyNumberFormat="1" applyFont="1" applyFill="1" applyBorder="1" applyAlignment="1" applyProtection="1">
      <alignment horizontal="center"/>
      <protection locked="0"/>
    </xf>
    <xf numFmtId="0" fontId="100" fillId="13" borderId="30" xfId="0" applyFont="1" applyFill="1" applyBorder="1" applyAlignment="1" applyProtection="1">
      <alignment horizontal="center"/>
      <protection locked="0"/>
    </xf>
    <xf numFmtId="44" fontId="86" fillId="13" borderId="12" xfId="7" applyFont="1" applyFill="1" applyBorder="1" applyAlignment="1" applyProtection="1">
      <alignment horizontal="center" wrapText="1"/>
      <protection locked="0"/>
    </xf>
    <xf numFmtId="39" fontId="86" fillId="13" borderId="12" xfId="7" applyNumberFormat="1" applyFont="1" applyFill="1" applyBorder="1" applyAlignment="1" applyProtection="1">
      <alignment horizontal="center" wrapText="1"/>
      <protection locked="0"/>
    </xf>
    <xf numFmtId="44" fontId="86" fillId="13" borderId="21" xfId="7" applyFont="1" applyFill="1" applyBorder="1" applyAlignment="1" applyProtection="1">
      <alignment horizontal="center" wrapText="1"/>
      <protection locked="0"/>
    </xf>
    <xf numFmtId="39" fontId="86" fillId="13" borderId="21" xfId="7" applyNumberFormat="1" applyFont="1" applyFill="1" applyBorder="1" applyAlignment="1" applyProtection="1">
      <alignment horizontal="center" wrapText="1"/>
      <protection locked="0"/>
    </xf>
    <xf numFmtId="170" fontId="100" fillId="13" borderId="12" xfId="7" applyNumberFormat="1" applyFont="1" applyFill="1" applyBorder="1" applyAlignment="1" applyProtection="1">
      <alignment horizontal="center"/>
      <protection locked="0"/>
    </xf>
    <xf numFmtId="169" fontId="100" fillId="13" borderId="12" xfId="0" applyNumberFormat="1" applyFont="1" applyFill="1" applyBorder="1" applyAlignment="1" applyProtection="1">
      <alignment horizontal="center"/>
      <protection locked="0"/>
    </xf>
    <xf numFmtId="167" fontId="100" fillId="13" borderId="12" xfId="0" applyNumberFormat="1" applyFont="1" applyFill="1" applyBorder="1" applyAlignment="1" applyProtection="1">
      <alignment horizontal="center"/>
      <protection locked="0"/>
    </xf>
    <xf numFmtId="165" fontId="100" fillId="13" borderId="12" xfId="28" applyNumberFormat="1" applyFont="1" applyFill="1" applyBorder="1" applyProtection="1">
      <protection locked="0"/>
    </xf>
    <xf numFmtId="165" fontId="100" fillId="13" borderId="13" xfId="28" applyNumberFormat="1" applyFont="1" applyFill="1" applyBorder="1" applyProtection="1">
      <protection locked="0"/>
    </xf>
    <xf numFmtId="165" fontId="120" fillId="13" borderId="12" xfId="28" applyNumberFormat="1" applyFont="1" applyFill="1" applyBorder="1" applyAlignment="1" applyProtection="1">
      <alignment horizontal="right"/>
      <protection locked="0"/>
    </xf>
    <xf numFmtId="170" fontId="100" fillId="13" borderId="12" xfId="7" applyNumberFormat="1" applyFont="1" applyFill="1" applyBorder="1" applyProtection="1">
      <protection locked="0"/>
    </xf>
    <xf numFmtId="0" fontId="122" fillId="0" borderId="0" xfId="0" applyFont="1"/>
    <xf numFmtId="0" fontId="74" fillId="7" borderId="5" xfId="29" applyFont="1" applyFill="1" applyBorder="1"/>
    <xf numFmtId="0" fontId="74" fillId="7" borderId="148" xfId="29" applyFont="1" applyFill="1" applyBorder="1"/>
    <xf numFmtId="0" fontId="74" fillId="7" borderId="112" xfId="29" applyFont="1" applyFill="1" applyBorder="1"/>
    <xf numFmtId="0" fontId="74" fillId="7" borderId="114" xfId="29" applyFont="1" applyFill="1" applyBorder="1"/>
    <xf numFmtId="0" fontId="74" fillId="12" borderId="37" xfId="0" applyFont="1" applyFill="1" applyBorder="1"/>
    <xf numFmtId="6" fontId="135" fillId="17" borderId="112" xfId="29" applyNumberFormat="1" applyFont="1" applyFill="1" applyBorder="1" applyAlignment="1">
      <alignment horizontal="right"/>
    </xf>
    <xf numFmtId="165" fontId="135" fillId="17" borderId="112" xfId="29" applyNumberFormat="1" applyFont="1" applyFill="1" applyBorder="1" applyAlignment="1">
      <alignment horizontal="right"/>
    </xf>
    <xf numFmtId="4" fontId="135" fillId="17" borderId="114" xfId="29" applyNumberFormat="1" applyFont="1" applyFill="1" applyBorder="1" applyAlignment="1">
      <alignment horizontal="right"/>
    </xf>
    <xf numFmtId="6" fontId="135" fillId="17" borderId="0" xfId="29" applyNumberFormat="1" applyFont="1" applyFill="1" applyAlignment="1">
      <alignment horizontal="right"/>
    </xf>
    <xf numFmtId="165" fontId="135" fillId="17" borderId="0" xfId="29" applyNumberFormat="1" applyFont="1" applyFill="1" applyAlignment="1">
      <alignment horizontal="right"/>
    </xf>
    <xf numFmtId="165" fontId="135" fillId="17" borderId="55" xfId="29" applyNumberFormat="1" applyFont="1" applyFill="1" applyBorder="1" applyAlignment="1">
      <alignment horizontal="right"/>
    </xf>
    <xf numFmtId="0" fontId="64" fillId="18" borderId="0" xfId="0" applyFont="1" applyFill="1"/>
    <xf numFmtId="0" fontId="74" fillId="18" borderId="0" xfId="0" applyFont="1" applyFill="1"/>
    <xf numFmtId="9" fontId="64" fillId="18" borderId="0" xfId="38" applyFont="1" applyFill="1"/>
    <xf numFmtId="0" fontId="104" fillId="0" borderId="0" xfId="51" applyFont="1"/>
    <xf numFmtId="0" fontId="129" fillId="0" borderId="0" xfId="51" applyFont="1"/>
    <xf numFmtId="0" fontId="130" fillId="0" borderId="0" xfId="51" applyFont="1"/>
    <xf numFmtId="0" fontId="81" fillId="0" borderId="47" xfId="0" applyFont="1" applyBorder="1"/>
    <xf numFmtId="0" fontId="80" fillId="0" borderId="70" xfId="0" applyFont="1" applyBorder="1"/>
    <xf numFmtId="0" fontId="80" fillId="0" borderId="61" xfId="0" applyFont="1" applyBorder="1"/>
    <xf numFmtId="0" fontId="80" fillId="0" borderId="62" xfId="0" applyFont="1" applyBorder="1"/>
    <xf numFmtId="0" fontId="75" fillId="0" borderId="61" xfId="0" applyFont="1" applyBorder="1"/>
    <xf numFmtId="0" fontId="75" fillId="0" borderId="62" xfId="0" applyFont="1" applyBorder="1"/>
    <xf numFmtId="0" fontId="75" fillId="0" borderId="46" xfId="0" applyFont="1" applyBorder="1"/>
    <xf numFmtId="0" fontId="75" fillId="0" borderId="58" xfId="0" applyFont="1" applyBorder="1"/>
    <xf numFmtId="0" fontId="90" fillId="0" borderId="0" xfId="0" applyFont="1"/>
    <xf numFmtId="0" fontId="89" fillId="0" borderId="0" xfId="0" applyFont="1"/>
    <xf numFmtId="0" fontId="81" fillId="0" borderId="0" xfId="0" applyFont="1"/>
    <xf numFmtId="0" fontId="64" fillId="0" borderId="0" xfId="0" applyFont="1" applyAlignment="1">
      <alignment horizontal="left" indent="2"/>
    </xf>
    <xf numFmtId="0" fontId="64" fillId="0" borderId="0" xfId="0" applyFont="1" applyAlignment="1">
      <alignment horizontal="left"/>
    </xf>
    <xf numFmtId="0" fontId="74" fillId="0" borderId="0" xfId="0" applyFont="1" applyAlignment="1">
      <alignment horizontal="left"/>
    </xf>
    <xf numFmtId="9" fontId="64" fillId="0" borderId="0" xfId="38" applyFont="1" applyFill="1"/>
    <xf numFmtId="9" fontId="64" fillId="0" borderId="0" xfId="0" applyNumberFormat="1" applyFont="1" applyAlignment="1">
      <alignment horizontal="left"/>
    </xf>
    <xf numFmtId="0" fontId="75" fillId="0" borderId="0" xfId="0" applyFont="1"/>
    <xf numFmtId="0" fontId="78" fillId="0" borderId="0" xfId="0" applyFont="1" applyAlignment="1">
      <alignment horizontal="right"/>
    </xf>
    <xf numFmtId="14" fontId="78" fillId="0" borderId="0" xfId="0" applyNumberFormat="1" applyFont="1" applyAlignment="1">
      <alignment horizontal="center"/>
    </xf>
    <xf numFmtId="0" fontId="74" fillId="0" borderId="0" xfId="29" applyFont="1"/>
    <xf numFmtId="0" fontId="104" fillId="0" borderId="0" xfId="43" applyFont="1" applyAlignment="1">
      <alignment horizontal="center"/>
    </xf>
    <xf numFmtId="0" fontId="105" fillId="0" borderId="0" xfId="43" applyFont="1"/>
    <xf numFmtId="0" fontId="84" fillId="0" borderId="0" xfId="43" applyFont="1" applyAlignment="1">
      <alignment horizontal="center"/>
    </xf>
    <xf numFmtId="0" fontId="104" fillId="0" borderId="0" xfId="43" applyFont="1" applyAlignment="1">
      <alignment horizontal="left"/>
    </xf>
    <xf numFmtId="0" fontId="73" fillId="0" borderId="0" xfId="0" applyFont="1"/>
    <xf numFmtId="0" fontId="115" fillId="0" borderId="0" xfId="21" applyFont="1" applyFill="1" applyBorder="1" applyAlignment="1" applyProtection="1"/>
    <xf numFmtId="0" fontId="116" fillId="0" borderId="0" xfId="0" applyFont="1"/>
    <xf numFmtId="14" fontId="75" fillId="0" borderId="0" xfId="0" applyNumberFormat="1" applyFont="1" applyAlignment="1">
      <alignment horizontal="left"/>
    </xf>
    <xf numFmtId="0" fontId="69" fillId="0" borderId="47" xfId="0" applyFont="1" applyBorder="1"/>
    <xf numFmtId="0" fontId="64" fillId="0" borderId="9" xfId="0" applyFont="1" applyBorder="1"/>
    <xf numFmtId="0" fontId="69" fillId="0" borderId="46" xfId="0" applyFont="1" applyBorder="1"/>
    <xf numFmtId="0" fontId="64" fillId="0" borderId="57" xfId="0" applyFont="1" applyBorder="1"/>
    <xf numFmtId="0" fontId="96" fillId="0" borderId="0" xfId="0" applyFont="1"/>
    <xf numFmtId="0" fontId="69" fillId="0" borderId="0" xfId="0" applyFont="1"/>
    <xf numFmtId="0" fontId="64" fillId="0" borderId="61" xfId="0" applyFont="1" applyBorder="1"/>
    <xf numFmtId="0" fontId="74" fillId="0" borderId="1" xfId="0" applyFont="1" applyBorder="1"/>
    <xf numFmtId="0" fontId="74" fillId="0" borderId="14" xfId="0" applyFont="1" applyBorder="1"/>
    <xf numFmtId="0" fontId="74" fillId="0" borderId="19" xfId="0" applyFont="1" applyBorder="1"/>
    <xf numFmtId="0" fontId="64" fillId="0" borderId="62" xfId="0" applyFont="1" applyBorder="1"/>
    <xf numFmtId="0" fontId="64" fillId="0" borderId="58" xfId="0" applyFont="1" applyBorder="1"/>
    <xf numFmtId="0" fontId="74" fillId="0" borderId="57" xfId="0" applyFont="1" applyBorder="1"/>
    <xf numFmtId="0" fontId="83" fillId="0" borderId="0" xfId="0" applyFont="1"/>
    <xf numFmtId="0" fontId="80" fillId="0" borderId="0" xfId="0" applyFont="1" applyAlignment="1">
      <alignment horizontal="center"/>
    </xf>
    <xf numFmtId="0" fontId="64" fillId="0" borderId="32" xfId="0" applyFont="1" applyBorder="1"/>
    <xf numFmtId="0" fontId="64" fillId="0" borderId="46" xfId="0" applyFont="1" applyBorder="1"/>
    <xf numFmtId="3" fontId="64" fillId="0" borderId="76" xfId="0" applyNumberFormat="1" applyFont="1" applyBorder="1" applyAlignment="1">
      <alignment horizontal="center"/>
    </xf>
    <xf numFmtId="0" fontId="80" fillId="0" borderId="0" xfId="0" applyFont="1" applyAlignment="1">
      <alignment wrapText="1"/>
    </xf>
    <xf numFmtId="0" fontId="80" fillId="0" borderId="0" xfId="0" applyFont="1" applyAlignment="1">
      <alignment horizontal="center" wrapText="1"/>
    </xf>
    <xf numFmtId="0" fontId="80" fillId="0" borderId="12" xfId="0" applyFont="1" applyBorder="1" applyAlignment="1">
      <alignment horizontal="center" wrapText="1"/>
    </xf>
    <xf numFmtId="165" fontId="64" fillId="0" borderId="12" xfId="0" applyNumberFormat="1" applyFont="1" applyBorder="1" applyAlignment="1">
      <alignment horizontal="center"/>
    </xf>
    <xf numFmtId="165" fontId="69" fillId="0" borderId="26" xfId="0" applyNumberFormat="1" applyFont="1" applyBorder="1" applyAlignment="1">
      <alignment horizontal="center"/>
    </xf>
    <xf numFmtId="9" fontId="64" fillId="0" borderId="15" xfId="36" applyFont="1" applyFill="1" applyBorder="1" applyAlignment="1" applyProtection="1">
      <alignment horizontal="center"/>
    </xf>
    <xf numFmtId="0" fontId="80" fillId="0" borderId="12" xfId="0" applyFont="1" applyBorder="1" applyAlignment="1">
      <alignment horizontal="center"/>
    </xf>
    <xf numFmtId="165" fontId="80" fillId="0" borderId="12" xfId="0" applyNumberFormat="1" applyFont="1" applyBorder="1" applyAlignment="1">
      <alignment horizontal="center"/>
    </xf>
    <xf numFmtId="9" fontId="80" fillId="0" borderId="12" xfId="0" applyNumberFormat="1" applyFont="1" applyBorder="1" applyAlignment="1">
      <alignment horizontal="center" wrapText="1"/>
    </xf>
    <xf numFmtId="0" fontId="80" fillId="0" borderId="7" xfId="0" applyFont="1" applyBorder="1"/>
    <xf numFmtId="165" fontId="69" fillId="0" borderId="27" xfId="0" applyNumberFormat="1" applyFont="1" applyBorder="1" applyAlignment="1">
      <alignment horizontal="center"/>
    </xf>
    <xf numFmtId="167" fontId="80" fillId="0" borderId="12" xfId="0" applyNumberFormat="1" applyFont="1" applyBorder="1" applyAlignment="1">
      <alignment horizontal="center"/>
    </xf>
    <xf numFmtId="1" fontId="80" fillId="0" borderId="12" xfId="0" applyNumberFormat="1" applyFont="1" applyBorder="1" applyAlignment="1">
      <alignment horizontal="center"/>
    </xf>
    <xf numFmtId="0" fontId="80" fillId="0" borderId="8" xfId="0" applyFont="1" applyBorder="1"/>
    <xf numFmtId="164" fontId="80" fillId="0" borderId="12" xfId="0" applyNumberFormat="1" applyFont="1" applyBorder="1" applyAlignment="1">
      <alignment horizontal="center"/>
    </xf>
    <xf numFmtId="0" fontId="110" fillId="0" borderId="16" xfId="0" applyFont="1" applyBorder="1"/>
    <xf numFmtId="0" fontId="110" fillId="0" borderId="0" xfId="0" applyFont="1"/>
    <xf numFmtId="0" fontId="64" fillId="0" borderId="19" xfId="0" applyFont="1" applyBorder="1" applyAlignment="1">
      <alignment horizontal="center"/>
    </xf>
    <xf numFmtId="0" fontId="64" fillId="0" borderId="19" xfId="0" applyFont="1" applyBorder="1"/>
    <xf numFmtId="0" fontId="69" fillId="0" borderId="19" xfId="0" applyFont="1" applyBorder="1"/>
    <xf numFmtId="0" fontId="64" fillId="0" borderId="17" xfId="0" applyFont="1" applyBorder="1"/>
    <xf numFmtId="0" fontId="100" fillId="0" borderId="12" xfId="0" applyFont="1" applyBorder="1" applyAlignment="1" applyProtection="1">
      <alignment horizontal="center"/>
      <protection locked="0"/>
    </xf>
    <xf numFmtId="0" fontId="64" fillId="0" borderId="10" xfId="0" applyFont="1" applyBorder="1"/>
    <xf numFmtId="165" fontId="64" fillId="0" borderId="21" xfId="0" applyNumberFormat="1" applyFont="1" applyBorder="1" applyAlignment="1">
      <alignment horizontal="center"/>
    </xf>
    <xf numFmtId="164" fontId="69" fillId="0" borderId="8" xfId="0" applyNumberFormat="1" applyFont="1" applyBorder="1" applyAlignment="1" applyProtection="1">
      <alignment horizontal="center"/>
      <protection locked="0"/>
    </xf>
    <xf numFmtId="165" fontId="69" fillId="0" borderId="8" xfId="0" applyNumberFormat="1" applyFont="1" applyBorder="1" applyAlignment="1">
      <alignment horizontal="center"/>
    </xf>
    <xf numFmtId="0" fontId="64" fillId="0" borderId="0" xfId="0" applyFont="1" applyAlignment="1">
      <alignment horizontal="center"/>
    </xf>
    <xf numFmtId="1" fontId="64" fillId="0" borderId="12" xfId="0" applyNumberFormat="1" applyFont="1" applyBorder="1" applyAlignment="1">
      <alignment horizontal="center"/>
    </xf>
    <xf numFmtId="3" fontId="64" fillId="0" borderId="12" xfId="0" applyNumberFormat="1" applyFont="1" applyBorder="1" applyAlignment="1">
      <alignment horizontal="center"/>
    </xf>
    <xf numFmtId="3" fontId="64" fillId="0" borderId="21" xfId="0" applyNumberFormat="1" applyFont="1" applyBorder="1" applyAlignment="1">
      <alignment horizontal="center"/>
    </xf>
    <xf numFmtId="9" fontId="74" fillId="0" borderId="0" xfId="0" applyNumberFormat="1" applyFont="1" applyAlignment="1">
      <alignment horizontal="center"/>
    </xf>
    <xf numFmtId="0" fontId="69" fillId="0" borderId="41" xfId="0" applyFont="1" applyBorder="1"/>
    <xf numFmtId="44" fontId="69" fillId="0" borderId="45" xfId="7" applyFont="1" applyFill="1" applyBorder="1" applyAlignment="1" applyProtection="1">
      <alignment horizontal="center"/>
    </xf>
    <xf numFmtId="44" fontId="69" fillId="0" borderId="71" xfId="7" applyFont="1" applyFill="1" applyBorder="1" applyAlignment="1" applyProtection="1">
      <alignment horizontal="center"/>
    </xf>
    <xf numFmtId="0" fontId="124" fillId="0" borderId="0" xfId="0" applyFont="1"/>
    <xf numFmtId="0" fontId="114" fillId="0" borderId="0" xfId="0" applyFont="1"/>
    <xf numFmtId="0" fontId="114" fillId="0" borderId="0" xfId="0" applyFont="1" applyAlignment="1">
      <alignment horizontal="right"/>
    </xf>
    <xf numFmtId="14" fontId="114" fillId="0" borderId="0" xfId="0" applyNumberFormat="1" applyFont="1"/>
    <xf numFmtId="0" fontId="134" fillId="0" borderId="0" xfId="0" applyFont="1"/>
    <xf numFmtId="0" fontId="72" fillId="0" borderId="0" xfId="29" applyFont="1"/>
    <xf numFmtId="0" fontId="92" fillId="0" borderId="0" xfId="29" applyFont="1"/>
    <xf numFmtId="6" fontId="69" fillId="0" borderId="28" xfId="30" applyNumberFormat="1" applyFont="1" applyBorder="1" applyAlignment="1">
      <alignment horizontal="center" vertical="center"/>
    </xf>
    <xf numFmtId="0" fontId="69" fillId="0" borderId="119" xfId="29" applyFont="1" applyBorder="1" applyAlignment="1">
      <alignment horizontal="center" vertical="center"/>
    </xf>
    <xf numFmtId="6" fontId="69" fillId="0" borderId="29" xfId="30" applyNumberFormat="1" applyFont="1" applyBorder="1" applyAlignment="1">
      <alignment horizontal="center" vertical="center"/>
    </xf>
    <xf numFmtId="0" fontId="74" fillId="0" borderId="0" xfId="29" applyFont="1" applyAlignment="1">
      <alignment horizontal="center"/>
    </xf>
    <xf numFmtId="6" fontId="86" fillId="0" borderId="112" xfId="29" applyNumberFormat="1" applyFont="1" applyBorder="1" applyAlignment="1" applyProtection="1">
      <alignment horizontal="right"/>
      <protection locked="0"/>
    </xf>
    <xf numFmtId="6" fontId="86" fillId="0" borderId="113" xfId="29" applyNumberFormat="1" applyFont="1" applyBorder="1" applyAlignment="1">
      <alignment horizontal="right"/>
    </xf>
    <xf numFmtId="6" fontId="86" fillId="0" borderId="112" xfId="29" applyNumberFormat="1" applyFont="1" applyBorder="1" applyAlignment="1">
      <alignment horizontal="right"/>
    </xf>
    <xf numFmtId="6" fontId="132" fillId="0" borderId="77" xfId="29" applyNumberFormat="1" applyFont="1" applyBorder="1" applyAlignment="1">
      <alignment horizontal="right"/>
    </xf>
    <xf numFmtId="6" fontId="74" fillId="0" borderId="113" xfId="29" applyNumberFormat="1" applyFont="1" applyBorder="1" applyAlignment="1">
      <alignment horizontal="right"/>
    </xf>
    <xf numFmtId="165" fontId="132" fillId="0" borderId="77" xfId="30" applyNumberFormat="1" applyFont="1" applyBorder="1" applyAlignment="1">
      <alignment horizontal="right"/>
    </xf>
    <xf numFmtId="165" fontId="74" fillId="0" borderId="112" xfId="0" applyNumberFormat="1" applyFont="1" applyBorder="1" applyProtection="1">
      <protection locked="0"/>
    </xf>
    <xf numFmtId="166" fontId="74" fillId="0" borderId="5" xfId="36" applyNumberFormat="1" applyFont="1" applyFill="1" applyBorder="1" applyProtection="1">
      <protection locked="0"/>
    </xf>
    <xf numFmtId="165" fontId="74" fillId="0" borderId="6" xfId="0" applyNumberFormat="1" applyFont="1" applyBorder="1" applyProtection="1">
      <protection locked="0"/>
    </xf>
    <xf numFmtId="165" fontId="132" fillId="0" borderId="77" xfId="0" applyNumberFormat="1" applyFont="1" applyBorder="1"/>
    <xf numFmtId="6" fontId="132" fillId="0" borderId="112" xfId="30" applyNumberFormat="1" applyFont="1" applyBorder="1" applyAlignment="1" applyProtection="1">
      <alignment horizontal="right"/>
      <protection locked="0"/>
    </xf>
    <xf numFmtId="165" fontId="132" fillId="0" borderId="117" xfId="30" applyNumberFormat="1" applyFont="1" applyBorder="1" applyAlignment="1" applyProtection="1">
      <alignment horizontal="right"/>
      <protection locked="0"/>
    </xf>
    <xf numFmtId="165" fontId="132" fillId="0" borderId="0" xfId="30" applyNumberFormat="1" applyFont="1" applyAlignment="1" applyProtection="1">
      <alignment horizontal="right"/>
      <protection locked="0"/>
    </xf>
    <xf numFmtId="6" fontId="74" fillId="0" borderId="112" xfId="29" applyNumberFormat="1" applyFont="1" applyBorder="1" applyAlignment="1" applyProtection="1">
      <alignment horizontal="right"/>
      <protection locked="0"/>
    </xf>
    <xf numFmtId="166" fontId="74" fillId="0" borderId="118" xfId="36" applyNumberFormat="1" applyFont="1" applyFill="1" applyBorder="1" applyProtection="1">
      <protection locked="0"/>
    </xf>
    <xf numFmtId="166" fontId="74" fillId="0" borderId="117" xfId="36" applyNumberFormat="1" applyFont="1" applyFill="1" applyBorder="1" applyProtection="1">
      <protection locked="0"/>
    </xf>
    <xf numFmtId="6" fontId="132" fillId="0" borderId="117" xfId="30" applyNumberFormat="1" applyFont="1" applyBorder="1" applyAlignment="1" applyProtection="1">
      <alignment horizontal="right"/>
      <protection locked="0"/>
    </xf>
    <xf numFmtId="6" fontId="132" fillId="0" borderId="0" xfId="30" applyNumberFormat="1" applyFont="1" applyAlignment="1" applyProtection="1">
      <alignment horizontal="right"/>
      <protection locked="0"/>
    </xf>
    <xf numFmtId="6" fontId="132" fillId="0" borderId="77" xfId="30" applyNumberFormat="1" applyFont="1" applyBorder="1" applyAlignment="1">
      <alignment horizontal="right"/>
    </xf>
    <xf numFmtId="0" fontId="78" fillId="0" borderId="0" xfId="29" applyFont="1"/>
    <xf numFmtId="6" fontId="131" fillId="0" borderId="77" xfId="30" applyNumberFormat="1" applyFont="1" applyBorder="1" applyAlignment="1">
      <alignment horizontal="right"/>
    </xf>
    <xf numFmtId="6" fontId="131" fillId="0" borderId="77" xfId="29" applyNumberFormat="1" applyFont="1" applyBorder="1" applyAlignment="1">
      <alignment horizontal="right"/>
    </xf>
    <xf numFmtId="6" fontId="74" fillId="0" borderId="112" xfId="29" applyNumberFormat="1" applyFont="1" applyBorder="1" applyAlignment="1">
      <alignment horizontal="right"/>
    </xf>
    <xf numFmtId="10" fontId="74" fillId="0" borderId="113" xfId="36" applyNumberFormat="1" applyFont="1" applyFill="1" applyBorder="1" applyAlignment="1" applyProtection="1">
      <alignment horizontal="right"/>
    </xf>
    <xf numFmtId="165" fontId="86" fillId="0" borderId="112" xfId="29" applyNumberFormat="1" applyFont="1" applyBorder="1" applyAlignment="1">
      <alignment horizontal="right"/>
    </xf>
    <xf numFmtId="6" fontId="78" fillId="0" borderId="77" xfId="29" applyNumberFormat="1" applyFont="1" applyBorder="1" applyAlignment="1">
      <alignment horizontal="right"/>
    </xf>
    <xf numFmtId="165" fontId="86" fillId="0" borderId="113" xfId="29" applyNumberFormat="1" applyFont="1" applyBorder="1" applyAlignment="1">
      <alignment horizontal="right"/>
    </xf>
    <xf numFmtId="165" fontId="132" fillId="0" borderId="77" xfId="29" applyNumberFormat="1" applyFont="1" applyBorder="1" applyAlignment="1">
      <alignment horizontal="right"/>
    </xf>
    <xf numFmtId="4" fontId="74" fillId="0" borderId="114" xfId="29" applyNumberFormat="1" applyFont="1" applyBorder="1" applyAlignment="1">
      <alignment horizontal="right"/>
    </xf>
    <xf numFmtId="165" fontId="74" fillId="0" borderId="115" xfId="29" applyNumberFormat="1" applyFont="1" applyBorder="1" applyAlignment="1">
      <alignment horizontal="right"/>
    </xf>
    <xf numFmtId="165" fontId="132" fillId="0" borderId="97" xfId="29" applyNumberFormat="1" applyFont="1" applyBorder="1" applyAlignment="1">
      <alignment horizontal="right"/>
    </xf>
    <xf numFmtId="0" fontId="91" fillId="0" borderId="0" xfId="27" applyFont="1"/>
    <xf numFmtId="165" fontId="94" fillId="0" borderId="0" xfId="29" applyNumberFormat="1" applyFont="1" applyAlignment="1">
      <alignment horizontal="right"/>
    </xf>
    <xf numFmtId="0" fontId="83" fillId="0" borderId="0" xfId="0" applyFont="1" applyAlignment="1">
      <alignment wrapText="1"/>
    </xf>
    <xf numFmtId="0" fontId="83" fillId="0" borderId="0" xfId="0" applyFont="1" applyAlignment="1">
      <alignment horizontal="center"/>
    </xf>
    <xf numFmtId="14" fontId="83" fillId="0" borderId="0" xfId="0" applyNumberFormat="1" applyFont="1" applyAlignment="1">
      <alignment horizontal="center" wrapText="1"/>
    </xf>
    <xf numFmtId="0" fontId="74" fillId="0" borderId="12" xfId="0" applyFont="1" applyBorder="1" applyAlignment="1">
      <alignment wrapText="1"/>
    </xf>
    <xf numFmtId="39" fontId="74" fillId="0" borderId="12" xfId="7" applyNumberFormat="1" applyFont="1" applyFill="1" applyBorder="1" applyAlignment="1" applyProtection="1">
      <alignment horizontal="center" wrapText="1"/>
    </xf>
    <xf numFmtId="0" fontId="74" fillId="0" borderId="21" xfId="0" applyFont="1" applyBorder="1" applyAlignment="1">
      <alignment wrapText="1"/>
    </xf>
    <xf numFmtId="39" fontId="74" fillId="0" borderId="21" xfId="7" applyNumberFormat="1" applyFont="1" applyFill="1" applyBorder="1" applyAlignment="1" applyProtection="1">
      <alignment horizontal="center" wrapText="1"/>
    </xf>
    <xf numFmtId="168" fontId="91" fillId="0" borderId="0" xfId="1" applyNumberFormat="1" applyFont="1" applyFill="1" applyAlignment="1">
      <alignment horizontal="right"/>
    </xf>
    <xf numFmtId="168" fontId="95" fillId="0" borderId="0" xfId="1" applyNumberFormat="1" applyFont="1" applyFill="1" applyAlignment="1">
      <alignment horizontal="right"/>
    </xf>
    <xf numFmtId="0" fontId="74" fillId="0" borderId="10" xfId="0" applyFont="1" applyBorder="1"/>
    <xf numFmtId="0" fontId="97" fillId="0" borderId="0" xfId="0" applyFont="1"/>
    <xf numFmtId="0" fontId="98" fillId="0" borderId="0" xfId="0" applyFont="1"/>
    <xf numFmtId="0" fontId="69" fillId="0" borderId="0" xfId="0" applyFont="1" applyAlignment="1">
      <alignment horizontal="right"/>
    </xf>
    <xf numFmtId="169" fontId="64" fillId="0" borderId="12" xfId="0" applyNumberFormat="1" applyFont="1" applyBorder="1" applyAlignment="1">
      <alignment horizontal="center"/>
    </xf>
    <xf numFmtId="167" fontId="64" fillId="0" borderId="12" xfId="0" applyNumberFormat="1" applyFont="1" applyBorder="1" applyAlignment="1">
      <alignment horizontal="center"/>
    </xf>
    <xf numFmtId="1" fontId="74" fillId="0" borderId="0" xfId="0" applyNumberFormat="1" applyFont="1"/>
    <xf numFmtId="2" fontId="74" fillId="0" borderId="0" xfId="0" applyNumberFormat="1" applyFont="1"/>
    <xf numFmtId="0" fontId="64" fillId="0" borderId="56" xfId="0" applyFont="1" applyBorder="1"/>
    <xf numFmtId="0" fontId="78" fillId="0" borderId="0" xfId="0" applyFont="1" applyAlignment="1">
      <alignment horizontal="center"/>
    </xf>
    <xf numFmtId="170" fontId="78" fillId="0" borderId="0" xfId="0" applyNumberFormat="1" applyFont="1"/>
    <xf numFmtId="9" fontId="74" fillId="0" borderId="0" xfId="36" applyFont="1" applyFill="1" applyBorder="1"/>
    <xf numFmtId="0" fontId="64" fillId="0" borderId="1" xfId="25" applyFont="1" applyBorder="1"/>
    <xf numFmtId="0" fontId="64" fillId="0" borderId="33" xfId="0" applyFont="1" applyBorder="1"/>
    <xf numFmtId="0" fontId="64" fillId="0" borderId="91" xfId="0" applyFont="1" applyBorder="1"/>
    <xf numFmtId="166" fontId="64" fillId="0" borderId="42" xfId="36" applyNumberFormat="1" applyFont="1" applyFill="1" applyBorder="1" applyProtection="1"/>
    <xf numFmtId="0" fontId="102" fillId="0" borderId="0" xfId="0" applyFont="1" applyAlignment="1">
      <alignment horizontal="left"/>
    </xf>
    <xf numFmtId="165" fontId="64" fillId="0" borderId="12" xfId="28" applyNumberFormat="1" applyFont="1" applyBorder="1"/>
    <xf numFmtId="165" fontId="69" fillId="0" borderId="21" xfId="28" applyNumberFormat="1" applyFont="1" applyBorder="1" applyAlignment="1">
      <alignment horizontal="right"/>
    </xf>
    <xf numFmtId="165" fontId="64" fillId="0" borderId="11" xfId="25" applyNumberFormat="1" applyFont="1" applyBorder="1" applyAlignment="1">
      <alignment horizontal="right"/>
    </xf>
    <xf numFmtId="166" fontId="64" fillId="0" borderId="33" xfId="36" applyNumberFormat="1" applyFont="1" applyFill="1" applyBorder="1" applyProtection="1"/>
    <xf numFmtId="166" fontId="69" fillId="0" borderId="12" xfId="36" applyNumberFormat="1" applyFont="1" applyFill="1" applyBorder="1" applyProtection="1"/>
    <xf numFmtId="165" fontId="64" fillId="0" borderId="10" xfId="25" applyNumberFormat="1" applyFont="1" applyBorder="1" applyAlignment="1">
      <alignment horizontal="right"/>
    </xf>
    <xf numFmtId="166" fontId="64" fillId="0" borderId="39" xfId="36" applyNumberFormat="1" applyFont="1" applyFill="1" applyBorder="1" applyProtection="1"/>
    <xf numFmtId="166" fontId="69" fillId="0" borderId="42" xfId="36" applyNumberFormat="1" applyFont="1" applyFill="1" applyBorder="1" applyProtection="1"/>
    <xf numFmtId="1" fontId="80" fillId="0" borderId="0" xfId="0" applyNumberFormat="1" applyFont="1"/>
    <xf numFmtId="166" fontId="69" fillId="0" borderId="43" xfId="36" applyNumberFormat="1" applyFont="1" applyFill="1" applyBorder="1" applyProtection="1"/>
    <xf numFmtId="165" fontId="69" fillId="0" borderId="35" xfId="0" applyNumberFormat="1" applyFont="1" applyBorder="1"/>
    <xf numFmtId="165" fontId="69" fillId="0" borderId="37" xfId="0" applyNumberFormat="1" applyFont="1" applyBorder="1" applyAlignment="1">
      <alignment horizontal="right"/>
    </xf>
    <xf numFmtId="165" fontId="69" fillId="0" borderId="0" xfId="0" applyNumberFormat="1" applyFont="1"/>
    <xf numFmtId="165" fontId="69" fillId="0" borderId="0" xfId="0" applyNumberFormat="1" applyFont="1" applyAlignment="1">
      <alignment horizontal="right"/>
    </xf>
    <xf numFmtId="0" fontId="69" fillId="0" borderId="0" xfId="0" applyFont="1" applyAlignment="1">
      <alignment horizontal="center"/>
    </xf>
    <xf numFmtId="165" fontId="69" fillId="0" borderId="37" xfId="0" applyNumberFormat="1" applyFont="1" applyBorder="1" applyAlignment="1">
      <alignment horizontal="center"/>
    </xf>
    <xf numFmtId="165" fontId="64" fillId="0" borderId="0" xfId="0" applyNumberFormat="1" applyFont="1"/>
    <xf numFmtId="165" fontId="69" fillId="0" borderId="83" xfId="0" applyNumberFormat="1" applyFont="1" applyBorder="1" applyAlignment="1">
      <alignment horizontal="center"/>
    </xf>
    <xf numFmtId="165" fontId="69" fillId="0" borderId="58" xfId="0" applyNumberFormat="1" applyFont="1" applyBorder="1" applyAlignment="1">
      <alignment horizontal="center"/>
    </xf>
    <xf numFmtId="165" fontId="69" fillId="0" borderId="84" xfId="0" applyNumberFormat="1" applyFont="1" applyBorder="1" applyAlignment="1">
      <alignment horizontal="center"/>
    </xf>
    <xf numFmtId="165" fontId="69" fillId="0" borderId="85" xfId="0" applyNumberFormat="1" applyFont="1" applyBorder="1" applyAlignment="1">
      <alignment horizontal="center"/>
    </xf>
    <xf numFmtId="0" fontId="69" fillId="0" borderId="16" xfId="0" applyFont="1" applyBorder="1"/>
    <xf numFmtId="0" fontId="69" fillId="0" borderId="17" xfId="0" applyFont="1" applyBorder="1"/>
    <xf numFmtId="165" fontId="64" fillId="0" borderId="9" xfId="0" applyNumberFormat="1" applyFont="1" applyBorder="1"/>
    <xf numFmtId="9" fontId="64" fillId="0" borderId="10" xfId="0" applyNumberFormat="1" applyFont="1" applyBorder="1"/>
    <xf numFmtId="9" fontId="64" fillId="0" borderId="0" xfId="0" applyNumberFormat="1" applyFont="1"/>
    <xf numFmtId="164" fontId="64" fillId="0" borderId="9" xfId="0" applyNumberFormat="1" applyFont="1" applyBorder="1"/>
    <xf numFmtId="0" fontId="64" fillId="0" borderId="11" xfId="0" applyFont="1" applyBorder="1"/>
    <xf numFmtId="0" fontId="64" fillId="0" borderId="1" xfId="0" applyFont="1" applyBorder="1"/>
    <xf numFmtId="0" fontId="64" fillId="0" borderId="18" xfId="0" applyFont="1" applyBorder="1"/>
    <xf numFmtId="0" fontId="99" fillId="0" borderId="125" xfId="46" applyFont="1" applyBorder="1" applyAlignment="1">
      <alignment vertical="center"/>
    </xf>
    <xf numFmtId="0" fontId="99" fillId="0" borderId="126" xfId="46" applyFont="1" applyBorder="1" applyAlignment="1">
      <alignment vertical="center"/>
    </xf>
    <xf numFmtId="0" fontId="99" fillId="0" borderId="127" xfId="46" applyFont="1" applyBorder="1" applyAlignment="1">
      <alignment vertical="center"/>
    </xf>
    <xf numFmtId="0" fontId="99" fillId="0" borderId="131" xfId="46" applyFont="1" applyBorder="1" applyAlignment="1">
      <alignment vertical="center"/>
    </xf>
    <xf numFmtId="0" fontId="99" fillId="0" borderId="132" xfId="46" applyFont="1" applyBorder="1" applyAlignment="1">
      <alignment vertical="center"/>
    </xf>
    <xf numFmtId="0" fontId="99" fillId="0" borderId="133" xfId="46" applyFont="1" applyBorder="1" applyAlignment="1">
      <alignment vertical="center"/>
    </xf>
    <xf numFmtId="0" fontId="99" fillId="0" borderId="72" xfId="46" applyFont="1" applyBorder="1" applyAlignment="1">
      <alignment vertical="center"/>
    </xf>
    <xf numFmtId="0" fontId="99" fillId="0" borderId="39" xfId="46" applyFont="1" applyBorder="1" applyAlignment="1">
      <alignment vertical="center"/>
    </xf>
    <xf numFmtId="0" fontId="99" fillId="0" borderId="65" xfId="46" applyFont="1" applyBorder="1" applyAlignment="1">
      <alignment vertical="center"/>
    </xf>
    <xf numFmtId="0" fontId="99" fillId="0" borderId="134" xfId="46" applyFont="1" applyBorder="1" applyAlignment="1">
      <alignment vertical="center"/>
    </xf>
    <xf numFmtId="2" fontId="64" fillId="0" borderId="30" xfId="45" applyFont="1" applyBorder="1"/>
    <xf numFmtId="2" fontId="64" fillId="0" borderId="96" xfId="45" applyFont="1" applyBorder="1"/>
    <xf numFmtId="0" fontId="99" fillId="0" borderId="88" xfId="46" applyFont="1" applyBorder="1" applyAlignment="1">
      <alignment vertical="center"/>
    </xf>
    <xf numFmtId="0" fontId="99" fillId="0" borderId="14" xfId="46" applyFont="1" applyBorder="1" applyAlignment="1">
      <alignment vertical="center"/>
    </xf>
    <xf numFmtId="0" fontId="99" fillId="0" borderId="15" xfId="46" applyFont="1" applyBorder="1" applyAlignment="1">
      <alignment vertical="center"/>
    </xf>
    <xf numFmtId="0" fontId="99" fillId="0" borderId="13" xfId="46" applyFont="1" applyBorder="1" applyAlignment="1">
      <alignment vertical="center"/>
    </xf>
    <xf numFmtId="0" fontId="99" fillId="0" borderId="116" xfId="46" applyFont="1" applyBorder="1" applyAlignment="1">
      <alignment vertical="center"/>
    </xf>
    <xf numFmtId="0" fontId="105" fillId="0" borderId="135" xfId="46" applyFont="1" applyBorder="1" applyAlignment="1">
      <alignment vertical="center" wrapText="1"/>
    </xf>
    <xf numFmtId="0" fontId="105" fillId="0" borderId="58" xfId="46" applyFont="1" applyBorder="1" applyAlignment="1">
      <alignment vertical="center" wrapText="1"/>
    </xf>
    <xf numFmtId="0" fontId="105" fillId="0" borderId="46" xfId="46" applyFont="1" applyBorder="1" applyAlignment="1">
      <alignment vertical="center"/>
    </xf>
    <xf numFmtId="0" fontId="105" fillId="0" borderId="57" xfId="46" applyFont="1" applyBorder="1" applyAlignment="1">
      <alignment vertical="center"/>
    </xf>
    <xf numFmtId="0" fontId="105" fillId="0" borderId="58" xfId="46" applyFont="1" applyBorder="1" applyAlignment="1">
      <alignment vertical="center"/>
    </xf>
    <xf numFmtId="0" fontId="105" fillId="0" borderId="46" xfId="46" applyFont="1" applyBorder="1" applyAlignment="1">
      <alignment vertical="center" wrapText="1"/>
    </xf>
    <xf numFmtId="0" fontId="105" fillId="0" borderId="136" xfId="46" applyFont="1" applyBorder="1" applyAlignment="1">
      <alignment vertical="center"/>
    </xf>
    <xf numFmtId="2" fontId="64" fillId="0" borderId="32" xfId="45" applyFont="1" applyBorder="1" applyAlignment="1">
      <alignment horizontal="left" wrapText="1"/>
    </xf>
    <xf numFmtId="2" fontId="64" fillId="0" borderId="95" xfId="45" applyFont="1" applyBorder="1" applyAlignment="1">
      <alignment horizontal="left" wrapText="1"/>
    </xf>
    <xf numFmtId="0" fontId="104" fillId="0" borderId="135" xfId="46" applyFont="1" applyBorder="1" applyAlignment="1">
      <alignment vertical="center" wrapText="1"/>
    </xf>
    <xf numFmtId="0" fontId="104" fillId="0" borderId="58" xfId="46" applyFont="1" applyBorder="1" applyAlignment="1">
      <alignment vertical="center" wrapText="1"/>
    </xf>
    <xf numFmtId="0" fontId="104" fillId="0" borderId="41" xfId="46" applyFont="1" applyBorder="1" applyAlignment="1">
      <alignment vertical="center"/>
    </xf>
    <xf numFmtId="0" fontId="104" fillId="0" borderId="59" xfId="46" applyFont="1" applyBorder="1" applyAlignment="1">
      <alignment vertical="center"/>
    </xf>
    <xf numFmtId="0" fontId="104" fillId="0" borderId="37" xfId="46" applyFont="1" applyBorder="1" applyAlignment="1">
      <alignment vertical="center"/>
    </xf>
    <xf numFmtId="44" fontId="104" fillId="0" borderId="41" xfId="47" applyFont="1" applyFill="1" applyBorder="1" applyAlignment="1">
      <alignment vertical="center" wrapText="1"/>
    </xf>
    <xf numFmtId="0" fontId="105" fillId="0" borderId="41" xfId="46" applyFont="1" applyBorder="1" applyAlignment="1">
      <alignment vertical="center"/>
    </xf>
    <xf numFmtId="0" fontId="105" fillId="0" borderId="59" xfId="46" applyFont="1" applyBorder="1" applyAlignment="1">
      <alignment vertical="center"/>
    </xf>
    <xf numFmtId="0" fontId="105" fillId="0" borderId="37" xfId="46" applyFont="1" applyBorder="1" applyAlignment="1">
      <alignment vertical="center"/>
    </xf>
    <xf numFmtId="0" fontId="104" fillId="0" borderId="138" xfId="46" applyFont="1" applyBorder="1" applyAlignment="1">
      <alignment vertical="center" wrapText="1"/>
    </xf>
    <xf numFmtId="0" fontId="104" fillId="0" borderId="62" xfId="46" applyFont="1" applyBorder="1" applyAlignment="1">
      <alignment vertical="center" wrapText="1"/>
    </xf>
    <xf numFmtId="0" fontId="104" fillId="0" borderId="139" xfId="46" applyFont="1" applyBorder="1" applyAlignment="1">
      <alignment vertical="center" wrapText="1"/>
    </xf>
    <xf numFmtId="0" fontId="104" fillId="0" borderId="70" xfId="46" applyFont="1" applyBorder="1" applyAlignment="1">
      <alignment vertical="center" wrapText="1"/>
    </xf>
    <xf numFmtId="0" fontId="104" fillId="0" borderId="140" xfId="46" applyFont="1" applyBorder="1" applyAlignment="1">
      <alignment vertical="center" wrapText="1"/>
    </xf>
    <xf numFmtId="0" fontId="104" fillId="0" borderId="37" xfId="46" applyFont="1" applyBorder="1" applyAlignment="1">
      <alignment vertical="center" wrapText="1"/>
    </xf>
    <xf numFmtId="0" fontId="104" fillId="0" borderId="141" xfId="46" applyFont="1" applyBorder="1" applyAlignment="1">
      <alignment vertical="center" wrapText="1"/>
    </xf>
    <xf numFmtId="0" fontId="104" fillId="0" borderId="142" xfId="46" applyFont="1" applyBorder="1" applyAlignment="1">
      <alignment vertical="center" wrapText="1"/>
    </xf>
    <xf numFmtId="0" fontId="105" fillId="0" borderId="143" xfId="46" applyFont="1" applyBorder="1" applyAlignment="1">
      <alignment vertical="center"/>
    </xf>
    <xf numFmtId="0" fontId="105" fillId="0" borderId="144" xfId="46" applyFont="1" applyBorder="1" applyAlignment="1">
      <alignment vertical="center"/>
    </xf>
    <xf numFmtId="0" fontId="105" fillId="0" borderId="145" xfId="46" applyFont="1" applyBorder="1" applyAlignment="1">
      <alignment vertical="center"/>
    </xf>
    <xf numFmtId="0" fontId="106" fillId="0" borderId="0" xfId="46" applyFont="1" applyAlignment="1">
      <alignment vertical="center" wrapText="1"/>
    </xf>
    <xf numFmtId="0" fontId="125" fillId="0" borderId="0" xfId="46" applyFont="1" applyAlignment="1">
      <alignment vertical="center" wrapText="1"/>
    </xf>
    <xf numFmtId="0" fontId="106" fillId="0" borderId="0" xfId="46" applyFont="1" applyAlignment="1">
      <alignment vertical="center"/>
    </xf>
    <xf numFmtId="0" fontId="106" fillId="0" borderId="57" xfId="46" applyFont="1" applyBorder="1" applyAlignment="1">
      <alignment vertical="center"/>
    </xf>
    <xf numFmtId="0" fontId="106" fillId="0" borderId="0" xfId="46" applyFont="1" applyAlignment="1">
      <alignment horizontal="right" vertical="center"/>
    </xf>
    <xf numFmtId="0" fontId="106" fillId="0" borderId="59" xfId="46" applyFont="1" applyBorder="1" applyAlignment="1">
      <alignment vertical="center"/>
    </xf>
    <xf numFmtId="0" fontId="99" fillId="0" borderId="0" xfId="46" applyFont="1" applyAlignment="1">
      <alignment vertical="center" wrapText="1"/>
    </xf>
    <xf numFmtId="0" fontId="69" fillId="0" borderId="0" xfId="28" applyNumberFormat="1" applyFont="1" applyAlignment="1">
      <alignment horizontal="left" vertical="center"/>
    </xf>
    <xf numFmtId="14" fontId="69" fillId="0" borderId="0" xfId="0" applyNumberFormat="1" applyFont="1" applyAlignment="1">
      <alignment horizontal="center"/>
    </xf>
    <xf numFmtId="173" fontId="80" fillId="0" borderId="0" xfId="28" applyFont="1"/>
    <xf numFmtId="173" fontId="80" fillId="0" borderId="0" xfId="28" applyFont="1" applyAlignment="1">
      <alignment horizontal="left"/>
    </xf>
    <xf numFmtId="0" fontId="69" fillId="0" borderId="13" xfId="0" applyFont="1" applyBorder="1" applyAlignment="1">
      <alignment horizontal="left"/>
    </xf>
    <xf numFmtId="2" fontId="69" fillId="0" borderId="12" xfId="0" applyNumberFormat="1" applyFont="1" applyBorder="1" applyAlignment="1">
      <alignment horizontal="center"/>
    </xf>
    <xf numFmtId="0" fontId="102" fillId="0" borderId="0" xfId="0" applyFont="1"/>
    <xf numFmtId="6" fontId="69" fillId="0" borderId="12" xfId="0" applyNumberFormat="1" applyFont="1" applyBorder="1" applyAlignment="1">
      <alignment horizontal="center" vertical="center"/>
    </xf>
    <xf numFmtId="0" fontId="69" fillId="0" borderId="13" xfId="0" applyFont="1" applyBorder="1" applyAlignment="1">
      <alignment horizontal="left" vertical="center"/>
    </xf>
    <xf numFmtId="0" fontId="69" fillId="0" borderId="13" xfId="0" applyFont="1" applyBorder="1"/>
    <xf numFmtId="169" fontId="69" fillId="0" borderId="12" xfId="0" applyNumberFormat="1" applyFont="1" applyBorder="1" applyAlignment="1">
      <alignment horizontal="center"/>
    </xf>
    <xf numFmtId="0" fontId="103" fillId="0" borderId="0" xfId="0" applyFont="1"/>
    <xf numFmtId="0" fontId="82" fillId="0" borderId="0" xfId="0" applyFont="1"/>
    <xf numFmtId="0" fontId="0" fillId="0" borderId="0" xfId="0" applyAlignment="1">
      <alignment horizontal="center"/>
    </xf>
    <xf numFmtId="0" fontId="79" fillId="0" borderId="0" xfId="0" applyFont="1"/>
    <xf numFmtId="37" fontId="69" fillId="0" borderId="0" xfId="49" applyFont="1"/>
    <xf numFmtId="175" fontId="103" fillId="0" borderId="0" xfId="49" applyNumberFormat="1" applyFont="1" applyAlignment="1">
      <alignment horizontal="center"/>
    </xf>
    <xf numFmtId="37" fontId="103" fillId="0" borderId="0" xfId="49" applyFont="1"/>
    <xf numFmtId="37" fontId="64" fillId="0" borderId="14" xfId="49" applyFont="1" applyBorder="1"/>
    <xf numFmtId="0" fontId="0" fillId="0" borderId="58" xfId="0" applyBorder="1"/>
    <xf numFmtId="0" fontId="0" fillId="0" borderId="46" xfId="0" applyBorder="1"/>
    <xf numFmtId="0" fontId="0" fillId="0" borderId="61" xfId="0" applyBorder="1"/>
    <xf numFmtId="0" fontId="0" fillId="0" borderId="62" xfId="0" applyBorder="1"/>
    <xf numFmtId="0" fontId="0" fillId="0" borderId="47" xfId="0" applyBorder="1"/>
    <xf numFmtId="0" fontId="0" fillId="0" borderId="70" xfId="0" applyBorder="1"/>
    <xf numFmtId="0" fontId="0" fillId="0" borderId="57" xfId="0" applyBorder="1"/>
    <xf numFmtId="0" fontId="112" fillId="0" borderId="0" xfId="0" applyFont="1" applyAlignment="1">
      <alignment vertical="center"/>
    </xf>
    <xf numFmtId="0" fontId="112" fillId="0" borderId="57" xfId="0" applyFont="1" applyBorder="1" applyAlignment="1">
      <alignment vertical="center"/>
    </xf>
    <xf numFmtId="0" fontId="80" fillId="0" borderId="58" xfId="0" applyFont="1" applyBorder="1"/>
    <xf numFmtId="0" fontId="113" fillId="0" borderId="57" xfId="0" applyFont="1" applyBorder="1" applyAlignment="1">
      <alignment horizontal="right" vertical="center"/>
    </xf>
    <xf numFmtId="0" fontId="50" fillId="0" borderId="47" xfId="0" applyFont="1" applyBorder="1"/>
    <xf numFmtId="0" fontId="50" fillId="0" borderId="69" xfId="0" quotePrefix="1" applyFont="1" applyBorder="1"/>
    <xf numFmtId="0" fontId="50" fillId="0" borderId="70" xfId="0" applyFont="1" applyBorder="1"/>
    <xf numFmtId="0" fontId="50" fillId="0" borderId="84" xfId="0" applyFont="1" applyBorder="1" applyAlignment="1">
      <alignment horizontal="center"/>
    </xf>
    <xf numFmtId="3" fontId="0" fillId="0" borderId="61" xfId="0" applyNumberFormat="1" applyBorder="1" applyAlignment="1">
      <alignment horizontal="center"/>
    </xf>
    <xf numFmtId="3" fontId="61" fillId="0" borderId="61" xfId="0" applyNumberFormat="1" applyFont="1" applyBorder="1" applyAlignment="1">
      <alignment horizontal="center"/>
    </xf>
    <xf numFmtId="0" fontId="0" fillId="0" borderId="97" xfId="0" applyBorder="1" applyAlignment="1">
      <alignment horizontal="center"/>
    </xf>
    <xf numFmtId="0" fontId="0" fillId="0" borderId="97" xfId="0" applyBorder="1"/>
    <xf numFmtId="0" fontId="50" fillId="0" borderId="69" xfId="0" applyFont="1" applyBorder="1"/>
    <xf numFmtId="0" fontId="50" fillId="0" borderId="37" xfId="0" applyFont="1" applyBorder="1" applyAlignment="1">
      <alignment horizontal="center"/>
    </xf>
    <xf numFmtId="0" fontId="50" fillId="0" borderId="61" xfId="0" applyFont="1" applyBorder="1"/>
    <xf numFmtId="0" fontId="50" fillId="0" borderId="62" xfId="0" applyFont="1" applyBorder="1"/>
    <xf numFmtId="3" fontId="47" fillId="0" borderId="0" xfId="0" applyNumberFormat="1" applyFont="1"/>
    <xf numFmtId="0" fontId="50" fillId="0" borderId="0" xfId="0" quotePrefix="1" applyFont="1"/>
    <xf numFmtId="0" fontId="50" fillId="0" borderId="70" xfId="0" applyFont="1" applyBorder="1" applyAlignment="1">
      <alignment horizontal="center"/>
    </xf>
    <xf numFmtId="3" fontId="61" fillId="0" borderId="0" xfId="0" applyNumberFormat="1" applyFont="1" applyAlignment="1">
      <alignment horizontal="center"/>
    </xf>
    <xf numFmtId="10" fontId="0" fillId="0" borderId="62" xfId="0" applyNumberFormat="1" applyBorder="1" applyAlignment="1">
      <alignment horizontal="center"/>
    </xf>
    <xf numFmtId="0" fontId="0" fillId="0" borderId="61" xfId="0" applyBorder="1" applyAlignment="1">
      <alignment horizontal="center"/>
    </xf>
    <xf numFmtId="3" fontId="0" fillId="0" borderId="0" xfId="0" applyNumberFormat="1"/>
    <xf numFmtId="0" fontId="0" fillId="0" borderId="46" xfId="0" applyBorder="1" applyAlignment="1">
      <alignment horizontal="center"/>
    </xf>
    <xf numFmtId="10" fontId="0" fillId="0" borderId="58" xfId="0" applyNumberFormat="1" applyBorder="1" applyAlignment="1">
      <alignment horizontal="center"/>
    </xf>
    <xf numFmtId="0" fontId="0" fillId="0" borderId="62" xfId="0" applyBorder="1" applyAlignment="1">
      <alignment horizontal="center"/>
    </xf>
    <xf numFmtId="0" fontId="0" fillId="0" borderId="0" xfId="0" applyAlignment="1">
      <alignment horizontal="left"/>
    </xf>
    <xf numFmtId="0" fontId="0" fillId="0" borderId="57" xfId="0" applyBorder="1" applyAlignment="1">
      <alignment horizontal="center"/>
    </xf>
    <xf numFmtId="0" fontId="50" fillId="0" borderId="41" xfId="0" applyFont="1" applyBorder="1" applyAlignment="1">
      <alignment horizontal="center"/>
    </xf>
    <xf numFmtId="0" fontId="50" fillId="0" borderId="25" xfId="0" applyFont="1" applyBorder="1" applyAlignment="1">
      <alignment horizontal="center"/>
    </xf>
    <xf numFmtId="3" fontId="0" fillId="0" borderId="84" xfId="0" applyNumberFormat="1" applyBorder="1" applyAlignment="1">
      <alignment horizontal="center"/>
    </xf>
    <xf numFmtId="10" fontId="0" fillId="0" borderId="0" xfId="37" applyNumberFormat="1" applyFont="1" applyFill="1" applyAlignment="1">
      <alignment horizontal="center"/>
    </xf>
    <xf numFmtId="10" fontId="0" fillId="0" borderId="77" xfId="0" applyNumberFormat="1" applyBorder="1" applyAlignment="1">
      <alignment horizontal="center"/>
    </xf>
    <xf numFmtId="165" fontId="0" fillId="0" borderId="0" xfId="8" applyNumberFormat="1" applyFont="1" applyFill="1"/>
    <xf numFmtId="3" fontId="50" fillId="0" borderId="0" xfId="0" applyNumberFormat="1" applyFont="1"/>
    <xf numFmtId="3" fontId="0" fillId="0" borderId="57" xfId="0" applyNumberFormat="1" applyBorder="1"/>
    <xf numFmtId="170" fontId="50" fillId="0" borderId="57" xfId="8" applyNumberFormat="1" applyFont="1" applyFill="1" applyBorder="1"/>
    <xf numFmtId="170" fontId="50" fillId="0" borderId="0" xfId="8" applyNumberFormat="1" applyFont="1" applyFill="1" applyBorder="1"/>
    <xf numFmtId="3" fontId="62" fillId="0" borderId="0" xfId="0" applyNumberFormat="1" applyFont="1"/>
    <xf numFmtId="3" fontId="0" fillId="0" borderId="59" xfId="0" applyNumberFormat="1" applyBorder="1"/>
    <xf numFmtId="3" fontId="0" fillId="0" borderId="0" xfId="0" quotePrefix="1" applyNumberFormat="1"/>
    <xf numFmtId="10" fontId="0" fillId="0" borderId="59" xfId="37" applyNumberFormat="1" applyFont="1" applyFill="1" applyBorder="1"/>
    <xf numFmtId="9" fontId="0" fillId="0" borderId="57" xfId="37" applyFont="1" applyFill="1" applyBorder="1"/>
    <xf numFmtId="0" fontId="47" fillId="0" borderId="0" xfId="0" applyFont="1" applyAlignment="1">
      <alignment horizontal="right"/>
    </xf>
    <xf numFmtId="0" fontId="47" fillId="0" borderId="0" xfId="0" applyFont="1"/>
    <xf numFmtId="0" fontId="84" fillId="0" borderId="0" xfId="43" applyFont="1" applyAlignment="1">
      <alignment horizontal="left"/>
    </xf>
    <xf numFmtId="0" fontId="104" fillId="13" borderId="0" xfId="43" applyFont="1" applyFill="1" applyAlignment="1">
      <alignment horizontal="left"/>
    </xf>
    <xf numFmtId="6" fontId="104" fillId="0" borderId="0" xfId="43" applyNumberFormat="1" applyFont="1" applyAlignment="1">
      <alignment horizontal="left"/>
    </xf>
    <xf numFmtId="165" fontId="104" fillId="0" borderId="0" xfId="7" applyNumberFormat="1" applyFont="1" applyFill="1" applyAlignment="1">
      <alignment horizontal="left"/>
    </xf>
    <xf numFmtId="170" fontId="64" fillId="0" borderId="12" xfId="7" applyNumberFormat="1" applyFont="1" applyFill="1" applyBorder="1" applyProtection="1"/>
    <xf numFmtId="10" fontId="100" fillId="13" borderId="12" xfId="28" applyNumberFormat="1" applyFont="1" applyFill="1" applyBorder="1" applyProtection="1">
      <protection locked="0"/>
    </xf>
    <xf numFmtId="173" fontId="64" fillId="0" borderId="12" xfId="28" applyFont="1" applyBorder="1"/>
    <xf numFmtId="174" fontId="100" fillId="13" borderId="21" xfId="7" applyNumberFormat="1" applyFont="1" applyFill="1" applyBorder="1" applyProtection="1">
      <protection locked="0"/>
    </xf>
    <xf numFmtId="170" fontId="112" fillId="0" borderId="12" xfId="7" applyNumberFormat="1" applyFont="1" applyFill="1" applyBorder="1" applyProtection="1"/>
    <xf numFmtId="173" fontId="64" fillId="0" borderId="0" xfId="28" applyFont="1"/>
    <xf numFmtId="173" fontId="64" fillId="0" borderId="0" xfId="28" applyFont="1" applyAlignment="1">
      <alignment horizontal="left"/>
    </xf>
    <xf numFmtId="38" fontId="64" fillId="0" borderId="0" xfId="6" quotePrefix="1" applyNumberFormat="1" applyFont="1" applyFill="1" applyBorder="1" applyProtection="1"/>
    <xf numFmtId="0" fontId="64" fillId="0" borderId="0" xfId="26" applyFont="1"/>
    <xf numFmtId="0" fontId="111" fillId="0" borderId="65" xfId="0" applyFont="1" applyBorder="1" applyAlignment="1">
      <alignment horizontal="center" vertical="center"/>
    </xf>
    <xf numFmtId="0" fontId="111" fillId="0" borderId="39" xfId="0" applyFont="1" applyBorder="1" applyAlignment="1">
      <alignment horizontal="center" vertical="center"/>
    </xf>
    <xf numFmtId="0" fontId="111" fillId="9" borderId="1" xfId="0" applyFont="1" applyFill="1" applyBorder="1" applyAlignment="1">
      <alignment horizontal="center" vertical="center"/>
    </xf>
    <xf numFmtId="6" fontId="112" fillId="0" borderId="62" xfId="0" applyNumberFormat="1" applyFont="1" applyBorder="1" applyAlignment="1">
      <alignment vertical="center"/>
    </xf>
    <xf numFmtId="6" fontId="112" fillId="9" borderId="0" xfId="0" applyNumberFormat="1" applyFont="1" applyFill="1" applyAlignment="1">
      <alignment vertical="center"/>
    </xf>
    <xf numFmtId="6" fontId="111" fillId="0" borderId="122" xfId="7" applyNumberFormat="1" applyFont="1" applyFill="1" applyBorder="1" applyAlignment="1" applyProtection="1">
      <alignment vertical="center"/>
    </xf>
    <xf numFmtId="6" fontId="111" fillId="0" borderId="122" xfId="7" applyNumberFormat="1" applyFont="1" applyFill="1" applyBorder="1" applyAlignment="1">
      <alignment vertical="center"/>
    </xf>
    <xf numFmtId="6" fontId="111" fillId="0" borderId="61" xfId="0" applyNumberFormat="1" applyFont="1" applyBorder="1" applyAlignment="1">
      <alignment vertical="center"/>
    </xf>
    <xf numFmtId="6" fontId="111" fillId="0" borderId="62" xfId="0" applyNumberFormat="1" applyFont="1" applyBorder="1" applyAlignment="1">
      <alignment vertical="center"/>
    </xf>
    <xf numFmtId="6" fontId="112" fillId="0" borderId="61" xfId="0" applyNumberFormat="1" applyFont="1" applyBorder="1" applyAlignment="1">
      <alignment vertical="center"/>
    </xf>
    <xf numFmtId="6" fontId="112" fillId="0" borderId="61" xfId="7" applyNumberFormat="1" applyFont="1" applyFill="1" applyBorder="1" applyAlignment="1">
      <alignment vertical="center"/>
    </xf>
    <xf numFmtId="6" fontId="111" fillId="0" borderId="150" xfId="0" applyNumberFormat="1" applyFont="1" applyBorder="1" applyAlignment="1">
      <alignment vertical="center"/>
    </xf>
    <xf numFmtId="6" fontId="111" fillId="9" borderId="19" xfId="0" applyNumberFormat="1" applyFont="1" applyFill="1" applyBorder="1" applyAlignment="1">
      <alignment vertical="center"/>
    </xf>
    <xf numFmtId="6" fontId="111" fillId="9" borderId="0" xfId="0" applyNumberFormat="1" applyFont="1" applyFill="1" applyAlignment="1">
      <alignment vertical="center"/>
    </xf>
    <xf numFmtId="10" fontId="111" fillId="0" borderId="46" xfId="0" applyNumberFormat="1" applyFont="1" applyBorder="1" applyAlignment="1">
      <alignment horizontal="right" vertical="center"/>
    </xf>
    <xf numFmtId="0" fontId="83" fillId="0" borderId="58" xfId="0" applyFont="1" applyBorder="1"/>
    <xf numFmtId="9" fontId="111" fillId="9" borderId="0" xfId="36" applyFont="1" applyFill="1" applyAlignment="1">
      <alignment horizontal="right" vertical="center"/>
    </xf>
    <xf numFmtId="0" fontId="111" fillId="0" borderId="58" xfId="0" applyFont="1" applyBorder="1" applyAlignment="1">
      <alignment horizontal="right" vertical="center"/>
    </xf>
    <xf numFmtId="0" fontId="137" fillId="0" borderId="0" xfId="52" applyFont="1" applyAlignment="1">
      <alignment horizontal="centerContinuous"/>
    </xf>
    <xf numFmtId="0" fontId="128" fillId="0" borderId="0" xfId="52" applyFont="1" applyAlignment="1">
      <alignment horizontal="centerContinuous"/>
    </xf>
    <xf numFmtId="0" fontId="138" fillId="0" borderId="0" xfId="52" applyFont="1"/>
    <xf numFmtId="0" fontId="139" fillId="0" borderId="0" xfId="52" applyFont="1" applyAlignment="1">
      <alignment horizontal="centerContinuous"/>
    </xf>
    <xf numFmtId="0" fontId="139" fillId="0" borderId="0" xfId="52" applyFont="1"/>
    <xf numFmtId="0" fontId="140" fillId="0" borderId="0" xfId="52" applyFont="1" applyAlignment="1">
      <alignment horizontal="left"/>
    </xf>
    <xf numFmtId="0" fontId="140" fillId="6" borderId="1" xfId="52" applyFont="1" applyFill="1" applyBorder="1"/>
    <xf numFmtId="0" fontId="138" fillId="6" borderId="8" xfId="52" applyFont="1" applyFill="1" applyBorder="1"/>
    <xf numFmtId="0" fontId="138" fillId="0" borderId="12" xfId="52" applyFont="1" applyBorder="1"/>
    <xf numFmtId="0" fontId="138" fillId="18" borderId="12" xfId="52" applyFont="1" applyFill="1" applyBorder="1"/>
    <xf numFmtId="0" fontId="138" fillId="6" borderId="12" xfId="52" applyFont="1" applyFill="1" applyBorder="1"/>
    <xf numFmtId="0" fontId="138" fillId="6" borderId="20" xfId="52" applyFont="1" applyFill="1" applyBorder="1"/>
    <xf numFmtId="170" fontId="138" fillId="0" borderId="12" xfId="53" applyNumberFormat="1" applyFont="1" applyBorder="1"/>
    <xf numFmtId="165" fontId="69" fillId="0" borderId="46" xfId="0" applyNumberFormat="1" applyFont="1" applyBorder="1" applyAlignment="1">
      <alignment horizontal="centerContinuous"/>
    </xf>
    <xf numFmtId="165" fontId="69" fillId="0" borderId="58" xfId="0" applyNumberFormat="1" applyFont="1" applyBorder="1" applyAlignment="1">
      <alignment horizontal="centerContinuous"/>
    </xf>
    <xf numFmtId="165" fontId="69" fillId="0" borderId="103" xfId="0" applyNumberFormat="1" applyFont="1" applyBorder="1" applyAlignment="1">
      <alignment horizontal="centerContinuous"/>
    </xf>
    <xf numFmtId="165" fontId="69" fillId="0" borderId="83" xfId="0" applyNumberFormat="1" applyFont="1" applyBorder="1" applyAlignment="1">
      <alignment horizontal="centerContinuous"/>
    </xf>
    <xf numFmtId="165" fontId="69" fillId="0" borderId="41" xfId="0" applyNumberFormat="1" applyFont="1" applyBorder="1" applyAlignment="1">
      <alignment horizontal="centerContinuous"/>
    </xf>
    <xf numFmtId="165" fontId="69" fillId="0" borderId="37" xfId="0" applyNumberFormat="1" applyFont="1" applyBorder="1" applyAlignment="1">
      <alignment horizontal="centerContinuous"/>
    </xf>
    <xf numFmtId="0" fontId="112" fillId="0" borderId="0" xfId="54" applyFont="1"/>
    <xf numFmtId="0" fontId="114" fillId="8" borderId="41" xfId="0" applyFont="1" applyFill="1" applyBorder="1"/>
    <xf numFmtId="0" fontId="78" fillId="8" borderId="59" xfId="0" applyFont="1" applyFill="1" applyBorder="1"/>
    <xf numFmtId="0" fontId="74" fillId="8" borderId="59" xfId="0" applyFont="1" applyFill="1" applyBorder="1"/>
    <xf numFmtId="170" fontId="64" fillId="11" borderId="12" xfId="7" applyNumberFormat="1" applyFont="1" applyFill="1" applyBorder="1" applyProtection="1">
      <protection locked="0"/>
    </xf>
    <xf numFmtId="165" fontId="64" fillId="0" borderId="0" xfId="0" applyNumberFormat="1" applyFont="1" applyAlignment="1">
      <alignment horizontal="center"/>
    </xf>
    <xf numFmtId="40" fontId="69" fillId="0" borderId="45" xfId="49" applyNumberFormat="1" applyFont="1" applyBorder="1"/>
    <xf numFmtId="40" fontId="69" fillId="0" borderId="71" xfId="49" applyNumberFormat="1" applyFont="1" applyBorder="1"/>
    <xf numFmtId="37" fontId="64" fillId="0" borderId="61" xfId="49" applyFont="1" applyBorder="1"/>
    <xf numFmtId="37" fontId="64" fillId="0" borderId="62" xfId="49" applyFont="1" applyBorder="1"/>
    <xf numFmtId="37" fontId="64" fillId="0" borderId="100" xfId="49" applyFont="1" applyBorder="1"/>
    <xf numFmtId="175" fontId="110" fillId="0" borderId="69" xfId="49" applyNumberFormat="1" applyFont="1" applyBorder="1" applyAlignment="1">
      <alignment horizontal="center"/>
    </xf>
    <xf numFmtId="175" fontId="110" fillId="0" borderId="70" xfId="49" applyNumberFormat="1" applyFont="1" applyBorder="1" applyAlignment="1">
      <alignment horizontal="center"/>
    </xf>
    <xf numFmtId="37" fontId="69" fillId="0" borderId="41" xfId="49" applyFont="1" applyBorder="1"/>
    <xf numFmtId="9" fontId="112" fillId="0" borderId="0" xfId="36" applyFont="1" applyFill="1" applyBorder="1" applyAlignment="1" applyProtection="1">
      <alignment horizontal="center"/>
    </xf>
    <xf numFmtId="173" fontId="64" fillId="0" borderId="30" xfId="28" applyFont="1" applyBorder="1" applyAlignment="1">
      <alignment horizontal="left" indent="1"/>
    </xf>
    <xf numFmtId="0" fontId="120" fillId="11" borderId="30" xfId="0" applyFont="1" applyFill="1" applyBorder="1" applyProtection="1">
      <protection locked="0"/>
    </xf>
    <xf numFmtId="6" fontId="120" fillId="13" borderId="112" xfId="30" applyNumberFormat="1" applyFont="1" applyFill="1" applyBorder="1" applyAlignment="1" applyProtection="1">
      <alignment horizontal="right"/>
      <protection locked="0"/>
    </xf>
    <xf numFmtId="6" fontId="146" fillId="17" borderId="112" xfId="30" applyNumberFormat="1" applyFont="1" applyFill="1" applyBorder="1" applyAlignment="1">
      <alignment horizontal="right"/>
    </xf>
    <xf numFmtId="0" fontId="64" fillId="0" borderId="0" xfId="29" applyFont="1" applyAlignment="1">
      <alignment horizontal="center"/>
    </xf>
    <xf numFmtId="6" fontId="100" fillId="0" borderId="112" xfId="29" applyNumberFormat="1" applyFont="1" applyBorder="1" applyAlignment="1" applyProtection="1">
      <alignment horizontal="right"/>
      <protection locked="0"/>
    </xf>
    <xf numFmtId="6" fontId="100" fillId="0" borderId="113" xfId="29" applyNumberFormat="1" applyFont="1" applyBorder="1" applyAlignment="1">
      <alignment horizontal="right"/>
    </xf>
    <xf numFmtId="6" fontId="100" fillId="0" borderId="112" xfId="29" applyNumberFormat="1" applyFont="1" applyBorder="1" applyAlignment="1">
      <alignment horizontal="right"/>
    </xf>
    <xf numFmtId="166" fontId="100" fillId="0" borderId="5" xfId="36" applyNumberFormat="1" applyFont="1" applyFill="1" applyBorder="1" applyAlignment="1" applyProtection="1">
      <alignment horizontal="right"/>
    </xf>
    <xf numFmtId="6" fontId="100" fillId="0" borderId="6" xfId="29" applyNumberFormat="1" applyFont="1" applyBorder="1" applyAlignment="1">
      <alignment horizontal="right"/>
    </xf>
    <xf numFmtId="6" fontId="100" fillId="0" borderId="117" xfId="29" applyNumberFormat="1" applyFont="1" applyBorder="1" applyAlignment="1">
      <alignment horizontal="right"/>
    </xf>
    <xf numFmtId="6" fontId="142" fillId="0" borderId="117" xfId="29" applyNumberFormat="1" applyFont="1" applyBorder="1" applyAlignment="1">
      <alignment horizontal="right"/>
    </xf>
    <xf numFmtId="6" fontId="142" fillId="0" borderId="0" xfId="29" applyNumberFormat="1" applyFont="1" applyAlignment="1">
      <alignment horizontal="right"/>
    </xf>
    <xf numFmtId="6" fontId="142" fillId="0" borderId="112" xfId="29" applyNumberFormat="1" applyFont="1" applyBorder="1" applyAlignment="1" applyProtection="1">
      <alignment horizontal="right"/>
      <protection locked="0"/>
    </xf>
    <xf numFmtId="6" fontId="100" fillId="13" borderId="112" xfId="29" applyNumberFormat="1" applyFont="1" applyFill="1" applyBorder="1" applyAlignment="1" applyProtection="1">
      <alignment horizontal="right"/>
      <protection locked="0"/>
    </xf>
    <xf numFmtId="6" fontId="64" fillId="0" borderId="113" xfId="29" applyNumberFormat="1" applyFont="1" applyBorder="1" applyAlignment="1">
      <alignment horizontal="right"/>
    </xf>
    <xf numFmtId="165" fontId="64" fillId="0" borderId="112" xfId="30" applyNumberFormat="1" applyFont="1" applyBorder="1" applyAlignment="1">
      <alignment horizontal="right"/>
    </xf>
    <xf numFmtId="166" fontId="64" fillId="0" borderId="5" xfId="36" applyNumberFormat="1" applyFont="1" applyFill="1" applyBorder="1" applyAlignment="1" applyProtection="1">
      <alignment horizontal="right"/>
    </xf>
    <xf numFmtId="165" fontId="64" fillId="0" borderId="6" xfId="30" applyNumberFormat="1" applyFont="1" applyBorder="1" applyAlignment="1">
      <alignment horizontal="right"/>
    </xf>
    <xf numFmtId="166" fontId="64" fillId="0" borderId="117" xfId="36" applyNumberFormat="1" applyFont="1" applyFill="1" applyBorder="1" applyAlignment="1" applyProtection="1">
      <alignment horizontal="right"/>
    </xf>
    <xf numFmtId="165" fontId="142" fillId="0" borderId="117" xfId="30" applyNumberFormat="1" applyFont="1" applyBorder="1" applyAlignment="1">
      <alignment horizontal="right"/>
    </xf>
    <xf numFmtId="165" fontId="142" fillId="0" borderId="0" xfId="30" applyNumberFormat="1" applyFont="1" applyAlignment="1">
      <alignment horizontal="right"/>
    </xf>
    <xf numFmtId="166" fontId="64" fillId="0" borderId="0" xfId="36" applyNumberFormat="1" applyFont="1" applyFill="1" applyBorder="1" applyAlignment="1" applyProtection="1">
      <alignment horizontal="right"/>
    </xf>
    <xf numFmtId="0" fontId="64" fillId="0" borderId="1" xfId="29" applyFont="1" applyBorder="1" applyAlignment="1">
      <alignment horizontal="center"/>
    </xf>
    <xf numFmtId="165" fontId="69" fillId="0" borderId="28" xfId="30" applyNumberFormat="1" applyFont="1" applyBorder="1" applyAlignment="1">
      <alignment horizontal="right"/>
    </xf>
    <xf numFmtId="166" fontId="69" fillId="0" borderId="121" xfId="36" applyNumberFormat="1" applyFont="1" applyFill="1" applyBorder="1" applyAlignment="1" applyProtection="1">
      <alignment horizontal="right"/>
    </xf>
    <xf numFmtId="165" fontId="69" fillId="0" borderId="149" xfId="30" applyNumberFormat="1" applyFont="1" applyBorder="1" applyAlignment="1">
      <alignment horizontal="right"/>
    </xf>
    <xf numFmtId="166" fontId="69" fillId="0" borderId="1" xfId="36" applyNumberFormat="1" applyFont="1" applyFill="1" applyBorder="1" applyAlignment="1" applyProtection="1">
      <alignment horizontal="right"/>
    </xf>
    <xf numFmtId="6" fontId="145" fillId="0" borderId="28" xfId="30" applyNumberFormat="1" applyFont="1" applyBorder="1" applyAlignment="1">
      <alignment horizontal="right"/>
    </xf>
    <xf numFmtId="165" fontId="145" fillId="0" borderId="119" xfId="30" applyNumberFormat="1" applyFont="1" applyBorder="1" applyAlignment="1">
      <alignment horizontal="right"/>
    </xf>
    <xf numFmtId="165" fontId="145" fillId="0" borderId="1" xfId="30" applyNumberFormat="1" applyFont="1" applyBorder="1" applyAlignment="1">
      <alignment horizontal="right"/>
    </xf>
    <xf numFmtId="165" fontId="100" fillId="0" borderId="112" xfId="29" applyNumberFormat="1" applyFont="1" applyBorder="1" applyAlignment="1" applyProtection="1">
      <alignment horizontal="right"/>
      <protection locked="0"/>
    </xf>
    <xf numFmtId="165" fontId="64" fillId="0" borderId="112" xfId="0" applyNumberFormat="1" applyFont="1" applyBorder="1" applyProtection="1">
      <protection locked="0"/>
    </xf>
    <xf numFmtId="166" fontId="64" fillId="0" borderId="5" xfId="36" applyNumberFormat="1" applyFont="1" applyFill="1" applyBorder="1" applyProtection="1">
      <protection locked="0"/>
    </xf>
    <xf numFmtId="165" fontId="64" fillId="0" borderId="6" xfId="0" applyNumberFormat="1" applyFont="1" applyBorder="1" applyProtection="1">
      <protection locked="0"/>
    </xf>
    <xf numFmtId="165" fontId="64" fillId="0" borderId="0" xfId="0" applyNumberFormat="1" applyFont="1" applyProtection="1">
      <protection locked="0"/>
    </xf>
    <xf numFmtId="0" fontId="142" fillId="0" borderId="112" xfId="0" applyFont="1" applyBorder="1" applyProtection="1">
      <protection locked="0"/>
    </xf>
    <xf numFmtId="165" fontId="142" fillId="0" borderId="117" xfId="0" applyNumberFormat="1" applyFont="1" applyBorder="1" applyProtection="1">
      <protection locked="0"/>
    </xf>
    <xf numFmtId="165" fontId="142" fillId="0" borderId="0" xfId="0" applyNumberFormat="1" applyFont="1" applyProtection="1">
      <protection locked="0"/>
    </xf>
    <xf numFmtId="166" fontId="64" fillId="0" borderId="0" xfId="36" applyNumberFormat="1" applyFont="1" applyFill="1" applyBorder="1" applyProtection="1">
      <protection locked="0"/>
    </xf>
    <xf numFmtId="6" fontId="142" fillId="0" borderId="112" xfId="30" applyNumberFormat="1" applyFont="1" applyBorder="1" applyAlignment="1" applyProtection="1">
      <alignment horizontal="right"/>
      <protection locked="0"/>
    </xf>
    <xf numFmtId="165" fontId="142" fillId="0" borderId="117" xfId="30" applyNumberFormat="1" applyFont="1" applyBorder="1" applyAlignment="1" applyProtection="1">
      <alignment horizontal="right"/>
      <protection locked="0"/>
    </xf>
    <xf numFmtId="165" fontId="142" fillId="0" borderId="0" xfId="30" applyNumberFormat="1" applyFont="1" applyAlignment="1" applyProtection="1">
      <alignment horizontal="right"/>
      <protection locked="0"/>
    </xf>
    <xf numFmtId="0" fontId="69" fillId="0" borderId="1" xfId="29" applyFont="1" applyBorder="1" applyAlignment="1">
      <alignment horizontal="center"/>
    </xf>
    <xf numFmtId="6" fontId="69" fillId="0" borderId="28" xfId="29" applyNumberFormat="1" applyFont="1" applyBorder="1" applyAlignment="1">
      <alignment horizontal="right"/>
    </xf>
    <xf numFmtId="6" fontId="69" fillId="0" borderId="86" xfId="29" applyNumberFormat="1" applyFont="1" applyBorder="1" applyAlignment="1">
      <alignment horizontal="right"/>
    </xf>
    <xf numFmtId="6" fontId="74" fillId="0" borderId="0" xfId="0" applyNumberFormat="1" applyFont="1"/>
    <xf numFmtId="0" fontId="69" fillId="0" borderId="0" xfId="0" applyFont="1" applyAlignment="1">
      <alignment horizontal="left"/>
    </xf>
    <xf numFmtId="14" fontId="69" fillId="0" borderId="0" xfId="0" applyNumberFormat="1" applyFont="1"/>
    <xf numFmtId="0" fontId="80" fillId="0" borderId="69" xfId="0" applyFont="1" applyBorder="1"/>
    <xf numFmtId="0" fontId="83" fillId="0" borderId="47" xfId="0" applyFont="1" applyBorder="1"/>
    <xf numFmtId="0" fontId="80" fillId="0" borderId="1" xfId="0" applyFont="1" applyBorder="1"/>
    <xf numFmtId="0" fontId="88" fillId="8" borderId="63" xfId="0" applyFont="1" applyFill="1" applyBorder="1" applyAlignment="1">
      <alignment horizontal="left"/>
    </xf>
    <xf numFmtId="0" fontId="88" fillId="8" borderId="45" xfId="0" applyFont="1" applyFill="1" applyBorder="1" applyAlignment="1">
      <alignment horizontal="center"/>
    </xf>
    <xf numFmtId="0" fontId="88" fillId="8" borderId="71" xfId="0" applyFont="1" applyFill="1" applyBorder="1" applyAlignment="1">
      <alignment horizontal="center"/>
    </xf>
    <xf numFmtId="0" fontId="88" fillId="8" borderId="35" xfId="0" applyFont="1" applyFill="1" applyBorder="1" applyAlignment="1">
      <alignment horizontal="left"/>
    </xf>
    <xf numFmtId="0" fontId="88" fillId="8" borderId="41" xfId="0" applyFont="1" applyFill="1" applyBorder="1"/>
    <xf numFmtId="0" fontId="89" fillId="8" borderId="59" xfId="0" applyFont="1" applyFill="1" applyBorder="1"/>
    <xf numFmtId="0" fontId="89" fillId="8" borderId="37" xfId="0" applyFont="1" applyFill="1" applyBorder="1"/>
    <xf numFmtId="0" fontId="90" fillId="0" borderId="77" xfId="0" applyFont="1" applyBorder="1"/>
    <xf numFmtId="173" fontId="69" fillId="0" borderId="74" xfId="28" applyFont="1" applyBorder="1" applyAlignment="1">
      <alignment horizontal="left"/>
    </xf>
    <xf numFmtId="173" fontId="64" fillId="0" borderId="56" xfId="28" applyFont="1" applyBorder="1" applyAlignment="1">
      <alignment horizontal="left" indent="1"/>
    </xf>
    <xf numFmtId="173" fontId="69" fillId="0" borderId="61" xfId="28" applyFont="1" applyBorder="1" applyAlignment="1">
      <alignment horizontal="left"/>
    </xf>
    <xf numFmtId="37" fontId="124" fillId="0" borderId="0" xfId="49" applyFont="1"/>
    <xf numFmtId="37" fontId="124" fillId="0" borderId="0" xfId="49" applyFont="1" applyAlignment="1">
      <alignment horizontal="right"/>
    </xf>
    <xf numFmtId="14" fontId="124" fillId="0" borderId="0" xfId="49" applyNumberFormat="1" applyFont="1"/>
    <xf numFmtId="37" fontId="114" fillId="0" borderId="0" xfId="49" applyFont="1" applyAlignment="1">
      <alignment horizontal="right"/>
    </xf>
    <xf numFmtId="14" fontId="76" fillId="0" borderId="0" xfId="49" applyNumberFormat="1" applyFont="1"/>
    <xf numFmtId="165" fontId="64" fillId="0" borderId="56" xfId="0" applyNumberFormat="1" applyFont="1" applyBorder="1"/>
    <xf numFmtId="173" fontId="64" fillId="0" borderId="56" xfId="28" applyFont="1" applyBorder="1" applyAlignment="1">
      <alignment horizontal="left"/>
    </xf>
    <xf numFmtId="173" fontId="64" fillId="0" borderId="61" xfId="28" applyFont="1" applyBorder="1" applyAlignment="1">
      <alignment horizontal="left"/>
    </xf>
    <xf numFmtId="165" fontId="64" fillId="0" borderId="31" xfId="0" applyNumberFormat="1" applyFont="1" applyBorder="1"/>
    <xf numFmtId="0" fontId="69" fillId="0" borderId="79" xfId="0" applyFont="1" applyBorder="1"/>
    <xf numFmtId="165" fontId="69" fillId="0" borderId="92" xfId="0" applyNumberFormat="1" applyFont="1" applyBorder="1"/>
    <xf numFmtId="173" fontId="69" fillId="0" borderId="77" xfId="32" applyFont="1" applyBorder="1" applyAlignment="1">
      <alignment horizontal="left"/>
    </xf>
    <xf numFmtId="165" fontId="64" fillId="0" borderId="38" xfId="0" applyNumberFormat="1" applyFont="1" applyBorder="1"/>
    <xf numFmtId="0" fontId="64" fillId="0" borderId="12" xfId="0" applyFont="1" applyBorder="1"/>
    <xf numFmtId="164" fontId="64" fillId="0" borderId="12" xfId="0" applyNumberFormat="1" applyFont="1" applyBorder="1"/>
    <xf numFmtId="0" fontId="64" fillId="0" borderId="74" xfId="0" applyFont="1" applyBorder="1"/>
    <xf numFmtId="165" fontId="120" fillId="11" borderId="56" xfId="0" applyNumberFormat="1" applyFont="1" applyFill="1" applyBorder="1" applyProtection="1">
      <protection locked="0"/>
    </xf>
    <xf numFmtId="165" fontId="64" fillId="0" borderId="96" xfId="0" applyNumberFormat="1" applyFont="1" applyBorder="1"/>
    <xf numFmtId="165" fontId="120" fillId="11" borderId="31" xfId="0" applyNumberFormat="1" applyFont="1" applyFill="1" applyBorder="1" applyProtection="1">
      <protection locked="0"/>
    </xf>
    <xf numFmtId="165" fontId="64" fillId="0" borderId="98" xfId="0" applyNumberFormat="1" applyFont="1" applyBorder="1"/>
    <xf numFmtId="165" fontId="69" fillId="0" borderId="99" xfId="0" applyNumberFormat="1" applyFont="1" applyBorder="1"/>
    <xf numFmtId="165" fontId="64" fillId="0" borderId="77" xfId="0" applyNumberFormat="1" applyFont="1" applyBorder="1"/>
    <xf numFmtId="164" fontId="120" fillId="11" borderId="12" xfId="0" applyNumberFormat="1" applyFont="1" applyFill="1" applyBorder="1" applyProtection="1">
      <protection locked="0"/>
    </xf>
    <xf numFmtId="164" fontId="64" fillId="0" borderId="96" xfId="0" applyNumberFormat="1" applyFont="1" applyBorder="1"/>
    <xf numFmtId="0" fontId="64" fillId="0" borderId="0" xfId="24" applyFont="1"/>
    <xf numFmtId="173" fontId="64" fillId="0" borderId="122" xfId="28" applyFont="1" applyBorder="1" applyAlignment="1">
      <alignment horizontal="left" indent="1"/>
    </xf>
    <xf numFmtId="164" fontId="64" fillId="0" borderId="20" xfId="0" applyNumberFormat="1" applyFont="1" applyBorder="1"/>
    <xf numFmtId="164" fontId="120" fillId="11" borderId="20" xfId="0" applyNumberFormat="1" applyFont="1" applyFill="1" applyBorder="1" applyProtection="1">
      <protection locked="0"/>
    </xf>
    <xf numFmtId="164" fontId="64" fillId="0" borderId="151" xfId="0" applyNumberFormat="1" applyFont="1" applyBorder="1"/>
    <xf numFmtId="173" fontId="69" fillId="0" borderId="41" xfId="28" applyFont="1" applyBorder="1"/>
    <xf numFmtId="164" fontId="69" fillId="0" borderId="45" xfId="0" applyNumberFormat="1" applyFont="1" applyBorder="1"/>
    <xf numFmtId="164" fontId="69" fillId="0" borderId="25" xfId="0" applyNumberFormat="1" applyFont="1" applyBorder="1"/>
    <xf numFmtId="0" fontId="139" fillId="0" borderId="0" xfId="52" applyFont="1" applyAlignment="1">
      <alignment horizontal="center"/>
    </xf>
    <xf numFmtId="170" fontId="138" fillId="0" borderId="12" xfId="7" applyNumberFormat="1" applyFont="1" applyBorder="1"/>
    <xf numFmtId="10" fontId="138" fillId="0" borderId="12" xfId="52" applyNumberFormat="1" applyFont="1" applyBorder="1"/>
    <xf numFmtId="10" fontId="138" fillId="0" borderId="12" xfId="36" applyNumberFormat="1" applyFont="1" applyBorder="1"/>
    <xf numFmtId="40" fontId="138" fillId="0" borderId="12" xfId="52" applyNumberFormat="1" applyFont="1" applyBorder="1"/>
    <xf numFmtId="6" fontId="64" fillId="0" borderId="12" xfId="49" applyNumberFormat="1" applyFont="1" applyBorder="1"/>
    <xf numFmtId="6" fontId="64" fillId="0" borderId="8" xfId="49" applyNumberFormat="1" applyFont="1" applyBorder="1"/>
    <xf numFmtId="49" fontId="64" fillId="0" borderId="0" xfId="0" applyNumberFormat="1" applyFont="1"/>
    <xf numFmtId="165" fontId="64" fillId="0" borderId="12" xfId="7" applyNumberFormat="1" applyFont="1" applyFill="1" applyBorder="1"/>
    <xf numFmtId="173" fontId="64" fillId="0" borderId="65" xfId="28" applyFont="1" applyBorder="1"/>
    <xf numFmtId="165" fontId="64" fillId="0" borderId="65" xfId="0" applyNumberFormat="1" applyFont="1" applyBorder="1"/>
    <xf numFmtId="165" fontId="120" fillId="11" borderId="65" xfId="0" applyNumberFormat="1" applyFont="1" applyFill="1" applyBorder="1" applyProtection="1">
      <protection locked="0"/>
    </xf>
    <xf numFmtId="165" fontId="64" fillId="0" borderId="147" xfId="0" applyNumberFormat="1" applyFont="1" applyBorder="1"/>
    <xf numFmtId="0" fontId="69" fillId="0" borderId="67" xfId="0" applyFont="1" applyBorder="1"/>
    <xf numFmtId="0" fontId="126" fillId="0" borderId="21" xfId="0" applyFont="1" applyBorder="1"/>
    <xf numFmtId="165" fontId="126" fillId="0" borderId="21" xfId="7" applyNumberFormat="1" applyFont="1" applyFill="1" applyBorder="1"/>
    <xf numFmtId="0" fontId="69" fillId="19" borderId="41" xfId="0" applyFont="1" applyFill="1" applyBorder="1"/>
    <xf numFmtId="165" fontId="64" fillId="19" borderId="35" xfId="0" applyNumberFormat="1" applyFont="1" applyFill="1" applyBorder="1"/>
    <xf numFmtId="165" fontId="64" fillId="19" borderId="25" xfId="0" applyNumberFormat="1" applyFont="1" applyFill="1" applyBorder="1"/>
    <xf numFmtId="165" fontId="64" fillId="0" borderId="44" xfId="0" applyNumberFormat="1" applyFont="1" applyBorder="1"/>
    <xf numFmtId="165" fontId="64" fillId="0" borderId="76" xfId="0" applyNumberFormat="1" applyFont="1" applyBorder="1"/>
    <xf numFmtId="165" fontId="64" fillId="0" borderId="64" xfId="7" applyNumberFormat="1" applyFont="1" applyFill="1" applyBorder="1"/>
    <xf numFmtId="165" fontId="126" fillId="0" borderId="68" xfId="7" applyNumberFormat="1" applyFont="1" applyFill="1" applyBorder="1"/>
    <xf numFmtId="165" fontId="64" fillId="0" borderId="50" xfId="0" applyNumberFormat="1" applyFont="1" applyBorder="1"/>
    <xf numFmtId="165" fontId="64" fillId="0" borderId="13" xfId="7" applyNumberFormat="1" applyFont="1" applyFill="1" applyBorder="1"/>
    <xf numFmtId="165" fontId="126" fillId="0" borderId="40" xfId="7" applyNumberFormat="1" applyFont="1" applyFill="1" applyBorder="1"/>
    <xf numFmtId="165" fontId="64" fillId="0" borderId="91" xfId="0" applyNumberFormat="1" applyFont="1" applyBorder="1"/>
    <xf numFmtId="165" fontId="64" fillId="0" borderId="30" xfId="7" applyNumberFormat="1" applyFont="1" applyFill="1" applyBorder="1"/>
    <xf numFmtId="165" fontId="126" fillId="0" borderId="34" xfId="7" applyNumberFormat="1" applyFont="1" applyFill="1" applyBorder="1"/>
    <xf numFmtId="6" fontId="64" fillId="0" borderId="20" xfId="49" applyNumberFormat="1" applyFont="1" applyBorder="1"/>
    <xf numFmtId="6" fontId="64" fillId="0" borderId="45" xfId="49" applyNumberFormat="1" applyFont="1" applyBorder="1"/>
    <xf numFmtId="6" fontId="64" fillId="0" borderId="71" xfId="49" applyNumberFormat="1" applyFont="1" applyBorder="1"/>
    <xf numFmtId="6" fontId="69" fillId="0" borderId="45" xfId="49" applyNumberFormat="1" applyFont="1" applyBorder="1"/>
    <xf numFmtId="6" fontId="69" fillId="0" borderId="71" xfId="49" applyNumberFormat="1" applyFont="1" applyBorder="1"/>
    <xf numFmtId="0" fontId="74" fillId="8" borderId="37" xfId="0" applyFont="1" applyFill="1" applyBorder="1"/>
    <xf numFmtId="0" fontId="76" fillId="8" borderId="0" xfId="0" applyFont="1" applyFill="1"/>
    <xf numFmtId="0" fontId="77" fillId="8" borderId="0" xfId="0" applyFont="1" applyFill="1"/>
    <xf numFmtId="0" fontId="74" fillId="8" borderId="0" xfId="0" applyFont="1" applyFill="1"/>
    <xf numFmtId="165" fontId="120" fillId="11" borderId="12" xfId="7" applyNumberFormat="1" applyFont="1" applyFill="1" applyBorder="1" applyProtection="1">
      <protection locked="0"/>
    </xf>
    <xf numFmtId="165" fontId="120" fillId="11" borderId="13" xfId="7" applyNumberFormat="1" applyFont="1" applyFill="1" applyBorder="1" applyProtection="1">
      <protection locked="0"/>
    </xf>
    <xf numFmtId="165" fontId="64" fillId="0" borderId="12" xfId="0" applyNumberFormat="1" applyFont="1" applyBorder="1"/>
    <xf numFmtId="0" fontId="69" fillId="0" borderId="91" xfId="0" applyFont="1" applyBorder="1"/>
    <xf numFmtId="165" fontId="64" fillId="0" borderId="76" xfId="24" applyNumberFormat="1" applyFont="1" applyBorder="1" applyAlignment="1">
      <alignment horizontal="right"/>
    </xf>
    <xf numFmtId="0" fontId="69" fillId="0" borderId="34" xfId="0" applyFont="1" applyBorder="1"/>
    <xf numFmtId="165" fontId="64" fillId="0" borderId="68" xfId="0" applyNumberFormat="1" applyFont="1" applyBorder="1"/>
    <xf numFmtId="165" fontId="74" fillId="0" borderId="0" xfId="0" applyNumberFormat="1" applyFont="1" applyAlignment="1">
      <alignment horizontal="right" wrapText="1"/>
    </xf>
    <xf numFmtId="0" fontId="88" fillId="8" borderId="15" xfId="0" applyFont="1" applyFill="1" applyBorder="1"/>
    <xf numFmtId="0" fontId="88" fillId="8" borderId="13" xfId="0" applyFont="1" applyFill="1" applyBorder="1" applyAlignment="1">
      <alignment wrapText="1"/>
    </xf>
    <xf numFmtId="0" fontId="121" fillId="0" borderId="0" xfId="0" applyFont="1"/>
    <xf numFmtId="0" fontId="121" fillId="0" borderId="4" xfId="0" applyFont="1" applyBorder="1"/>
    <xf numFmtId="0" fontId="123" fillId="0" borderId="0" xfId="0" applyFont="1"/>
    <xf numFmtId="0" fontId="124" fillId="0" borderId="3" xfId="0" applyFont="1" applyBorder="1"/>
    <xf numFmtId="175" fontId="103" fillId="0" borderId="20" xfId="49" applyNumberFormat="1" applyFont="1" applyBorder="1" applyAlignment="1">
      <alignment horizontal="center"/>
    </xf>
    <xf numFmtId="175" fontId="103" fillId="0" borderId="82" xfId="49" applyNumberFormat="1" applyFont="1" applyBorder="1" applyAlignment="1">
      <alignment horizontal="center"/>
    </xf>
    <xf numFmtId="6" fontId="64" fillId="0" borderId="44" xfId="49" applyNumberFormat="1" applyFont="1" applyBorder="1"/>
    <xf numFmtId="6" fontId="64" fillId="0" borderId="76" xfId="49" applyNumberFormat="1" applyFont="1" applyBorder="1"/>
    <xf numFmtId="6" fontId="64" fillId="0" borderId="64" xfId="49" applyNumberFormat="1" applyFont="1" applyBorder="1"/>
    <xf numFmtId="37" fontId="64" fillId="0" borderId="122" xfId="49" applyFont="1" applyBorder="1"/>
    <xf numFmtId="6" fontId="64" fillId="0" borderId="82" xfId="49" applyNumberFormat="1" applyFont="1" applyBorder="1"/>
    <xf numFmtId="6" fontId="64" fillId="0" borderId="75" xfId="49" applyNumberFormat="1" applyFont="1" applyBorder="1"/>
    <xf numFmtId="0" fontId="64" fillId="0" borderId="0" xfId="49" applyNumberFormat="1" applyFont="1"/>
    <xf numFmtId="6" fontId="64" fillId="0" borderId="21" xfId="49" applyNumberFormat="1" applyFont="1" applyBorder="1"/>
    <xf numFmtId="6" fontId="64" fillId="0" borderId="68" xfId="49" applyNumberFormat="1" applyFont="1" applyBorder="1"/>
    <xf numFmtId="1" fontId="64" fillId="0" borderId="21" xfId="0" applyNumberFormat="1" applyFont="1" applyBorder="1" applyAlignment="1">
      <alignment horizontal="center"/>
    </xf>
    <xf numFmtId="0" fontId="69" fillId="0" borderId="50" xfId="0" applyFont="1" applyBorder="1" applyProtection="1">
      <protection locked="0"/>
    </xf>
    <xf numFmtId="0" fontId="69" fillId="0" borderId="72" xfId="0" applyFont="1" applyBorder="1" applyProtection="1">
      <protection locked="0"/>
    </xf>
    <xf numFmtId="10" fontId="120" fillId="11" borderId="20" xfId="36" applyNumberFormat="1" applyFont="1" applyFill="1" applyBorder="1" applyProtection="1">
      <protection locked="0"/>
    </xf>
    <xf numFmtId="0" fontId="88" fillId="8" borderId="65" xfId="0" applyFont="1" applyFill="1" applyBorder="1" applyAlignment="1">
      <alignment horizontal="center" vertical="center" wrapText="1"/>
    </xf>
    <xf numFmtId="0" fontId="88" fillId="8" borderId="67" xfId="0" applyFont="1" applyFill="1" applyBorder="1" applyAlignment="1">
      <alignment horizontal="center" vertical="center" wrapText="1"/>
    </xf>
    <xf numFmtId="10" fontId="64" fillId="0" borderId="12" xfId="28" applyNumberFormat="1" applyFont="1" applyBorder="1"/>
    <xf numFmtId="10" fontId="100" fillId="13" borderId="8" xfId="28" applyNumberFormat="1" applyFont="1" applyFill="1" applyBorder="1" applyProtection="1">
      <protection locked="0"/>
    </xf>
    <xf numFmtId="44" fontId="100" fillId="13" borderId="12" xfId="7" applyFont="1" applyFill="1" applyBorder="1" applyProtection="1">
      <protection locked="0"/>
    </xf>
    <xf numFmtId="0" fontId="104" fillId="8" borderId="0" xfId="51" applyFont="1" applyFill="1"/>
    <xf numFmtId="0" fontId="77" fillId="8" borderId="0" xfId="51" applyFont="1" applyFill="1" applyAlignment="1">
      <alignment horizontal="center"/>
    </xf>
    <xf numFmtId="0" fontId="150" fillId="8" borderId="0" xfId="51" applyFont="1" applyFill="1"/>
    <xf numFmtId="0" fontId="151" fillId="0" borderId="0" xfId="51" applyFont="1"/>
    <xf numFmtId="0" fontId="88" fillId="8" borderId="18" xfId="0" applyFont="1" applyFill="1" applyBorder="1" applyAlignment="1">
      <alignment horizontal="center" wrapText="1"/>
    </xf>
    <xf numFmtId="0" fontId="88" fillId="8" borderId="11" xfId="0" applyFont="1" applyFill="1" applyBorder="1" applyAlignment="1">
      <alignment horizontal="center" wrapText="1"/>
    </xf>
    <xf numFmtId="0" fontId="140" fillId="0" borderId="0" xfId="52" applyFont="1"/>
    <xf numFmtId="0" fontId="88" fillId="10" borderId="8" xfId="0" applyFont="1" applyFill="1" applyBorder="1" applyAlignment="1">
      <alignment horizontal="center" vertical="center" wrapText="1"/>
    </xf>
    <xf numFmtId="0" fontId="88" fillId="10" borderId="11" xfId="0" applyFont="1" applyFill="1" applyBorder="1" applyAlignment="1">
      <alignment horizontal="center" vertical="center" wrapText="1"/>
    </xf>
    <xf numFmtId="0" fontId="124" fillId="10" borderId="3" xfId="0" applyFont="1" applyFill="1" applyBorder="1"/>
    <xf numFmtId="0" fontId="122" fillId="10" borderId="0" xfId="0" applyFont="1" applyFill="1"/>
    <xf numFmtId="0" fontId="114" fillId="10" borderId="0" xfId="0" applyFont="1" applyFill="1"/>
    <xf numFmtId="0" fontId="114" fillId="10" borderId="0" xfId="0" applyFont="1" applyFill="1" applyAlignment="1">
      <alignment horizontal="right"/>
    </xf>
    <xf numFmtId="14" fontId="114" fillId="10" borderId="0" xfId="0" applyNumberFormat="1" applyFont="1" applyFill="1"/>
    <xf numFmtId="0" fontId="124" fillId="10" borderId="0" xfId="0" applyFont="1" applyFill="1"/>
    <xf numFmtId="0" fontId="88" fillId="10" borderId="18" xfId="0" applyFont="1" applyFill="1" applyBorder="1" applyAlignment="1">
      <alignment horizontal="center" vertical="center" wrapText="1"/>
    </xf>
    <xf numFmtId="0" fontId="88" fillId="10" borderId="32" xfId="0" applyFont="1" applyFill="1" applyBorder="1" applyAlignment="1">
      <alignment horizontal="center" vertical="center" wrapText="1"/>
    </xf>
    <xf numFmtId="0" fontId="88" fillId="10" borderId="16" xfId="0" applyFont="1" applyFill="1" applyBorder="1"/>
    <xf numFmtId="0" fontId="88" fillId="10" borderId="19" xfId="0" applyFont="1" applyFill="1" applyBorder="1" applyAlignment="1">
      <alignment wrapText="1"/>
    </xf>
    <xf numFmtId="0" fontId="88" fillId="10" borderId="20" xfId="0" applyFont="1" applyFill="1" applyBorder="1" applyAlignment="1">
      <alignment horizontal="center" wrapText="1"/>
    </xf>
    <xf numFmtId="0" fontId="88" fillId="10" borderId="75" xfId="0" applyFont="1" applyFill="1" applyBorder="1" applyAlignment="1">
      <alignment horizontal="center" vertical="center" wrapText="1"/>
    </xf>
    <xf numFmtId="14" fontId="122" fillId="10" borderId="0" xfId="0" applyNumberFormat="1" applyFont="1" applyFill="1"/>
    <xf numFmtId="0" fontId="122" fillId="10" borderId="0" xfId="0" applyFont="1" applyFill="1" applyAlignment="1">
      <alignment horizontal="right"/>
    </xf>
    <xf numFmtId="14" fontId="114" fillId="10" borderId="0" xfId="0" applyNumberFormat="1" applyFont="1" applyFill="1" applyAlignment="1">
      <alignment horizontal="right"/>
    </xf>
    <xf numFmtId="37" fontId="124" fillId="10" borderId="0" xfId="49" applyFont="1" applyFill="1"/>
    <xf numFmtId="37" fontId="124" fillId="10" borderId="0" xfId="49" applyFont="1" applyFill="1" applyAlignment="1">
      <alignment horizontal="right"/>
    </xf>
    <xf numFmtId="14" fontId="124" fillId="10" borderId="0" xfId="49" applyNumberFormat="1" applyFont="1" applyFill="1"/>
    <xf numFmtId="0" fontId="77" fillId="10" borderId="0" xfId="0" applyFont="1" applyFill="1" applyAlignment="1">
      <alignment horizontal="right"/>
    </xf>
    <xf numFmtId="14" fontId="76" fillId="10" borderId="0" xfId="0" applyNumberFormat="1" applyFont="1" applyFill="1"/>
    <xf numFmtId="0" fontId="69" fillId="0" borderId="93" xfId="0" applyFont="1" applyBorder="1"/>
    <xf numFmtId="0" fontId="69" fillId="0" borderId="94" xfId="0" applyFont="1" applyBorder="1"/>
    <xf numFmtId="3" fontId="69" fillId="0" borderId="8" xfId="0" applyNumberFormat="1" applyFont="1" applyBorder="1" applyAlignment="1">
      <alignment horizontal="center"/>
    </xf>
    <xf numFmtId="1" fontId="69" fillId="0" borderId="8" xfId="0" applyNumberFormat="1" applyFont="1" applyBorder="1" applyAlignment="1">
      <alignment horizontal="center" vertical="center"/>
    </xf>
    <xf numFmtId="165" fontId="69" fillId="0" borderId="8" xfId="0" applyNumberFormat="1" applyFont="1" applyBorder="1" applyAlignment="1">
      <alignment horizontal="center" vertical="center"/>
    </xf>
    <xf numFmtId="6" fontId="138" fillId="0" borderId="12" xfId="52" applyNumberFormat="1" applyFont="1" applyBorder="1"/>
    <xf numFmtId="0" fontId="138" fillId="18" borderId="14" xfId="52" applyFont="1" applyFill="1" applyBorder="1"/>
    <xf numFmtId="0" fontId="138" fillId="0" borderId="14" xfId="52" applyFont="1" applyBorder="1"/>
    <xf numFmtId="0" fontId="138" fillId="14" borderId="12" xfId="52" applyFont="1" applyFill="1" applyBorder="1" applyAlignment="1">
      <alignment wrapText="1"/>
    </xf>
    <xf numFmtId="37" fontId="64" fillId="0" borderId="61" xfId="49" applyFont="1" applyBorder="1" applyAlignment="1">
      <alignment horizontal="left" indent="1"/>
    </xf>
    <xf numFmtId="37" fontId="64" fillId="0" borderId="59" xfId="49" applyFont="1" applyBorder="1"/>
    <xf numFmtId="175" fontId="103" fillId="0" borderId="59" xfId="49" applyNumberFormat="1" applyFont="1" applyBorder="1" applyAlignment="1">
      <alignment horizontal="center"/>
    </xf>
    <xf numFmtId="175" fontId="103" fillId="0" borderId="37" xfId="49" applyNumberFormat="1" applyFont="1" applyBorder="1" applyAlignment="1">
      <alignment horizontal="center"/>
    </xf>
    <xf numFmtId="37" fontId="64" fillId="0" borderId="74" xfId="49" applyFont="1" applyBorder="1" applyAlignment="1">
      <alignment horizontal="left" indent="1"/>
    </xf>
    <xf numFmtId="37" fontId="64" fillId="0" borderId="1" xfId="49" applyFont="1" applyBorder="1"/>
    <xf numFmtId="37" fontId="64" fillId="0" borderId="33" xfId="49" applyFont="1" applyBorder="1"/>
    <xf numFmtId="38" fontId="64" fillId="0" borderId="19" xfId="49" applyNumberFormat="1" applyFont="1" applyBorder="1"/>
    <xf numFmtId="38" fontId="64" fillId="0" borderId="150" xfId="49" applyNumberFormat="1" applyFont="1" applyBorder="1"/>
    <xf numFmtId="37" fontId="64" fillId="0" borderId="41" xfId="49" applyFont="1" applyBorder="1"/>
    <xf numFmtId="37" fontId="64" fillId="0" borderId="37" xfId="49" applyFont="1" applyBorder="1"/>
    <xf numFmtId="37" fontId="100" fillId="11" borderId="59" xfId="49" applyFont="1" applyFill="1" applyBorder="1" applyProtection="1">
      <protection locked="0"/>
    </xf>
    <xf numFmtId="37" fontId="100" fillId="11" borderId="37" xfId="49" applyFont="1" applyFill="1" applyBorder="1" applyProtection="1">
      <protection locked="0"/>
    </xf>
    <xf numFmtId="0" fontId="74" fillId="0" borderId="59" xfId="0" applyFont="1" applyBorder="1"/>
    <xf numFmtId="0" fontId="74" fillId="0" borderId="37" xfId="0" applyFont="1" applyBorder="1"/>
    <xf numFmtId="0" fontId="69" fillId="0" borderId="74" xfId="0" applyFont="1" applyBorder="1"/>
    <xf numFmtId="6" fontId="69" fillId="19" borderId="45" xfId="49" applyNumberFormat="1" applyFont="1" applyFill="1" applyBorder="1"/>
    <xf numFmtId="6" fontId="69" fillId="19" borderId="71" xfId="49" applyNumberFormat="1" applyFont="1" applyFill="1" applyBorder="1"/>
    <xf numFmtId="0" fontId="69" fillId="19" borderId="119" xfId="29" applyFont="1" applyFill="1" applyBorder="1" applyAlignment="1">
      <alignment horizontal="center" vertical="center"/>
    </xf>
    <xf numFmtId="0" fontId="78" fillId="19" borderId="12" xfId="0" applyFont="1" applyFill="1" applyBorder="1" applyAlignment="1">
      <alignment wrapText="1"/>
    </xf>
    <xf numFmtId="0" fontId="78" fillId="19" borderId="12" xfId="0" applyFont="1" applyFill="1" applyBorder="1" applyAlignment="1">
      <alignment horizontal="center" wrapText="1"/>
    </xf>
    <xf numFmtId="0" fontId="78" fillId="19" borderId="12" xfId="0" applyFont="1" applyFill="1" applyBorder="1"/>
    <xf numFmtId="44" fontId="87" fillId="19" borderId="12" xfId="7" applyFont="1" applyFill="1" applyBorder="1" applyAlignment="1" applyProtection="1">
      <alignment horizontal="center" wrapText="1"/>
    </xf>
    <xf numFmtId="39" fontId="87" fillId="19" borderId="12" xfId="7" applyNumberFormat="1" applyFont="1" applyFill="1" applyBorder="1" applyAlignment="1" applyProtection="1">
      <alignment horizontal="center" wrapText="1"/>
    </xf>
    <xf numFmtId="39" fontId="78" fillId="19" borderId="12" xfId="7" applyNumberFormat="1" applyFont="1" applyFill="1" applyBorder="1" applyAlignment="1" applyProtection="1">
      <alignment horizontal="center" wrapText="1"/>
    </xf>
    <xf numFmtId="0" fontId="78" fillId="19" borderId="8" xfId="0" applyFont="1" applyFill="1" applyBorder="1"/>
    <xf numFmtId="39" fontId="78" fillId="19" borderId="8" xfId="7" applyNumberFormat="1" applyFont="1" applyFill="1" applyBorder="1" applyAlignment="1">
      <alignment horizontal="center" wrapText="1"/>
    </xf>
    <xf numFmtId="44" fontId="78" fillId="19" borderId="8" xfId="7" applyFont="1" applyFill="1" applyBorder="1" applyAlignment="1">
      <alignment wrapText="1"/>
    </xf>
    <xf numFmtId="39" fontId="78" fillId="19" borderId="8" xfId="7" applyNumberFormat="1" applyFont="1" applyFill="1" applyBorder="1" applyAlignment="1">
      <alignment wrapText="1"/>
    </xf>
    <xf numFmtId="0" fontId="69" fillId="0" borderId="80" xfId="0" applyFont="1" applyBorder="1"/>
    <xf numFmtId="0" fontId="69" fillId="0" borderId="124" xfId="0" applyFont="1" applyBorder="1"/>
    <xf numFmtId="0" fontId="69" fillId="0" borderId="25" xfId="0" applyFont="1" applyBorder="1"/>
    <xf numFmtId="44" fontId="74" fillId="19" borderId="41" xfId="47" applyFont="1" applyFill="1" applyBorder="1" applyAlignment="1">
      <alignment vertical="center" wrapText="1"/>
    </xf>
    <xf numFmtId="44" fontId="74" fillId="19" borderId="25" xfId="47" applyFont="1" applyFill="1" applyBorder="1" applyAlignment="1">
      <alignment vertical="center" wrapText="1"/>
    </xf>
    <xf numFmtId="44" fontId="74" fillId="19" borderId="143" xfId="47" applyFont="1" applyFill="1" applyBorder="1" applyAlignment="1">
      <alignment vertical="center" wrapText="1"/>
    </xf>
    <xf numFmtId="165" fontId="64" fillId="0" borderId="64" xfId="0" applyNumberFormat="1" applyFont="1" applyBorder="1" applyAlignment="1">
      <alignment horizontal="center"/>
    </xf>
    <xf numFmtId="9" fontId="64" fillId="0" borderId="30" xfId="0" applyNumberFormat="1" applyFont="1" applyBorder="1" applyAlignment="1">
      <alignment horizontal="center"/>
    </xf>
    <xf numFmtId="9" fontId="64" fillId="0" borderId="32" xfId="0" applyNumberFormat="1" applyFont="1" applyBorder="1" applyAlignment="1">
      <alignment horizontal="center"/>
    </xf>
    <xf numFmtId="165" fontId="64" fillId="20" borderId="12" xfId="0" applyNumberFormat="1" applyFont="1" applyFill="1" applyBorder="1" applyAlignment="1">
      <alignment horizontal="center"/>
    </xf>
    <xf numFmtId="9" fontId="64" fillId="0" borderId="90" xfId="0" applyNumberFormat="1" applyFont="1" applyBorder="1" applyAlignment="1">
      <alignment horizontal="center"/>
    </xf>
    <xf numFmtId="165" fontId="64" fillId="0" borderId="68" xfId="0" applyNumberFormat="1" applyFont="1" applyBorder="1" applyAlignment="1">
      <alignment horizontal="center"/>
    </xf>
    <xf numFmtId="0" fontId="88" fillId="8" borderId="22" xfId="0" applyFont="1" applyFill="1" applyBorder="1"/>
    <xf numFmtId="0" fontId="69" fillId="2" borderId="22" xfId="0" applyFont="1" applyFill="1" applyBorder="1" applyAlignment="1">
      <alignment horizontal="center"/>
    </xf>
    <xf numFmtId="165" fontId="64" fillId="0" borderId="8" xfId="0" applyNumberFormat="1" applyFont="1" applyBorder="1" applyAlignment="1">
      <alignment horizontal="center"/>
    </xf>
    <xf numFmtId="0" fontId="117" fillId="8" borderId="12" xfId="0" applyFont="1" applyFill="1" applyBorder="1"/>
    <xf numFmtId="169" fontId="104" fillId="0" borderId="0" xfId="36" applyNumberFormat="1" applyFont="1" applyFill="1" applyAlignment="1">
      <alignment horizontal="left"/>
    </xf>
    <xf numFmtId="0" fontId="149" fillId="0" borderId="0" xfId="0" applyFont="1"/>
    <xf numFmtId="170" fontId="120" fillId="11" borderId="12" xfId="7" applyNumberFormat="1" applyFont="1" applyFill="1" applyBorder="1" applyAlignment="1" applyProtection="1">
      <alignment horizontal="center"/>
      <protection locked="0"/>
    </xf>
    <xf numFmtId="170" fontId="69" fillId="0" borderId="153" xfId="0" applyNumberFormat="1" applyFont="1" applyBorder="1"/>
    <xf numFmtId="170" fontId="69" fillId="0" borderId="154" xfId="0" applyNumberFormat="1" applyFont="1" applyBorder="1"/>
    <xf numFmtId="6" fontId="64" fillId="0" borderId="112" xfId="29" applyNumberFormat="1" applyFont="1" applyBorder="1" applyAlignment="1">
      <alignment horizontal="right"/>
    </xf>
    <xf numFmtId="0" fontId="88" fillId="8" borderId="155" xfId="0" applyFont="1" applyFill="1" applyBorder="1" applyAlignment="1">
      <alignment horizontal="center"/>
    </xf>
    <xf numFmtId="0" fontId="69" fillId="2" borderId="156" xfId="0" applyFont="1" applyFill="1" applyBorder="1" applyAlignment="1">
      <alignment horizontal="center"/>
    </xf>
    <xf numFmtId="0" fontId="69" fillId="2" borderId="48" xfId="0" applyFont="1" applyFill="1" applyBorder="1" applyAlignment="1">
      <alignment horizontal="center"/>
    </xf>
    <xf numFmtId="0" fontId="69" fillId="2" borderId="78" xfId="0" applyFont="1" applyFill="1" applyBorder="1" applyAlignment="1">
      <alignment horizontal="center"/>
    </xf>
    <xf numFmtId="165" fontId="64" fillId="0" borderId="75" xfId="0" applyNumberFormat="1" applyFont="1" applyBorder="1" applyAlignment="1">
      <alignment horizontal="center"/>
    </xf>
    <xf numFmtId="0" fontId="88" fillId="8" borderId="41" xfId="0" applyFont="1" applyFill="1" applyBorder="1" applyAlignment="1">
      <alignment horizontal="center"/>
    </xf>
    <xf numFmtId="0" fontId="69" fillId="2" borderId="35" xfId="0" applyFont="1" applyFill="1" applyBorder="1" applyAlignment="1">
      <alignment horizontal="center"/>
    </xf>
    <xf numFmtId="9" fontId="69" fillId="2" borderId="45" xfId="0" applyNumberFormat="1" applyFont="1" applyFill="1" applyBorder="1" applyAlignment="1">
      <alignment horizontal="center"/>
    </xf>
    <xf numFmtId="9" fontId="69" fillId="2" borderId="71" xfId="0" applyNumberFormat="1" applyFont="1" applyFill="1" applyBorder="1" applyAlignment="1">
      <alignment horizontal="center"/>
    </xf>
    <xf numFmtId="9" fontId="64" fillId="0" borderId="0" xfId="0" applyNumberFormat="1" applyFont="1" applyAlignment="1">
      <alignment horizontal="center"/>
    </xf>
    <xf numFmtId="165" fontId="101" fillId="0" borderId="0" xfId="0" applyNumberFormat="1" applyFont="1" applyAlignment="1" applyProtection="1">
      <alignment horizontal="center"/>
      <protection locked="0"/>
    </xf>
    <xf numFmtId="165" fontId="101" fillId="0" borderId="61" xfId="0" applyNumberFormat="1" applyFont="1" applyBorder="1" applyAlignment="1" applyProtection="1">
      <alignment horizontal="center"/>
      <protection locked="0"/>
    </xf>
    <xf numFmtId="165" fontId="101" fillId="0" borderId="46" xfId="0" applyNumberFormat="1" applyFont="1" applyBorder="1" applyAlignment="1" applyProtection="1">
      <alignment horizontal="center"/>
      <protection locked="0"/>
    </xf>
    <xf numFmtId="165" fontId="64" fillId="0" borderId="52" xfId="0" applyNumberFormat="1" applyFont="1" applyBorder="1" applyAlignment="1">
      <alignment horizontal="center"/>
    </xf>
    <xf numFmtId="0" fontId="88" fillId="8" borderId="157" xfId="0" applyFont="1" applyFill="1" applyBorder="1" applyAlignment="1">
      <alignment horizontal="center"/>
    </xf>
    <xf numFmtId="0" fontId="69" fillId="2" borderId="158" xfId="0" applyFont="1" applyFill="1" applyBorder="1" applyAlignment="1">
      <alignment horizontal="center"/>
    </xf>
    <xf numFmtId="0" fontId="69" fillId="2" borderId="45" xfId="0" applyFont="1" applyFill="1" applyBorder="1" applyAlignment="1">
      <alignment horizontal="center"/>
    </xf>
    <xf numFmtId="0" fontId="69" fillId="2" borderId="71" xfId="0" applyFont="1" applyFill="1" applyBorder="1" applyAlignment="1">
      <alignment horizontal="center"/>
    </xf>
    <xf numFmtId="0" fontId="88" fillId="8" borderId="25" xfId="0" applyFont="1" applyFill="1" applyBorder="1" applyAlignment="1">
      <alignment horizontal="center"/>
    </xf>
    <xf numFmtId="0" fontId="138" fillId="0" borderId="15" xfId="52" applyFont="1" applyBorder="1"/>
    <xf numFmtId="9" fontId="138" fillId="0" borderId="12" xfId="52" applyNumberFormat="1" applyFont="1" applyBorder="1"/>
    <xf numFmtId="0" fontId="138" fillId="6" borderId="12" xfId="81" applyFont="1" applyFill="1" applyBorder="1"/>
    <xf numFmtId="9" fontId="138" fillId="0" borderId="12" xfId="81" applyNumberFormat="1" applyFont="1" applyBorder="1" applyAlignment="1">
      <alignment horizontal="right"/>
    </xf>
    <xf numFmtId="0" fontId="138" fillId="0" borderId="12" xfId="81" quotePrefix="1" applyFont="1" applyBorder="1" applyAlignment="1">
      <alignment horizontal="right"/>
    </xf>
    <xf numFmtId="0" fontId="138" fillId="14" borderId="12" xfId="81" applyFont="1" applyFill="1" applyBorder="1" applyAlignment="1">
      <alignment wrapText="1"/>
    </xf>
    <xf numFmtId="0" fontId="46" fillId="0" borderId="0" xfId="60"/>
    <xf numFmtId="0" fontId="138" fillId="0" borderId="0" xfId="81" applyFont="1"/>
    <xf numFmtId="169" fontId="80" fillId="0" borderId="12" xfId="36" applyNumberFormat="1" applyFont="1" applyFill="1" applyBorder="1" applyAlignment="1" applyProtection="1">
      <alignment horizontal="center"/>
    </xf>
    <xf numFmtId="0" fontId="90" fillId="8" borderId="12" xfId="29" applyFont="1" applyFill="1" applyBorder="1" applyAlignment="1">
      <alignment horizontal="center"/>
    </xf>
    <xf numFmtId="0" fontId="83" fillId="0" borderId="0" xfId="29" applyFont="1" applyAlignment="1">
      <alignment horizontal="center"/>
    </xf>
    <xf numFmtId="0" fontId="80" fillId="0" borderId="12" xfId="29" applyFont="1" applyBorder="1" applyAlignment="1">
      <alignment horizontal="center"/>
    </xf>
    <xf numFmtId="14" fontId="80" fillId="0" borderId="12" xfId="29" applyNumberFormat="1" applyFont="1" applyBorder="1" applyAlignment="1">
      <alignment horizontal="center"/>
    </xf>
    <xf numFmtId="8" fontId="80" fillId="0" borderId="12" xfId="29" applyNumberFormat="1" applyFont="1" applyBorder="1" applyAlignment="1">
      <alignment horizontal="center"/>
    </xf>
    <xf numFmtId="0" fontId="138" fillId="6" borderId="12" xfId="52" applyFont="1" applyFill="1" applyBorder="1" applyAlignment="1">
      <alignment wrapText="1"/>
    </xf>
    <xf numFmtId="0" fontId="85" fillId="8" borderId="25" xfId="29" applyFont="1" applyFill="1" applyBorder="1" applyAlignment="1">
      <alignment horizontal="centerContinuous"/>
    </xf>
    <xf numFmtId="0" fontId="86" fillId="13" borderId="95" xfId="27" applyFont="1" applyFill="1" applyBorder="1" applyAlignment="1" applyProtection="1">
      <alignment horizontal="left" wrapText="1"/>
      <protection locked="0"/>
    </xf>
    <xf numFmtId="0" fontId="86" fillId="13" borderId="96" xfId="27" applyFont="1" applyFill="1" applyBorder="1" applyAlignment="1" applyProtection="1">
      <alignment horizontal="left" wrapText="1"/>
      <protection locked="0"/>
    </xf>
    <xf numFmtId="0" fontId="74" fillId="0" borderId="77" xfId="27" applyFont="1" applyBorder="1" applyAlignment="1" applyProtection="1">
      <alignment horizontal="left" wrapText="1"/>
      <protection locked="0"/>
    </xf>
    <xf numFmtId="0" fontId="87" fillId="13" borderId="96" xfId="27" applyFont="1" applyFill="1" applyBorder="1" applyAlignment="1" applyProtection="1">
      <alignment horizontal="left" wrapText="1"/>
      <protection locked="0"/>
    </xf>
    <xf numFmtId="0" fontId="74" fillId="0" borderId="95" xfId="27" applyFont="1" applyBorder="1" applyAlignment="1" applyProtection="1">
      <alignment horizontal="left" wrapText="1"/>
      <protection locked="0"/>
    </xf>
    <xf numFmtId="6" fontId="86" fillId="13" borderId="96" xfId="27" applyNumberFormat="1" applyFont="1" applyFill="1" applyBorder="1" applyAlignment="1" applyProtection="1">
      <alignment horizontal="left" wrapText="1"/>
      <protection locked="0"/>
    </xf>
    <xf numFmtId="0" fontId="86" fillId="13" borderId="85" xfId="27" applyFont="1" applyFill="1" applyBorder="1" applyAlignment="1" applyProtection="1">
      <alignment horizontal="left" wrapText="1"/>
      <protection locked="0"/>
    </xf>
    <xf numFmtId="0" fontId="88" fillId="8" borderId="41" xfId="0" applyFont="1" applyFill="1" applyBorder="1" applyAlignment="1">
      <alignment horizontal="center" vertical="center"/>
    </xf>
    <xf numFmtId="165" fontId="117" fillId="8" borderId="35" xfId="0" applyNumberFormat="1" applyFont="1" applyFill="1" applyBorder="1"/>
    <xf numFmtId="165" fontId="117" fillId="8" borderId="25" xfId="0" applyNumberFormat="1" applyFont="1" applyFill="1" applyBorder="1"/>
    <xf numFmtId="0" fontId="88" fillId="8" borderId="25" xfId="0" applyFont="1" applyFill="1" applyBorder="1"/>
    <xf numFmtId="0" fontId="117" fillId="8" borderId="35" xfId="0" applyFont="1" applyFill="1" applyBorder="1"/>
    <xf numFmtId="0" fontId="117" fillId="8" borderId="25" xfId="0" applyFont="1" applyFill="1" applyBorder="1"/>
    <xf numFmtId="2" fontId="100" fillId="13" borderId="12" xfId="0" applyNumberFormat="1" applyFont="1" applyFill="1" applyBorder="1" applyAlignment="1" applyProtection="1">
      <alignment horizontal="center"/>
      <protection locked="0"/>
    </xf>
    <xf numFmtId="167" fontId="69" fillId="0" borderId="12" xfId="0" applyNumberFormat="1" applyFont="1" applyBorder="1" applyAlignment="1">
      <alignment horizontal="center"/>
    </xf>
    <xf numFmtId="2" fontId="64" fillId="0" borderId="12" xfId="0" applyNumberFormat="1" applyFont="1" applyBorder="1" applyAlignment="1">
      <alignment horizontal="center"/>
    </xf>
    <xf numFmtId="0" fontId="81" fillId="0" borderId="69" xfId="0" applyFont="1" applyBorder="1"/>
    <xf numFmtId="0" fontId="75" fillId="0" borderId="57" xfId="0" applyFont="1" applyBorder="1"/>
    <xf numFmtId="0" fontId="88" fillId="8" borderId="1" xfId="0" applyFont="1" applyFill="1" applyBorder="1" applyAlignment="1">
      <alignment horizontal="center" wrapText="1"/>
    </xf>
    <xf numFmtId="10" fontId="69" fillId="0" borderId="12" xfId="0" applyNumberFormat="1" applyFont="1" applyBorder="1" applyAlignment="1">
      <alignment horizontal="center"/>
    </xf>
    <xf numFmtId="165" fontId="69" fillId="0" borderId="12" xfId="7" applyNumberFormat="1" applyFont="1" applyFill="1" applyBorder="1" applyAlignment="1">
      <alignment horizontal="center"/>
    </xf>
    <xf numFmtId="0" fontId="64" fillId="0" borderId="14" xfId="0" applyFont="1" applyBorder="1"/>
    <xf numFmtId="0" fontId="100" fillId="13" borderId="12" xfId="0" applyFont="1" applyFill="1" applyBorder="1" applyAlignment="1" applyProtection="1">
      <alignment horizontal="center" wrapText="1"/>
      <protection locked="0"/>
    </xf>
    <xf numFmtId="0" fontId="64" fillId="0" borderId="0" xfId="0" applyFont="1" applyAlignment="1">
      <alignment wrapText="1"/>
    </xf>
    <xf numFmtId="0" fontId="64" fillId="0" borderId="12" xfId="0" applyFont="1" applyBorder="1" applyAlignment="1">
      <alignment wrapText="1"/>
    </xf>
    <xf numFmtId="170" fontId="100" fillId="13" borderId="8" xfId="7" applyNumberFormat="1" applyFont="1" applyFill="1" applyBorder="1" applyProtection="1">
      <protection locked="0"/>
    </xf>
    <xf numFmtId="0" fontId="69" fillId="0" borderId="0" xfId="0" applyFont="1" applyAlignment="1">
      <alignment wrapText="1"/>
    </xf>
    <xf numFmtId="170" fontId="69" fillId="0" borderId="0" xfId="0" applyNumberFormat="1" applyFont="1"/>
    <xf numFmtId="0" fontId="69" fillId="2" borderId="12" xfId="0" applyFont="1" applyFill="1" applyBorder="1" applyAlignment="1">
      <alignment wrapText="1"/>
    </xf>
    <xf numFmtId="170" fontId="100" fillId="2" borderId="12" xfId="7" applyNumberFormat="1" applyFont="1" applyFill="1" applyBorder="1" applyProtection="1">
      <protection locked="0"/>
    </xf>
    <xf numFmtId="170" fontId="64" fillId="2" borderId="8" xfId="7" applyNumberFormat="1" applyFont="1" applyFill="1" applyBorder="1" applyProtection="1"/>
    <xf numFmtId="0" fontId="64" fillId="0" borderId="21" xfId="0" applyFont="1" applyBorder="1" applyAlignment="1">
      <alignment wrapText="1"/>
    </xf>
    <xf numFmtId="170" fontId="100" fillId="13" borderId="21" xfId="7" applyNumberFormat="1" applyFont="1" applyFill="1" applyBorder="1" applyProtection="1">
      <protection locked="0"/>
    </xf>
    <xf numFmtId="0" fontId="69" fillId="2" borderId="8" xfId="0" applyFont="1" applyFill="1" applyBorder="1" applyAlignment="1">
      <alignment wrapText="1"/>
    </xf>
    <xf numFmtId="170" fontId="100" fillId="0" borderId="12" xfId="7" applyNumberFormat="1" applyFont="1" applyFill="1" applyBorder="1" applyProtection="1"/>
    <xf numFmtId="0" fontId="64" fillId="0" borderId="21" xfId="0" applyFont="1" applyBorder="1"/>
    <xf numFmtId="0" fontId="152" fillId="0" borderId="12" xfId="0" applyFont="1" applyBorder="1"/>
    <xf numFmtId="14" fontId="69" fillId="0" borderId="0" xfId="0" applyNumberFormat="1" applyFont="1" applyAlignment="1">
      <alignment horizontal="center" wrapText="1"/>
    </xf>
    <xf numFmtId="0" fontId="64" fillId="0" borderId="0" xfId="0" applyFont="1" applyAlignment="1">
      <alignment horizontal="center" wrapText="1"/>
    </xf>
    <xf numFmtId="0" fontId="64" fillId="2" borderId="12" xfId="0" applyFont="1" applyFill="1" applyBorder="1" applyAlignment="1">
      <alignment wrapText="1"/>
    </xf>
    <xf numFmtId="0" fontId="64" fillId="2" borderId="12" xfId="0" applyFont="1" applyFill="1" applyBorder="1" applyAlignment="1">
      <alignment horizontal="center" wrapText="1"/>
    </xf>
    <xf numFmtId="44" fontId="100" fillId="13" borderId="12" xfId="7" applyFont="1" applyFill="1" applyBorder="1" applyAlignment="1" applyProtection="1">
      <alignment horizontal="center" wrapText="1"/>
      <protection locked="0"/>
    </xf>
    <xf numFmtId="39" fontId="100" fillId="13" borderId="12" xfId="7" applyNumberFormat="1" applyFont="1" applyFill="1" applyBorder="1" applyAlignment="1" applyProtection="1">
      <alignment horizontal="center" wrapText="1"/>
      <protection locked="0"/>
    </xf>
    <xf numFmtId="39" fontId="64" fillId="0" borderId="12" xfId="7" applyNumberFormat="1" applyFont="1" applyFill="1" applyBorder="1" applyAlignment="1" applyProtection="1">
      <alignment horizontal="center" wrapText="1"/>
    </xf>
    <xf numFmtId="44" fontId="64" fillId="0" borderId="12" xfId="7" applyFont="1" applyFill="1" applyBorder="1" applyAlignment="1" applyProtection="1">
      <alignment horizontal="center" wrapText="1"/>
    </xf>
    <xf numFmtId="0" fontId="64" fillId="2" borderId="12" xfId="0" applyFont="1" applyFill="1" applyBorder="1"/>
    <xf numFmtId="44" fontId="100" fillId="2" borderId="12" xfId="7" applyFont="1" applyFill="1" applyBorder="1" applyAlignment="1" applyProtection="1">
      <alignment horizontal="center" wrapText="1"/>
    </xf>
    <xf numFmtId="39" fontId="100" fillId="2" borderId="12" xfId="7" applyNumberFormat="1" applyFont="1" applyFill="1" applyBorder="1" applyAlignment="1" applyProtection="1">
      <alignment horizontal="center" wrapText="1"/>
    </xf>
    <xf numFmtId="39" fontId="64" fillId="2" borderId="12" xfId="7" applyNumberFormat="1" applyFont="1" applyFill="1" applyBorder="1" applyAlignment="1" applyProtection="1">
      <alignment horizontal="center" wrapText="1"/>
    </xf>
    <xf numFmtId="44" fontId="64" fillId="2" borderId="12" xfId="7" applyFont="1" applyFill="1" applyBorder="1" applyAlignment="1" applyProtection="1">
      <alignment horizontal="center" wrapText="1"/>
    </xf>
    <xf numFmtId="44" fontId="100" fillId="13" borderId="21" xfId="7" applyFont="1" applyFill="1" applyBorder="1" applyAlignment="1" applyProtection="1">
      <alignment horizontal="center" wrapText="1"/>
      <protection locked="0"/>
    </xf>
    <xf numFmtId="39" fontId="100" fillId="13" borderId="21" xfId="7" applyNumberFormat="1" applyFont="1" applyFill="1" applyBorder="1" applyAlignment="1" applyProtection="1">
      <alignment horizontal="center" wrapText="1"/>
      <protection locked="0"/>
    </xf>
    <xf numFmtId="39" fontId="64" fillId="0" borderId="21" xfId="7" applyNumberFormat="1" applyFont="1" applyFill="1" applyBorder="1" applyAlignment="1" applyProtection="1">
      <alignment horizontal="center" wrapText="1"/>
    </xf>
    <xf numFmtId="44" fontId="64" fillId="0" borderId="21" xfId="7" applyFont="1" applyFill="1" applyBorder="1" applyAlignment="1" applyProtection="1">
      <alignment horizontal="center" wrapText="1"/>
    </xf>
    <xf numFmtId="0" fontId="69" fillId="2" borderId="8" xfId="0" applyFont="1" applyFill="1" applyBorder="1"/>
    <xf numFmtId="44" fontId="64" fillId="2" borderId="8" xfId="7" applyFont="1" applyFill="1" applyBorder="1" applyAlignment="1">
      <alignment wrapText="1"/>
    </xf>
    <xf numFmtId="39" fontId="64" fillId="2" borderId="8" xfId="7" applyNumberFormat="1" applyFont="1" applyFill="1" applyBorder="1" applyAlignment="1">
      <alignment wrapText="1"/>
    </xf>
    <xf numFmtId="39" fontId="69" fillId="2" borderId="8" xfId="7" applyNumberFormat="1" applyFont="1" applyFill="1" applyBorder="1" applyAlignment="1">
      <alignment horizontal="center" wrapText="1"/>
    </xf>
    <xf numFmtId="44" fontId="69" fillId="2" borderId="8" xfId="7" applyFont="1" applyFill="1" applyBorder="1" applyAlignment="1">
      <alignment horizontal="center" wrapText="1"/>
    </xf>
    <xf numFmtId="165" fontId="69" fillId="0" borderId="25" xfId="0" applyNumberFormat="1" applyFont="1" applyBorder="1"/>
    <xf numFmtId="165" fontId="69" fillId="0" borderId="85" xfId="28" applyNumberFormat="1" applyFont="1" applyBorder="1" applyAlignment="1">
      <alignment horizontal="right"/>
    </xf>
    <xf numFmtId="166" fontId="117" fillId="8" borderId="25" xfId="36" applyNumberFormat="1" applyFont="1" applyFill="1" applyBorder="1" applyProtection="1"/>
    <xf numFmtId="44" fontId="64" fillId="19" borderId="41" xfId="47" applyFont="1" applyFill="1" applyBorder="1" applyAlignment="1">
      <alignment vertical="center" wrapText="1"/>
    </xf>
    <xf numFmtId="44" fontId="64" fillId="19" borderId="25" xfId="47" applyFont="1" applyFill="1" applyBorder="1" applyAlignment="1">
      <alignment vertical="center" wrapText="1"/>
    </xf>
    <xf numFmtId="0" fontId="88" fillId="8" borderId="12" xfId="0" applyFont="1" applyFill="1" applyBorder="1" applyAlignment="1">
      <alignment horizontal="center" wrapText="1"/>
    </xf>
    <xf numFmtId="0" fontId="69" fillId="0" borderId="8" xfId="0" applyFont="1" applyBorder="1" applyAlignment="1">
      <alignment horizontal="center"/>
    </xf>
    <xf numFmtId="170" fontId="69" fillId="0" borderId="8" xfId="0" applyNumberFormat="1" applyFont="1" applyBorder="1"/>
    <xf numFmtId="0" fontId="69" fillId="2" borderId="7" xfId="0" applyFont="1" applyFill="1" applyBorder="1" applyAlignment="1">
      <alignment wrapText="1"/>
    </xf>
    <xf numFmtId="170" fontId="64" fillId="2" borderId="7" xfId="7" applyNumberFormat="1" applyFont="1" applyFill="1" applyBorder="1" applyProtection="1"/>
    <xf numFmtId="173" fontId="64" fillId="0" borderId="41" xfId="28" applyFont="1" applyBorder="1"/>
    <xf numFmtId="173" fontId="118" fillId="0" borderId="41" xfId="28" applyFont="1" applyBorder="1"/>
    <xf numFmtId="164" fontId="64" fillId="0" borderId="8" xfId="0" applyNumberFormat="1" applyFont="1" applyBorder="1"/>
    <xf numFmtId="164" fontId="64" fillId="0" borderId="95" xfId="0" applyNumberFormat="1" applyFont="1" applyBorder="1"/>
    <xf numFmtId="173" fontId="64" fillId="0" borderId="59" xfId="28" applyFont="1" applyBorder="1"/>
    <xf numFmtId="173" fontId="64" fillId="0" borderId="37" xfId="28" applyFont="1" applyBorder="1"/>
    <xf numFmtId="173" fontId="117" fillId="0" borderId="41" xfId="28" applyFont="1" applyBorder="1"/>
    <xf numFmtId="0" fontId="64" fillId="0" borderId="8" xfId="0" applyFont="1" applyBorder="1"/>
    <xf numFmtId="0" fontId="64" fillId="0" borderId="95" xfId="0" applyFont="1" applyBorder="1"/>
    <xf numFmtId="37" fontId="76" fillId="10" borderId="0" xfId="49" applyFont="1" applyFill="1" applyAlignment="1">
      <alignment horizontal="right"/>
    </xf>
    <xf numFmtId="0" fontId="120" fillId="13" borderId="75" xfId="0" applyFont="1" applyFill="1" applyBorder="1" applyProtection="1">
      <protection locked="0"/>
    </xf>
    <xf numFmtId="0" fontId="120" fillId="13" borderId="64" xfId="0" applyFont="1" applyFill="1" applyBorder="1" applyProtection="1">
      <protection locked="0"/>
    </xf>
    <xf numFmtId="0" fontId="120" fillId="13" borderId="68" xfId="0" applyFont="1" applyFill="1" applyBorder="1" applyProtection="1">
      <protection locked="0"/>
    </xf>
    <xf numFmtId="9" fontId="120" fillId="11" borderId="12" xfId="36" applyFont="1" applyFill="1" applyBorder="1" applyAlignment="1" applyProtection="1">
      <alignment horizontal="center"/>
      <protection locked="0"/>
    </xf>
    <xf numFmtId="0" fontId="154" fillId="13" borderId="1" xfId="29" applyFont="1" applyFill="1" applyBorder="1" applyAlignment="1" applyProtection="1">
      <alignment horizontal="center" vertical="center"/>
      <protection locked="0"/>
    </xf>
    <xf numFmtId="3" fontId="154" fillId="11" borderId="14" xfId="29" applyNumberFormat="1" applyFont="1" applyFill="1" applyBorder="1" applyAlignment="1" applyProtection="1">
      <alignment horizontal="center" vertical="center"/>
      <protection locked="0"/>
    </xf>
    <xf numFmtId="0" fontId="154" fillId="13" borderId="14" xfId="29" applyFont="1" applyFill="1" applyBorder="1" applyAlignment="1" applyProtection="1">
      <alignment horizontal="center" vertical="center"/>
      <protection locked="0"/>
    </xf>
    <xf numFmtId="0" fontId="154" fillId="11" borderId="1" xfId="29" applyFont="1" applyFill="1" applyBorder="1" applyAlignment="1" applyProtection="1">
      <alignment horizontal="center" vertical="center"/>
      <protection locked="0"/>
    </xf>
    <xf numFmtId="44" fontId="133" fillId="13" borderId="41" xfId="7" applyFont="1" applyFill="1" applyBorder="1" applyAlignment="1" applyProtection="1">
      <alignment vertical="center" wrapText="1"/>
      <protection locked="0"/>
    </xf>
    <xf numFmtId="44" fontId="133" fillId="13" borderId="25" xfId="7" applyFont="1" applyFill="1" applyBorder="1" applyAlignment="1" applyProtection="1">
      <alignment vertical="center" wrapText="1"/>
      <protection locked="0"/>
    </xf>
    <xf numFmtId="14" fontId="104" fillId="0" borderId="0" xfId="43" applyNumberFormat="1" applyFont="1" applyAlignment="1">
      <alignment horizontal="left"/>
    </xf>
    <xf numFmtId="10" fontId="104" fillId="0" borderId="0" xfId="36" applyNumberFormat="1" applyFont="1" applyFill="1" applyAlignment="1">
      <alignment horizontal="left"/>
    </xf>
    <xf numFmtId="6" fontId="69" fillId="0" borderId="112" xfId="29" applyNumberFormat="1" applyFont="1" applyBorder="1" applyAlignment="1">
      <alignment horizontal="right"/>
    </xf>
    <xf numFmtId="6" fontId="69" fillId="0" borderId="113" xfId="29" applyNumberFormat="1" applyFont="1" applyBorder="1" applyAlignment="1">
      <alignment horizontal="right"/>
    </xf>
    <xf numFmtId="165" fontId="69" fillId="0" borderId="28" xfId="29" applyNumberFormat="1" applyFont="1" applyBorder="1" applyAlignment="1">
      <alignment horizontal="right"/>
    </xf>
    <xf numFmtId="170" fontId="69" fillId="0" borderId="0" xfId="7" applyNumberFormat="1" applyFont="1" applyFill="1" applyBorder="1" applyAlignment="1">
      <alignment horizontal="center"/>
    </xf>
    <xf numFmtId="170" fontId="64" fillId="0" borderId="0" xfId="7" applyNumberFormat="1" applyFont="1" applyFill="1" applyBorder="1" applyAlignment="1">
      <alignment horizontal="center"/>
    </xf>
    <xf numFmtId="170" fontId="69" fillId="6" borderId="0" xfId="0" applyNumberFormat="1" applyFont="1" applyFill="1"/>
    <xf numFmtId="0" fontId="64" fillId="0" borderId="147" xfId="0" applyFont="1" applyBorder="1"/>
    <xf numFmtId="165" fontId="100" fillId="13" borderId="96" xfId="28" applyNumberFormat="1" applyFont="1" applyFill="1" applyBorder="1" applyProtection="1">
      <protection locked="0"/>
    </xf>
    <xf numFmtId="166" fontId="117" fillId="8" borderId="25" xfId="37" applyNumberFormat="1" applyFont="1" applyFill="1" applyBorder="1" applyProtection="1"/>
    <xf numFmtId="165" fontId="64" fillId="0" borderId="96" xfId="28" applyNumberFormat="1" applyFont="1" applyBorder="1"/>
    <xf numFmtId="165" fontId="100" fillId="0" borderId="96" xfId="28" applyNumberFormat="1" applyFont="1" applyBorder="1" applyProtection="1">
      <protection locked="0"/>
    </xf>
    <xf numFmtId="165" fontId="69" fillId="0" borderId="96" xfId="28" applyNumberFormat="1" applyFont="1" applyBorder="1" applyAlignment="1">
      <alignment horizontal="right"/>
    </xf>
    <xf numFmtId="0" fontId="76" fillId="8" borderId="159" xfId="29" applyFont="1" applyFill="1" applyBorder="1" applyAlignment="1">
      <alignment vertical="center"/>
    </xf>
    <xf numFmtId="0" fontId="76" fillId="8" borderId="144" xfId="29" applyFont="1" applyFill="1" applyBorder="1" applyAlignment="1">
      <alignment vertical="center"/>
    </xf>
    <xf numFmtId="0" fontId="76" fillId="8" borderId="146" xfId="29" applyFont="1" applyFill="1" applyBorder="1" applyAlignment="1">
      <alignment vertical="center"/>
    </xf>
    <xf numFmtId="0" fontId="76" fillId="8" borderId="145" xfId="29" applyFont="1" applyFill="1" applyBorder="1" applyAlignment="1">
      <alignment vertical="center"/>
    </xf>
    <xf numFmtId="0" fontId="154" fillId="13" borderId="33" xfId="29" applyFont="1" applyFill="1" applyBorder="1" applyAlignment="1" applyProtection="1">
      <alignment horizontal="center" vertical="center"/>
      <protection locked="0"/>
    </xf>
    <xf numFmtId="0" fontId="154" fillId="11" borderId="33" xfId="29" applyFont="1" applyFill="1" applyBorder="1" applyAlignment="1" applyProtection="1">
      <alignment horizontal="center" vertical="center"/>
      <protection locked="0"/>
    </xf>
    <xf numFmtId="3" fontId="154" fillId="11" borderId="42" xfId="29" applyNumberFormat="1" applyFont="1" applyFill="1" applyBorder="1" applyAlignment="1" applyProtection="1">
      <alignment horizontal="center" vertical="center"/>
      <protection locked="0"/>
    </xf>
    <xf numFmtId="0" fontId="154" fillId="13" borderId="42" xfId="29" applyFont="1" applyFill="1" applyBorder="1" applyAlignment="1" applyProtection="1">
      <alignment horizontal="center" vertical="center"/>
      <protection locked="0"/>
    </xf>
    <xf numFmtId="0" fontId="69" fillId="0" borderId="162" xfId="29" applyFont="1" applyBorder="1" applyAlignment="1" applyProtection="1">
      <alignment horizontal="center" vertical="center"/>
      <protection locked="0"/>
    </xf>
    <xf numFmtId="0" fontId="69" fillId="0" borderId="136" xfId="29" applyFont="1" applyBorder="1" applyAlignment="1" applyProtection="1">
      <alignment horizontal="center" vertical="center"/>
      <protection locked="0"/>
    </xf>
    <xf numFmtId="0" fontId="69" fillId="0" borderId="57" xfId="29" applyFont="1" applyBorder="1" applyAlignment="1" applyProtection="1">
      <alignment horizontal="center" vertical="center"/>
      <protection locked="0"/>
    </xf>
    <xf numFmtId="0" fontId="69" fillId="0" borderId="58" xfId="29" applyFont="1" applyBorder="1" applyAlignment="1" applyProtection="1">
      <alignment horizontal="center" vertical="center"/>
      <protection locked="0"/>
    </xf>
    <xf numFmtId="0" fontId="64" fillId="0" borderId="137" xfId="29" applyFont="1" applyBorder="1" applyAlignment="1">
      <alignment horizontal="center"/>
    </xf>
    <xf numFmtId="6" fontId="69" fillId="0" borderId="158" xfId="29" applyNumberFormat="1" applyFont="1" applyBorder="1" applyAlignment="1">
      <alignment horizontal="right"/>
    </xf>
    <xf numFmtId="6" fontId="69" fillId="0" borderId="137" xfId="29" applyNumberFormat="1" applyFont="1" applyBorder="1" applyAlignment="1">
      <alignment horizontal="right"/>
    </xf>
    <xf numFmtId="6" fontId="69" fillId="0" borderId="165" xfId="29" applyNumberFormat="1" applyFont="1" applyBorder="1" applyAlignment="1">
      <alignment horizontal="right"/>
    </xf>
    <xf numFmtId="6" fontId="69" fillId="0" borderId="167" xfId="29" applyNumberFormat="1" applyFont="1" applyBorder="1" applyAlignment="1">
      <alignment horizontal="right"/>
    </xf>
    <xf numFmtId="10" fontId="69" fillId="0" borderId="137" xfId="36" applyNumberFormat="1" applyFont="1" applyFill="1" applyBorder="1" applyAlignment="1" applyProtection="1">
      <alignment horizontal="right"/>
    </xf>
    <xf numFmtId="6" fontId="145" fillId="0" borderId="137" xfId="29" applyNumberFormat="1" applyFont="1" applyBorder="1" applyAlignment="1">
      <alignment horizontal="right"/>
    </xf>
    <xf numFmtId="6" fontId="145" fillId="0" borderId="59" xfId="29" applyNumberFormat="1" applyFont="1" applyBorder="1" applyAlignment="1">
      <alignment horizontal="right"/>
    </xf>
    <xf numFmtId="6" fontId="145" fillId="0" borderId="37" xfId="29" applyNumberFormat="1" applyFont="1" applyBorder="1" applyAlignment="1">
      <alignment horizontal="right"/>
    </xf>
    <xf numFmtId="0" fontId="86" fillId="13" borderId="151" xfId="27" applyFont="1" applyFill="1" applyBorder="1" applyAlignment="1" applyProtection="1">
      <alignment horizontal="left" wrapText="1"/>
      <protection locked="0"/>
    </xf>
    <xf numFmtId="0" fontId="74" fillId="0" borderId="151" xfId="27" applyFont="1" applyBorder="1" applyAlignment="1">
      <alignment horizontal="center"/>
    </xf>
    <xf numFmtId="6" fontId="78" fillId="0" borderId="151" xfId="29" applyNumberFormat="1" applyFont="1" applyBorder="1" applyAlignment="1">
      <alignment horizontal="right"/>
    </xf>
    <xf numFmtId="0" fontId="74" fillId="0" borderId="151" xfId="27" applyFont="1" applyBorder="1" applyAlignment="1" applyProtection="1">
      <alignment horizontal="left" wrapText="1"/>
      <protection locked="0"/>
    </xf>
    <xf numFmtId="0" fontId="78" fillId="19" borderId="59" xfId="29" applyFont="1" applyFill="1" applyBorder="1"/>
    <xf numFmtId="165" fontId="131" fillId="0" borderId="77" xfId="30" applyNumberFormat="1" applyFont="1" applyBorder="1" applyAlignment="1">
      <alignment horizontal="right"/>
    </xf>
    <xf numFmtId="0" fontId="74" fillId="0" borderId="120" xfId="29" applyFont="1" applyBorder="1"/>
    <xf numFmtId="0" fontId="69" fillId="0" borderId="84" xfId="27" applyFont="1" applyBorder="1"/>
    <xf numFmtId="0" fontId="64" fillId="0" borderId="77" xfId="27" applyFont="1" applyBorder="1" applyAlignment="1">
      <alignment horizontal="left" indent="1"/>
    </xf>
    <xf numFmtId="0" fontId="69" fillId="0" borderId="25" xfId="27" applyFont="1" applyBorder="1"/>
    <xf numFmtId="0" fontId="69" fillId="0" borderId="77" xfId="27" applyFont="1" applyBorder="1" applyAlignment="1">
      <alignment horizontal="left"/>
    </xf>
    <xf numFmtId="0" fontId="69" fillId="0" borderId="77" xfId="27" applyFont="1" applyBorder="1"/>
    <xf numFmtId="0" fontId="69" fillId="0" borderId="95" xfId="27" applyFont="1" applyBorder="1"/>
    <xf numFmtId="0" fontId="78" fillId="0" borderId="77" xfId="27" applyFont="1" applyBorder="1"/>
    <xf numFmtId="0" fontId="74" fillId="0" borderId="77" xfId="27" applyFont="1" applyBorder="1"/>
    <xf numFmtId="0" fontId="78" fillId="19" borderId="25" xfId="27" applyFont="1" applyFill="1" applyBorder="1"/>
    <xf numFmtId="165" fontId="155" fillId="7" borderId="112" xfId="30" applyNumberFormat="1" applyFont="1" applyFill="1" applyBorder="1" applyAlignment="1">
      <alignment horizontal="right"/>
    </xf>
    <xf numFmtId="166" fontId="155" fillId="7" borderId="5" xfId="36" applyNumberFormat="1" applyFont="1" applyFill="1" applyBorder="1" applyAlignment="1" applyProtection="1">
      <alignment horizontal="right"/>
    </xf>
    <xf numFmtId="0" fontId="64" fillId="0" borderId="77" xfId="27" applyFont="1" applyBorder="1" applyAlignment="1">
      <alignment horizontal="left" indent="2"/>
    </xf>
    <xf numFmtId="165" fontId="146" fillId="17" borderId="0" xfId="30" applyNumberFormat="1" applyFont="1" applyFill="1" applyAlignment="1">
      <alignment horizontal="right"/>
    </xf>
    <xf numFmtId="166" fontId="64" fillId="0" borderId="72" xfId="50" applyNumberFormat="1" applyFont="1" applyFill="1" applyBorder="1" applyProtection="1"/>
    <xf numFmtId="166" fontId="64" fillId="0" borderId="14" xfId="50" applyNumberFormat="1" applyFont="1" applyFill="1" applyBorder="1" applyProtection="1"/>
    <xf numFmtId="166" fontId="64" fillId="0" borderId="19" xfId="50" applyNumberFormat="1" applyFont="1" applyFill="1" applyBorder="1" applyProtection="1"/>
    <xf numFmtId="166" fontId="64" fillId="0" borderId="1" xfId="50" applyNumberFormat="1" applyFont="1" applyFill="1" applyBorder="1" applyProtection="1"/>
    <xf numFmtId="37" fontId="69" fillId="0" borderId="59" xfId="49" applyFont="1" applyBorder="1"/>
    <xf numFmtId="37" fontId="64" fillId="0" borderId="147" xfId="49" applyFont="1" applyBorder="1"/>
    <xf numFmtId="37" fontId="64" fillId="0" borderId="96" xfId="49" applyFont="1" applyBorder="1"/>
    <xf numFmtId="37" fontId="64" fillId="0" borderId="151" xfId="49" applyFont="1" applyBorder="1"/>
    <xf numFmtId="37" fontId="69" fillId="0" borderId="25" xfId="49" applyFont="1" applyBorder="1"/>
    <xf numFmtId="37" fontId="64" fillId="0" borderId="95" xfId="49" applyFont="1" applyBorder="1" applyAlignment="1">
      <alignment horizontal="left" indent="1"/>
    </xf>
    <xf numFmtId="37" fontId="64" fillId="0" borderId="96" xfId="49" applyFont="1" applyBorder="1" applyAlignment="1">
      <alignment horizontal="left" indent="1"/>
    </xf>
    <xf numFmtId="37" fontId="64" fillId="0" borderId="151" xfId="49" applyFont="1" applyBorder="1" applyAlignment="1">
      <alignment horizontal="left" indent="1"/>
    </xf>
    <xf numFmtId="166" fontId="64" fillId="0" borderId="14" xfId="36" applyNumberFormat="1" applyFont="1" applyFill="1" applyBorder="1" applyProtection="1"/>
    <xf numFmtId="37" fontId="69" fillId="19" borderId="59" xfId="49" applyFont="1" applyFill="1" applyBorder="1"/>
    <xf numFmtId="37" fontId="69" fillId="19" borderId="25" xfId="49" applyFont="1" applyFill="1" applyBorder="1"/>
    <xf numFmtId="37" fontId="64" fillId="0" borderId="72" xfId="49" applyFont="1" applyBorder="1"/>
    <xf numFmtId="37" fontId="64" fillId="0" borderId="19" xfId="49" applyFont="1" applyBorder="1"/>
    <xf numFmtId="37" fontId="69" fillId="0" borderId="151" xfId="49" applyFont="1" applyBorder="1"/>
    <xf numFmtId="37" fontId="64" fillId="0" borderId="73" xfId="49" applyFont="1" applyBorder="1"/>
    <xf numFmtId="37" fontId="64" fillId="0" borderId="85" xfId="49" applyFont="1" applyBorder="1"/>
    <xf numFmtId="175" fontId="103" fillId="0" borderId="57" xfId="49" applyNumberFormat="1" applyFont="1" applyBorder="1" applyAlignment="1">
      <alignment horizontal="center"/>
    </xf>
    <xf numFmtId="175" fontId="103" fillId="0" borderId="58" xfId="49" applyNumberFormat="1" applyFont="1" applyBorder="1" applyAlignment="1">
      <alignment horizontal="center"/>
    </xf>
    <xf numFmtId="37" fontId="69" fillId="0" borderId="84" xfId="49" applyFont="1" applyBorder="1"/>
    <xf numFmtId="37" fontId="69" fillId="0" borderId="97" xfId="49" applyFont="1" applyBorder="1"/>
    <xf numFmtId="171" fontId="0" fillId="0" borderId="0" xfId="0" applyNumberFormat="1" applyAlignment="1">
      <alignment horizontal="center"/>
    </xf>
    <xf numFmtId="165" fontId="69" fillId="0" borderId="16" xfId="28" applyNumberFormat="1" applyFont="1" applyBorder="1" applyAlignment="1">
      <alignment horizontal="right"/>
    </xf>
    <xf numFmtId="165" fontId="69" fillId="0" borderId="151" xfId="28" applyNumberFormat="1" applyFont="1" applyBorder="1" applyAlignment="1">
      <alignment horizontal="right"/>
    </xf>
    <xf numFmtId="165" fontId="126" fillId="10" borderId="96" xfId="28" applyNumberFormat="1" applyFont="1" applyFill="1" applyBorder="1"/>
    <xf numFmtId="165" fontId="100" fillId="10" borderId="96" xfId="28" applyNumberFormat="1" applyFont="1" applyFill="1" applyBorder="1"/>
    <xf numFmtId="37" fontId="124" fillId="0" borderId="32" xfId="49" applyFont="1" applyBorder="1"/>
    <xf numFmtId="37" fontId="69" fillId="0" borderId="8" xfId="49" applyFont="1" applyBorder="1" applyAlignment="1">
      <alignment horizontal="center"/>
    </xf>
    <xf numFmtId="37" fontId="69" fillId="0" borderId="75" xfId="49" applyFont="1" applyBorder="1" applyAlignment="1">
      <alignment horizontal="center"/>
    </xf>
    <xf numFmtId="37" fontId="123" fillId="8" borderId="47" xfId="49" applyFont="1" applyFill="1" applyBorder="1"/>
    <xf numFmtId="37" fontId="123" fillId="8" borderId="69" xfId="49" applyFont="1" applyFill="1" applyBorder="1"/>
    <xf numFmtId="37" fontId="123" fillId="8" borderId="70" xfId="49" applyFont="1" applyFill="1" applyBorder="1"/>
    <xf numFmtId="37" fontId="124" fillId="10" borderId="46" xfId="49" applyFont="1" applyFill="1" applyBorder="1"/>
    <xf numFmtId="37" fontId="124" fillId="10" borderId="57" xfId="49" applyFont="1" applyFill="1" applyBorder="1"/>
    <xf numFmtId="37" fontId="124" fillId="10" borderId="58" xfId="49" applyFont="1" applyFill="1" applyBorder="1"/>
    <xf numFmtId="166" fontId="69" fillId="0" borderId="119" xfId="36" applyNumberFormat="1" applyFont="1" applyFill="1" applyBorder="1" applyAlignment="1" applyProtection="1">
      <alignment horizontal="right"/>
    </xf>
    <xf numFmtId="6" fontId="69" fillId="0" borderId="28" xfId="30" applyNumberFormat="1" applyFont="1" applyBorder="1" applyAlignment="1">
      <alignment horizontal="right"/>
    </xf>
    <xf numFmtId="165" fontId="69" fillId="0" borderId="112" xfId="30" applyNumberFormat="1" applyFont="1" applyBorder="1" applyAlignment="1">
      <alignment horizontal="right"/>
    </xf>
    <xf numFmtId="166" fontId="69" fillId="0" borderId="5" xfId="36" applyNumberFormat="1" applyFont="1" applyFill="1" applyBorder="1" applyAlignment="1" applyProtection="1">
      <alignment horizontal="right"/>
    </xf>
    <xf numFmtId="165" fontId="69" fillId="0" borderId="6" xfId="30" applyNumberFormat="1" applyFont="1" applyBorder="1" applyAlignment="1">
      <alignment horizontal="right"/>
    </xf>
    <xf numFmtId="166" fontId="69" fillId="0" borderId="117" xfId="36" applyNumberFormat="1" applyFont="1" applyFill="1" applyBorder="1" applyAlignment="1" applyProtection="1">
      <alignment horizontal="right"/>
    </xf>
    <xf numFmtId="6" fontId="145" fillId="0" borderId="112" xfId="30" applyNumberFormat="1" applyFont="1" applyBorder="1" applyAlignment="1">
      <alignment horizontal="right"/>
    </xf>
    <xf numFmtId="6" fontId="145" fillId="0" borderId="117" xfId="30" applyNumberFormat="1" applyFont="1" applyBorder="1" applyAlignment="1">
      <alignment horizontal="right"/>
    </xf>
    <xf numFmtId="6" fontId="145" fillId="0" borderId="0" xfId="30" applyNumberFormat="1" applyFont="1" applyAlignment="1">
      <alignment horizontal="right"/>
    </xf>
    <xf numFmtId="6" fontId="69" fillId="19" borderId="168" xfId="29" applyNumberFormat="1" applyFont="1" applyFill="1" applyBorder="1" applyAlignment="1">
      <alignment horizontal="right"/>
    </xf>
    <xf numFmtId="6" fontId="69" fillId="19" borderId="165" xfId="29" applyNumberFormat="1" applyFont="1" applyFill="1" applyBorder="1" applyAlignment="1">
      <alignment horizontal="right"/>
    </xf>
    <xf numFmtId="6" fontId="69" fillId="7" borderId="158" xfId="29" applyNumberFormat="1" applyFont="1" applyFill="1" applyBorder="1" applyAlignment="1">
      <alignment horizontal="right"/>
    </xf>
    <xf numFmtId="6" fontId="69" fillId="7" borderId="166" xfId="29" applyNumberFormat="1" applyFont="1" applyFill="1" applyBorder="1" applyAlignment="1">
      <alignment horizontal="right"/>
    </xf>
    <xf numFmtId="6" fontId="69" fillId="19" borderId="167" xfId="29" applyNumberFormat="1" applyFont="1" applyFill="1" applyBorder="1" applyAlignment="1">
      <alignment horizontal="right"/>
    </xf>
    <xf numFmtId="10" fontId="69" fillId="19" borderId="137" xfId="36" applyNumberFormat="1" applyFont="1" applyFill="1" applyBorder="1" applyAlignment="1" applyProtection="1">
      <alignment horizontal="right"/>
    </xf>
    <xf numFmtId="5" fontId="147" fillId="17" borderId="158" xfId="29" applyNumberFormat="1" applyFont="1" applyFill="1" applyBorder="1" applyAlignment="1">
      <alignment horizontal="right"/>
    </xf>
    <xf numFmtId="5" fontId="147" fillId="17" borderId="59" xfId="29" applyNumberFormat="1" applyFont="1" applyFill="1" applyBorder="1" applyAlignment="1">
      <alignment horizontal="right"/>
    </xf>
    <xf numFmtId="5" fontId="147" fillId="17" borderId="37" xfId="29" applyNumberFormat="1" applyFont="1" applyFill="1" applyBorder="1" applyAlignment="1">
      <alignment horizontal="right"/>
    </xf>
    <xf numFmtId="0" fontId="64" fillId="7" borderId="112" xfId="29" applyFont="1" applyFill="1" applyBorder="1"/>
    <xf numFmtId="0" fontId="64" fillId="7" borderId="5" xfId="29" applyFont="1" applyFill="1" applyBorder="1"/>
    <xf numFmtId="10" fontId="64" fillId="0" borderId="113" xfId="36" applyNumberFormat="1" applyFont="1" applyFill="1" applyBorder="1" applyAlignment="1" applyProtection="1">
      <alignment horizontal="right"/>
    </xf>
    <xf numFmtId="6" fontId="146" fillId="17" borderId="112" xfId="29" applyNumberFormat="1" applyFont="1" applyFill="1" applyBorder="1" applyAlignment="1">
      <alignment horizontal="right"/>
    </xf>
    <xf numFmtId="6" fontId="146" fillId="17" borderId="0" xfId="29" applyNumberFormat="1" applyFont="1" applyFill="1" applyAlignment="1">
      <alignment horizontal="right"/>
    </xf>
    <xf numFmtId="10" fontId="69" fillId="0" borderId="113" xfId="36" applyNumberFormat="1" applyFont="1" applyFill="1" applyBorder="1" applyAlignment="1" applyProtection="1">
      <alignment horizontal="right"/>
    </xf>
    <xf numFmtId="6" fontId="147" fillId="17" borderId="112" xfId="29" applyNumberFormat="1" applyFont="1" applyFill="1" applyBorder="1" applyAlignment="1">
      <alignment horizontal="right"/>
    </xf>
    <xf numFmtId="6" fontId="147" fillId="17" borderId="10" xfId="29" applyNumberFormat="1" applyFont="1" applyFill="1" applyBorder="1" applyAlignment="1">
      <alignment horizontal="right"/>
    </xf>
    <xf numFmtId="0" fontId="69" fillId="0" borderId="77" xfId="27" quotePrefix="1" applyFont="1" applyBorder="1" applyAlignment="1">
      <alignment horizontal="left"/>
    </xf>
    <xf numFmtId="0" fontId="64" fillId="0" borderId="77" xfId="27" applyFont="1" applyBorder="1"/>
    <xf numFmtId="0" fontId="69" fillId="0" borderId="97" xfId="27" applyFont="1" applyBorder="1"/>
    <xf numFmtId="6" fontId="69" fillId="0" borderId="59" xfId="29" applyNumberFormat="1" applyFont="1" applyBorder="1" applyAlignment="1">
      <alignment horizontal="right"/>
    </xf>
    <xf numFmtId="0" fontId="76" fillId="8" borderId="169" xfId="29" applyFont="1" applyFill="1" applyBorder="1" applyAlignment="1">
      <alignment vertical="center"/>
    </xf>
    <xf numFmtId="0" fontId="69" fillId="0" borderId="77" xfId="29" applyFont="1" applyBorder="1" applyAlignment="1">
      <alignment horizontal="center" vertical="center"/>
    </xf>
    <xf numFmtId="3" fontId="69" fillId="0" borderId="77" xfId="29" applyNumberFormat="1" applyFont="1" applyBorder="1" applyAlignment="1">
      <alignment horizontal="center"/>
    </xf>
    <xf numFmtId="0" fontId="69" fillId="0" borderId="77" xfId="29" applyFont="1" applyBorder="1" applyAlignment="1">
      <alignment horizontal="center"/>
    </xf>
    <xf numFmtId="3" fontId="69" fillId="0" borderId="119" xfId="29" applyNumberFormat="1" applyFont="1" applyBorder="1" applyAlignment="1">
      <alignment horizontal="center" vertical="center"/>
    </xf>
    <xf numFmtId="1" fontId="69" fillId="0" borderId="116" xfId="29" applyNumberFormat="1" applyFont="1" applyBorder="1" applyAlignment="1">
      <alignment horizontal="center" vertical="center"/>
    </xf>
    <xf numFmtId="6" fontId="144" fillId="0" borderId="158" xfId="29" applyNumberFormat="1" applyFont="1" applyBorder="1" applyAlignment="1">
      <alignment horizontal="right"/>
    </xf>
    <xf numFmtId="166" fontId="144" fillId="0" borderId="166" xfId="36" applyNumberFormat="1" applyFont="1" applyFill="1" applyBorder="1" applyAlignment="1" applyProtection="1">
      <alignment horizontal="right"/>
    </xf>
    <xf numFmtId="10" fontId="80" fillId="0" borderId="0" xfId="0" applyNumberFormat="1" applyFont="1" applyAlignment="1">
      <alignment horizontal="center"/>
    </xf>
    <xf numFmtId="9" fontId="80" fillId="0" borderId="0" xfId="36" applyFont="1" applyFill="1" applyBorder="1" applyAlignment="1">
      <alignment horizontal="center"/>
    </xf>
    <xf numFmtId="173" fontId="88" fillId="8" borderId="48" xfId="28" applyFont="1" applyFill="1" applyBorder="1" applyAlignment="1">
      <alignment horizontal="center" vertical="center" wrapText="1"/>
    </xf>
    <xf numFmtId="49" fontId="88" fillId="8" borderId="84" xfId="28" applyNumberFormat="1" applyFont="1" applyFill="1" applyBorder="1" applyAlignment="1" applyProtection="1">
      <alignment horizontal="center" vertical="center" wrapText="1"/>
      <protection locked="0"/>
    </xf>
    <xf numFmtId="0" fontId="84" fillId="0" borderId="0" xfId="43" applyFont="1"/>
    <xf numFmtId="0" fontId="156" fillId="0" borderId="0" xfId="0" applyFont="1"/>
    <xf numFmtId="0" fontId="120" fillId="11" borderId="25" xfId="31" applyFont="1" applyFill="1" applyBorder="1" applyAlignment="1" applyProtection="1">
      <alignment horizontal="center"/>
      <protection locked="0"/>
    </xf>
    <xf numFmtId="173" fontId="69" fillId="0" borderId="103" xfId="28" applyFont="1" applyBorder="1"/>
    <xf numFmtId="173" fontId="69" fillId="0" borderId="46" xfId="28" applyFont="1" applyBorder="1"/>
    <xf numFmtId="173" fontId="69" fillId="0" borderId="91" xfId="28" applyFont="1" applyBorder="1" applyAlignment="1">
      <alignment wrapText="1"/>
    </xf>
    <xf numFmtId="173" fontId="69" fillId="0" borderId="30" xfId="28" applyFont="1" applyBorder="1" applyAlignment="1">
      <alignment wrapText="1"/>
    </xf>
    <xf numFmtId="173" fontId="69" fillId="0" borderId="34" xfId="28" applyFont="1" applyBorder="1" applyAlignment="1">
      <alignment wrapText="1"/>
    </xf>
    <xf numFmtId="0" fontId="64" fillId="0" borderId="0" xfId="0" applyFont="1" applyAlignment="1">
      <alignment horizontal="center" vertical="center"/>
    </xf>
    <xf numFmtId="0" fontId="80" fillId="0" borderId="0" xfId="0" applyFont="1" applyAlignment="1">
      <alignment horizontal="center" vertical="center"/>
    </xf>
    <xf numFmtId="0" fontId="64" fillId="6" borderId="0" xfId="0" applyFont="1" applyFill="1" applyAlignment="1">
      <alignment vertical="center"/>
    </xf>
    <xf numFmtId="0" fontId="80" fillId="6" borderId="0" xfId="0" applyFont="1" applyFill="1" applyAlignment="1">
      <alignment vertical="center"/>
    </xf>
    <xf numFmtId="173" fontId="88" fillId="8" borderId="84" xfId="28" applyFont="1" applyFill="1" applyBorder="1" applyAlignment="1">
      <alignment horizontal="center" vertical="center" wrapText="1"/>
    </xf>
    <xf numFmtId="0" fontId="64" fillId="0" borderId="95" xfId="25" applyFont="1" applyBorder="1"/>
    <xf numFmtId="165" fontId="117" fillId="8" borderId="25" xfId="25" applyNumberFormat="1" applyFont="1" applyFill="1" applyBorder="1" applyAlignment="1">
      <alignment horizontal="right"/>
    </xf>
    <xf numFmtId="165" fontId="64" fillId="0" borderId="95" xfId="25" applyNumberFormat="1" applyFont="1" applyBorder="1" applyAlignment="1">
      <alignment horizontal="right"/>
    </xf>
    <xf numFmtId="165" fontId="64" fillId="0" borderId="77" xfId="25" applyNumberFormat="1" applyFont="1" applyBorder="1" applyAlignment="1">
      <alignment horizontal="right"/>
    </xf>
    <xf numFmtId="1" fontId="64" fillId="6" borderId="30" xfId="45" applyNumberFormat="1" applyFont="1" applyFill="1" applyBorder="1"/>
    <xf numFmtId="1" fontId="64" fillId="6" borderId="56" xfId="45" applyNumberFormat="1" applyFont="1" applyFill="1" applyBorder="1"/>
    <xf numFmtId="0" fontId="104" fillId="0" borderId="61" xfId="46" applyFont="1" applyBorder="1"/>
    <xf numFmtId="0" fontId="112" fillId="0" borderId="0" xfId="89" applyFont="1"/>
    <xf numFmtId="0" fontId="158" fillId="0" borderId="0" xfId="89" applyFont="1" applyAlignment="1">
      <alignment horizontal="left"/>
    </xf>
    <xf numFmtId="0" fontId="112" fillId="0" borderId="1" xfId="89" applyFont="1" applyBorder="1"/>
    <xf numFmtId="168" fontId="64" fillId="0" borderId="1" xfId="90" applyNumberFormat="1" applyFont="1" applyBorder="1"/>
    <xf numFmtId="0" fontId="112" fillId="0" borderId="12" xfId="89" applyFont="1" applyBorder="1"/>
    <xf numFmtId="0" fontId="112" fillId="0" borderId="13" xfId="89" applyFont="1" applyBorder="1" applyAlignment="1">
      <alignment horizontal="center"/>
    </xf>
    <xf numFmtId="0" fontId="112" fillId="0" borderId="14" xfId="89" applyFont="1" applyBorder="1"/>
    <xf numFmtId="168" fontId="64" fillId="21" borderId="12" xfId="90" applyNumberFormat="1" applyFont="1" applyFill="1" applyBorder="1" applyProtection="1">
      <protection locked="0"/>
    </xf>
    <xf numFmtId="0" fontId="158" fillId="0" borderId="0" xfId="89" applyFont="1"/>
    <xf numFmtId="0" fontId="111" fillId="0" borderId="14" xfId="89" applyFont="1" applyBorder="1"/>
    <xf numFmtId="0" fontId="112" fillId="0" borderId="13" xfId="89" applyFont="1" applyBorder="1"/>
    <xf numFmtId="168" fontId="64" fillId="0" borderId="12" xfId="90" applyNumberFormat="1" applyFont="1" applyBorder="1"/>
    <xf numFmtId="43" fontId="64" fillId="0" borderId="12" xfId="90" applyFont="1" applyFill="1" applyBorder="1"/>
    <xf numFmtId="0" fontId="112" fillId="0" borderId="12" xfId="89" applyFont="1" applyBorder="1" applyAlignment="1">
      <alignment horizontal="center"/>
    </xf>
    <xf numFmtId="0" fontId="112" fillId="0" borderId="12" xfId="89" applyFont="1" applyBorder="1" applyAlignment="1">
      <alignment horizontal="center" wrapText="1"/>
    </xf>
    <xf numFmtId="168" fontId="64" fillId="0" borderId="12" xfId="90" applyNumberFormat="1" applyFont="1" applyBorder="1" applyAlignment="1">
      <alignment horizontal="center" wrapText="1"/>
    </xf>
    <xf numFmtId="0" fontId="112" fillId="0" borderId="0" xfId="89" applyFont="1" applyAlignment="1">
      <alignment horizontal="center" wrapText="1"/>
    </xf>
    <xf numFmtId="0" fontId="112" fillId="21" borderId="12" xfId="89" applyFont="1" applyFill="1" applyBorder="1" applyAlignment="1" applyProtection="1">
      <alignment horizontal="center"/>
      <protection locked="0"/>
    </xf>
    <xf numFmtId="168" fontId="64" fillId="0" borderId="13" xfId="90" applyNumberFormat="1" applyFont="1" applyFill="1" applyBorder="1"/>
    <xf numFmtId="168" fontId="112" fillId="0" borderId="0" xfId="89" applyNumberFormat="1" applyFont="1"/>
    <xf numFmtId="0" fontId="112" fillId="0" borderId="7" xfId="89" applyFont="1" applyBorder="1"/>
    <xf numFmtId="168" fontId="112" fillId="0" borderId="20" xfId="89" applyNumberFormat="1" applyFont="1" applyBorder="1" applyAlignment="1">
      <alignment horizontal="center"/>
    </xf>
    <xf numFmtId="168" fontId="111" fillId="0" borderId="12" xfId="90" applyNumberFormat="1" applyFont="1" applyBorder="1"/>
    <xf numFmtId="0" fontId="112" fillId="0" borderId="12" xfId="89" applyFont="1" applyBorder="1" applyAlignment="1">
      <alignment wrapText="1"/>
    </xf>
    <xf numFmtId="168" fontId="111" fillId="0" borderId="20" xfId="90" applyNumberFormat="1" applyFont="1" applyBorder="1" applyAlignment="1">
      <alignment horizontal="center"/>
    </xf>
    <xf numFmtId="177" fontId="112" fillId="0" borderId="12" xfId="89" applyNumberFormat="1" applyFont="1" applyBorder="1" applyAlignment="1">
      <alignment horizontal="center"/>
    </xf>
    <xf numFmtId="168" fontId="111" fillId="0" borderId="12" xfId="90" applyNumberFormat="1" applyFont="1" applyBorder="1" applyAlignment="1">
      <alignment horizontal="center"/>
    </xf>
    <xf numFmtId="168" fontId="64" fillId="0" borderId="0" xfId="90" applyNumberFormat="1" applyFont="1" applyBorder="1"/>
    <xf numFmtId="168" fontId="64" fillId="0" borderId="0" xfId="90" applyNumberFormat="1" applyFont="1"/>
    <xf numFmtId="168" fontId="64" fillId="11" borderId="12" xfId="90" applyNumberFormat="1" applyFont="1" applyFill="1" applyBorder="1" applyProtection="1">
      <protection locked="0"/>
    </xf>
    <xf numFmtId="0" fontId="112" fillId="11" borderId="12" xfId="89" applyFont="1" applyFill="1" applyBorder="1" applyAlignment="1" applyProtection="1">
      <alignment horizontal="right"/>
      <protection locked="0"/>
    </xf>
    <xf numFmtId="168" fontId="111" fillId="11" borderId="12" xfId="90" applyNumberFormat="1" applyFont="1" applyFill="1" applyBorder="1" applyProtection="1">
      <protection locked="0"/>
    </xf>
    <xf numFmtId="0" fontId="112" fillId="11" borderId="12" xfId="89" applyFont="1" applyFill="1" applyBorder="1" applyAlignment="1" applyProtection="1">
      <alignment horizontal="center"/>
      <protection locked="0"/>
    </xf>
    <xf numFmtId="168" fontId="112" fillId="11" borderId="12" xfId="90" applyNumberFormat="1" applyFont="1" applyFill="1" applyBorder="1" applyProtection="1">
      <protection locked="0"/>
    </xf>
    <xf numFmtId="168" fontId="64" fillId="0" borderId="12" xfId="90" applyNumberFormat="1" applyFont="1" applyFill="1" applyBorder="1" applyProtection="1"/>
    <xf numFmtId="168" fontId="69" fillId="0" borderId="12" xfId="90" applyNumberFormat="1" applyFont="1" applyFill="1" applyBorder="1" applyProtection="1"/>
    <xf numFmtId="0" fontId="64" fillId="0" borderId="47" xfId="89" applyFont="1" applyBorder="1"/>
    <xf numFmtId="168" fontId="64" fillId="0" borderId="69" xfId="90" applyNumberFormat="1" applyFont="1" applyFill="1" applyBorder="1" applyAlignment="1">
      <alignment horizontal="left"/>
    </xf>
    <xf numFmtId="0" fontId="112" fillId="0" borderId="46" xfId="89" applyFont="1" applyBorder="1"/>
    <xf numFmtId="14" fontId="64" fillId="0" borderId="57" xfId="90" applyNumberFormat="1" applyFont="1" applyFill="1" applyBorder="1" applyAlignment="1"/>
    <xf numFmtId="168" fontId="64" fillId="0" borderId="70" xfId="90" applyNumberFormat="1" applyFont="1" applyFill="1" applyBorder="1" applyAlignment="1">
      <alignment horizontal="center"/>
    </xf>
    <xf numFmtId="14" fontId="120" fillId="11" borderId="58" xfId="90" applyNumberFormat="1" applyFont="1" applyFill="1" applyBorder="1" applyAlignment="1" applyProtection="1">
      <alignment horizontal="center"/>
      <protection locked="0"/>
    </xf>
    <xf numFmtId="37" fontId="69" fillId="0" borderId="85" xfId="49" applyFont="1" applyBorder="1"/>
    <xf numFmtId="170" fontId="100" fillId="13" borderId="16" xfId="7" applyNumberFormat="1" applyFont="1" applyFill="1" applyBorder="1" applyProtection="1">
      <protection locked="0"/>
    </xf>
    <xf numFmtId="0" fontId="100" fillId="13" borderId="16" xfId="28" applyNumberFormat="1" applyFont="1" applyFill="1" applyBorder="1" applyAlignment="1" applyProtection="1">
      <alignment horizontal="center"/>
      <protection locked="0"/>
    </xf>
    <xf numFmtId="0" fontId="120" fillId="11" borderId="16" xfId="28" applyNumberFormat="1" applyFont="1" applyFill="1" applyBorder="1" applyAlignment="1" applyProtection="1">
      <alignment horizontal="center"/>
      <protection locked="0"/>
    </xf>
    <xf numFmtId="0" fontId="64" fillId="0" borderId="0" xfId="35" applyFont="1"/>
    <xf numFmtId="0" fontId="80" fillId="0" borderId="0" xfId="33" applyFont="1"/>
    <xf numFmtId="0" fontId="91" fillId="0" borderId="0" xfId="33" applyFont="1"/>
    <xf numFmtId="3" fontId="91" fillId="0" borderId="0" xfId="33" applyNumberFormat="1" applyFont="1"/>
    <xf numFmtId="0" fontId="64" fillId="14" borderId="0" xfId="33" applyFont="1" applyFill="1"/>
    <xf numFmtId="39" fontId="64" fillId="14" borderId="0" xfId="34" applyNumberFormat="1" applyFont="1" applyFill="1"/>
    <xf numFmtId="10" fontId="64" fillId="14" borderId="0" xfId="33" applyNumberFormat="1" applyFont="1" applyFill="1"/>
    <xf numFmtId="3" fontId="64" fillId="14" borderId="0" xfId="33" applyNumberFormat="1" applyFont="1" applyFill="1"/>
    <xf numFmtId="0" fontId="88" fillId="10" borderId="47" xfId="33" applyFont="1" applyFill="1" applyBorder="1" applyAlignment="1">
      <alignment wrapText="1"/>
    </xf>
    <xf numFmtId="0" fontId="88" fillId="10" borderId="69" xfId="33" applyFont="1" applyFill="1" applyBorder="1" applyAlignment="1">
      <alignment wrapText="1"/>
    </xf>
    <xf numFmtId="0" fontId="88" fillId="10" borderId="69" xfId="33" applyFont="1" applyFill="1" applyBorder="1" applyAlignment="1">
      <alignment horizontal="center" wrapText="1"/>
    </xf>
    <xf numFmtId="3" fontId="88" fillId="10" borderId="69" xfId="33" applyNumberFormat="1" applyFont="1" applyFill="1" applyBorder="1" applyAlignment="1">
      <alignment horizontal="center" wrapText="1"/>
    </xf>
    <xf numFmtId="0" fontId="88" fillId="10" borderId="70" xfId="0" applyFont="1" applyFill="1" applyBorder="1" applyAlignment="1">
      <alignment wrapText="1"/>
    </xf>
    <xf numFmtId="0" fontId="64" fillId="14" borderId="61" xfId="33" applyFont="1" applyFill="1" applyBorder="1"/>
    <xf numFmtId="170" fontId="64" fillId="14" borderId="62" xfId="7" applyNumberFormat="1" applyFont="1" applyFill="1" applyBorder="1"/>
    <xf numFmtId="0" fontId="64" fillId="24" borderId="61" xfId="33" applyFont="1" applyFill="1" applyBorder="1"/>
    <xf numFmtId="0" fontId="64" fillId="24" borderId="0" xfId="33" applyFont="1" applyFill="1"/>
    <xf numFmtId="39" fontId="64" fillId="23" borderId="0" xfId="34" applyNumberFormat="1" applyFont="1" applyFill="1"/>
    <xf numFmtId="0" fontId="64" fillId="23" borderId="0" xfId="33" applyFont="1" applyFill="1"/>
    <xf numFmtId="10" fontId="64" fillId="23" borderId="0" xfId="33" applyNumberFormat="1" applyFont="1" applyFill="1"/>
    <xf numFmtId="3" fontId="64" fillId="23" borderId="0" xfId="33" applyNumberFormat="1" applyFont="1" applyFill="1"/>
    <xf numFmtId="170" fontId="64" fillId="23" borderId="62" xfId="7" applyNumberFormat="1" applyFont="1" applyFill="1" applyBorder="1"/>
    <xf numFmtId="0" fontId="64" fillId="11" borderId="61" xfId="33" applyFont="1" applyFill="1" applyBorder="1"/>
    <xf numFmtId="0" fontId="64" fillId="11" borderId="0" xfId="33" applyFont="1" applyFill="1"/>
    <xf numFmtId="39" fontId="64" fillId="11" borderId="0" xfId="34" applyNumberFormat="1" applyFont="1" applyFill="1"/>
    <xf numFmtId="10" fontId="64" fillId="11" borderId="0" xfId="33" applyNumberFormat="1" applyFont="1" applyFill="1"/>
    <xf numFmtId="3" fontId="64" fillId="11" borderId="0" xfId="33" applyNumberFormat="1" applyFont="1" applyFill="1"/>
    <xf numFmtId="170" fontId="64" fillId="11" borderId="62" xfId="7" applyNumberFormat="1" applyFont="1" applyFill="1" applyBorder="1"/>
    <xf numFmtId="0" fontId="64" fillId="23" borderId="61" xfId="33" applyFont="1" applyFill="1" applyBorder="1"/>
    <xf numFmtId="0" fontId="64" fillId="14" borderId="46" xfId="33" applyFont="1" applyFill="1" applyBorder="1"/>
    <xf numFmtId="0" fontId="64" fillId="14" borderId="57" xfId="33" applyFont="1" applyFill="1" applyBorder="1"/>
    <xf numFmtId="39" fontId="64" fillId="14" borderId="57" xfId="34" applyNumberFormat="1" applyFont="1" applyFill="1" applyBorder="1"/>
    <xf numFmtId="0" fontId="69" fillId="0" borderId="0" xfId="33" applyFont="1"/>
    <xf numFmtId="0" fontId="64" fillId="0" borderId="0" xfId="33" applyFont="1" applyAlignment="1">
      <alignment horizontal="centerContinuous"/>
    </xf>
    <xf numFmtId="0" fontId="64" fillId="0" borderId="0" xfId="33" applyFont="1"/>
    <xf numFmtId="3" fontId="64" fillId="0" borderId="0" xfId="33" applyNumberFormat="1" applyFont="1"/>
    <xf numFmtId="1" fontId="64" fillId="0" borderId="0" xfId="33" applyNumberFormat="1" applyFont="1"/>
    <xf numFmtId="3" fontId="64" fillId="0" borderId="0" xfId="0" applyNumberFormat="1" applyFont="1"/>
    <xf numFmtId="10" fontId="64" fillId="0" borderId="0" xfId="33" applyNumberFormat="1" applyFont="1"/>
    <xf numFmtId="0" fontId="64" fillId="0" borderId="69" xfId="33" applyFont="1" applyBorder="1" applyAlignment="1">
      <alignment horizontal="centerContinuous"/>
    </xf>
    <xf numFmtId="0" fontId="64" fillId="0" borderId="70" xfId="33" applyFont="1" applyBorder="1" applyAlignment="1">
      <alignment horizontal="centerContinuous"/>
    </xf>
    <xf numFmtId="0" fontId="64" fillId="0" borderId="61" xfId="33" applyFont="1" applyBorder="1"/>
    <xf numFmtId="0" fontId="64" fillId="0" borderId="62" xfId="33" applyFont="1" applyBorder="1"/>
    <xf numFmtId="0" fontId="64" fillId="0" borderId="46" xfId="33" applyFont="1" applyBorder="1"/>
    <xf numFmtId="0" fontId="64" fillId="0" borderId="47" xfId="33" applyFont="1" applyBorder="1" applyAlignment="1">
      <alignment horizontal="centerContinuous"/>
    </xf>
    <xf numFmtId="0" fontId="64" fillId="0" borderId="46" xfId="33" applyFont="1" applyBorder="1" applyAlignment="1">
      <alignment horizontal="center"/>
    </xf>
    <xf numFmtId="0" fontId="64" fillId="0" borderId="57" xfId="33" applyFont="1" applyBorder="1" applyAlignment="1">
      <alignment horizontal="center"/>
    </xf>
    <xf numFmtId="0" fontId="64" fillId="0" borderId="58" xfId="33" applyFont="1" applyBorder="1" applyAlignment="1">
      <alignment horizontal="center"/>
    </xf>
    <xf numFmtId="0" fontId="88" fillId="10" borderId="47" xfId="33" applyFont="1" applyFill="1" applyBorder="1"/>
    <xf numFmtId="0" fontId="117" fillId="10" borderId="61" xfId="35" applyFont="1" applyFill="1" applyBorder="1"/>
    <xf numFmtId="0" fontId="64" fillId="0" borderId="69" xfId="33" applyFont="1" applyBorder="1" applyAlignment="1">
      <alignment horizontal="center"/>
    </xf>
    <xf numFmtId="0" fontId="64" fillId="0" borderId="70" xfId="33" applyFont="1" applyBorder="1" applyAlignment="1">
      <alignment horizontal="center"/>
    </xf>
    <xf numFmtId="3" fontId="64" fillId="0" borderId="62" xfId="33" applyNumberFormat="1" applyFont="1" applyBorder="1"/>
    <xf numFmtId="3" fontId="64" fillId="0" borderId="57" xfId="33" applyNumberFormat="1" applyFont="1" applyBorder="1"/>
    <xf numFmtId="3" fontId="64" fillId="0" borderId="58" xfId="33" applyNumberFormat="1" applyFont="1" applyBorder="1"/>
    <xf numFmtId="0" fontId="88" fillId="10" borderId="84" xfId="33" applyFont="1" applyFill="1" applyBorder="1"/>
    <xf numFmtId="0" fontId="64" fillId="0" borderId="77" xfId="33" applyFont="1" applyBorder="1"/>
    <xf numFmtId="0" fontId="64" fillId="0" borderId="97" xfId="33" applyFont="1" applyBorder="1"/>
    <xf numFmtId="0" fontId="64" fillId="0" borderId="47" xfId="33" applyFont="1" applyBorder="1" applyAlignment="1">
      <alignment horizontal="center"/>
    </xf>
    <xf numFmtId="3" fontId="64" fillId="0" borderId="61" xfId="33" applyNumberFormat="1" applyFont="1" applyBorder="1"/>
    <xf numFmtId="3" fontId="64" fillId="0" borderId="46" xfId="33" applyNumberFormat="1" applyFont="1" applyBorder="1"/>
    <xf numFmtId="0" fontId="64" fillId="0" borderId="69" xfId="33" applyFont="1" applyBorder="1"/>
    <xf numFmtId="0" fontId="64" fillId="0" borderId="69" xfId="0" applyFont="1" applyBorder="1"/>
    <xf numFmtId="3" fontId="64" fillId="0" borderId="69" xfId="33" applyNumberFormat="1" applyFont="1" applyBorder="1"/>
    <xf numFmtId="0" fontId="64" fillId="0" borderId="70" xfId="33" applyFont="1" applyBorder="1"/>
    <xf numFmtId="3" fontId="64" fillId="0" borderId="62" xfId="0" applyNumberFormat="1" applyFont="1" applyBorder="1"/>
    <xf numFmtId="0" fontId="64" fillId="0" borderId="57" xfId="33" applyFont="1" applyBorder="1"/>
    <xf numFmtId="3" fontId="64" fillId="0" borderId="57" xfId="0" applyNumberFormat="1" applyFont="1" applyBorder="1"/>
    <xf numFmtId="3" fontId="64" fillId="0" borderId="58" xfId="0" applyNumberFormat="1" applyFont="1" applyBorder="1"/>
    <xf numFmtId="0" fontId="64" fillId="0" borderId="47" xfId="33" applyFont="1" applyBorder="1"/>
    <xf numFmtId="3" fontId="64" fillId="0" borderId="69" xfId="0" applyNumberFormat="1" applyFont="1" applyBorder="1"/>
    <xf numFmtId="3" fontId="64" fillId="0" borderId="70" xfId="0" applyNumberFormat="1" applyFont="1" applyBorder="1"/>
    <xf numFmtId="0" fontId="88" fillId="10" borderId="41" xfId="0" applyFont="1" applyFill="1" applyBorder="1" applyAlignment="1">
      <alignment horizontal="center" vertical="center" wrapText="1"/>
    </xf>
    <xf numFmtId="0" fontId="88" fillId="10" borderId="59" xfId="0" applyFont="1" applyFill="1" applyBorder="1" applyAlignment="1">
      <alignment horizontal="center" vertical="center" wrapText="1"/>
    </xf>
    <xf numFmtId="0" fontId="88" fillId="10" borderId="37" xfId="0" applyFont="1" applyFill="1" applyBorder="1" applyAlignment="1">
      <alignment horizontal="center" vertical="center" wrapText="1"/>
    </xf>
    <xf numFmtId="0" fontId="64" fillId="0" borderId="61" xfId="0" applyFont="1" applyBorder="1" applyAlignment="1">
      <alignment horizontal="left"/>
    </xf>
    <xf numFmtId="0" fontId="64" fillId="0" borderId="46" xfId="0" applyFont="1" applyBorder="1" applyAlignment="1">
      <alignment horizontal="left"/>
    </xf>
    <xf numFmtId="49" fontId="69" fillId="0" borderId="8" xfId="0" applyNumberFormat="1" applyFont="1" applyBorder="1" applyAlignment="1">
      <alignment horizontal="center" wrapText="1"/>
    </xf>
    <xf numFmtId="0" fontId="69" fillId="0" borderId="12" xfId="0" applyFont="1" applyBorder="1" applyAlignment="1">
      <alignment horizontal="center" wrapText="1"/>
    </xf>
    <xf numFmtId="0" fontId="69" fillId="0" borderId="8" xfId="0" applyFont="1" applyBorder="1" applyAlignment="1">
      <alignment horizontal="center" wrapText="1"/>
    </xf>
    <xf numFmtId="9" fontId="120" fillId="11" borderId="21" xfId="36" applyFont="1" applyFill="1" applyBorder="1" applyAlignment="1" applyProtection="1">
      <alignment horizontal="center"/>
      <protection locked="0"/>
    </xf>
    <xf numFmtId="0" fontId="69" fillId="0" borderId="69" xfId="0" applyFont="1" applyBorder="1"/>
    <xf numFmtId="0" fontId="69" fillId="0" borderId="70" xfId="0" applyFont="1" applyBorder="1"/>
    <xf numFmtId="0" fontId="103" fillId="0" borderId="61" xfId="0" applyFont="1" applyBorder="1"/>
    <xf numFmtId="0" fontId="103" fillId="0" borderId="46" xfId="0" applyFont="1" applyBorder="1" applyAlignment="1">
      <alignment vertical="top"/>
    </xf>
    <xf numFmtId="49" fontId="74" fillId="0" borderId="0" xfId="0" applyNumberFormat="1" applyFont="1" applyAlignment="1">
      <alignment horizontal="left"/>
    </xf>
    <xf numFmtId="0" fontId="88" fillId="8" borderId="61" xfId="0" applyFont="1" applyFill="1" applyBorder="1" applyAlignment="1">
      <alignment horizontal="center"/>
    </xf>
    <xf numFmtId="0" fontId="161" fillId="0" borderId="0" xfId="0" applyFont="1" applyAlignment="1">
      <alignment horizontal="center"/>
    </xf>
    <xf numFmtId="0" fontId="162" fillId="0" borderId="0" xfId="0" applyFont="1" applyAlignment="1">
      <alignment horizontal="center"/>
    </xf>
    <xf numFmtId="0" fontId="69" fillId="0" borderId="1" xfId="0" applyFont="1" applyBorder="1"/>
    <xf numFmtId="10" fontId="120" fillId="11" borderId="12" xfId="28" applyNumberFormat="1" applyFont="1" applyFill="1" applyBorder="1" applyProtection="1">
      <protection locked="0"/>
    </xf>
    <xf numFmtId="0" fontId="114" fillId="8" borderId="0" xfId="0" applyFont="1" applyFill="1"/>
    <xf numFmtId="0" fontId="77" fillId="8" borderId="4" xfId="0" applyFont="1" applyFill="1" applyBorder="1"/>
    <xf numFmtId="0" fontId="163" fillId="10" borderId="0" xfId="0" applyFont="1" applyFill="1"/>
    <xf numFmtId="0" fontId="77" fillId="10" borderId="0" xfId="0" applyFont="1" applyFill="1"/>
    <xf numFmtId="0" fontId="88" fillId="10" borderId="0" xfId="0" applyFont="1" applyFill="1" applyAlignment="1">
      <alignment horizontal="right"/>
    </xf>
    <xf numFmtId="3" fontId="46" fillId="0" borderId="0" xfId="0" applyNumberFormat="1" applyFont="1"/>
    <xf numFmtId="168" fontId="120" fillId="11" borderId="12" xfId="90" applyNumberFormat="1" applyFont="1" applyFill="1" applyBorder="1" applyProtection="1">
      <protection locked="0"/>
    </xf>
    <xf numFmtId="170" fontId="64" fillId="22" borderId="12" xfId="7" applyNumberFormat="1" applyFont="1" applyFill="1" applyBorder="1" applyProtection="1"/>
    <xf numFmtId="49" fontId="88" fillId="8" borderId="89" xfId="28" applyNumberFormat="1" applyFont="1" applyFill="1" applyBorder="1" applyAlignment="1" applyProtection="1">
      <alignment horizontal="center" vertical="center" wrapText="1"/>
      <protection locked="0"/>
    </xf>
    <xf numFmtId="165" fontId="100" fillId="13" borderId="30" xfId="28" applyNumberFormat="1" applyFont="1" applyFill="1" applyBorder="1" applyProtection="1">
      <protection locked="0"/>
    </xf>
    <xf numFmtId="165" fontId="69" fillId="0" borderId="34" xfId="28" applyNumberFormat="1" applyFont="1" applyBorder="1" applyAlignment="1">
      <alignment horizontal="right"/>
    </xf>
    <xf numFmtId="0" fontId="117" fillId="8" borderId="90" xfId="25" applyFont="1" applyFill="1" applyBorder="1"/>
    <xf numFmtId="165" fontId="100" fillId="0" borderId="30" xfId="28" applyNumberFormat="1" applyFont="1" applyBorder="1" applyProtection="1">
      <protection locked="0"/>
    </xf>
    <xf numFmtId="165" fontId="100" fillId="10" borderId="30" xfId="28" applyNumberFormat="1" applyFont="1" applyFill="1" applyBorder="1"/>
    <xf numFmtId="0" fontId="117" fillId="8" borderId="35" xfId="25" applyFont="1" applyFill="1" applyBorder="1"/>
    <xf numFmtId="164" fontId="120" fillId="11" borderId="21" xfId="28" applyNumberFormat="1" applyFont="1" applyFill="1" applyBorder="1" applyProtection="1">
      <protection locked="0"/>
    </xf>
    <xf numFmtId="170" fontId="64" fillId="0" borderId="64" xfId="7" applyNumberFormat="1" applyFont="1" applyFill="1" applyBorder="1" applyAlignment="1" applyProtection="1">
      <alignment horizontal="center"/>
    </xf>
    <xf numFmtId="49" fontId="100" fillId="13" borderId="15" xfId="0" applyNumberFormat="1" applyFont="1" applyFill="1" applyBorder="1" applyAlignment="1" applyProtection="1">
      <alignment horizontal="center"/>
      <protection locked="0"/>
    </xf>
    <xf numFmtId="0" fontId="88" fillId="8" borderId="51" xfId="0" applyFont="1" applyFill="1" applyBorder="1" applyAlignment="1">
      <alignment horizontal="center" vertical="center" wrapText="1"/>
    </xf>
    <xf numFmtId="170" fontId="64" fillId="0" borderId="64" xfId="0" applyNumberFormat="1" applyFont="1" applyBorder="1" applyAlignment="1">
      <alignment horizontal="center"/>
    </xf>
    <xf numFmtId="170" fontId="69" fillId="0" borderId="64" xfId="7" applyNumberFormat="1" applyFont="1" applyFill="1" applyBorder="1" applyAlignment="1">
      <alignment horizontal="center"/>
    </xf>
    <xf numFmtId="170" fontId="64" fillId="0" borderId="64" xfId="7" applyNumberFormat="1" applyFont="1" applyFill="1" applyBorder="1" applyAlignment="1">
      <alignment horizontal="center"/>
    </xf>
    <xf numFmtId="170" fontId="100" fillId="13" borderId="64" xfId="7" applyNumberFormat="1" applyFont="1" applyFill="1" applyBorder="1" applyAlignment="1" applyProtection="1">
      <alignment horizontal="center"/>
      <protection locked="0"/>
    </xf>
    <xf numFmtId="170" fontId="100" fillId="13" borderId="60" xfId="7" applyNumberFormat="1" applyFont="1" applyFill="1" applyBorder="1" applyAlignment="1" applyProtection="1">
      <alignment horizontal="center"/>
      <protection locked="0"/>
    </xf>
    <xf numFmtId="170" fontId="69" fillId="6" borderId="76" xfId="0" applyNumberFormat="1" applyFont="1" applyFill="1" applyBorder="1"/>
    <xf numFmtId="170" fontId="69" fillId="0" borderId="64" xfId="0" applyNumberFormat="1" applyFont="1" applyBorder="1"/>
    <xf numFmtId="170" fontId="69" fillId="0" borderId="68" xfId="0" applyNumberFormat="1" applyFont="1" applyBorder="1"/>
    <xf numFmtId="0" fontId="69" fillId="0" borderId="51" xfId="0" applyFont="1" applyBorder="1"/>
    <xf numFmtId="0" fontId="69" fillId="0" borderId="15" xfId="0" applyFont="1" applyBorder="1"/>
    <xf numFmtId="0" fontId="69" fillId="0" borderId="53" xfId="0" applyFont="1" applyBorder="1"/>
    <xf numFmtId="0" fontId="69" fillId="0" borderId="72" xfId="0" applyFont="1" applyBorder="1"/>
    <xf numFmtId="0" fontId="69" fillId="0" borderId="14" xfId="0" applyFont="1" applyBorder="1"/>
    <xf numFmtId="0" fontId="69" fillId="0" borderId="73" xfId="0" applyFont="1" applyBorder="1"/>
    <xf numFmtId="0" fontId="69" fillId="0" borderId="65" xfId="0" applyFont="1" applyBorder="1"/>
    <xf numFmtId="0" fontId="69" fillId="0" borderId="56" xfId="0" applyFont="1" applyBorder="1"/>
    <xf numFmtId="173" fontId="88" fillId="8" borderId="41" xfId="28" applyFont="1" applyFill="1" applyBorder="1" applyAlignment="1">
      <alignment wrapText="1"/>
    </xf>
    <xf numFmtId="173" fontId="88" fillId="8" borderId="45" xfId="28" applyFont="1" applyFill="1" applyBorder="1" applyAlignment="1">
      <alignment horizontal="center"/>
    </xf>
    <xf numFmtId="173" fontId="88" fillId="8" borderId="36" xfId="28" applyFont="1" applyFill="1" applyBorder="1" applyAlignment="1">
      <alignment horizontal="center" wrapText="1"/>
    </xf>
    <xf numFmtId="173" fontId="101" fillId="13" borderId="71" xfId="28" applyFont="1" applyFill="1" applyBorder="1" applyAlignment="1" applyProtection="1">
      <alignment horizontal="center"/>
      <protection locked="0"/>
    </xf>
    <xf numFmtId="173" fontId="64" fillId="0" borderId="30" xfId="28" applyFont="1" applyBorder="1" applyAlignment="1">
      <alignment horizontal="left"/>
    </xf>
    <xf numFmtId="170" fontId="64" fillId="11" borderId="64" xfId="7" applyNumberFormat="1" applyFont="1" applyFill="1" applyBorder="1" applyProtection="1">
      <protection locked="0"/>
    </xf>
    <xf numFmtId="173" fontId="103" fillId="0" borderId="30" xfId="28" applyFont="1" applyBorder="1" applyAlignment="1">
      <alignment horizontal="left" indent="1"/>
    </xf>
    <xf numFmtId="6" fontId="64" fillId="0" borderId="64" xfId="7" applyNumberFormat="1" applyFont="1" applyFill="1" applyBorder="1" applyProtection="1"/>
    <xf numFmtId="170" fontId="64" fillId="0" borderId="64" xfId="7" applyNumberFormat="1" applyFont="1" applyFill="1" applyBorder="1" applyProtection="1"/>
    <xf numFmtId="10" fontId="100" fillId="13" borderId="64" xfId="28" applyNumberFormat="1" applyFont="1" applyFill="1" applyBorder="1" applyProtection="1">
      <protection locked="0"/>
    </xf>
    <xf numFmtId="10" fontId="64" fillId="0" borderId="64" xfId="28" applyNumberFormat="1" applyFont="1" applyBorder="1"/>
    <xf numFmtId="170" fontId="100" fillId="13" borderId="64" xfId="7" applyNumberFormat="1" applyFont="1" applyFill="1" applyBorder="1" applyProtection="1">
      <protection locked="0"/>
    </xf>
    <xf numFmtId="1" fontId="120" fillId="11" borderId="82" xfId="36" applyNumberFormat="1" applyFont="1" applyFill="1" applyBorder="1" applyProtection="1">
      <protection locked="0"/>
    </xf>
    <xf numFmtId="173" fontId="64" fillId="0" borderId="100" xfId="28" applyFont="1" applyBorder="1" applyAlignment="1">
      <alignment horizontal="left"/>
    </xf>
    <xf numFmtId="10" fontId="120" fillId="11" borderId="82" xfId="36" applyNumberFormat="1" applyFont="1" applyFill="1" applyBorder="1" applyProtection="1">
      <protection locked="0"/>
    </xf>
    <xf numFmtId="173" fontId="64" fillId="0" borderId="34" xfId="28" applyFont="1" applyBorder="1" applyAlignment="1">
      <alignment horizontal="left"/>
    </xf>
    <xf numFmtId="44" fontId="100" fillId="11" borderId="68" xfId="7" applyFont="1" applyFill="1" applyBorder="1" applyProtection="1">
      <protection locked="0"/>
    </xf>
    <xf numFmtId="173" fontId="69" fillId="0" borderId="41" xfId="28" applyFont="1" applyBorder="1" applyAlignment="1">
      <alignment wrapText="1"/>
    </xf>
    <xf numFmtId="170" fontId="69" fillId="0" borderId="52" xfId="7" applyNumberFormat="1" applyFont="1" applyFill="1" applyBorder="1" applyProtection="1"/>
    <xf numFmtId="170" fontId="69" fillId="0" borderId="81" xfId="7" applyNumberFormat="1" applyFont="1" applyFill="1" applyBorder="1" applyProtection="1"/>
    <xf numFmtId="173" fontId="64" fillId="0" borderId="91" xfId="28" applyFont="1" applyBorder="1" applyAlignment="1">
      <alignment horizontal="left"/>
    </xf>
    <xf numFmtId="170" fontId="64" fillId="0" borderId="21" xfId="7" applyNumberFormat="1" applyFont="1" applyFill="1" applyBorder="1" applyAlignment="1" applyProtection="1">
      <alignment horizontal="left"/>
    </xf>
    <xf numFmtId="173" fontId="88" fillId="8" borderId="35" xfId="28" applyFont="1" applyFill="1" applyBorder="1" applyAlignment="1">
      <alignment horizontal="left"/>
    </xf>
    <xf numFmtId="44" fontId="100" fillId="13" borderId="64" xfId="7" applyFont="1" applyFill="1" applyBorder="1" applyProtection="1">
      <protection locked="0"/>
    </xf>
    <xf numFmtId="10" fontId="100" fillId="13" borderId="75" xfId="28" applyNumberFormat="1" applyFont="1" applyFill="1" applyBorder="1" applyProtection="1">
      <protection locked="0"/>
    </xf>
    <xf numFmtId="173" fontId="69" fillId="0" borderId="90" xfId="28" applyFont="1" applyBorder="1" applyAlignment="1">
      <alignment horizontal="left" wrapText="1"/>
    </xf>
    <xf numFmtId="173" fontId="88" fillId="8" borderId="71" xfId="28" applyFont="1" applyFill="1" applyBorder="1" applyAlignment="1">
      <alignment horizontal="center"/>
    </xf>
    <xf numFmtId="170" fontId="64" fillId="0" borderId="68" xfId="7" applyNumberFormat="1" applyFont="1" applyFill="1" applyBorder="1" applyAlignment="1" applyProtection="1">
      <alignment horizontal="left"/>
    </xf>
    <xf numFmtId="164" fontId="120" fillId="11" borderId="68" xfId="28" applyNumberFormat="1" applyFont="1" applyFill="1" applyBorder="1" applyProtection="1">
      <protection locked="0"/>
    </xf>
    <xf numFmtId="175" fontId="103" fillId="0" borderId="41" xfId="49" applyNumberFormat="1" applyFont="1" applyBorder="1" applyAlignment="1">
      <alignment horizontal="center"/>
    </xf>
    <xf numFmtId="37" fontId="100" fillId="11" borderId="41" xfId="49" applyFont="1" applyFill="1" applyBorder="1" applyProtection="1">
      <protection locked="0"/>
    </xf>
    <xf numFmtId="37" fontId="64" fillId="0" borderId="74" xfId="49" applyFont="1" applyBorder="1"/>
    <xf numFmtId="38" fontId="64" fillId="0" borderId="122" xfId="49" applyNumberFormat="1" applyFont="1" applyBorder="1"/>
    <xf numFmtId="173" fontId="154" fillId="11" borderId="12" xfId="28" applyFont="1" applyFill="1" applyBorder="1" applyAlignment="1" applyProtection="1">
      <alignment horizontal="center" vertical="center" wrapText="1"/>
      <protection locked="0"/>
    </xf>
    <xf numFmtId="0" fontId="166" fillId="0" borderId="0" xfId="0" applyFont="1"/>
    <xf numFmtId="170" fontId="166" fillId="0" borderId="0" xfId="0" applyNumberFormat="1" applyFont="1"/>
    <xf numFmtId="37" fontId="123" fillId="0" borderId="0" xfId="49" applyFont="1"/>
    <xf numFmtId="175" fontId="69" fillId="0" borderId="41" xfId="49" applyNumberFormat="1" applyFont="1" applyBorder="1" applyAlignment="1">
      <alignment horizontal="center"/>
    </xf>
    <xf numFmtId="175" fontId="69" fillId="0" borderId="59" xfId="49" applyNumberFormat="1" applyFont="1" applyBorder="1" applyAlignment="1">
      <alignment horizontal="center"/>
    </xf>
    <xf numFmtId="175" fontId="69" fillId="0" borderId="37" xfId="49" applyNumberFormat="1" applyFont="1" applyBorder="1" applyAlignment="1">
      <alignment horizontal="center"/>
    </xf>
    <xf numFmtId="0" fontId="120" fillId="11" borderId="34" xfId="0" applyFont="1" applyFill="1" applyBorder="1" applyProtection="1">
      <protection locked="0"/>
    </xf>
    <xf numFmtId="49" fontId="88" fillId="6" borderId="30" xfId="28" applyNumberFormat="1" applyFont="1" applyFill="1" applyBorder="1" applyAlignment="1" applyProtection="1">
      <alignment vertical="center" wrapText="1"/>
      <protection locked="0"/>
    </xf>
    <xf numFmtId="49" fontId="88" fillId="8" borderId="170" xfId="28" applyNumberFormat="1" applyFont="1" applyFill="1" applyBorder="1" applyAlignment="1" applyProtection="1">
      <alignment horizontal="center" vertical="center" wrapText="1"/>
      <protection locked="0"/>
    </xf>
    <xf numFmtId="49" fontId="88" fillId="6" borderId="13" xfId="28" applyNumberFormat="1" applyFont="1" applyFill="1" applyBorder="1" applyAlignment="1" applyProtection="1">
      <alignment vertical="center" wrapText="1"/>
      <protection locked="0"/>
    </xf>
    <xf numFmtId="165" fontId="69" fillId="0" borderId="40" xfId="28" applyNumberFormat="1" applyFont="1" applyBorder="1" applyAlignment="1">
      <alignment horizontal="right"/>
    </xf>
    <xf numFmtId="166" fontId="117" fillId="8" borderId="59" xfId="36" applyNumberFormat="1" applyFont="1" applyFill="1" applyBorder="1" applyProtection="1"/>
    <xf numFmtId="0" fontId="64" fillId="0" borderId="50" xfId="0" applyFont="1" applyBorder="1"/>
    <xf numFmtId="165" fontId="100" fillId="0" borderId="13" xfId="28" applyNumberFormat="1" applyFont="1" applyBorder="1" applyProtection="1">
      <protection locked="0"/>
    </xf>
    <xf numFmtId="166" fontId="117" fillId="8" borderId="36" xfId="36" applyNumberFormat="1" applyFont="1" applyFill="1" applyBorder="1" applyProtection="1"/>
    <xf numFmtId="165" fontId="100" fillId="10" borderId="13" xfId="28" applyNumberFormat="1" applyFont="1" applyFill="1" applyBorder="1"/>
    <xf numFmtId="165" fontId="69" fillId="0" borderId="36" xfId="0" applyNumberFormat="1" applyFont="1" applyBorder="1"/>
    <xf numFmtId="165" fontId="69" fillId="0" borderId="41" xfId="0" applyNumberFormat="1" applyFont="1" applyBorder="1"/>
    <xf numFmtId="49" fontId="88" fillId="6" borderId="96" xfId="28" applyNumberFormat="1" applyFont="1" applyFill="1" applyBorder="1" applyAlignment="1" applyProtection="1">
      <alignment vertical="center" wrapText="1"/>
      <protection locked="0"/>
    </xf>
    <xf numFmtId="165" fontId="100" fillId="0" borderId="96" xfId="28" applyNumberFormat="1" applyFont="1" applyBorder="1"/>
    <xf numFmtId="173" fontId="88" fillId="8" borderId="170" xfId="28" applyFont="1" applyFill="1" applyBorder="1" applyAlignment="1">
      <alignment horizontal="center" vertical="center" wrapText="1"/>
    </xf>
    <xf numFmtId="173" fontId="154" fillId="11" borderId="13" xfId="28" applyFont="1" applyFill="1" applyBorder="1" applyAlignment="1" applyProtection="1">
      <alignment horizontal="center" vertical="center" wrapText="1"/>
      <protection locked="0"/>
    </xf>
    <xf numFmtId="165" fontId="64" fillId="0" borderId="13" xfId="28" applyNumberFormat="1" applyFont="1" applyBorder="1"/>
    <xf numFmtId="165" fontId="120" fillId="13" borderId="13" xfId="28" applyNumberFormat="1" applyFont="1" applyFill="1" applyBorder="1" applyAlignment="1" applyProtection="1">
      <alignment horizontal="right"/>
      <protection locked="0"/>
    </xf>
    <xf numFmtId="165" fontId="120" fillId="11" borderId="13" xfId="28" applyNumberFormat="1" applyFont="1" applyFill="1" applyBorder="1" applyAlignment="1" applyProtection="1">
      <alignment horizontal="right"/>
      <protection locked="0"/>
    </xf>
    <xf numFmtId="173" fontId="88" fillId="8" borderId="70" xfId="28" applyFont="1" applyFill="1" applyBorder="1" applyAlignment="1" applyProtection="1">
      <alignment horizontal="center" vertical="center" wrapText="1"/>
      <protection locked="0"/>
    </xf>
    <xf numFmtId="173" fontId="88" fillId="6" borderId="42" xfId="28" applyFont="1" applyFill="1" applyBorder="1" applyAlignment="1" applyProtection="1">
      <alignment vertical="center" wrapText="1"/>
      <protection locked="0"/>
    </xf>
    <xf numFmtId="166" fontId="69" fillId="0" borderId="150" xfId="36" applyNumberFormat="1" applyFont="1" applyFill="1" applyBorder="1" applyProtection="1"/>
    <xf numFmtId="173" fontId="88" fillId="6" borderId="96" xfId="28" applyFont="1" applyFill="1" applyBorder="1" applyAlignment="1">
      <alignment vertical="center" wrapText="1"/>
    </xf>
    <xf numFmtId="165" fontId="64" fillId="6" borderId="96" xfId="28" applyNumberFormat="1" applyFont="1" applyFill="1" applyBorder="1"/>
    <xf numFmtId="165" fontId="64" fillId="6" borderId="96" xfId="28" applyNumberFormat="1" applyFont="1" applyFill="1" applyBorder="1" applyAlignment="1">
      <alignment horizontal="right"/>
    </xf>
    <xf numFmtId="165" fontId="69" fillId="6" borderId="85" xfId="28" applyNumberFormat="1" applyFont="1" applyFill="1" applyBorder="1" applyAlignment="1">
      <alignment horizontal="right"/>
    </xf>
    <xf numFmtId="173" fontId="88" fillId="8" borderId="49" xfId="28" applyFont="1" applyFill="1" applyBorder="1" applyAlignment="1">
      <alignment horizontal="center" vertical="center" wrapText="1"/>
    </xf>
    <xf numFmtId="173" fontId="154" fillId="11" borderId="15" xfId="28" applyFont="1" applyFill="1" applyBorder="1" applyAlignment="1" applyProtection="1">
      <alignment horizontal="center" vertical="center" wrapText="1"/>
      <protection locked="0"/>
    </xf>
    <xf numFmtId="165" fontId="100" fillId="13" borderId="15" xfId="28" applyNumberFormat="1" applyFont="1" applyFill="1" applyBorder="1" applyProtection="1">
      <protection locked="0"/>
    </xf>
    <xf numFmtId="165" fontId="69" fillId="0" borderId="53" xfId="28" applyNumberFormat="1" applyFont="1" applyBorder="1" applyAlignment="1">
      <alignment horizontal="right"/>
    </xf>
    <xf numFmtId="165" fontId="117" fillId="8" borderId="63" xfId="25" applyNumberFormat="1" applyFont="1" applyFill="1" applyBorder="1" applyAlignment="1">
      <alignment horizontal="right"/>
    </xf>
    <xf numFmtId="165" fontId="64" fillId="0" borderId="15" xfId="28" applyNumberFormat="1" applyFont="1" applyBorder="1"/>
    <xf numFmtId="165" fontId="64" fillId="0" borderId="1" xfId="25" applyNumberFormat="1" applyFont="1" applyBorder="1" applyAlignment="1">
      <alignment horizontal="right"/>
    </xf>
    <xf numFmtId="165" fontId="100" fillId="13" borderId="14" xfId="28" applyNumberFormat="1" applyFont="1" applyFill="1" applyBorder="1" applyProtection="1">
      <protection locked="0"/>
    </xf>
    <xf numFmtId="165" fontId="69" fillId="0" borderId="19" xfId="28" applyNumberFormat="1" applyFont="1" applyBorder="1" applyAlignment="1">
      <alignment horizontal="right"/>
    </xf>
    <xf numFmtId="165" fontId="117" fillId="8" borderId="59" xfId="25" applyNumberFormat="1" applyFont="1" applyFill="1" applyBorder="1" applyAlignment="1">
      <alignment horizontal="right"/>
    </xf>
    <xf numFmtId="165" fontId="64" fillId="0" borderId="0" xfId="25" applyNumberFormat="1" applyFont="1" applyAlignment="1">
      <alignment horizontal="right"/>
    </xf>
    <xf numFmtId="165" fontId="120" fillId="13" borderId="15" xfId="28" applyNumberFormat="1" applyFont="1" applyFill="1" applyBorder="1" applyAlignment="1" applyProtection="1">
      <alignment horizontal="right"/>
      <protection locked="0"/>
    </xf>
    <xf numFmtId="165" fontId="120" fillId="11" borderId="15" xfId="28" applyNumberFormat="1" applyFont="1" applyFill="1" applyBorder="1" applyAlignment="1" applyProtection="1">
      <alignment horizontal="right"/>
      <protection locked="0"/>
    </xf>
    <xf numFmtId="165" fontId="69" fillId="0" borderId="63" xfId="0" applyNumberFormat="1" applyFont="1" applyBorder="1"/>
    <xf numFmtId="173" fontId="76" fillId="8" borderId="84" xfId="28" applyFont="1" applyFill="1" applyBorder="1" applyAlignment="1">
      <alignment horizontal="center" vertical="center"/>
    </xf>
    <xf numFmtId="173" fontId="76" fillId="6" borderId="95" xfId="28" applyFont="1" applyFill="1" applyBorder="1" applyAlignment="1">
      <alignment vertical="center"/>
    </xf>
    <xf numFmtId="173" fontId="69" fillId="0" borderId="95" xfId="28" applyFont="1" applyBorder="1" applyAlignment="1">
      <alignment horizontal="left"/>
    </xf>
    <xf numFmtId="0" fontId="64" fillId="0" borderId="95" xfId="0" applyFont="1" applyBorder="1" applyAlignment="1">
      <alignment horizontal="left" indent="1"/>
    </xf>
    <xf numFmtId="0" fontId="64" fillId="0" borderId="96" xfId="0" applyFont="1" applyBorder="1" applyAlignment="1">
      <alignment horizontal="left" indent="1"/>
    </xf>
    <xf numFmtId="0" fontId="120" fillId="13" borderId="96" xfId="0" applyFont="1" applyFill="1" applyBorder="1" applyAlignment="1" applyProtection="1">
      <alignment horizontal="left" indent="1"/>
      <protection locked="0"/>
    </xf>
    <xf numFmtId="173" fontId="69" fillId="0" borderId="85" xfId="28" applyFont="1" applyBorder="1" applyAlignment="1">
      <alignment horizontal="left"/>
    </xf>
    <xf numFmtId="173" fontId="118" fillId="8" borderId="25" xfId="28" applyFont="1" applyFill="1" applyBorder="1"/>
    <xf numFmtId="173" fontId="64" fillId="0" borderId="96" xfId="28" applyFont="1" applyBorder="1" applyAlignment="1">
      <alignment horizontal="left" indent="1"/>
    </xf>
    <xf numFmtId="173" fontId="100" fillId="13" borderId="96" xfId="28" applyFont="1" applyFill="1" applyBorder="1" applyAlignment="1" applyProtection="1">
      <alignment horizontal="left" indent="1"/>
      <protection locked="0"/>
    </xf>
    <xf numFmtId="173" fontId="69" fillId="0" borderId="96" xfId="28" applyFont="1" applyBorder="1" applyAlignment="1">
      <alignment horizontal="left" indent="1"/>
    </xf>
    <xf numFmtId="173" fontId="69" fillId="0" borderId="77" xfId="28" applyFont="1" applyBorder="1" applyAlignment="1">
      <alignment horizontal="left"/>
    </xf>
    <xf numFmtId="173" fontId="69" fillId="0" borderId="151" xfId="28" applyFont="1" applyBorder="1" applyAlignment="1">
      <alignment horizontal="left"/>
    </xf>
    <xf numFmtId="173" fontId="117" fillId="8" borderId="25" xfId="28" applyFont="1" applyFill="1" applyBorder="1"/>
    <xf numFmtId="173" fontId="69" fillId="0" borderId="96" xfId="28" applyFont="1" applyBorder="1" applyAlignment="1">
      <alignment horizontal="left"/>
    </xf>
    <xf numFmtId="173" fontId="69" fillId="0" borderId="25" xfId="28" applyFont="1" applyBorder="1"/>
    <xf numFmtId="20" fontId="69" fillId="0" borderId="56" xfId="0" applyNumberFormat="1" applyFont="1" applyBorder="1"/>
    <xf numFmtId="173" fontId="88" fillId="8" borderId="70" xfId="28" applyFont="1" applyFill="1" applyBorder="1" applyAlignment="1">
      <alignment horizontal="center" vertical="center" wrapText="1"/>
    </xf>
    <xf numFmtId="173" fontId="69" fillId="6" borderId="42" xfId="28" applyFont="1" applyFill="1" applyBorder="1" applyAlignment="1">
      <alignment horizontal="center" vertical="center" wrapText="1"/>
    </xf>
    <xf numFmtId="0" fontId="64" fillId="0" borderId="33" xfId="25" applyFont="1" applyBorder="1"/>
    <xf numFmtId="165" fontId="100" fillId="13" borderId="42" xfId="28" applyNumberFormat="1" applyFont="1" applyFill="1" applyBorder="1" applyProtection="1">
      <protection locked="0"/>
    </xf>
    <xf numFmtId="165" fontId="69" fillId="0" borderId="43" xfId="28" applyNumberFormat="1" applyFont="1" applyBorder="1" applyAlignment="1">
      <alignment horizontal="right"/>
    </xf>
    <xf numFmtId="165" fontId="117" fillId="8" borderId="37" xfId="25" applyNumberFormat="1" applyFont="1" applyFill="1" applyBorder="1" applyAlignment="1">
      <alignment horizontal="right"/>
    </xf>
    <xf numFmtId="165" fontId="64" fillId="0" borderId="33" xfId="25" applyNumberFormat="1" applyFont="1" applyBorder="1" applyAlignment="1">
      <alignment horizontal="right"/>
    </xf>
    <xf numFmtId="165" fontId="69" fillId="0" borderId="150" xfId="28" applyNumberFormat="1" applyFont="1" applyBorder="1" applyAlignment="1">
      <alignment horizontal="right"/>
    </xf>
    <xf numFmtId="165" fontId="64" fillId="0" borderId="62" xfId="25" applyNumberFormat="1" applyFont="1" applyBorder="1" applyAlignment="1">
      <alignment horizontal="right"/>
    </xf>
    <xf numFmtId="165" fontId="120" fillId="13" borderId="42" xfId="28" applyNumberFormat="1" applyFont="1" applyFill="1" applyBorder="1" applyAlignment="1" applyProtection="1">
      <alignment horizontal="right"/>
      <protection locked="0"/>
    </xf>
    <xf numFmtId="165" fontId="120" fillId="11" borderId="42" xfId="28" applyNumberFormat="1" applyFont="1" applyFill="1" applyBorder="1" applyAlignment="1" applyProtection="1">
      <alignment horizontal="right"/>
      <protection locked="0"/>
    </xf>
    <xf numFmtId="165" fontId="69" fillId="0" borderId="37" xfId="0" applyNumberFormat="1" applyFont="1" applyBorder="1"/>
    <xf numFmtId="0" fontId="64" fillId="13" borderId="25" xfId="0" applyFont="1" applyFill="1" applyBorder="1" applyProtection="1">
      <protection locked="0"/>
    </xf>
    <xf numFmtId="10" fontId="69" fillId="0" borderId="25" xfId="36" applyNumberFormat="1" applyFont="1" applyBorder="1" applyAlignment="1">
      <alignment horizontal="center" vertical="center"/>
    </xf>
    <xf numFmtId="0" fontId="64" fillId="0" borderId="0" xfId="29" applyFont="1"/>
    <xf numFmtId="0" fontId="69" fillId="0" borderId="0" xfId="29" applyFont="1"/>
    <xf numFmtId="165" fontId="142" fillId="0" borderId="77" xfId="30" applyNumberFormat="1" applyFont="1" applyBorder="1" applyAlignment="1">
      <alignment horizontal="right"/>
    </xf>
    <xf numFmtId="8" fontId="100" fillId="13" borderId="96" xfId="27" applyNumberFormat="1" applyFont="1" applyFill="1" applyBorder="1" applyAlignment="1" applyProtection="1">
      <alignment horizontal="left" wrapText="1"/>
      <protection locked="0"/>
    </xf>
    <xf numFmtId="0" fontId="64" fillId="12" borderId="105" xfId="0" applyFont="1" applyFill="1" applyBorder="1" applyProtection="1">
      <protection locked="0"/>
    </xf>
    <xf numFmtId="0" fontId="64" fillId="12" borderId="104" xfId="0" applyFont="1" applyFill="1" applyBorder="1" applyProtection="1">
      <protection locked="0"/>
    </xf>
    <xf numFmtId="0" fontId="64" fillId="12" borderId="106" xfId="0" applyFont="1" applyFill="1" applyBorder="1" applyProtection="1">
      <protection locked="0"/>
    </xf>
    <xf numFmtId="0" fontId="111" fillId="0" borderId="0" xfId="0" applyFont="1" applyAlignment="1">
      <alignment horizontal="center" vertical="center"/>
    </xf>
    <xf numFmtId="6" fontId="112" fillId="0" borderId="0" xfId="0" applyNumberFormat="1" applyFont="1" applyAlignment="1">
      <alignment vertical="center"/>
    </xf>
    <xf numFmtId="6" fontId="111" fillId="0" borderId="0" xfId="0" applyNumberFormat="1" applyFont="1" applyAlignment="1">
      <alignment vertical="center"/>
    </xf>
    <xf numFmtId="0" fontId="111" fillId="0" borderId="0" xfId="0" applyFont="1" applyAlignment="1">
      <alignment horizontal="right" vertical="center"/>
    </xf>
    <xf numFmtId="6" fontId="74" fillId="0" borderId="0" xfId="7" applyNumberFormat="1" applyFont="1" applyFill="1" applyBorder="1"/>
    <xf numFmtId="6" fontId="78" fillId="0" borderId="0" xfId="0" applyNumberFormat="1" applyFont="1"/>
    <xf numFmtId="166" fontId="138" fillId="0" borderId="12" xfId="36" applyNumberFormat="1" applyFont="1" applyBorder="1"/>
    <xf numFmtId="0" fontId="138" fillId="0" borderId="12" xfId="52" applyFont="1" applyBorder="1" applyAlignment="1">
      <alignment wrapText="1"/>
    </xf>
    <xf numFmtId="0" fontId="138" fillId="0" borderId="0" xfId="52" applyFont="1" applyAlignment="1">
      <alignment wrapText="1"/>
    </xf>
    <xf numFmtId="170" fontId="138" fillId="0" borderId="12" xfId="7" applyNumberFormat="1" applyFont="1" applyBorder="1" applyAlignment="1">
      <alignment wrapText="1"/>
    </xf>
    <xf numFmtId="10" fontId="138" fillId="0" borderId="12" xfId="36" applyNumberFormat="1" applyFont="1" applyBorder="1" applyAlignment="1">
      <alignment wrapText="1"/>
    </xf>
    <xf numFmtId="165" fontId="138" fillId="0" borderId="12" xfId="52" applyNumberFormat="1" applyFont="1" applyBorder="1"/>
    <xf numFmtId="0" fontId="138" fillId="0" borderId="8" xfId="52" applyFont="1" applyBorder="1" applyAlignment="1">
      <alignment wrapText="1"/>
    </xf>
    <xf numFmtId="0" fontId="138" fillId="0" borderId="8" xfId="52" applyFont="1" applyBorder="1"/>
    <xf numFmtId="0" fontId="140" fillId="0" borderId="47" xfId="52" applyFont="1" applyBorder="1" applyAlignment="1">
      <alignment horizontal="centerContinuous"/>
    </xf>
    <xf numFmtId="0" fontId="140" fillId="0" borderId="84" xfId="52" applyFont="1" applyBorder="1" applyAlignment="1">
      <alignment horizontal="centerContinuous"/>
    </xf>
    <xf numFmtId="0" fontId="139" fillId="0" borderId="25" xfId="52" applyFont="1" applyBorder="1" applyAlignment="1">
      <alignment horizontal="center"/>
    </xf>
    <xf numFmtId="49" fontId="138" fillId="0" borderId="0" xfId="52" applyNumberFormat="1" applyFont="1"/>
    <xf numFmtId="170" fontId="138" fillId="0" borderId="12" xfId="53" applyNumberFormat="1" applyFont="1" applyBorder="1" applyAlignment="1">
      <alignment horizontal="right"/>
    </xf>
    <xf numFmtId="9" fontId="138" fillId="0" borderId="12" xfId="81" quotePrefix="1" applyNumberFormat="1" applyFont="1" applyBorder="1" applyAlignment="1">
      <alignment horizontal="right"/>
    </xf>
    <xf numFmtId="0" fontId="167" fillId="11" borderId="12" xfId="52" applyFont="1" applyFill="1" applyBorder="1" applyProtection="1">
      <protection locked="0"/>
    </xf>
    <xf numFmtId="0" fontId="167" fillId="11" borderId="14" xfId="52" applyFont="1" applyFill="1" applyBorder="1" applyProtection="1">
      <protection locked="0"/>
    </xf>
    <xf numFmtId="0" fontId="167" fillId="11" borderId="0" xfId="52" applyFont="1" applyFill="1" applyProtection="1">
      <protection locked="0"/>
    </xf>
    <xf numFmtId="0" fontId="138" fillId="0" borderId="12" xfId="81" applyFont="1" applyBorder="1"/>
    <xf numFmtId="0" fontId="128" fillId="0" borderId="41" xfId="52" applyFont="1" applyBorder="1" applyAlignment="1">
      <alignment horizontal="centerContinuous"/>
    </xf>
    <xf numFmtId="0" fontId="138" fillId="0" borderId="59" xfId="52" applyFont="1" applyBorder="1" applyAlignment="1">
      <alignment horizontal="centerContinuous"/>
    </xf>
    <xf numFmtId="0" fontId="138" fillId="0" borderId="37" xfId="52" applyFont="1" applyBorder="1" applyAlignment="1">
      <alignment horizontal="centerContinuous"/>
    </xf>
    <xf numFmtId="0" fontId="168" fillId="0" borderId="0" xfId="52" applyFont="1"/>
    <xf numFmtId="0" fontId="167" fillId="14" borderId="12" xfId="52" applyFont="1" applyFill="1" applyBorder="1" applyAlignment="1">
      <alignment wrapText="1"/>
    </xf>
    <xf numFmtId="0" fontId="0" fillId="0" borderId="12" xfId="0" applyBorder="1"/>
    <xf numFmtId="9" fontId="0" fillId="0" borderId="12" xfId="37" applyFont="1" applyFill="1" applyBorder="1" applyAlignment="1">
      <alignment horizontal="center"/>
    </xf>
    <xf numFmtId="166" fontId="0" fillId="0" borderId="12" xfId="37" applyNumberFormat="1" applyFont="1" applyFill="1" applyBorder="1" applyAlignment="1">
      <alignment horizontal="center"/>
    </xf>
    <xf numFmtId="1" fontId="138" fillId="0" borderId="12" xfId="53" applyNumberFormat="1" applyFont="1" applyBorder="1"/>
    <xf numFmtId="0" fontId="138" fillId="0" borderId="19" xfId="52" applyFont="1" applyBorder="1"/>
    <xf numFmtId="0" fontId="168" fillId="14" borderId="12" xfId="81" applyFont="1" applyFill="1" applyBorder="1" applyAlignment="1">
      <alignment wrapText="1"/>
    </xf>
    <xf numFmtId="2" fontId="138" fillId="0" borderId="12" xfId="36" applyNumberFormat="1" applyFont="1" applyBorder="1" applyAlignment="1">
      <alignment wrapText="1"/>
    </xf>
    <xf numFmtId="2" fontId="138" fillId="0" borderId="12" xfId="52" applyNumberFormat="1" applyFont="1" applyBorder="1"/>
    <xf numFmtId="9" fontId="138" fillId="0" borderId="12" xfId="36" applyFont="1" applyBorder="1"/>
    <xf numFmtId="0" fontId="140" fillId="0" borderId="1" xfId="52" applyFont="1" applyBorder="1"/>
    <xf numFmtId="170" fontId="138" fillId="0" borderId="1" xfId="53" applyNumberFormat="1" applyFont="1" applyFill="1" applyBorder="1"/>
    <xf numFmtId="0" fontId="138" fillId="0" borderId="1" xfId="52" applyFont="1" applyBorder="1"/>
    <xf numFmtId="0" fontId="167" fillId="0" borderId="1" xfId="52" applyFont="1" applyBorder="1" applyProtection="1">
      <protection locked="0"/>
    </xf>
    <xf numFmtId="0" fontId="138" fillId="0" borderId="1" xfId="81" applyFont="1" applyBorder="1" applyAlignment="1">
      <alignment wrapText="1"/>
    </xf>
    <xf numFmtId="0" fontId="138" fillId="0" borderId="1" xfId="52" applyFont="1" applyBorder="1" applyAlignment="1">
      <alignment wrapText="1"/>
    </xf>
    <xf numFmtId="0" fontId="151" fillId="0" borderId="1" xfId="52" applyFont="1" applyBorder="1"/>
    <xf numFmtId="0" fontId="151" fillId="0" borderId="0" xfId="52" applyFont="1"/>
    <xf numFmtId="165" fontId="138" fillId="0" borderId="12" xfId="7" applyNumberFormat="1" applyFont="1" applyBorder="1"/>
    <xf numFmtId="165" fontId="138" fillId="0" borderId="12" xfId="53" applyNumberFormat="1" applyFont="1" applyBorder="1"/>
    <xf numFmtId="165" fontId="138" fillId="0" borderId="14" xfId="7" applyNumberFormat="1" applyFont="1" applyBorder="1"/>
    <xf numFmtId="10" fontId="138" fillId="0" borderId="1" xfId="36" applyNumberFormat="1" applyFont="1" applyFill="1" applyBorder="1" applyAlignment="1">
      <alignment wrapText="1"/>
    </xf>
    <xf numFmtId="0" fontId="138" fillId="0" borderId="0" xfId="52" applyFont="1" applyAlignment="1">
      <alignment horizontal="centerContinuous"/>
    </xf>
    <xf numFmtId="0" fontId="169" fillId="0" borderId="0" xfId="52" applyFont="1" applyAlignment="1">
      <alignment horizontal="centerContinuous"/>
    </xf>
    <xf numFmtId="166" fontId="138" fillId="0" borderId="12" xfId="52" applyNumberFormat="1" applyFont="1" applyBorder="1"/>
    <xf numFmtId="9" fontId="74" fillId="19" borderId="63" xfId="48" applyFont="1" applyFill="1" applyBorder="1" applyAlignment="1" applyProtection="1">
      <alignment vertical="center"/>
    </xf>
    <xf numFmtId="9" fontId="74" fillId="19" borderId="45" xfId="48" applyFont="1" applyFill="1" applyBorder="1" applyAlignment="1" applyProtection="1">
      <alignment vertical="center"/>
    </xf>
    <xf numFmtId="0" fontId="80" fillId="13" borderId="63" xfId="0" applyFont="1" applyFill="1" applyBorder="1" applyAlignment="1" applyProtection="1">
      <alignment horizontal="left" wrapText="1"/>
      <protection locked="0"/>
    </xf>
    <xf numFmtId="3" fontId="69" fillId="0" borderId="171" xfId="0" applyNumberFormat="1" applyFont="1" applyBorder="1" applyAlignment="1">
      <alignment horizontal="center"/>
    </xf>
    <xf numFmtId="6" fontId="69" fillId="0" borderId="172" xfId="0" applyNumberFormat="1" applyFont="1" applyBorder="1" applyAlignment="1">
      <alignment horizontal="center"/>
    </xf>
    <xf numFmtId="6" fontId="69" fillId="3" borderId="173" xfId="0" applyNumberFormat="1" applyFont="1" applyFill="1" applyBorder="1" applyAlignment="1">
      <alignment horizontal="center"/>
    </xf>
    <xf numFmtId="6" fontId="69" fillId="3" borderId="174" xfId="0" applyNumberFormat="1" applyFont="1" applyFill="1" applyBorder="1" applyAlignment="1">
      <alignment horizontal="center"/>
    </xf>
    <xf numFmtId="9" fontId="69" fillId="0" borderId="172" xfId="36" applyFont="1" applyFill="1" applyBorder="1" applyAlignment="1">
      <alignment horizontal="center"/>
    </xf>
    <xf numFmtId="9" fontId="69" fillId="0" borderId="54" xfId="36" applyFont="1" applyFill="1" applyBorder="1" applyAlignment="1">
      <alignment horizontal="center"/>
    </xf>
    <xf numFmtId="170" fontId="69" fillId="0" borderId="54" xfId="0" applyNumberFormat="1" applyFont="1" applyBorder="1"/>
    <xf numFmtId="0" fontId="64" fillId="6" borderId="96" xfId="0" applyFont="1" applyFill="1" applyBorder="1" applyAlignment="1">
      <alignment horizontal="left" indent="1"/>
    </xf>
    <xf numFmtId="165" fontId="64" fillId="6" borderId="15" xfId="28" applyNumberFormat="1" applyFont="1" applyFill="1" applyBorder="1"/>
    <xf numFmtId="164" fontId="120" fillId="13" borderId="12" xfId="28" applyNumberFormat="1" applyFont="1" applyFill="1" applyBorder="1" applyAlignment="1" applyProtection="1">
      <alignment horizontal="right"/>
      <protection locked="0"/>
    </xf>
    <xf numFmtId="1" fontId="120" fillId="11" borderId="12" xfId="0" applyNumberFormat="1" applyFont="1" applyFill="1" applyBorder="1" applyAlignment="1" applyProtection="1">
      <alignment horizontal="center"/>
      <protection locked="0"/>
    </xf>
    <xf numFmtId="0" fontId="88" fillId="8" borderId="46" xfId="0" applyFont="1" applyFill="1" applyBorder="1" applyAlignment="1">
      <alignment horizontal="center" vertical="center"/>
    </xf>
    <xf numFmtId="0" fontId="88" fillId="8" borderId="97" xfId="0" applyFont="1" applyFill="1" applyBorder="1" applyAlignment="1">
      <alignment horizontal="center" vertical="center"/>
    </xf>
    <xf numFmtId="175" fontId="110" fillId="0" borderId="84" xfId="49" applyNumberFormat="1" applyFont="1" applyBorder="1" applyAlignment="1">
      <alignment horizontal="center"/>
    </xf>
    <xf numFmtId="175" fontId="103" fillId="0" borderId="97" xfId="49" applyNumberFormat="1" applyFont="1" applyBorder="1" applyAlignment="1">
      <alignment horizontal="center"/>
    </xf>
    <xf numFmtId="0" fontId="74" fillId="0" borderId="61" xfId="0" applyFont="1" applyBorder="1"/>
    <xf numFmtId="0" fontId="64" fillId="0" borderId="61" xfId="0" applyFont="1" applyBorder="1" applyAlignment="1">
      <alignment horizontal="right"/>
    </xf>
    <xf numFmtId="9" fontId="120" fillId="11" borderId="40" xfId="36" applyFont="1" applyFill="1" applyBorder="1" applyAlignment="1" applyProtection="1">
      <alignment horizontal="center"/>
      <protection locked="0"/>
    </xf>
    <xf numFmtId="0" fontId="100" fillId="13" borderId="8" xfId="0" applyFont="1" applyFill="1" applyBorder="1" applyAlignment="1" applyProtection="1">
      <alignment horizontal="center"/>
      <protection locked="0"/>
    </xf>
    <xf numFmtId="0" fontId="100" fillId="13" borderId="75" xfId="0" applyFont="1" applyFill="1" applyBorder="1" applyAlignment="1" applyProtection="1">
      <alignment horizontal="center"/>
      <protection locked="0"/>
    </xf>
    <xf numFmtId="0" fontId="100" fillId="13" borderId="21" xfId="0" applyFont="1" applyFill="1" applyBorder="1" applyAlignment="1" applyProtection="1">
      <alignment horizontal="center"/>
      <protection locked="0"/>
    </xf>
    <xf numFmtId="170" fontId="120" fillId="11" borderId="64" xfId="7" applyNumberFormat="1" applyFont="1" applyFill="1" applyBorder="1" applyAlignment="1" applyProtection="1">
      <alignment horizontal="center"/>
      <protection locked="0"/>
    </xf>
    <xf numFmtId="14" fontId="120" fillId="11" borderId="12" xfId="7" applyNumberFormat="1" applyFont="1" applyFill="1" applyBorder="1" applyAlignment="1" applyProtection="1">
      <alignment horizontal="center"/>
      <protection locked="0"/>
    </xf>
    <xf numFmtId="14" fontId="120" fillId="11" borderId="20" xfId="7" applyNumberFormat="1" applyFont="1" applyFill="1" applyBorder="1" applyAlignment="1" applyProtection="1">
      <alignment horizontal="center"/>
      <protection locked="0"/>
    </xf>
    <xf numFmtId="10" fontId="120" fillId="13" borderId="64" xfId="0" applyNumberFormat="1" applyFont="1" applyFill="1" applyBorder="1" applyAlignment="1" applyProtection="1">
      <alignment horizontal="center"/>
      <protection locked="0"/>
    </xf>
    <xf numFmtId="10" fontId="120" fillId="13" borderId="68" xfId="0" applyNumberFormat="1" applyFont="1" applyFill="1" applyBorder="1" applyAlignment="1" applyProtection="1">
      <alignment horizontal="center"/>
      <protection locked="0"/>
    </xf>
    <xf numFmtId="10" fontId="100" fillId="13" borderId="75" xfId="0" applyNumberFormat="1" applyFont="1" applyFill="1" applyBorder="1" applyAlignment="1" applyProtection="1">
      <alignment horizontal="center"/>
      <protection locked="0"/>
    </xf>
    <xf numFmtId="10" fontId="100" fillId="13" borderId="64" xfId="0" applyNumberFormat="1" applyFont="1" applyFill="1" applyBorder="1" applyAlignment="1" applyProtection="1">
      <alignment horizontal="center"/>
      <protection locked="0"/>
    </xf>
    <xf numFmtId="10" fontId="100" fillId="11" borderId="68" xfId="0" applyNumberFormat="1" applyFont="1" applyFill="1" applyBorder="1" applyAlignment="1" applyProtection="1">
      <alignment horizontal="center"/>
      <protection locked="0"/>
    </xf>
    <xf numFmtId="3" fontId="120" fillId="11" borderId="8" xfId="1" applyNumberFormat="1" applyFont="1" applyFill="1" applyBorder="1" applyAlignment="1" applyProtection="1">
      <alignment horizontal="center"/>
      <protection locked="0"/>
    </xf>
    <xf numFmtId="3" fontId="120" fillId="11" borderId="12" xfId="1" applyNumberFormat="1" applyFont="1" applyFill="1" applyBorder="1" applyAlignment="1" applyProtection="1">
      <alignment horizontal="center"/>
      <protection locked="0"/>
    </xf>
    <xf numFmtId="49" fontId="100" fillId="13" borderId="13" xfId="28" applyNumberFormat="1" applyFont="1" applyFill="1" applyBorder="1" applyProtection="1">
      <protection locked="0"/>
    </xf>
    <xf numFmtId="14" fontId="100" fillId="13" borderId="12" xfId="28" applyNumberFormat="1" applyFont="1" applyFill="1" applyBorder="1" applyAlignment="1" applyProtection="1">
      <alignment horizontal="center"/>
      <protection locked="0"/>
    </xf>
    <xf numFmtId="3" fontId="100" fillId="13" borderId="13" xfId="0" applyNumberFormat="1" applyFont="1" applyFill="1" applyBorder="1" applyAlignment="1" applyProtection="1">
      <alignment horizontal="center"/>
      <protection locked="0"/>
    </xf>
    <xf numFmtId="49" fontId="100" fillId="13" borderId="12" xfId="36" applyNumberFormat="1" applyFont="1" applyFill="1" applyBorder="1" applyAlignment="1" applyProtection="1">
      <alignment horizontal="center"/>
      <protection locked="0"/>
    </xf>
    <xf numFmtId="165" fontId="101" fillId="13" borderId="87" xfId="0" applyNumberFormat="1" applyFont="1" applyFill="1" applyBorder="1" applyAlignment="1" applyProtection="1">
      <alignment horizontal="center"/>
      <protection locked="0"/>
    </xf>
    <xf numFmtId="14" fontId="100" fillId="11" borderId="13" xfId="0" applyNumberFormat="1" applyFont="1" applyFill="1" applyBorder="1" applyAlignment="1" applyProtection="1">
      <alignment horizontal="center"/>
      <protection locked="0"/>
    </xf>
    <xf numFmtId="49" fontId="154" fillId="13" borderId="116" xfId="29" applyNumberFormat="1" applyFont="1" applyFill="1" applyBorder="1" applyAlignment="1" applyProtection="1">
      <alignment horizontal="center" vertical="center"/>
      <protection locked="0"/>
    </xf>
    <xf numFmtId="6" fontId="120" fillId="13" borderId="112" xfId="197" applyNumberFormat="1" applyFont="1" applyFill="1" applyBorder="1" applyAlignment="1" applyProtection="1">
      <alignment horizontal="right"/>
      <protection locked="0"/>
    </xf>
    <xf numFmtId="165" fontId="69" fillId="6" borderId="30" xfId="28" applyNumberFormat="1" applyFont="1" applyFill="1" applyBorder="1"/>
    <xf numFmtId="165" fontId="69" fillId="6" borderId="13" xfId="28" applyNumberFormat="1" applyFont="1" applyFill="1" applyBorder="1"/>
    <xf numFmtId="165" fontId="69" fillId="6" borderId="34" xfId="28" applyNumberFormat="1" applyFont="1" applyFill="1" applyBorder="1" applyAlignment="1">
      <alignment horizontal="right"/>
    </xf>
    <xf numFmtId="165" fontId="69" fillId="6" borderId="40" xfId="28" applyNumberFormat="1" applyFont="1" applyFill="1" applyBorder="1" applyAlignment="1">
      <alignment horizontal="right"/>
    </xf>
    <xf numFmtId="165" fontId="69" fillId="6" borderId="100" xfId="28" applyNumberFormat="1" applyFont="1" applyFill="1" applyBorder="1"/>
    <xf numFmtId="165" fontId="69" fillId="6" borderId="16" xfId="28" applyNumberFormat="1" applyFont="1" applyFill="1" applyBorder="1"/>
    <xf numFmtId="165" fontId="69" fillId="6" borderId="151" xfId="28" applyNumberFormat="1" applyFont="1" applyFill="1" applyBorder="1"/>
    <xf numFmtId="165" fontId="69" fillId="6" borderId="96" xfId="28" applyNumberFormat="1" applyFont="1" applyFill="1" applyBorder="1"/>
    <xf numFmtId="165" fontId="69" fillId="6" borderId="34" xfId="28" applyNumberFormat="1" applyFont="1" applyFill="1" applyBorder="1"/>
    <xf numFmtId="165" fontId="69" fillId="6" borderId="40" xfId="28" applyNumberFormat="1" applyFont="1" applyFill="1" applyBorder="1"/>
    <xf numFmtId="165" fontId="69" fillId="6" borderId="85" xfId="28" applyNumberFormat="1" applyFont="1" applyFill="1" applyBorder="1"/>
    <xf numFmtId="0" fontId="78" fillId="0" borderId="65" xfId="0" applyFont="1" applyBorder="1"/>
    <xf numFmtId="0" fontId="78" fillId="0" borderId="56" xfId="0" applyFont="1" applyBorder="1"/>
    <xf numFmtId="0" fontId="74" fillId="0" borderId="56" xfId="0" applyFont="1" applyBorder="1"/>
    <xf numFmtId="0" fontId="78" fillId="0" borderId="74" xfId="0" applyFont="1" applyBorder="1"/>
    <xf numFmtId="0" fontId="78" fillId="0" borderId="46" xfId="0" applyFont="1" applyBorder="1"/>
    <xf numFmtId="0" fontId="74" fillId="0" borderId="72" xfId="0" applyFont="1" applyBorder="1"/>
    <xf numFmtId="2" fontId="74" fillId="0" borderId="76" xfId="0" applyNumberFormat="1" applyFont="1" applyBorder="1" applyAlignment="1">
      <alignment horizontal="center"/>
    </xf>
    <xf numFmtId="10" fontId="74" fillId="0" borderId="76" xfId="0" applyNumberFormat="1" applyFont="1" applyBorder="1" applyAlignment="1">
      <alignment horizontal="center"/>
    </xf>
    <xf numFmtId="10" fontId="74" fillId="0" borderId="64" xfId="0" applyNumberFormat="1" applyFont="1" applyBorder="1" applyAlignment="1">
      <alignment horizontal="center"/>
    </xf>
    <xf numFmtId="0" fontId="74" fillId="0" borderId="42" xfId="0" applyFont="1" applyBorder="1"/>
    <xf numFmtId="1" fontId="74" fillId="0" borderId="75" xfId="0" applyNumberFormat="1" applyFont="1" applyBorder="1" applyAlignment="1">
      <alignment horizontal="center"/>
    </xf>
    <xf numFmtId="169" fontId="74" fillId="0" borderId="64" xfId="0" applyNumberFormat="1" applyFont="1" applyBorder="1" applyAlignment="1">
      <alignment horizontal="center"/>
    </xf>
    <xf numFmtId="1" fontId="74" fillId="0" borderId="123" xfId="0" applyNumberFormat="1" applyFont="1" applyBorder="1" applyAlignment="1">
      <alignment horizontal="center"/>
    </xf>
    <xf numFmtId="0" fontId="78" fillId="0" borderId="67" xfId="0" applyFont="1" applyBorder="1"/>
    <xf numFmtId="0" fontId="74" fillId="0" borderId="17" xfId="0" applyFont="1" applyBorder="1"/>
    <xf numFmtId="1" fontId="74" fillId="0" borderId="82" xfId="0" applyNumberFormat="1" applyFont="1" applyBorder="1" applyAlignment="1">
      <alignment horizontal="center"/>
    </xf>
    <xf numFmtId="0" fontId="107" fillId="0" borderId="41" xfId="0" applyFont="1" applyBorder="1"/>
    <xf numFmtId="0" fontId="107" fillId="0" borderId="35" xfId="0" applyFont="1" applyBorder="1" applyAlignment="1">
      <alignment horizontal="center"/>
    </xf>
    <xf numFmtId="0" fontId="107" fillId="0" borderId="71" xfId="0" applyFont="1" applyBorder="1" applyAlignment="1">
      <alignment horizontal="center"/>
    </xf>
    <xf numFmtId="0" fontId="74" fillId="0" borderId="39" xfId="0" applyFont="1" applyBorder="1"/>
    <xf numFmtId="0" fontId="74" fillId="0" borderId="32" xfId="0" applyFont="1" applyBorder="1" applyAlignment="1">
      <alignment horizontal="center"/>
    </xf>
    <xf numFmtId="1" fontId="74" fillId="0" borderId="42" xfId="0" applyNumberFormat="1" applyFont="1" applyBorder="1" applyAlignment="1">
      <alignment horizontal="center"/>
    </xf>
    <xf numFmtId="0" fontId="74" fillId="0" borderId="30" xfId="0" applyFont="1" applyBorder="1" applyAlignment="1">
      <alignment horizontal="center"/>
    </xf>
    <xf numFmtId="1" fontId="74" fillId="0" borderId="64" xfId="0" applyNumberFormat="1" applyFont="1" applyBorder="1" applyAlignment="1">
      <alignment horizontal="center"/>
    </xf>
    <xf numFmtId="9" fontId="74" fillId="0" borderId="81" xfId="36" applyFont="1" applyFill="1" applyBorder="1" applyAlignment="1">
      <alignment horizontal="center"/>
    </xf>
    <xf numFmtId="0" fontId="74" fillId="0" borderId="73" xfId="0" applyFont="1" applyBorder="1"/>
    <xf numFmtId="0" fontId="74" fillId="0" borderId="34" xfId="0" applyFont="1" applyBorder="1" applyAlignment="1">
      <alignment horizontal="center"/>
    </xf>
    <xf numFmtId="1" fontId="74" fillId="0" borderId="68" xfId="0" applyNumberFormat="1" applyFont="1" applyBorder="1" applyAlignment="1">
      <alignment horizontal="center"/>
    </xf>
    <xf numFmtId="0" fontId="107" fillId="0" borderId="25" xfId="0" applyFont="1" applyBorder="1"/>
    <xf numFmtId="0" fontId="74" fillId="0" borderId="41" xfId="0" applyFont="1" applyBorder="1"/>
    <xf numFmtId="0" fontId="74" fillId="0" borderId="41" xfId="0" applyFont="1" applyBorder="1" applyAlignment="1">
      <alignment horizontal="center"/>
    </xf>
    <xf numFmtId="1" fontId="74" fillId="0" borderId="71" xfId="0" applyNumberFormat="1" applyFont="1" applyBorder="1" applyAlignment="1">
      <alignment horizontal="center"/>
    </xf>
    <xf numFmtId="0" fontId="74" fillId="0" borderId="67" xfId="0" applyFont="1" applyBorder="1"/>
    <xf numFmtId="10" fontId="74" fillId="0" borderId="68" xfId="0" applyNumberFormat="1" applyFont="1" applyBorder="1" applyAlignment="1">
      <alignment horizontal="center"/>
    </xf>
    <xf numFmtId="0" fontId="78" fillId="0" borderId="46" xfId="0" applyFont="1" applyBorder="1" applyAlignment="1">
      <alignment horizontal="left"/>
    </xf>
    <xf numFmtId="0" fontId="78" fillId="0" borderId="57" xfId="0" applyFont="1" applyBorder="1" applyAlignment="1">
      <alignment horizontal="left"/>
    </xf>
    <xf numFmtId="170" fontId="78" fillId="0" borderId="57" xfId="7" applyNumberFormat="1" applyFont="1" applyFill="1" applyBorder="1" applyAlignment="1">
      <alignment horizontal="left"/>
    </xf>
    <xf numFmtId="44" fontId="78" fillId="0" borderId="57" xfId="7" applyFont="1" applyFill="1" applyBorder="1" applyAlignment="1">
      <alignment horizontal="left"/>
    </xf>
    <xf numFmtId="44" fontId="78" fillId="0" borderId="58" xfId="7" applyFont="1" applyFill="1" applyBorder="1" applyAlignment="1">
      <alignment horizontal="left"/>
    </xf>
    <xf numFmtId="0" fontId="74" fillId="0" borderId="51" xfId="0" applyFont="1" applyBorder="1"/>
    <xf numFmtId="170" fontId="74" fillId="0" borderId="51" xfId="7" applyNumberFormat="1" applyFont="1" applyFill="1" applyBorder="1" applyAlignment="1"/>
    <xf numFmtId="44" fontId="74" fillId="0" borderId="39" xfId="7" applyFont="1" applyFill="1" applyBorder="1" applyAlignment="1"/>
    <xf numFmtId="0" fontId="74" fillId="0" borderId="65" xfId="0" applyFont="1" applyBorder="1"/>
    <xf numFmtId="0" fontId="74" fillId="0" borderId="51" xfId="0" applyFont="1" applyBorder="1" applyAlignment="1">
      <alignment horizontal="left"/>
    </xf>
    <xf numFmtId="0" fontId="74" fillId="0" borderId="18" xfId="0" applyFont="1" applyBorder="1"/>
    <xf numFmtId="170" fontId="74" fillId="0" borderId="18" xfId="7" applyNumberFormat="1" applyFont="1" applyFill="1" applyBorder="1" applyAlignment="1"/>
    <xf numFmtId="44" fontId="74" fillId="0" borderId="33" xfId="7" applyFont="1" applyFill="1" applyBorder="1" applyAlignment="1"/>
    <xf numFmtId="0" fontId="74" fillId="0" borderId="15" xfId="0" applyFont="1" applyBorder="1" applyAlignment="1">
      <alignment horizontal="left"/>
    </xf>
    <xf numFmtId="0" fontId="74" fillId="0" borderId="15" xfId="0" applyFont="1" applyBorder="1"/>
    <xf numFmtId="170" fontId="74" fillId="0" borderId="12" xfId="7" applyNumberFormat="1" applyFont="1" applyFill="1" applyBorder="1" applyAlignment="1"/>
    <xf numFmtId="44" fontId="74" fillId="0" borderId="64" xfId="7" applyFont="1" applyFill="1" applyBorder="1" applyAlignment="1"/>
    <xf numFmtId="49" fontId="74" fillId="0" borderId="15" xfId="0" applyNumberFormat="1" applyFont="1" applyBorder="1" applyAlignment="1">
      <alignment horizontal="left"/>
    </xf>
    <xf numFmtId="44" fontId="74" fillId="0" borderId="42" xfId="7" applyFont="1" applyFill="1" applyBorder="1" applyAlignment="1"/>
    <xf numFmtId="0" fontId="74" fillId="0" borderId="66" xfId="0" applyFont="1" applyBorder="1"/>
    <xf numFmtId="170" fontId="74" fillId="0" borderId="22" xfId="7" applyNumberFormat="1" applyFont="1" applyFill="1" applyBorder="1" applyAlignment="1"/>
    <xf numFmtId="0" fontId="78" fillId="0" borderId="57" xfId="0" applyFont="1" applyBorder="1"/>
    <xf numFmtId="170" fontId="78" fillId="0" borderId="52" xfId="0" applyNumberFormat="1" applyFont="1" applyBorder="1"/>
    <xf numFmtId="44" fontId="78" fillId="0" borderId="58" xfId="0" applyNumberFormat="1" applyFont="1" applyBorder="1"/>
    <xf numFmtId="0" fontId="74" fillId="0" borderId="122" xfId="0" applyFont="1" applyBorder="1"/>
    <xf numFmtId="0" fontId="74" fillId="0" borderId="24" xfId="0" applyFont="1" applyBorder="1"/>
    <xf numFmtId="44" fontId="74" fillId="0" borderId="60" xfId="7" applyFont="1" applyFill="1" applyBorder="1" applyAlignment="1"/>
    <xf numFmtId="170" fontId="78" fillId="0" borderId="54" xfId="0" applyNumberFormat="1" applyFont="1" applyBorder="1"/>
    <xf numFmtId="0" fontId="74" fillId="0" borderId="62" xfId="0" applyFont="1" applyBorder="1"/>
    <xf numFmtId="0" fontId="74" fillId="0" borderId="77" xfId="0" applyFont="1" applyBorder="1"/>
    <xf numFmtId="0" fontId="74" fillId="0" borderId="58" xfId="0" applyFont="1" applyBorder="1"/>
    <xf numFmtId="0" fontId="78" fillId="2" borderId="63" xfId="0" applyFont="1" applyFill="1" applyBorder="1" applyAlignment="1">
      <alignment horizontal="center"/>
    </xf>
    <xf numFmtId="0" fontId="78" fillId="2" borderId="45" xfId="0" applyFont="1" applyFill="1" applyBorder="1" applyAlignment="1">
      <alignment horizontal="center"/>
    </xf>
    <xf numFmtId="0" fontId="78" fillId="2" borderId="71" xfId="0" applyFont="1" applyFill="1" applyBorder="1" applyAlignment="1">
      <alignment horizontal="center"/>
    </xf>
    <xf numFmtId="0" fontId="78" fillId="2" borderId="63" xfId="0" applyFont="1" applyFill="1" applyBorder="1" applyAlignment="1">
      <alignment vertical="center"/>
    </xf>
    <xf numFmtId="170" fontId="78" fillId="2" borderId="63" xfId="7" applyNumberFormat="1" applyFont="1" applyFill="1" applyBorder="1" applyAlignment="1">
      <alignment vertical="center"/>
    </xf>
    <xf numFmtId="44" fontId="78" fillId="2" borderId="37" xfId="7" applyFont="1" applyFill="1" applyBorder="1" applyAlignment="1">
      <alignment vertical="center"/>
    </xf>
    <xf numFmtId="0" fontId="78" fillId="2" borderId="35" xfId="0" applyFont="1" applyFill="1" applyBorder="1" applyAlignment="1">
      <alignment vertical="center"/>
    </xf>
    <xf numFmtId="0" fontId="78" fillId="2" borderId="41" xfId="0" applyFont="1" applyFill="1" applyBorder="1" applyAlignment="1">
      <alignment vertical="center"/>
    </xf>
    <xf numFmtId="165" fontId="78" fillId="2" borderId="63" xfId="7" applyNumberFormat="1" applyFont="1" applyFill="1" applyBorder="1" applyAlignment="1">
      <alignment vertical="center"/>
    </xf>
    <xf numFmtId="165" fontId="78" fillId="2" borderId="37" xfId="7" applyNumberFormat="1" applyFont="1" applyFill="1" applyBorder="1" applyAlignment="1">
      <alignment vertical="center"/>
    </xf>
    <xf numFmtId="14" fontId="80" fillId="6" borderId="12" xfId="0" applyNumberFormat="1" applyFont="1" applyFill="1" applyBorder="1" applyAlignment="1">
      <alignment horizontal="center"/>
    </xf>
    <xf numFmtId="0" fontId="74" fillId="12" borderId="175" xfId="0" applyFont="1" applyFill="1" applyBorder="1" applyProtection="1">
      <protection locked="0"/>
    </xf>
    <xf numFmtId="0" fontId="74" fillId="12" borderId="176" xfId="0" applyFont="1" applyFill="1" applyBorder="1" applyProtection="1">
      <protection locked="0"/>
    </xf>
    <xf numFmtId="0" fontId="74" fillId="12" borderId="177" xfId="0" applyFont="1" applyFill="1" applyBorder="1" applyProtection="1">
      <protection locked="0"/>
    </xf>
    <xf numFmtId="0" fontId="74" fillId="0" borderId="84" xfId="0" applyFont="1" applyBorder="1"/>
    <xf numFmtId="0" fontId="74" fillId="0" borderId="97" xfId="0" applyFont="1" applyBorder="1"/>
    <xf numFmtId="6" fontId="64" fillId="6" borderId="112" xfId="29" applyNumberFormat="1" applyFont="1" applyFill="1" applyBorder="1" applyAlignment="1">
      <alignment horizontal="right"/>
    </xf>
    <xf numFmtId="3" fontId="0" fillId="2" borderId="77" xfId="0" applyNumberFormat="1" applyFill="1" applyBorder="1" applyAlignment="1" applyProtection="1">
      <alignment horizontal="center"/>
      <protection locked="0"/>
    </xf>
    <xf numFmtId="3" fontId="0" fillId="2" borderId="62" xfId="0" applyNumberFormat="1" applyFill="1" applyBorder="1" applyAlignment="1" applyProtection="1">
      <alignment horizontal="center"/>
      <protection locked="0"/>
    </xf>
    <xf numFmtId="3" fontId="0" fillId="2" borderId="0" xfId="0" applyNumberFormat="1" applyFill="1" applyAlignment="1" applyProtection="1">
      <alignment horizontal="center"/>
      <protection locked="0"/>
    </xf>
    <xf numFmtId="0" fontId="0" fillId="2" borderId="0" xfId="0" applyFill="1" applyAlignment="1" applyProtection="1">
      <alignment horizontal="left"/>
      <protection locked="0"/>
    </xf>
    <xf numFmtId="3" fontId="0" fillId="2" borderId="57" xfId="0" applyNumberFormat="1" applyFill="1" applyBorder="1" applyProtection="1">
      <protection locked="0"/>
    </xf>
    <xf numFmtId="3" fontId="0" fillId="2" borderId="59" xfId="0" applyNumberFormat="1" applyFill="1" applyBorder="1" applyProtection="1">
      <protection locked="0"/>
    </xf>
    <xf numFmtId="3" fontId="50" fillId="5" borderId="41" xfId="0" applyNumberFormat="1" applyFont="1" applyFill="1" applyBorder="1" applyProtection="1">
      <protection locked="0"/>
    </xf>
    <xf numFmtId="3" fontId="0" fillId="5" borderId="59" xfId="0" applyNumberFormat="1" applyFill="1" applyBorder="1" applyProtection="1">
      <protection locked="0"/>
    </xf>
    <xf numFmtId="170" fontId="50" fillId="5" borderId="37" xfId="8" applyNumberFormat="1" applyFont="1" applyFill="1" applyBorder="1" applyProtection="1">
      <protection locked="0"/>
    </xf>
    <xf numFmtId="44" fontId="0" fillId="2" borderId="59" xfId="8" applyFont="1" applyFill="1" applyBorder="1" applyProtection="1">
      <protection locked="0"/>
    </xf>
    <xf numFmtId="0" fontId="80" fillId="0" borderId="57" xfId="0" applyFont="1" applyBorder="1"/>
    <xf numFmtId="3" fontId="100" fillId="13" borderId="76" xfId="0" applyNumberFormat="1" applyFont="1" applyFill="1" applyBorder="1" applyAlignment="1" applyProtection="1">
      <alignment horizontal="center"/>
      <protection locked="0"/>
    </xf>
    <xf numFmtId="179" fontId="64" fillId="0" borderId="68" xfId="0" applyNumberFormat="1" applyFont="1" applyBorder="1" applyAlignment="1">
      <alignment horizontal="center"/>
    </xf>
    <xf numFmtId="3" fontId="64" fillId="0" borderId="68" xfId="0" applyNumberFormat="1" applyFont="1" applyBorder="1" applyAlignment="1">
      <alignment horizontal="center"/>
    </xf>
    <xf numFmtId="5" fontId="145" fillId="19" borderId="158" xfId="29" applyNumberFormat="1" applyFont="1" applyFill="1" applyBorder="1" applyAlignment="1">
      <alignment horizontal="right"/>
    </xf>
    <xf numFmtId="6" fontId="120" fillId="13" borderId="112" xfId="29" applyNumberFormat="1" applyFont="1" applyFill="1" applyBorder="1" applyAlignment="1">
      <alignment horizontal="right"/>
    </xf>
    <xf numFmtId="0" fontId="105" fillId="0" borderId="12" xfId="43" applyFont="1" applyBorder="1"/>
    <xf numFmtId="165" fontId="146" fillId="17" borderId="117" xfId="30" applyNumberFormat="1" applyFont="1" applyFill="1" applyBorder="1" applyAlignment="1">
      <alignment horizontal="right"/>
    </xf>
    <xf numFmtId="5" fontId="145" fillId="19" borderId="59" xfId="29" applyNumberFormat="1" applyFont="1" applyFill="1" applyBorder="1" applyAlignment="1">
      <alignment horizontal="right"/>
    </xf>
    <xf numFmtId="44" fontId="133" fillId="11" borderId="25" xfId="7" applyFont="1" applyFill="1" applyBorder="1" applyAlignment="1" applyProtection="1">
      <alignment vertical="center" wrapText="1"/>
      <protection locked="0"/>
    </xf>
    <xf numFmtId="3" fontId="100" fillId="11" borderId="13" xfId="0" applyNumberFormat="1" applyFont="1" applyFill="1" applyBorder="1" applyAlignment="1" applyProtection="1">
      <alignment horizontal="center"/>
      <protection locked="0"/>
    </xf>
    <xf numFmtId="0" fontId="103" fillId="0" borderId="74" xfId="0" applyFont="1" applyBorder="1" applyAlignment="1">
      <alignment vertical="top"/>
    </xf>
    <xf numFmtId="179" fontId="64" fillId="0" borderId="76" xfId="0" applyNumberFormat="1" applyFont="1" applyBorder="1" applyAlignment="1">
      <alignment horizontal="center"/>
    </xf>
    <xf numFmtId="0" fontId="80" fillId="0" borderId="0" xfId="0" applyFont="1" applyAlignment="1">
      <alignment horizontal="right" wrapText="1"/>
    </xf>
    <xf numFmtId="3" fontId="74" fillId="0" borderId="0" xfId="0" applyNumberFormat="1" applyFont="1"/>
    <xf numFmtId="3" fontId="78" fillId="0" borderId="0" xfId="0" applyNumberFormat="1" applyFont="1"/>
    <xf numFmtId="10" fontId="120" fillId="11" borderId="46" xfId="0" applyNumberFormat="1" applyFont="1" applyFill="1" applyBorder="1" applyAlignment="1" applyProtection="1">
      <alignment horizontal="right" vertical="center"/>
      <protection locked="0"/>
    </xf>
    <xf numFmtId="10" fontId="64" fillId="0" borderId="46" xfId="0" applyNumberFormat="1" applyFont="1" applyBorder="1" applyAlignment="1">
      <alignment horizontal="right" vertical="center"/>
    </xf>
    <xf numFmtId="0" fontId="69" fillId="0" borderId="57" xfId="0" applyFont="1" applyBorder="1" applyAlignment="1">
      <alignment horizontal="center"/>
    </xf>
    <xf numFmtId="0" fontId="69" fillId="0" borderId="46" xfId="0" applyFont="1" applyBorder="1" applyAlignment="1">
      <alignment horizontal="center"/>
    </xf>
    <xf numFmtId="0" fontId="69" fillId="0" borderId="58" xfId="0" applyFont="1" applyBorder="1" applyAlignment="1">
      <alignment horizontal="center"/>
    </xf>
    <xf numFmtId="6" fontId="64" fillId="0" borderId="61" xfId="7" applyNumberFormat="1" applyFont="1" applyFill="1" applyBorder="1"/>
    <xf numFmtId="6" fontId="64" fillId="0" borderId="62" xfId="7" applyNumberFormat="1" applyFont="1" applyFill="1" applyBorder="1"/>
    <xf numFmtId="6" fontId="64" fillId="9" borderId="0" xfId="0" applyNumberFormat="1" applyFont="1" applyFill="1"/>
    <xf numFmtId="6" fontId="64" fillId="0" borderId="46" xfId="7" applyNumberFormat="1" applyFont="1" applyFill="1" applyBorder="1"/>
    <xf numFmtId="6" fontId="64" fillId="0" borderId="58" xfId="7" applyNumberFormat="1" applyFont="1" applyFill="1" applyBorder="1"/>
    <xf numFmtId="6" fontId="64" fillId="9" borderId="57" xfId="0" applyNumberFormat="1" applyFont="1" applyFill="1" applyBorder="1"/>
    <xf numFmtId="6" fontId="69" fillId="0" borderId="41" xfId="0" applyNumberFormat="1" applyFont="1" applyBorder="1"/>
    <xf numFmtId="6" fontId="69" fillId="0" borderId="37" xfId="0" applyNumberFormat="1" applyFont="1" applyBorder="1"/>
    <xf numFmtId="6" fontId="64" fillId="9" borderId="69" xfId="0" applyNumberFormat="1" applyFont="1" applyFill="1" applyBorder="1"/>
    <xf numFmtId="0" fontId="69" fillId="0" borderId="41" xfId="0" applyFont="1" applyBorder="1" applyAlignment="1">
      <alignment horizontal="center"/>
    </xf>
    <xf numFmtId="0" fontId="69" fillId="0" borderId="37" xfId="0" applyFont="1" applyBorder="1" applyAlignment="1">
      <alignment horizontal="center"/>
    </xf>
    <xf numFmtId="170" fontId="69" fillId="9" borderId="57" xfId="0" applyNumberFormat="1" applyFont="1" applyFill="1" applyBorder="1" applyAlignment="1">
      <alignment horizontal="center"/>
    </xf>
    <xf numFmtId="6" fontId="69" fillId="0" borderId="46" xfId="0" applyNumberFormat="1" applyFont="1" applyBorder="1"/>
    <xf numFmtId="6" fontId="69" fillId="0" borderId="58" xfId="0" applyNumberFormat="1" applyFont="1" applyBorder="1"/>
    <xf numFmtId="0" fontId="69" fillId="0" borderId="1" xfId="0" applyFont="1" applyBorder="1" applyAlignment="1">
      <alignment horizontal="center"/>
    </xf>
    <xf numFmtId="0" fontId="69" fillId="0" borderId="1" xfId="0" applyFont="1" applyBorder="1" applyAlignment="1">
      <alignment horizontal="center" wrapText="1"/>
    </xf>
    <xf numFmtId="3" fontId="64" fillId="0" borderId="0" xfId="0" applyNumberFormat="1" applyFont="1" applyAlignment="1">
      <alignment horizontal="center"/>
    </xf>
    <xf numFmtId="44" fontId="64" fillId="0" borderId="0" xfId="7" applyFont="1" applyFill="1" applyAlignment="1">
      <alignment horizontal="center"/>
    </xf>
    <xf numFmtId="166" fontId="64" fillId="0" borderId="0" xfId="36" applyNumberFormat="1" applyFont="1" applyFill="1" applyAlignment="1">
      <alignment horizontal="center"/>
    </xf>
    <xf numFmtId="0" fontId="69" fillId="0" borderId="19" xfId="0" applyFont="1" applyBorder="1" applyAlignment="1">
      <alignment horizontal="center"/>
    </xf>
    <xf numFmtId="3" fontId="69" fillId="0" borderId="19" xfId="0" applyNumberFormat="1" applyFont="1" applyBorder="1" applyAlignment="1">
      <alignment horizontal="center"/>
    </xf>
    <xf numFmtId="170" fontId="69" fillId="0" borderId="19" xfId="7" applyNumberFormat="1" applyFont="1" applyFill="1" applyBorder="1" applyAlignment="1">
      <alignment horizontal="center"/>
    </xf>
    <xf numFmtId="44" fontId="69" fillId="0" borderId="19" xfId="7" applyFont="1" applyFill="1" applyBorder="1" applyAlignment="1">
      <alignment horizontal="center"/>
    </xf>
    <xf numFmtId="166" fontId="69" fillId="0" borderId="19" xfId="36" applyNumberFormat="1" applyFont="1" applyFill="1" applyBorder="1" applyAlignment="1">
      <alignment horizontal="center"/>
    </xf>
    <xf numFmtId="9" fontId="64" fillId="0" borderId="0" xfId="36" applyFont="1" applyFill="1" applyAlignment="1">
      <alignment horizontal="center"/>
    </xf>
    <xf numFmtId="9" fontId="69" fillId="0" borderId="19" xfId="36" applyFont="1" applyFill="1" applyBorder="1" applyAlignment="1">
      <alignment horizontal="center"/>
    </xf>
    <xf numFmtId="6" fontId="64" fillId="0" borderId="61" xfId="7" applyNumberFormat="1" applyFont="1" applyFill="1" applyBorder="1" applyAlignment="1" applyProtection="1">
      <alignment vertical="center"/>
    </xf>
    <xf numFmtId="9" fontId="64" fillId="0" borderId="0" xfId="7" applyNumberFormat="1" applyFont="1" applyFill="1" applyAlignment="1">
      <alignment horizontal="center"/>
    </xf>
    <xf numFmtId="0" fontId="171" fillId="25" borderId="0" xfId="0" applyFont="1" applyFill="1" applyAlignment="1">
      <alignment horizontal="left" vertical="center" readingOrder="1"/>
    </xf>
    <xf numFmtId="0" fontId="64" fillId="0" borderId="61" xfId="34" applyFont="1" applyBorder="1"/>
    <xf numFmtId="0" fontId="64" fillId="0" borderId="62" xfId="34" applyFont="1" applyBorder="1"/>
    <xf numFmtId="0" fontId="64" fillId="0" borderId="0" xfId="34" applyFont="1"/>
    <xf numFmtId="0" fontId="64" fillId="6" borderId="0" xfId="34" applyFont="1" applyFill="1"/>
    <xf numFmtId="0" fontId="64" fillId="6" borderId="61" xfId="34" applyFont="1" applyFill="1" applyBorder="1"/>
    <xf numFmtId="0" fontId="64" fillId="6" borderId="62" xfId="34" applyFont="1" applyFill="1" applyBorder="1"/>
    <xf numFmtId="0" fontId="64" fillId="0" borderId="46" xfId="34" applyFont="1" applyBorder="1"/>
    <xf numFmtId="0" fontId="64" fillId="0" borderId="58" xfId="34" applyFont="1" applyBorder="1"/>
    <xf numFmtId="0" fontId="64" fillId="0" borderId="57" xfId="34" applyFont="1" applyBorder="1"/>
    <xf numFmtId="0" fontId="64" fillId="6" borderId="57" xfId="34" applyFont="1" applyFill="1" applyBorder="1"/>
    <xf numFmtId="0" fontId="64" fillId="6" borderId="46" xfId="34" applyFont="1" applyFill="1" applyBorder="1"/>
    <xf numFmtId="0" fontId="64" fillId="6" borderId="58" xfId="34" applyFont="1" applyFill="1" applyBorder="1"/>
    <xf numFmtId="170" fontId="120" fillId="11" borderId="12" xfId="7" applyNumberFormat="1" applyFont="1" applyFill="1" applyBorder="1" applyProtection="1">
      <protection locked="0"/>
    </xf>
    <xf numFmtId="0" fontId="64" fillId="0" borderId="8" xfId="0" applyFont="1" applyBorder="1" applyAlignment="1">
      <alignment horizontal="center"/>
    </xf>
    <xf numFmtId="0" fontId="64" fillId="0" borderId="75" xfId="0" applyFont="1" applyBorder="1" applyAlignment="1">
      <alignment horizontal="center"/>
    </xf>
    <xf numFmtId="0" fontId="64" fillId="0" borderId="12" xfId="0" applyFont="1" applyBorder="1" applyAlignment="1">
      <alignment horizontal="center"/>
    </xf>
    <xf numFmtId="0" fontId="64" fillId="0" borderId="64" xfId="0" applyFont="1" applyBorder="1" applyAlignment="1">
      <alignment horizontal="center"/>
    </xf>
    <xf numFmtId="0" fontId="64" fillId="0" borderId="21" xfId="0" applyFont="1" applyBorder="1" applyAlignment="1">
      <alignment horizontal="center"/>
    </xf>
    <xf numFmtId="0" fontId="64" fillId="0" borderId="68" xfId="0" applyFont="1" applyBorder="1" applyAlignment="1">
      <alignment horizontal="center"/>
    </xf>
    <xf numFmtId="3" fontId="64" fillId="0" borderId="15" xfId="0" applyNumberFormat="1" applyFont="1" applyBorder="1"/>
    <xf numFmtId="3" fontId="69" fillId="0" borderId="172" xfId="0" applyNumberFormat="1" applyFont="1" applyBorder="1"/>
    <xf numFmtId="0" fontId="88" fillId="10" borderId="12" xfId="0" applyFont="1" applyFill="1" applyBorder="1" applyAlignment="1">
      <alignment horizontal="center" vertical="center" wrapText="1"/>
    </xf>
    <xf numFmtId="9" fontId="64" fillId="0" borderId="12" xfId="36" applyFont="1" applyFill="1" applyBorder="1" applyAlignment="1" applyProtection="1">
      <alignment horizontal="center"/>
    </xf>
    <xf numFmtId="9" fontId="69" fillId="0" borderId="171" xfId="36" applyFont="1" applyFill="1" applyBorder="1" applyAlignment="1">
      <alignment horizontal="center"/>
    </xf>
    <xf numFmtId="165" fontId="138" fillId="0" borderId="12" xfId="53" applyNumberFormat="1" applyFont="1" applyFill="1" applyBorder="1"/>
    <xf numFmtId="3" fontId="120" fillId="13" borderId="8" xfId="1" applyNumberFormat="1" applyFont="1" applyFill="1" applyBorder="1" applyAlignment="1" applyProtection="1">
      <alignment horizontal="center"/>
      <protection locked="0"/>
    </xf>
    <xf numFmtId="3" fontId="120" fillId="13" borderId="12" xfId="1" applyNumberFormat="1" applyFont="1" applyFill="1" applyBorder="1" applyAlignment="1" applyProtection="1">
      <alignment horizontal="center"/>
      <protection locked="0"/>
    </xf>
    <xf numFmtId="169" fontId="100" fillId="13" borderId="12" xfId="36" applyNumberFormat="1" applyFont="1" applyFill="1" applyBorder="1" applyAlignment="1" applyProtection="1">
      <alignment horizontal="center"/>
      <protection locked="0"/>
    </xf>
    <xf numFmtId="0" fontId="78" fillId="0" borderId="91" xfId="0" applyFont="1" applyBorder="1" applyAlignment="1">
      <alignment vertical="center"/>
    </xf>
    <xf numFmtId="0" fontId="78" fillId="0" borderId="44" xfId="0" applyFont="1" applyBorder="1" applyAlignment="1">
      <alignment vertical="center"/>
    </xf>
    <xf numFmtId="0" fontId="78" fillId="0" borderId="76" xfId="0" applyFont="1" applyBorder="1" applyAlignment="1">
      <alignment vertical="center"/>
    </xf>
    <xf numFmtId="0" fontId="74" fillId="0" borderId="30" xfId="0" applyFont="1" applyBorder="1" applyAlignment="1">
      <alignment vertical="center" wrapText="1"/>
    </xf>
    <xf numFmtId="0" fontId="74" fillId="0" borderId="64" xfId="0" applyFont="1" applyBorder="1" applyAlignment="1">
      <alignment vertical="center"/>
    </xf>
    <xf numFmtId="0" fontId="74" fillId="0" borderId="34" xfId="0" applyFont="1" applyBorder="1" applyAlignment="1">
      <alignment vertical="center" wrapText="1"/>
    </xf>
    <xf numFmtId="0" fontId="74" fillId="0" borderId="68" xfId="0" applyFont="1" applyBorder="1" applyAlignment="1">
      <alignment vertical="center"/>
    </xf>
    <xf numFmtId="6" fontId="74" fillId="0" borderId="12" xfId="0" applyNumberFormat="1" applyFont="1" applyBorder="1" applyAlignment="1">
      <alignment horizontal="center" vertical="center"/>
    </xf>
    <xf numFmtId="10" fontId="74" fillId="0" borderId="12" xfId="0" applyNumberFormat="1" applyFont="1" applyBorder="1" applyAlignment="1">
      <alignment horizontal="center" vertical="center"/>
    </xf>
    <xf numFmtId="40" fontId="74" fillId="0" borderId="12" xfId="0" applyNumberFormat="1" applyFont="1" applyBorder="1" applyAlignment="1">
      <alignment horizontal="center" vertical="center"/>
    </xf>
    <xf numFmtId="0" fontId="74" fillId="0" borderId="12" xfId="0" applyFont="1" applyBorder="1" applyAlignment="1">
      <alignment horizontal="center" vertical="center"/>
    </xf>
    <xf numFmtId="0" fontId="74" fillId="0" borderId="21" xfId="0" applyFont="1" applyBorder="1" applyAlignment="1">
      <alignment horizontal="center" vertical="center"/>
    </xf>
    <xf numFmtId="1" fontId="64" fillId="0" borderId="58" xfId="29" applyNumberFormat="1" applyFont="1" applyBorder="1" applyAlignment="1">
      <alignment horizontal="center"/>
    </xf>
    <xf numFmtId="165" fontId="64" fillId="0" borderId="62" xfId="7" applyNumberFormat="1" applyFont="1" applyFill="1" applyBorder="1" applyAlignment="1">
      <alignment horizontal="center"/>
    </xf>
    <xf numFmtId="10" fontId="64" fillId="0" borderId="62" xfId="36" applyNumberFormat="1" applyFont="1" applyFill="1" applyBorder="1" applyAlignment="1">
      <alignment horizontal="center"/>
    </xf>
    <xf numFmtId="6" fontId="64" fillId="0" borderId="62" xfId="29" applyNumberFormat="1" applyFont="1" applyBorder="1" applyAlignment="1">
      <alignment horizontal="center"/>
    </xf>
    <xf numFmtId="2" fontId="64" fillId="0" borderId="62" xfId="29" applyNumberFormat="1" applyFont="1" applyBorder="1" applyAlignment="1">
      <alignment horizontal="center"/>
    </xf>
    <xf numFmtId="0" fontId="64" fillId="0" borderId="61" xfId="29" applyFont="1" applyBorder="1" applyAlignment="1">
      <alignment horizontal="left"/>
    </xf>
    <xf numFmtId="6" fontId="64" fillId="0" borderId="61" xfId="29" applyNumberFormat="1" applyFont="1" applyBorder="1" applyAlignment="1">
      <alignment horizontal="left"/>
    </xf>
    <xf numFmtId="180" fontId="64" fillId="0" borderId="61" xfId="29" applyNumberFormat="1" applyFont="1" applyBorder="1" applyAlignment="1">
      <alignment horizontal="left"/>
    </xf>
    <xf numFmtId="0" fontId="64" fillId="0" borderId="46" xfId="29" applyFont="1" applyBorder="1" applyAlignment="1">
      <alignment horizontal="left"/>
    </xf>
    <xf numFmtId="0" fontId="76" fillId="8" borderId="47" xfId="0" applyFont="1" applyFill="1" applyBorder="1"/>
    <xf numFmtId="0" fontId="76" fillId="8" borderId="70" xfId="0" applyFont="1" applyFill="1" applyBorder="1"/>
    <xf numFmtId="0" fontId="74" fillId="0" borderId="12" xfId="0" applyFont="1" applyBorder="1"/>
    <xf numFmtId="0" fontId="74" fillId="0" borderId="91" xfId="0" applyFont="1" applyBorder="1"/>
    <xf numFmtId="0" fontId="78" fillId="0" borderId="44" xfId="0" applyFont="1" applyBorder="1" applyAlignment="1">
      <alignment horizontal="center"/>
    </xf>
    <xf numFmtId="0" fontId="78" fillId="0" borderId="76" xfId="0" applyFont="1" applyBorder="1" applyAlignment="1">
      <alignment horizontal="center"/>
    </xf>
    <xf numFmtId="0" fontId="64" fillId="0" borderId="30" xfId="0" applyFont="1" applyBorder="1" applyAlignment="1">
      <alignment horizontal="justify" vertical="center" wrapText="1"/>
    </xf>
    <xf numFmtId="0" fontId="74" fillId="0" borderId="64" xfId="0" applyFont="1" applyBorder="1"/>
    <xf numFmtId="0" fontId="64" fillId="0" borderId="34" xfId="0" applyFont="1" applyBorder="1" applyAlignment="1">
      <alignment horizontal="justify" vertical="center" wrapText="1"/>
    </xf>
    <xf numFmtId="0" fontId="74" fillId="0" borderId="21" xfId="0" applyFont="1" applyBorder="1"/>
    <xf numFmtId="0" fontId="74" fillId="0" borderId="68" xfId="0" applyFont="1" applyBorder="1"/>
    <xf numFmtId="0" fontId="74" fillId="0" borderId="12" xfId="0" applyFont="1" applyBorder="1" applyAlignment="1">
      <alignment horizontal="left"/>
    </xf>
    <xf numFmtId="0" fontId="88" fillId="8" borderId="8" xfId="0" applyFont="1" applyFill="1" applyBorder="1" applyAlignment="1">
      <alignment horizontal="center" vertical="center" wrapText="1"/>
    </xf>
    <xf numFmtId="165" fontId="69" fillId="0" borderId="12" xfId="7" applyNumberFormat="1" applyFont="1" applyBorder="1" applyAlignment="1">
      <alignment horizontal="center"/>
    </xf>
    <xf numFmtId="0" fontId="74" fillId="0" borderId="0" xfId="0" applyFont="1" applyAlignment="1">
      <alignment horizontal="right"/>
    </xf>
    <xf numFmtId="0" fontId="88" fillId="8" borderId="18" xfId="0" applyFont="1" applyFill="1" applyBorder="1" applyAlignment="1">
      <alignment horizontal="center" vertical="center" wrapText="1"/>
    </xf>
    <xf numFmtId="6" fontId="69" fillId="0" borderId="0" xfId="0" applyNumberFormat="1" applyFont="1" applyAlignment="1">
      <alignment horizontal="right"/>
    </xf>
    <xf numFmtId="0" fontId="88" fillId="8" borderId="12" xfId="0" applyFont="1" applyFill="1" applyBorder="1" applyAlignment="1">
      <alignment horizontal="center" vertical="center" wrapText="1"/>
    </xf>
    <xf numFmtId="181" fontId="74" fillId="0" borderId="0" xfId="0" applyNumberFormat="1" applyFont="1" applyAlignment="1">
      <alignment horizontal="center"/>
    </xf>
    <xf numFmtId="49" fontId="74" fillId="0" borderId="12" xfId="0" applyNumberFormat="1" applyFont="1" applyBorder="1"/>
    <xf numFmtId="49" fontId="74" fillId="0" borderId="21" xfId="0" applyNumberFormat="1" applyFont="1" applyBorder="1"/>
    <xf numFmtId="1" fontId="80" fillId="0" borderId="0" xfId="0" applyNumberFormat="1" applyFont="1" applyAlignment="1">
      <alignment horizontal="center"/>
    </xf>
    <xf numFmtId="164" fontId="80" fillId="0" borderId="0" xfId="0" applyNumberFormat="1" applyFont="1" applyAlignment="1">
      <alignment horizontal="center"/>
    </xf>
    <xf numFmtId="165" fontId="78" fillId="0" borderId="0" xfId="0" applyNumberFormat="1" applyFont="1" applyAlignment="1">
      <alignment horizontal="center"/>
    </xf>
    <xf numFmtId="165" fontId="69" fillId="0" borderId="15" xfId="7" applyNumberFormat="1" applyFont="1" applyBorder="1" applyAlignment="1">
      <alignment horizontal="center"/>
    </xf>
    <xf numFmtId="165" fontId="69" fillId="0" borderId="12" xfId="36" applyNumberFormat="1" applyFont="1" applyBorder="1" applyAlignment="1">
      <alignment horizontal="center"/>
    </xf>
    <xf numFmtId="165" fontId="69" fillId="0" borderId="12" xfId="0" applyNumberFormat="1" applyFont="1" applyBorder="1" applyAlignment="1">
      <alignment horizontal="center"/>
    </xf>
    <xf numFmtId="49" fontId="79" fillId="13" borderId="17" xfId="0" applyNumberFormat="1" applyFont="1" applyFill="1" applyBorder="1" applyAlignment="1" applyProtection="1">
      <alignment horizontal="left" vertical="center" wrapText="1"/>
      <protection locked="0"/>
    </xf>
    <xf numFmtId="49" fontId="79" fillId="13" borderId="19" xfId="0" applyNumberFormat="1" applyFont="1" applyFill="1" applyBorder="1" applyAlignment="1" applyProtection="1">
      <alignment horizontal="center" vertical="center" wrapText="1"/>
      <protection locked="0"/>
    </xf>
    <xf numFmtId="171" fontId="79" fillId="13" borderId="16" xfId="0" applyNumberFormat="1" applyFont="1" applyFill="1" applyBorder="1" applyAlignment="1" applyProtection="1">
      <alignment horizontal="center" vertical="center"/>
      <protection locked="0"/>
    </xf>
    <xf numFmtId="165" fontId="64" fillId="0" borderId="62" xfId="0" applyNumberFormat="1" applyFont="1" applyBorder="1" applyAlignment="1">
      <alignment horizontal="left"/>
    </xf>
    <xf numFmtId="0" fontId="64" fillId="0" borderId="46" xfId="0" applyFont="1" applyBorder="1" applyAlignment="1">
      <alignment horizontal="right"/>
    </xf>
    <xf numFmtId="166" fontId="64" fillId="0" borderId="62" xfId="36" applyNumberFormat="1" applyFont="1" applyFill="1" applyBorder="1" applyAlignment="1" applyProtection="1">
      <alignment horizontal="left"/>
    </xf>
    <xf numFmtId="0" fontId="64" fillId="0" borderId="74" xfId="0" applyFont="1" applyBorder="1" applyAlignment="1">
      <alignment horizontal="right"/>
    </xf>
    <xf numFmtId="166" fontId="64" fillId="0" borderId="33" xfId="36" applyNumberFormat="1" applyFont="1" applyFill="1" applyBorder="1" applyAlignment="1" applyProtection="1">
      <alignment horizontal="left"/>
    </xf>
    <xf numFmtId="49" fontId="88" fillId="6" borderId="74" xfId="28" applyNumberFormat="1" applyFont="1" applyFill="1" applyBorder="1" applyAlignment="1" applyProtection="1">
      <alignment vertical="center" wrapText="1"/>
      <protection locked="0"/>
    </xf>
    <xf numFmtId="49" fontId="88" fillId="6" borderId="33" xfId="28" applyNumberFormat="1" applyFont="1" applyFill="1" applyBorder="1" applyAlignment="1" applyProtection="1">
      <alignment vertical="center" wrapText="1"/>
      <protection locked="0"/>
    </xf>
    <xf numFmtId="9" fontId="64" fillId="0" borderId="62" xfId="36" quotePrefix="1" applyFont="1" applyFill="1" applyBorder="1" applyAlignment="1">
      <alignment horizontal="center"/>
    </xf>
    <xf numFmtId="10" fontId="64" fillId="0" borderId="62" xfId="36" applyNumberFormat="1" applyFont="1" applyFill="1" applyBorder="1" applyAlignment="1" applyProtection="1">
      <alignment horizontal="left"/>
    </xf>
    <xf numFmtId="10" fontId="64" fillId="0" borderId="33" xfId="36" applyNumberFormat="1" applyFont="1" applyFill="1" applyBorder="1" applyAlignment="1" applyProtection="1">
      <alignment horizontal="left"/>
    </xf>
    <xf numFmtId="10" fontId="64" fillId="0" borderId="58" xfId="36" applyNumberFormat="1" applyFont="1" applyBorder="1" applyAlignment="1" applyProtection="1">
      <alignment horizontal="left"/>
    </xf>
    <xf numFmtId="49" fontId="0" fillId="0" borderId="0" xfId="0" applyNumberFormat="1"/>
    <xf numFmtId="0" fontId="46" fillId="0" borderId="0" xfId="0" applyFont="1"/>
    <xf numFmtId="174" fontId="46" fillId="2" borderId="84" xfId="8" applyNumberFormat="1" applyFont="1" applyFill="1" applyBorder="1" applyAlignment="1" applyProtection="1">
      <alignment horizontal="center"/>
      <protection locked="0"/>
    </xf>
    <xf numFmtId="0" fontId="46" fillId="0" borderId="12" xfId="0" applyFont="1" applyBorder="1" applyAlignment="1">
      <alignment horizontal="center"/>
    </xf>
    <xf numFmtId="0" fontId="46" fillId="0" borderId="0" xfId="0" applyFont="1" applyAlignment="1">
      <alignment horizontal="center"/>
    </xf>
    <xf numFmtId="5" fontId="147" fillId="17" borderId="137" xfId="29" applyNumberFormat="1" applyFont="1" applyFill="1" applyBorder="1" applyAlignment="1">
      <alignment horizontal="right"/>
    </xf>
    <xf numFmtId="6" fontId="135" fillId="17" borderId="117" xfId="29" applyNumberFormat="1" applyFont="1" applyFill="1" applyBorder="1" applyAlignment="1">
      <alignment horizontal="right"/>
    </xf>
    <xf numFmtId="6" fontId="146" fillId="17" borderId="113" xfId="29" applyNumberFormat="1" applyFont="1" applyFill="1" applyBorder="1" applyAlignment="1">
      <alignment horizontal="right"/>
    </xf>
    <xf numFmtId="6" fontId="147" fillId="17" borderId="113" xfId="29" applyNumberFormat="1" applyFont="1" applyFill="1" applyBorder="1" applyAlignment="1">
      <alignment horizontal="right"/>
    </xf>
    <xf numFmtId="165" fontId="135" fillId="17" borderId="117" xfId="29" applyNumberFormat="1" applyFont="1" applyFill="1" applyBorder="1" applyAlignment="1">
      <alignment horizontal="right"/>
    </xf>
    <xf numFmtId="165" fontId="135" fillId="17" borderId="120" xfId="29" applyNumberFormat="1" applyFont="1" applyFill="1" applyBorder="1" applyAlignment="1">
      <alignment horizontal="right"/>
    </xf>
    <xf numFmtId="6" fontId="146" fillId="17" borderId="112" xfId="197" applyNumberFormat="1" applyFont="1" applyFill="1" applyBorder="1" applyAlignment="1">
      <alignment horizontal="right"/>
    </xf>
    <xf numFmtId="6" fontId="132" fillId="0" borderId="112" xfId="29" applyNumberFormat="1" applyFont="1" applyBorder="1" applyAlignment="1">
      <alignment horizontal="right"/>
    </xf>
    <xf numFmtId="6" fontId="132" fillId="0" borderId="0" xfId="29" applyNumberFormat="1" applyFont="1" applyAlignment="1">
      <alignment horizontal="right"/>
    </xf>
    <xf numFmtId="165" fontId="132" fillId="0" borderId="112" xfId="29" applyNumberFormat="1" applyFont="1" applyBorder="1" applyAlignment="1">
      <alignment horizontal="right"/>
    </xf>
    <xf numFmtId="6" fontId="145" fillId="0" borderId="112" xfId="29" applyNumberFormat="1" applyFont="1" applyBorder="1" applyAlignment="1">
      <alignment horizontal="right"/>
    </xf>
    <xf numFmtId="6" fontId="145" fillId="0" borderId="10" xfId="29" applyNumberFormat="1" applyFont="1" applyBorder="1" applyAlignment="1">
      <alignment horizontal="right"/>
    </xf>
    <xf numFmtId="165" fontId="132" fillId="0" borderId="0" xfId="29" applyNumberFormat="1" applyFont="1" applyAlignment="1">
      <alignment horizontal="right"/>
    </xf>
    <xf numFmtId="4" fontId="132" fillId="0" borderId="114" xfId="29" applyNumberFormat="1" applyFont="1" applyBorder="1" applyAlignment="1">
      <alignment horizontal="right"/>
    </xf>
    <xf numFmtId="165" fontId="132" fillId="0" borderId="55" xfId="29" applyNumberFormat="1" applyFont="1" applyBorder="1" applyAlignment="1">
      <alignment horizontal="right"/>
    </xf>
    <xf numFmtId="9" fontId="64" fillId="0" borderId="0" xfId="38" applyFont="1"/>
    <xf numFmtId="2" fontId="80" fillId="0" borderId="12" xfId="0" applyNumberFormat="1" applyFont="1" applyBorder="1" applyAlignment="1">
      <alignment horizontal="center"/>
    </xf>
    <xf numFmtId="0" fontId="120" fillId="13" borderId="25" xfId="31" applyFont="1" applyFill="1" applyBorder="1" applyAlignment="1" applyProtection="1">
      <alignment horizontal="center"/>
      <protection locked="0"/>
    </xf>
    <xf numFmtId="9" fontId="74" fillId="0" borderId="0" xfId="36" applyFont="1" applyAlignment="1">
      <alignment horizontal="center"/>
    </xf>
    <xf numFmtId="14" fontId="171" fillId="25" borderId="0" xfId="0" applyNumberFormat="1" applyFont="1" applyFill="1" applyAlignment="1">
      <alignment horizontal="left" vertical="center" readingOrder="1"/>
    </xf>
    <xf numFmtId="3" fontId="0" fillId="2" borderId="57" xfId="0" applyNumberFormat="1" applyFill="1" applyBorder="1"/>
    <xf numFmtId="166" fontId="64" fillId="0" borderId="12" xfId="0" applyNumberFormat="1" applyFont="1" applyBorder="1" applyAlignment="1">
      <alignment horizontal="center"/>
    </xf>
    <xf numFmtId="0" fontId="0" fillId="0" borderId="0" xfId="0" applyProtection="1">
      <protection locked="0"/>
    </xf>
    <xf numFmtId="0" fontId="32" fillId="7" borderId="0" xfId="408" applyFill="1" applyProtection="1">
      <protection locked="0"/>
    </xf>
    <xf numFmtId="0" fontId="0" fillId="30" borderId="0" xfId="0" applyFill="1" applyProtection="1">
      <protection locked="0"/>
    </xf>
    <xf numFmtId="0" fontId="0" fillId="32" borderId="0" xfId="0" applyFill="1" applyProtection="1">
      <protection locked="0"/>
    </xf>
    <xf numFmtId="0" fontId="46" fillId="19" borderId="0" xfId="0" applyFont="1" applyFill="1" applyProtection="1">
      <protection locked="0"/>
    </xf>
    <xf numFmtId="0" fontId="0" fillId="19" borderId="0" xfId="0" applyFill="1" applyProtection="1">
      <protection locked="0"/>
    </xf>
    <xf numFmtId="0" fontId="46" fillId="0" borderId="0" xfId="0" applyFont="1" applyProtection="1">
      <protection locked="0"/>
    </xf>
    <xf numFmtId="0" fontId="0" fillId="31" borderId="0" xfId="0" applyFill="1" applyProtection="1">
      <protection locked="0"/>
    </xf>
    <xf numFmtId="0" fontId="32" fillId="0" borderId="0" xfId="408" applyProtection="1">
      <protection locked="0"/>
    </xf>
    <xf numFmtId="0" fontId="31" fillId="0" borderId="0" xfId="408" applyFont="1" applyProtection="1">
      <protection locked="0"/>
    </xf>
    <xf numFmtId="0" fontId="0" fillId="38" borderId="0" xfId="0" applyFill="1" applyProtection="1">
      <protection locked="0"/>
    </xf>
    <xf numFmtId="49" fontId="32" fillId="0" borderId="0" xfId="408" applyNumberFormat="1" applyProtection="1">
      <protection locked="0"/>
    </xf>
    <xf numFmtId="0" fontId="11" fillId="0" borderId="0" xfId="408" applyFont="1" applyProtection="1">
      <protection locked="0"/>
    </xf>
    <xf numFmtId="9" fontId="32" fillId="0" borderId="0" xfId="408" applyNumberFormat="1" applyProtection="1">
      <protection locked="0"/>
    </xf>
    <xf numFmtId="49" fontId="0" fillId="0" borderId="0" xfId="0" applyNumberFormat="1" applyProtection="1">
      <protection locked="0"/>
    </xf>
    <xf numFmtId="49" fontId="16" fillId="0" borderId="0" xfId="408" applyNumberFormat="1" applyFont="1" applyProtection="1">
      <protection locked="0"/>
    </xf>
    <xf numFmtId="49" fontId="15" fillId="0" borderId="0" xfId="408" applyNumberFormat="1" applyFont="1" applyProtection="1">
      <protection locked="0"/>
    </xf>
    <xf numFmtId="0" fontId="31" fillId="0" borderId="0" xfId="408" applyFont="1" applyAlignment="1" applyProtection="1">
      <alignment wrapText="1"/>
      <protection locked="0"/>
    </xf>
    <xf numFmtId="183" fontId="32" fillId="0" borderId="0" xfId="408" applyNumberFormat="1" applyProtection="1">
      <protection locked="0"/>
    </xf>
    <xf numFmtId="182" fontId="32" fillId="0" borderId="0" xfId="408" applyNumberFormat="1" applyProtection="1">
      <protection locked="0"/>
    </xf>
    <xf numFmtId="183" fontId="0" fillId="0" borderId="0" xfId="0" applyNumberFormat="1" applyProtection="1">
      <protection locked="0"/>
    </xf>
    <xf numFmtId="0" fontId="0" fillId="6" borderId="0" xfId="0" applyFill="1" applyProtection="1">
      <protection locked="0"/>
    </xf>
    <xf numFmtId="0" fontId="31" fillId="12" borderId="0" xfId="408" applyFont="1" applyFill="1" applyProtection="1">
      <protection locked="0"/>
    </xf>
    <xf numFmtId="0" fontId="32" fillId="19" borderId="0" xfId="408" applyFill="1" applyProtection="1">
      <protection locked="0"/>
    </xf>
    <xf numFmtId="0" fontId="32" fillId="0" borderId="12" xfId="408" applyBorder="1" applyProtection="1">
      <protection locked="0"/>
    </xf>
    <xf numFmtId="0" fontId="0" fillId="0" borderId="12" xfId="0" applyBorder="1" applyProtection="1">
      <protection locked="0"/>
    </xf>
    <xf numFmtId="0" fontId="0" fillId="6" borderId="12" xfId="0" applyFill="1" applyBorder="1" applyProtection="1">
      <protection locked="0"/>
    </xf>
    <xf numFmtId="0" fontId="31" fillId="38" borderId="0" xfId="408" applyFont="1" applyFill="1" applyProtection="1">
      <protection locked="0"/>
    </xf>
    <xf numFmtId="0" fontId="28" fillId="0" borderId="0" xfId="408" applyFont="1" applyProtection="1">
      <protection locked="0"/>
    </xf>
    <xf numFmtId="0" fontId="32" fillId="38" borderId="0" xfId="408" applyFill="1" applyProtection="1">
      <protection locked="0"/>
    </xf>
    <xf numFmtId="0" fontId="26" fillId="0" borderId="0" xfId="408" applyFont="1" applyProtection="1">
      <protection locked="0"/>
    </xf>
    <xf numFmtId="0" fontId="25" fillId="0" borderId="0" xfId="408" applyFont="1" applyProtection="1">
      <protection locked="0"/>
    </xf>
    <xf numFmtId="0" fontId="26" fillId="38" borderId="0" xfId="408" applyFont="1" applyFill="1" applyProtection="1">
      <protection locked="0"/>
    </xf>
    <xf numFmtId="0" fontId="31" fillId="27" borderId="0" xfId="408" applyFont="1" applyFill="1" applyProtection="1">
      <protection locked="0"/>
    </xf>
    <xf numFmtId="0" fontId="24" fillId="0" borderId="0" xfId="408" applyFont="1" applyProtection="1">
      <protection locked="0"/>
    </xf>
    <xf numFmtId="0" fontId="21" fillId="0" borderId="0" xfId="408" applyFont="1" applyProtection="1">
      <protection locked="0"/>
    </xf>
    <xf numFmtId="0" fontId="32" fillId="27" borderId="0" xfId="408" applyFill="1" applyProtection="1">
      <protection locked="0"/>
    </xf>
    <xf numFmtId="0" fontId="175" fillId="0" borderId="0" xfId="408" applyFont="1" applyProtection="1">
      <protection locked="0"/>
    </xf>
    <xf numFmtId="49" fontId="20" fillId="25" borderId="12" xfId="408" applyNumberFormat="1" applyFont="1" applyFill="1" applyBorder="1" applyProtection="1">
      <protection locked="0"/>
    </xf>
    <xf numFmtId="0" fontId="31" fillId="0" borderId="12" xfId="408" applyFont="1" applyBorder="1" applyProtection="1">
      <protection locked="0"/>
    </xf>
    <xf numFmtId="49" fontId="31" fillId="25" borderId="12" xfId="408" applyNumberFormat="1" applyFont="1" applyFill="1" applyBorder="1" applyProtection="1">
      <protection locked="0"/>
    </xf>
    <xf numFmtId="0" fontId="32" fillId="29" borderId="12" xfId="408" applyFill="1" applyBorder="1" applyProtection="1">
      <protection locked="0"/>
    </xf>
    <xf numFmtId="0" fontId="32" fillId="0" borderId="0" xfId="408" applyAlignment="1" applyProtection="1">
      <alignment wrapText="1"/>
      <protection locked="0"/>
    </xf>
    <xf numFmtId="0" fontId="32" fillId="19" borderId="0" xfId="408" applyFill="1" applyAlignment="1" applyProtection="1">
      <alignment wrapText="1"/>
      <protection locked="0"/>
    </xf>
    <xf numFmtId="0" fontId="31" fillId="27" borderId="0" xfId="408" applyFont="1" applyFill="1" applyAlignment="1" applyProtection="1">
      <alignment wrapText="1"/>
      <protection locked="0"/>
    </xf>
    <xf numFmtId="0" fontId="24" fillId="0" borderId="0" xfId="408" applyFont="1" applyAlignment="1" applyProtection="1">
      <alignment wrapText="1"/>
      <protection locked="0"/>
    </xf>
    <xf numFmtId="49" fontId="31" fillId="0" borderId="0" xfId="408" applyNumberFormat="1" applyFont="1" applyProtection="1">
      <protection locked="0"/>
    </xf>
    <xf numFmtId="49" fontId="24" fillId="0" borderId="0" xfId="408" applyNumberFormat="1" applyFont="1" applyProtection="1">
      <protection locked="0"/>
    </xf>
    <xf numFmtId="49" fontId="46" fillId="0" borderId="0" xfId="0" applyNumberFormat="1" applyFont="1" applyProtection="1">
      <protection locked="0"/>
    </xf>
    <xf numFmtId="49" fontId="12" fillId="0" borderId="0" xfId="408" applyNumberFormat="1" applyFont="1" applyProtection="1">
      <protection locked="0"/>
    </xf>
    <xf numFmtId="0" fontId="29" fillId="0" borderId="0" xfId="408" applyFont="1" applyProtection="1">
      <protection locked="0"/>
    </xf>
    <xf numFmtId="0" fontId="17" fillId="0" borderId="0" xfId="408" applyFont="1" applyProtection="1">
      <protection locked="0"/>
    </xf>
    <xf numFmtId="0" fontId="14" fillId="0" borderId="0" xfId="408" applyFont="1" applyProtection="1">
      <protection locked="0"/>
    </xf>
    <xf numFmtId="0" fontId="18" fillId="0" borderId="0" xfId="408" applyFont="1" applyProtection="1">
      <protection locked="0"/>
    </xf>
    <xf numFmtId="49" fontId="32" fillId="0" borderId="12" xfId="408" applyNumberFormat="1" applyBorder="1" applyProtection="1">
      <protection locked="0"/>
    </xf>
    <xf numFmtId="0" fontId="31" fillId="25" borderId="0" xfId="408" applyFont="1" applyFill="1" applyProtection="1">
      <protection locked="0"/>
    </xf>
    <xf numFmtId="0" fontId="31" fillId="19" borderId="0" xfId="408" applyFont="1" applyFill="1" applyProtection="1">
      <protection locked="0"/>
    </xf>
    <xf numFmtId="0" fontId="0" fillId="0" borderId="20" xfId="0" applyBorder="1" applyProtection="1">
      <protection locked="0"/>
    </xf>
    <xf numFmtId="0" fontId="46" fillId="0" borderId="20" xfId="0" applyFont="1" applyBorder="1" applyProtection="1">
      <protection locked="0"/>
    </xf>
    <xf numFmtId="49" fontId="31" fillId="0" borderId="12" xfId="408" applyNumberFormat="1" applyFont="1" applyBorder="1" applyProtection="1">
      <protection locked="0"/>
    </xf>
    <xf numFmtId="49" fontId="9" fillId="0" borderId="12" xfId="408" applyNumberFormat="1" applyFont="1" applyBorder="1" applyProtection="1">
      <protection locked="0"/>
    </xf>
    <xf numFmtId="0" fontId="9" fillId="0" borderId="12" xfId="408" applyFont="1" applyBorder="1" applyProtection="1">
      <protection locked="0"/>
    </xf>
    <xf numFmtId="0" fontId="31" fillId="7" borderId="0" xfId="408" applyFont="1" applyFill="1" applyProtection="1">
      <protection locked="0"/>
    </xf>
    <xf numFmtId="0" fontId="30" fillId="0" borderId="12" xfId="408" applyFont="1" applyBorder="1" applyProtection="1">
      <protection locked="0"/>
    </xf>
    <xf numFmtId="0" fontId="30" fillId="0" borderId="0" xfId="408" applyFont="1" applyProtection="1">
      <protection locked="0"/>
    </xf>
    <xf numFmtId="0" fontId="31" fillId="0" borderId="0" xfId="408" quotePrefix="1" applyFont="1" applyProtection="1">
      <protection locked="0"/>
    </xf>
    <xf numFmtId="0" fontId="32" fillId="38" borderId="12" xfId="408" applyFill="1" applyBorder="1" applyProtection="1">
      <protection locked="0"/>
    </xf>
    <xf numFmtId="0" fontId="23" fillId="38" borderId="12" xfId="408" applyFont="1" applyFill="1" applyBorder="1" applyProtection="1">
      <protection locked="0"/>
    </xf>
    <xf numFmtId="0" fontId="24" fillId="0" borderId="12" xfId="408" applyFont="1" applyBorder="1" applyProtection="1">
      <protection locked="0"/>
    </xf>
    <xf numFmtId="49" fontId="22" fillId="0" borderId="12" xfId="408" applyNumberFormat="1" applyFont="1" applyBorder="1" applyProtection="1">
      <protection locked="0"/>
    </xf>
    <xf numFmtId="49" fontId="22" fillId="38" borderId="12" xfId="408" applyNumberFormat="1" applyFont="1" applyFill="1" applyBorder="1" applyProtection="1">
      <protection locked="0"/>
    </xf>
    <xf numFmtId="49" fontId="11" fillId="0" borderId="12" xfId="408" applyNumberFormat="1" applyFont="1" applyBorder="1" applyProtection="1">
      <protection locked="0"/>
    </xf>
    <xf numFmtId="0" fontId="46" fillId="0" borderId="0" xfId="0" quotePrefix="1" applyFont="1" applyProtection="1">
      <protection locked="0"/>
    </xf>
    <xf numFmtId="0" fontId="46" fillId="19" borderId="12" xfId="0" applyFont="1" applyFill="1" applyBorder="1" applyProtection="1">
      <protection locked="0"/>
    </xf>
    <xf numFmtId="0" fontId="32" fillId="0" borderId="12" xfId="408" applyBorder="1" applyAlignment="1" applyProtection="1">
      <alignment horizontal="left" indent="1"/>
      <protection locked="0"/>
    </xf>
    <xf numFmtId="0" fontId="32" fillId="0" borderId="12" xfId="408" applyBorder="1" applyAlignment="1" applyProtection="1">
      <alignment horizontal="left" indent="2"/>
      <protection locked="0"/>
    </xf>
    <xf numFmtId="0" fontId="0" fillId="33" borderId="12" xfId="0" applyFill="1" applyBorder="1" applyProtection="1">
      <protection locked="0"/>
    </xf>
    <xf numFmtId="0" fontId="0" fillId="14" borderId="12" xfId="0" applyFill="1" applyBorder="1" applyProtection="1">
      <protection locked="0"/>
    </xf>
    <xf numFmtId="0" fontId="0" fillId="34" borderId="12" xfId="0" applyFill="1" applyBorder="1" applyProtection="1">
      <protection locked="0"/>
    </xf>
    <xf numFmtId="0" fontId="0" fillId="16" borderId="12" xfId="0" applyFill="1" applyBorder="1" applyProtection="1">
      <protection locked="0"/>
    </xf>
    <xf numFmtId="0" fontId="0" fillId="35" borderId="12" xfId="0" applyFill="1" applyBorder="1" applyProtection="1">
      <protection locked="0"/>
    </xf>
    <xf numFmtId="0" fontId="0" fillId="15" borderId="12" xfId="0" applyFill="1" applyBorder="1" applyProtection="1">
      <protection locked="0"/>
    </xf>
    <xf numFmtId="0" fontId="0" fillId="36" borderId="12" xfId="0" applyFill="1" applyBorder="1" applyProtection="1">
      <protection locked="0"/>
    </xf>
    <xf numFmtId="0" fontId="0" fillId="12" borderId="12" xfId="0" applyFill="1" applyBorder="1" applyProtection="1">
      <protection locked="0"/>
    </xf>
    <xf numFmtId="9" fontId="0" fillId="0" borderId="0" xfId="0" applyNumberFormat="1" applyProtection="1">
      <protection locked="0"/>
    </xf>
    <xf numFmtId="0" fontId="27" fillId="0" borderId="12" xfId="408" applyFont="1" applyBorder="1" applyProtection="1">
      <protection locked="0"/>
    </xf>
    <xf numFmtId="0" fontId="46" fillId="0" borderId="12" xfId="0" applyFont="1" applyBorder="1" applyProtection="1">
      <protection locked="0"/>
    </xf>
    <xf numFmtId="0" fontId="0" fillId="18" borderId="0" xfId="0" applyFill="1" applyProtection="1">
      <protection locked="0"/>
    </xf>
    <xf numFmtId="0" fontId="0" fillId="0" borderId="1" xfId="0" applyBorder="1" applyProtection="1">
      <protection locked="0"/>
    </xf>
    <xf numFmtId="0" fontId="0" fillId="0" borderId="8" xfId="0" applyBorder="1" applyProtection="1">
      <protection locked="0"/>
    </xf>
    <xf numFmtId="0" fontId="32" fillId="37" borderId="12" xfId="408" applyFill="1" applyBorder="1" applyProtection="1">
      <protection locked="0"/>
    </xf>
    <xf numFmtId="0" fontId="0" fillId="37" borderId="12" xfId="0" applyFill="1" applyBorder="1" applyProtection="1">
      <protection locked="0"/>
    </xf>
    <xf numFmtId="0" fontId="32" fillId="30" borderId="12" xfId="408" applyFill="1" applyBorder="1" applyProtection="1">
      <protection locked="0"/>
    </xf>
    <xf numFmtId="0" fontId="0" fillId="30" borderId="12" xfId="0" applyFill="1" applyBorder="1" applyProtection="1">
      <protection locked="0"/>
    </xf>
    <xf numFmtId="0" fontId="19" fillId="0" borderId="12" xfId="408" applyFont="1" applyBorder="1" applyProtection="1">
      <protection locked="0"/>
    </xf>
    <xf numFmtId="0" fontId="13" fillId="30" borderId="12" xfId="408" applyFont="1" applyFill="1" applyBorder="1" applyProtection="1">
      <protection locked="0"/>
    </xf>
    <xf numFmtId="5" fontId="100" fillId="13" borderId="112" xfId="29" applyNumberFormat="1" applyFont="1" applyFill="1" applyBorder="1" applyAlignment="1" applyProtection="1">
      <alignment horizontal="right"/>
      <protection locked="0"/>
    </xf>
    <xf numFmtId="14" fontId="100" fillId="13" borderId="12" xfId="0" applyNumberFormat="1" applyFont="1" applyFill="1" applyBorder="1" applyAlignment="1" applyProtection="1">
      <alignment horizontal="center"/>
      <protection locked="0"/>
    </xf>
    <xf numFmtId="166" fontId="120" fillId="11" borderId="12" xfId="36" applyNumberFormat="1" applyFont="1" applyFill="1" applyBorder="1" applyAlignment="1" applyProtection="1">
      <alignment horizontal="center"/>
      <protection locked="0"/>
    </xf>
    <xf numFmtId="0" fontId="32" fillId="34" borderId="12" xfId="408" applyFill="1" applyBorder="1" applyProtection="1">
      <protection locked="0"/>
    </xf>
    <xf numFmtId="0" fontId="0" fillId="34" borderId="8" xfId="0" applyFill="1" applyBorder="1" applyProtection="1">
      <protection locked="0"/>
    </xf>
    <xf numFmtId="0" fontId="32" fillId="15" borderId="12" xfId="408" applyFill="1" applyBorder="1" applyProtection="1">
      <protection locked="0"/>
    </xf>
    <xf numFmtId="0" fontId="32" fillId="33" borderId="12" xfId="408" applyFill="1" applyBorder="1" applyProtection="1">
      <protection locked="0"/>
    </xf>
    <xf numFmtId="0" fontId="8" fillId="33" borderId="12" xfId="408" applyFont="1" applyFill="1" applyBorder="1" applyProtection="1">
      <protection locked="0"/>
    </xf>
    <xf numFmtId="0" fontId="32" fillId="16" borderId="12" xfId="408" applyFill="1" applyBorder="1" applyProtection="1">
      <protection locked="0"/>
    </xf>
    <xf numFmtId="49" fontId="64" fillId="6" borderId="30" xfId="0" applyNumberFormat="1" applyFont="1" applyFill="1" applyBorder="1"/>
    <xf numFmtId="49" fontId="120" fillId="13" borderId="30" xfId="0" applyNumberFormat="1" applyFont="1" applyFill="1" applyBorder="1" applyProtection="1">
      <protection locked="0"/>
    </xf>
    <xf numFmtId="49" fontId="120" fillId="13" borderId="31" xfId="0" applyNumberFormat="1" applyFont="1" applyFill="1" applyBorder="1" applyProtection="1">
      <protection locked="0"/>
    </xf>
    <xf numFmtId="0" fontId="0" fillId="23" borderId="0" xfId="0" applyFill="1" applyProtection="1">
      <protection locked="0"/>
    </xf>
    <xf numFmtId="0" fontId="0" fillId="23" borderId="12" xfId="0" applyFill="1" applyBorder="1" applyProtection="1">
      <protection locked="0"/>
    </xf>
    <xf numFmtId="0" fontId="46" fillId="11" borderId="12" xfId="0" applyFont="1" applyFill="1" applyBorder="1" applyProtection="1">
      <protection locked="0"/>
    </xf>
    <xf numFmtId="0" fontId="0" fillId="11" borderId="12" xfId="0" applyFill="1" applyBorder="1" applyProtection="1">
      <protection locked="0"/>
    </xf>
    <xf numFmtId="0" fontId="46" fillId="15" borderId="12" xfId="0" applyFont="1" applyFill="1" applyBorder="1" applyProtection="1">
      <protection locked="0"/>
    </xf>
    <xf numFmtId="0" fontId="7" fillId="30" borderId="12" xfId="408" applyFont="1" applyFill="1" applyBorder="1" applyProtection="1">
      <protection locked="0"/>
    </xf>
    <xf numFmtId="49" fontId="100" fillId="13" borderId="9" xfId="0" applyNumberFormat="1" applyFont="1" applyFill="1" applyBorder="1" applyAlignment="1" applyProtection="1">
      <alignment horizontal="center"/>
      <protection locked="0"/>
    </xf>
    <xf numFmtId="2" fontId="100" fillId="13" borderId="9" xfId="0" applyNumberFormat="1" applyFont="1" applyFill="1" applyBorder="1" applyAlignment="1" applyProtection="1">
      <alignment horizontal="center"/>
      <protection locked="0"/>
    </xf>
    <xf numFmtId="166" fontId="100" fillId="13" borderId="7" xfId="0" applyNumberFormat="1" applyFont="1" applyFill="1" applyBorder="1" applyAlignment="1" applyProtection="1">
      <alignment horizontal="center"/>
      <protection locked="0"/>
    </xf>
    <xf numFmtId="0" fontId="69" fillId="0" borderId="57" xfId="0" applyFont="1" applyBorder="1"/>
    <xf numFmtId="0" fontId="69" fillId="0" borderId="23" xfId="0" applyFont="1" applyBorder="1"/>
    <xf numFmtId="0" fontId="177" fillId="0" borderId="0" xfId="0" applyFont="1"/>
    <xf numFmtId="0" fontId="178" fillId="0" borderId="0" xfId="0" applyFont="1"/>
    <xf numFmtId="0" fontId="179" fillId="28" borderId="0" xfId="0" applyFont="1" applyFill="1"/>
    <xf numFmtId="0" fontId="6" fillId="0" borderId="0" xfId="408" applyFont="1" applyProtection="1">
      <protection locked="0"/>
    </xf>
    <xf numFmtId="0" fontId="32" fillId="0" borderId="0" xfId="408" applyAlignment="1" applyProtection="1">
      <alignment horizontal="center"/>
      <protection locked="0"/>
    </xf>
    <xf numFmtId="0" fontId="0" fillId="0" borderId="0" xfId="0" applyAlignment="1" applyProtection="1">
      <alignment horizontal="center"/>
      <protection locked="0"/>
    </xf>
    <xf numFmtId="0" fontId="64" fillId="0" borderId="12" xfId="7" applyNumberFormat="1" applyFont="1" applyFill="1" applyBorder="1" applyProtection="1"/>
    <xf numFmtId="0" fontId="112" fillId="0" borderId="12" xfId="7" applyNumberFormat="1" applyFont="1" applyFill="1" applyBorder="1" applyProtection="1"/>
    <xf numFmtId="0" fontId="176" fillId="0" borderId="0" xfId="408" applyFont="1" applyAlignment="1" applyProtection="1">
      <alignment horizontal="center"/>
      <protection locked="0"/>
    </xf>
    <xf numFmtId="0" fontId="32" fillId="39" borderId="0" xfId="408" applyFill="1" applyProtection="1">
      <protection locked="0"/>
    </xf>
    <xf numFmtId="0" fontId="179" fillId="40" borderId="0" xfId="0" applyFont="1" applyFill="1"/>
    <xf numFmtId="0" fontId="0" fillId="40" borderId="0" xfId="0" applyFill="1"/>
    <xf numFmtId="43" fontId="176" fillId="0" borderId="0" xfId="1" applyFont="1" applyAlignment="1" applyProtection="1">
      <alignment horizontal="center"/>
      <protection locked="0"/>
    </xf>
    <xf numFmtId="9" fontId="32" fillId="0" borderId="0" xfId="36" applyFont="1" applyProtection="1">
      <protection locked="0"/>
    </xf>
    <xf numFmtId="9" fontId="32" fillId="39" borderId="0" xfId="36" applyFont="1" applyFill="1" applyProtection="1">
      <protection locked="0"/>
    </xf>
    <xf numFmtId="49" fontId="64" fillId="0" borderId="56" xfId="0" applyNumberFormat="1" applyFont="1" applyBorder="1"/>
    <xf numFmtId="49" fontId="64" fillId="0" borderId="66" xfId="0" applyNumberFormat="1" applyFont="1" applyBorder="1"/>
    <xf numFmtId="0" fontId="179" fillId="41" borderId="0" xfId="0" applyFont="1" applyFill="1"/>
    <xf numFmtId="0" fontId="0" fillId="41" borderId="0" xfId="0" applyFill="1"/>
    <xf numFmtId="10" fontId="0" fillId="0" borderId="0" xfId="0" applyNumberFormat="1" applyProtection="1">
      <protection locked="0"/>
    </xf>
    <xf numFmtId="10" fontId="0" fillId="39" borderId="0" xfId="0" applyNumberFormat="1" applyFill="1" applyProtection="1">
      <protection locked="0"/>
    </xf>
    <xf numFmtId="0" fontId="0" fillId="39" borderId="0" xfId="0" applyFill="1" applyProtection="1">
      <protection locked="0"/>
    </xf>
    <xf numFmtId="49" fontId="32" fillId="39" borderId="0" xfId="408" applyNumberFormat="1" applyFill="1" applyProtection="1">
      <protection locked="0"/>
    </xf>
    <xf numFmtId="49" fontId="4" fillId="0" borderId="0" xfId="408" applyNumberFormat="1" applyFont="1" applyProtection="1">
      <protection locked="0"/>
    </xf>
    <xf numFmtId="49" fontId="5" fillId="0" borderId="0" xfId="408" applyNumberFormat="1" applyFont="1" applyProtection="1">
      <protection locked="0"/>
    </xf>
    <xf numFmtId="165" fontId="138" fillId="6" borderId="12" xfId="52" applyNumberFormat="1" applyFont="1" applyFill="1" applyBorder="1"/>
    <xf numFmtId="10" fontId="138" fillId="6" borderId="12" xfId="36" applyNumberFormat="1" applyFont="1" applyFill="1" applyBorder="1"/>
    <xf numFmtId="17" fontId="140" fillId="25" borderId="0" xfId="52" applyNumberFormat="1" applyFont="1" applyFill="1" applyAlignment="1">
      <alignment horizontal="left"/>
    </xf>
    <xf numFmtId="0" fontId="138" fillId="25" borderId="0" xfId="52" applyFont="1" applyFill="1"/>
    <xf numFmtId="0" fontId="64" fillId="25" borderId="61" xfId="33" applyFont="1" applyFill="1" applyBorder="1"/>
    <xf numFmtId="0" fontId="78" fillId="0" borderId="79" xfId="0" applyFont="1" applyBorder="1"/>
    <xf numFmtId="0" fontId="74" fillId="0" borderId="124" xfId="0" applyFont="1" applyBorder="1"/>
    <xf numFmtId="170" fontId="74" fillId="0" borderId="54" xfId="7" applyNumberFormat="1" applyFont="1" applyFill="1" applyBorder="1" applyAlignment="1"/>
    <xf numFmtId="44" fontId="74" fillId="0" borderId="154" xfId="7" applyFont="1" applyFill="1" applyBorder="1" applyAlignment="1"/>
    <xf numFmtId="0" fontId="74" fillId="12" borderId="18" xfId="0" applyFont="1" applyFill="1" applyBorder="1"/>
    <xf numFmtId="170" fontId="74" fillId="12" borderId="8" xfId="7" applyNumberFormat="1" applyFont="1" applyFill="1" applyBorder="1" applyAlignment="1"/>
    <xf numFmtId="44" fontId="74" fillId="12" borderId="75" xfId="7" applyFont="1" applyFill="1" applyBorder="1" applyAlignment="1"/>
    <xf numFmtId="0" fontId="74" fillId="12" borderId="15" xfId="0" applyFont="1" applyFill="1" applyBorder="1"/>
    <xf numFmtId="170" fontId="74" fillId="12" borderId="12" xfId="7" applyNumberFormat="1" applyFont="1" applyFill="1" applyBorder="1" applyAlignment="1"/>
    <xf numFmtId="44" fontId="74" fillId="12" borderId="64" xfId="7" applyFont="1" applyFill="1" applyBorder="1" applyAlignment="1"/>
    <xf numFmtId="0" fontId="78" fillId="12" borderId="56" xfId="0" applyFont="1" applyFill="1" applyBorder="1"/>
    <xf numFmtId="0" fontId="74" fillId="12" borderId="56" xfId="0" applyFont="1" applyFill="1" applyBorder="1"/>
    <xf numFmtId="0" fontId="74" fillId="12" borderId="122" xfId="0" applyFont="1" applyFill="1" applyBorder="1"/>
    <xf numFmtId="0" fontId="78" fillId="2" borderId="63" xfId="7" applyNumberFormat="1" applyFont="1" applyFill="1" applyBorder="1" applyAlignment="1">
      <alignment vertical="center"/>
    </xf>
    <xf numFmtId="9" fontId="180" fillId="0" borderId="0" xfId="38" applyFont="1"/>
    <xf numFmtId="0" fontId="74" fillId="12" borderId="178" xfId="0" applyFont="1" applyFill="1" applyBorder="1" applyProtection="1">
      <protection locked="0"/>
    </xf>
    <xf numFmtId="0" fontId="74" fillId="12" borderId="179" xfId="0" applyFont="1" applyFill="1" applyBorder="1" applyProtection="1">
      <protection locked="0"/>
    </xf>
    <xf numFmtId="0" fontId="0" fillId="0" borderId="12" xfId="0" applyBorder="1" applyAlignment="1" applyProtection="1">
      <alignment horizontal="center"/>
      <protection locked="0"/>
    </xf>
    <xf numFmtId="0" fontId="64" fillId="0" borderId="147" xfId="0" applyFont="1" applyBorder="1" applyAlignment="1">
      <alignment horizontal="center"/>
    </xf>
    <xf numFmtId="0" fontId="78" fillId="0" borderId="91" xfId="0" applyFont="1" applyBorder="1" applyAlignment="1">
      <alignment horizontal="center"/>
    </xf>
    <xf numFmtId="0" fontId="78" fillId="0" borderId="30" xfId="0" applyFont="1" applyBorder="1" applyAlignment="1">
      <alignment horizontal="center"/>
    </xf>
    <xf numFmtId="0" fontId="64" fillId="0" borderId="96" xfId="0" applyFont="1" applyBorder="1" applyAlignment="1">
      <alignment horizontal="center"/>
    </xf>
    <xf numFmtId="0" fontId="64" fillId="0" borderId="85" xfId="0" quotePrefix="1" applyFont="1" applyBorder="1" applyAlignment="1">
      <alignment horizontal="center"/>
    </xf>
    <xf numFmtId="0" fontId="69" fillId="0" borderId="0" xfId="0" applyFont="1" applyAlignment="1">
      <alignment vertical="center"/>
    </xf>
    <xf numFmtId="0" fontId="100" fillId="0" borderId="0" xfId="0" applyFont="1"/>
    <xf numFmtId="49" fontId="100" fillId="0" borderId="0" xfId="0" applyNumberFormat="1" applyFont="1"/>
    <xf numFmtId="0" fontId="78" fillId="0" borderId="34" xfId="0" applyFont="1" applyBorder="1" applyAlignment="1">
      <alignment horizontal="center"/>
    </xf>
    <xf numFmtId="0" fontId="100" fillId="0" borderId="0" xfId="0" applyFont="1" applyAlignment="1">
      <alignment horizontal="center"/>
    </xf>
    <xf numFmtId="0" fontId="76" fillId="10" borderId="37" xfId="0" applyFont="1" applyFill="1" applyBorder="1" applyAlignment="1">
      <alignment horizontal="center"/>
    </xf>
    <xf numFmtId="0" fontId="76" fillId="10" borderId="47" xfId="0" applyFont="1" applyFill="1" applyBorder="1"/>
    <xf numFmtId="0" fontId="69" fillId="0" borderId="84" xfId="0" applyFont="1" applyBorder="1" applyAlignment="1">
      <alignment vertical="center"/>
    </xf>
    <xf numFmtId="0" fontId="69" fillId="0" borderId="77" xfId="0" applyFont="1" applyBorder="1" applyAlignment="1">
      <alignment vertical="center"/>
    </xf>
    <xf numFmtId="0" fontId="69" fillId="0" borderId="97" xfId="0" applyFont="1" applyBorder="1" applyAlignment="1">
      <alignment vertical="center"/>
    </xf>
    <xf numFmtId="49" fontId="64" fillId="0" borderId="30" xfId="0" applyNumberFormat="1" applyFont="1" applyBorder="1"/>
    <xf numFmtId="10" fontId="74" fillId="0" borderId="0" xfId="0" applyNumberFormat="1" applyFont="1" applyAlignment="1">
      <alignment horizontal="center"/>
    </xf>
    <xf numFmtId="3" fontId="112" fillId="0" borderId="62" xfId="0" applyNumberFormat="1" applyFont="1" applyBorder="1" applyAlignment="1">
      <alignment vertical="center"/>
    </xf>
    <xf numFmtId="3" fontId="111" fillId="0" borderId="150" xfId="0" applyNumberFormat="1" applyFont="1" applyBorder="1" applyAlignment="1">
      <alignment vertical="center"/>
    </xf>
    <xf numFmtId="3" fontId="111" fillId="0" borderId="62" xfId="0" applyNumberFormat="1" applyFont="1" applyBorder="1" applyAlignment="1">
      <alignment vertical="center"/>
    </xf>
    <xf numFmtId="3" fontId="80" fillId="0" borderId="58" xfId="0" applyNumberFormat="1" applyFont="1" applyBorder="1"/>
    <xf numFmtId="3" fontId="64" fillId="0" borderId="62" xfId="7" applyNumberFormat="1" applyFont="1" applyFill="1" applyBorder="1"/>
    <xf numFmtId="3" fontId="69" fillId="0" borderId="37" xfId="0" applyNumberFormat="1" applyFont="1" applyBorder="1"/>
    <xf numFmtId="165" fontId="64" fillId="0" borderId="62" xfId="7" applyNumberFormat="1" applyFont="1" applyFill="1" applyBorder="1"/>
    <xf numFmtId="0" fontId="3" fillId="0" borderId="0" xfId="408" applyFont="1" applyProtection="1">
      <protection locked="0"/>
    </xf>
    <xf numFmtId="0" fontId="175" fillId="23" borderId="0" xfId="408" applyFont="1" applyFill="1" applyProtection="1">
      <protection locked="0"/>
    </xf>
    <xf numFmtId="170" fontId="64" fillId="0" borderId="82" xfId="7" applyNumberFormat="1" applyFont="1" applyFill="1" applyBorder="1" applyAlignment="1" applyProtection="1">
      <alignment horizontal="center"/>
    </xf>
    <xf numFmtId="9" fontId="181" fillId="0" borderId="0" xfId="38" applyFont="1"/>
    <xf numFmtId="170" fontId="64" fillId="6" borderId="12" xfId="7" applyNumberFormat="1" applyFont="1" applyFill="1" applyBorder="1" applyProtection="1"/>
    <xf numFmtId="1" fontId="64" fillId="6" borderId="20" xfId="36" applyNumberFormat="1" applyFont="1" applyFill="1" applyBorder="1" applyProtection="1"/>
    <xf numFmtId="44" fontId="120" fillId="11" borderId="21" xfId="7" applyFont="1" applyFill="1" applyBorder="1" applyProtection="1">
      <protection locked="0"/>
    </xf>
    <xf numFmtId="0" fontId="78" fillId="0" borderId="57" xfId="0" applyFont="1" applyBorder="1" applyAlignment="1">
      <alignment horizontal="center"/>
    </xf>
    <xf numFmtId="0" fontId="64" fillId="0" borderId="57" xfId="0" applyFont="1" applyBorder="1" applyAlignment="1">
      <alignment horizontal="center"/>
    </xf>
    <xf numFmtId="14" fontId="32" fillId="0" borderId="0" xfId="408" applyNumberFormat="1" applyProtection="1">
      <protection locked="0"/>
    </xf>
    <xf numFmtId="14" fontId="31" fillId="0" borderId="12" xfId="408" applyNumberFormat="1" applyFont="1" applyBorder="1" applyProtection="1">
      <protection locked="0"/>
    </xf>
    <xf numFmtId="0" fontId="2" fillId="0" borderId="0" xfId="408" applyFont="1" applyProtection="1">
      <protection locked="0"/>
    </xf>
    <xf numFmtId="0" fontId="69" fillId="25" borderId="0" xfId="33" applyFont="1" applyFill="1"/>
    <xf numFmtId="0" fontId="1" fillId="0" borderId="0" xfId="408" applyFont="1" applyProtection="1">
      <protection locked="0"/>
    </xf>
    <xf numFmtId="0" fontId="100" fillId="13" borderId="14" xfId="0" applyFont="1" applyFill="1" applyBorder="1" applyAlignment="1" applyProtection="1">
      <alignment horizontal="center"/>
      <protection locked="0"/>
    </xf>
    <xf numFmtId="0" fontId="100" fillId="13" borderId="73" xfId="0" applyFont="1" applyFill="1" applyBorder="1" applyAlignment="1" applyProtection="1">
      <alignment horizontal="center"/>
      <protection locked="0"/>
    </xf>
    <xf numFmtId="49" fontId="2" fillId="0" borderId="0" xfId="408" applyNumberFormat="1" applyFont="1" applyProtection="1">
      <protection locked="0"/>
    </xf>
    <xf numFmtId="49" fontId="46" fillId="0" borderId="12" xfId="0" applyNumberFormat="1" applyFont="1" applyBorder="1" applyProtection="1">
      <protection locked="0"/>
    </xf>
    <xf numFmtId="0" fontId="86" fillId="0" borderId="0" xfId="0" applyFont="1"/>
    <xf numFmtId="0" fontId="76" fillId="10" borderId="59" xfId="0" applyFont="1" applyFill="1" applyBorder="1"/>
    <xf numFmtId="0" fontId="76" fillId="10" borderId="37" xfId="0" applyFont="1" applyFill="1" applyBorder="1"/>
    <xf numFmtId="0" fontId="69" fillId="0" borderId="61" xfId="0" applyFont="1" applyBorder="1" applyAlignment="1">
      <alignment vertical="center"/>
    </xf>
    <xf numFmtId="0" fontId="69" fillId="0" borderId="61" xfId="0" applyFont="1" applyBorder="1"/>
    <xf numFmtId="0" fontId="69" fillId="0" borderId="9" xfId="0" applyFont="1" applyBorder="1"/>
    <xf numFmtId="0" fontId="69" fillId="0" borderId="61" xfId="0" applyFont="1" applyBorder="1" applyAlignment="1">
      <alignment horizontal="left"/>
    </xf>
    <xf numFmtId="0" fontId="69" fillId="0" borderId="46" xfId="0" applyFont="1" applyBorder="1" applyAlignment="1">
      <alignment vertical="center"/>
    </xf>
    <xf numFmtId="0" fontId="64" fillId="0" borderId="23" xfId="0" applyFont="1" applyBorder="1"/>
    <xf numFmtId="171" fontId="64" fillId="0" borderId="0" xfId="0" applyNumberFormat="1" applyFont="1" applyAlignment="1">
      <alignment horizontal="center"/>
    </xf>
    <xf numFmtId="0" fontId="86" fillId="0" borderId="0" xfId="0" applyFont="1" applyAlignment="1">
      <alignment horizontal="center"/>
    </xf>
    <xf numFmtId="3" fontId="100" fillId="0" borderId="0" xfId="0" applyNumberFormat="1" applyFont="1" applyAlignment="1">
      <alignment horizontal="center"/>
    </xf>
    <xf numFmtId="0" fontId="102" fillId="0" borderId="57" xfId="0" applyFont="1" applyBorder="1"/>
    <xf numFmtId="0" fontId="102" fillId="0" borderId="41" xfId="0" applyFont="1" applyBorder="1" applyAlignment="1">
      <alignment vertical="center"/>
    </xf>
    <xf numFmtId="0" fontId="76" fillId="10" borderId="35" xfId="0" applyFont="1" applyFill="1" applyBorder="1" applyAlignment="1">
      <alignment vertical="center" wrapText="1"/>
    </xf>
    <xf numFmtId="0" fontId="76" fillId="10" borderId="71" xfId="0" applyFont="1" applyFill="1" applyBorder="1" applyAlignment="1">
      <alignment horizontal="center" vertical="center" wrapText="1"/>
    </xf>
    <xf numFmtId="0" fontId="64" fillId="0" borderId="30" xfId="0" applyFont="1" applyBorder="1"/>
    <xf numFmtId="0" fontId="64" fillId="0" borderId="34" xfId="0" applyFont="1" applyBorder="1"/>
    <xf numFmtId="0" fontId="69" fillId="0" borderId="90" xfId="0" applyFont="1" applyBorder="1"/>
    <xf numFmtId="0" fontId="64" fillId="0" borderId="81" xfId="0" applyFont="1" applyBorder="1" applyAlignment="1">
      <alignment horizontal="center"/>
    </xf>
    <xf numFmtId="0" fontId="74" fillId="0" borderId="71" xfId="0" applyFont="1" applyBorder="1" applyAlignment="1">
      <alignment horizontal="center"/>
    </xf>
    <xf numFmtId="3" fontId="64" fillId="6" borderId="76" xfId="0" applyNumberFormat="1" applyFont="1" applyFill="1" applyBorder="1" applyAlignment="1">
      <alignment horizontal="center"/>
    </xf>
    <xf numFmtId="0" fontId="74" fillId="0" borderId="69" xfId="0" applyFont="1" applyBorder="1"/>
    <xf numFmtId="3" fontId="64" fillId="6" borderId="64" xfId="0" applyNumberFormat="1" applyFont="1" applyFill="1" applyBorder="1" applyAlignment="1">
      <alignment horizontal="center"/>
    </xf>
    <xf numFmtId="3" fontId="64" fillId="0" borderId="64" xfId="0" applyNumberFormat="1" applyFont="1" applyBorder="1" applyAlignment="1">
      <alignment horizontal="center"/>
    </xf>
    <xf numFmtId="3" fontId="64" fillId="0" borderId="75" xfId="0" applyNumberFormat="1" applyFont="1" applyBorder="1" applyAlignment="1">
      <alignment horizontal="center"/>
    </xf>
    <xf numFmtId="10" fontId="64" fillId="0" borderId="64" xfId="36" applyNumberFormat="1" applyFont="1" applyFill="1" applyBorder="1" applyAlignment="1" applyProtection="1">
      <alignment horizontal="center"/>
    </xf>
    <xf numFmtId="3" fontId="64" fillId="0" borderId="81" xfId="0" applyNumberFormat="1" applyFont="1" applyBorder="1" applyAlignment="1">
      <alignment horizontal="center"/>
    </xf>
    <xf numFmtId="166" fontId="64" fillId="0" borderId="68" xfId="36" applyNumberFormat="1" applyFont="1" applyFill="1" applyBorder="1" applyAlignment="1" applyProtection="1">
      <alignment horizontal="center"/>
    </xf>
    <xf numFmtId="0" fontId="74" fillId="10" borderId="37" xfId="0" applyFont="1" applyFill="1" applyBorder="1"/>
    <xf numFmtId="0" fontId="88" fillId="10" borderId="37" xfId="0" applyFont="1" applyFill="1" applyBorder="1" applyAlignment="1">
      <alignment vertical="center"/>
    </xf>
    <xf numFmtId="0" fontId="76" fillId="10" borderId="25" xfId="0" applyFont="1" applyFill="1" applyBorder="1" applyAlignment="1">
      <alignment vertical="center"/>
    </xf>
    <xf numFmtId="0" fontId="88" fillId="10" borderId="41" xfId="0" applyFont="1" applyFill="1" applyBorder="1" applyAlignment="1">
      <alignment vertical="center"/>
    </xf>
    <xf numFmtId="0" fontId="88" fillId="10" borderId="25" xfId="0" applyFont="1" applyFill="1" applyBorder="1" applyAlignment="1">
      <alignment horizontal="center" vertical="center"/>
    </xf>
    <xf numFmtId="166" fontId="64" fillId="0" borderId="64" xfId="36" applyNumberFormat="1" applyFont="1" applyFill="1" applyBorder="1" applyAlignment="1" applyProtection="1">
      <alignment horizontal="center"/>
    </xf>
    <xf numFmtId="0" fontId="148" fillId="0" borderId="0" xfId="0" applyFont="1"/>
    <xf numFmtId="0" fontId="78" fillId="0" borderId="61" xfId="0" applyFont="1" applyBorder="1"/>
    <xf numFmtId="0" fontId="64" fillId="0" borderId="35" xfId="0" applyFont="1" applyBorder="1"/>
    <xf numFmtId="0" fontId="64" fillId="6" borderId="45" xfId="0" applyFont="1" applyFill="1" applyBorder="1" applyAlignment="1">
      <alignment horizontal="center" vertical="top" wrapText="1"/>
    </xf>
    <xf numFmtId="42" fontId="142" fillId="0" borderId="71" xfId="7" applyNumberFormat="1" applyFont="1" applyFill="1" applyBorder="1" applyAlignment="1" applyProtection="1">
      <alignment horizontal="center" vertical="center" wrapText="1"/>
    </xf>
    <xf numFmtId="166" fontId="142" fillId="0" borderId="71" xfId="36" applyNumberFormat="1" applyFont="1" applyFill="1" applyBorder="1" applyAlignment="1" applyProtection="1">
      <alignment horizontal="center" vertical="center" wrapText="1"/>
    </xf>
    <xf numFmtId="0" fontId="64" fillId="6" borderId="0" xfId="0" applyFont="1" applyFill="1" applyAlignment="1">
      <alignment horizontal="left" vertical="top" wrapText="1"/>
    </xf>
    <xf numFmtId="176" fontId="143" fillId="0" borderId="0" xfId="0" applyNumberFormat="1" applyFont="1"/>
    <xf numFmtId="0" fontId="76" fillId="0" borderId="0" xfId="0" applyFont="1"/>
    <xf numFmtId="0" fontId="69" fillId="0" borderId="74" xfId="29" applyFont="1" applyBorder="1" applyAlignment="1">
      <alignment horizontal="left"/>
    </xf>
    <xf numFmtId="1" fontId="64" fillId="0" borderId="75" xfId="29" applyNumberFormat="1" applyFont="1" applyBorder="1" applyAlignment="1">
      <alignment horizontal="center"/>
    </xf>
    <xf numFmtId="0" fontId="64" fillId="0" borderId="41" xfId="0" applyFont="1" applyBorder="1"/>
    <xf numFmtId="0" fontId="64" fillId="0" borderId="59" xfId="0" applyFont="1" applyBorder="1"/>
    <xf numFmtId="0" fontId="64" fillId="0" borderId="37" xfId="0" applyFont="1" applyBorder="1"/>
    <xf numFmtId="0" fontId="69" fillId="0" borderId="72" xfId="29" applyFont="1" applyBorder="1" applyAlignment="1">
      <alignment horizontal="center"/>
    </xf>
    <xf numFmtId="0" fontId="69" fillId="0" borderId="44" xfId="29" applyFont="1" applyBorder="1" applyAlignment="1">
      <alignment horizontal="center"/>
    </xf>
    <xf numFmtId="0" fontId="69" fillId="0" borderId="51" xfId="29" applyFont="1" applyBorder="1" applyAlignment="1">
      <alignment horizontal="center"/>
    </xf>
    <xf numFmtId="0" fontId="69" fillId="0" borderId="76" xfId="29" applyFont="1" applyBorder="1" applyAlignment="1">
      <alignment horizontal="center"/>
    </xf>
    <xf numFmtId="0" fontId="120" fillId="0" borderId="62" xfId="0" applyFont="1" applyBorder="1"/>
    <xf numFmtId="0" fontId="88" fillId="10" borderId="41" xfId="0" applyFont="1" applyFill="1" applyBorder="1" applyAlignment="1">
      <alignment horizontal="left"/>
    </xf>
    <xf numFmtId="0" fontId="64" fillId="10" borderId="59" xfId="0" applyFont="1" applyFill="1" applyBorder="1"/>
    <xf numFmtId="0" fontId="64" fillId="10" borderId="37" xfId="0" applyFont="1" applyFill="1" applyBorder="1"/>
    <xf numFmtId="1" fontId="69" fillId="0" borderId="14" xfId="29" applyNumberFormat="1" applyFont="1" applyBorder="1" applyAlignment="1">
      <alignment horizontal="centerContinuous"/>
    </xf>
    <xf numFmtId="1" fontId="69" fillId="0" borderId="12" xfId="29" applyNumberFormat="1" applyFont="1" applyBorder="1" applyAlignment="1">
      <alignment horizontal="centerContinuous"/>
    </xf>
    <xf numFmtId="1" fontId="69" fillId="0" borderId="15" xfId="29" applyNumberFormat="1" applyFont="1" applyBorder="1" applyAlignment="1">
      <alignment horizontal="centerContinuous"/>
    </xf>
    <xf numFmtId="1" fontId="69" fillId="0" borderId="64" xfId="29" applyNumberFormat="1" applyFont="1" applyBorder="1" applyAlignment="1">
      <alignment horizontal="centerContinuous"/>
    </xf>
    <xf numFmtId="0" fontId="69" fillId="0" borderId="122" xfId="0" applyFont="1" applyBorder="1" applyAlignment="1">
      <alignment horizontal="left"/>
    </xf>
    <xf numFmtId="0" fontId="69" fillId="0" borderId="77" xfId="0" applyFont="1" applyBorder="1" applyAlignment="1">
      <alignment horizontal="left"/>
    </xf>
    <xf numFmtId="10" fontId="64" fillId="0" borderId="0" xfId="0" applyNumberFormat="1" applyFont="1"/>
    <xf numFmtId="10" fontId="64" fillId="0" borderId="7" xfId="0" applyNumberFormat="1" applyFont="1" applyBorder="1"/>
    <xf numFmtId="10" fontId="64" fillId="0" borderId="20" xfId="0" applyNumberFormat="1" applyFont="1" applyBorder="1"/>
    <xf numFmtId="10" fontId="64" fillId="0" borderId="82" xfId="0" applyNumberFormat="1" applyFont="1" applyBorder="1"/>
    <xf numFmtId="10" fontId="64" fillId="0" borderId="123" xfId="0" applyNumberFormat="1" applyFont="1" applyBorder="1"/>
    <xf numFmtId="0" fontId="69" fillId="0" borderId="74" xfId="0" applyFont="1" applyBorder="1" applyAlignment="1">
      <alignment horizontal="left"/>
    </xf>
    <xf numFmtId="0" fontId="69" fillId="0" borderId="97" xfId="0" applyFont="1" applyBorder="1" applyAlignment="1">
      <alignment horizontal="left"/>
    </xf>
    <xf numFmtId="10" fontId="64" fillId="0" borderId="57" xfId="0" applyNumberFormat="1" applyFont="1" applyBorder="1"/>
    <xf numFmtId="10" fontId="64" fillId="0" borderId="52" xfId="0" applyNumberFormat="1" applyFont="1" applyBorder="1"/>
    <xf numFmtId="10" fontId="64" fillId="0" borderId="81" xfId="0" applyNumberFormat="1" applyFont="1" applyBorder="1"/>
    <xf numFmtId="0" fontId="69" fillId="0" borderId="46" xfId="0" applyFont="1" applyBorder="1" applyAlignment="1">
      <alignment horizontal="left"/>
    </xf>
    <xf numFmtId="0" fontId="74" fillId="0" borderId="57" xfId="0" applyFont="1" applyBorder="1" applyAlignment="1">
      <alignment horizontal="center"/>
    </xf>
    <xf numFmtId="0" fontId="107" fillId="0" borderId="0" xfId="29" applyFont="1" applyAlignment="1">
      <alignment horizontal="right"/>
    </xf>
    <xf numFmtId="14" fontId="74" fillId="0" borderId="0" xfId="0" applyNumberFormat="1" applyFont="1" applyAlignment="1">
      <alignment horizontal="center"/>
    </xf>
    <xf numFmtId="0" fontId="73" fillId="0" borderId="25" xfId="0" applyFont="1" applyBorder="1"/>
    <xf numFmtId="14" fontId="73" fillId="0" borderId="25" xfId="0" applyNumberFormat="1" applyFont="1" applyBorder="1"/>
    <xf numFmtId="0" fontId="170" fillId="0" borderId="0" xfId="0" applyFont="1"/>
    <xf numFmtId="0" fontId="64" fillId="0" borderId="0" xfId="0" applyFont="1" applyAlignment="1">
      <alignment horizontal="right"/>
    </xf>
    <xf numFmtId="0" fontId="64" fillId="6" borderId="0" xfId="0" applyFont="1" applyFill="1"/>
    <xf numFmtId="0" fontId="64" fillId="6" borderId="0" xfId="0" applyFont="1" applyFill="1" applyAlignment="1">
      <alignment horizontal="center"/>
    </xf>
    <xf numFmtId="166" fontId="64" fillId="0" borderId="0" xfId="36" applyNumberFormat="1" applyFont="1" applyFill="1" applyBorder="1" applyAlignment="1" applyProtection="1">
      <alignment horizontal="center"/>
    </xf>
    <xf numFmtId="1" fontId="75" fillId="0" borderId="25" xfId="0" applyNumberFormat="1" applyFont="1" applyBorder="1" applyAlignment="1">
      <alignment horizontal="center"/>
    </xf>
    <xf numFmtId="0" fontId="69" fillId="0" borderId="63" xfId="0" applyFont="1" applyBorder="1" applyAlignment="1">
      <alignment horizontal="center"/>
    </xf>
    <xf numFmtId="0" fontId="69" fillId="0" borderId="45" xfId="0" applyFont="1" applyBorder="1" applyAlignment="1">
      <alignment horizontal="center"/>
    </xf>
    <xf numFmtId="0" fontId="69" fillId="0" borderId="71" xfId="0" applyFont="1" applyBorder="1" applyAlignment="1">
      <alignment horizontal="center"/>
    </xf>
    <xf numFmtId="1" fontId="64" fillId="0" borderId="32" xfId="0" applyNumberFormat="1" applyFont="1" applyBorder="1" applyAlignment="1">
      <alignment horizontal="center"/>
    </xf>
    <xf numFmtId="1" fontId="64" fillId="0" borderId="30" xfId="0" applyNumberFormat="1" applyFont="1" applyBorder="1" applyAlignment="1">
      <alignment horizontal="center"/>
    </xf>
    <xf numFmtId="0" fontId="64" fillId="0" borderId="30" xfId="0" applyFont="1" applyBorder="1" applyAlignment="1">
      <alignment horizontal="center"/>
    </xf>
    <xf numFmtId="166" fontId="64" fillId="0" borderId="12" xfId="36" applyNumberFormat="1" applyFont="1" applyBorder="1" applyAlignment="1" applyProtection="1">
      <alignment horizontal="center"/>
    </xf>
    <xf numFmtId="166" fontId="64" fillId="0" borderId="13" xfId="36" applyNumberFormat="1" applyFont="1" applyBorder="1" applyAlignment="1" applyProtection="1">
      <alignment horizontal="center"/>
    </xf>
    <xf numFmtId="166" fontId="64" fillId="0" borderId="25" xfId="36" applyNumberFormat="1" applyFont="1" applyFill="1" applyBorder="1" applyAlignment="1" applyProtection="1">
      <alignment horizontal="center"/>
    </xf>
    <xf numFmtId="1" fontId="64" fillId="0" borderId="34" xfId="0" applyNumberFormat="1" applyFont="1" applyBorder="1" applyAlignment="1">
      <alignment horizontal="center"/>
    </xf>
    <xf numFmtId="1" fontId="64" fillId="0" borderId="0" xfId="0" applyNumberFormat="1" applyFont="1" applyAlignment="1">
      <alignment horizontal="center"/>
    </xf>
    <xf numFmtId="0" fontId="75" fillId="0" borderId="25" xfId="0" applyFont="1" applyBorder="1"/>
    <xf numFmtId="0" fontId="64" fillId="0" borderId="0" xfId="31" applyFont="1"/>
    <xf numFmtId="173" fontId="76" fillId="10" borderId="16" xfId="28" applyFont="1" applyFill="1" applyBorder="1" applyAlignment="1">
      <alignment vertical="center" wrapText="1"/>
    </xf>
    <xf numFmtId="173" fontId="88" fillId="10" borderId="16" xfId="28" applyFont="1" applyFill="1" applyBorder="1" applyAlignment="1">
      <alignment horizontal="center" vertical="center" wrapText="1"/>
    </xf>
    <xf numFmtId="173" fontId="88" fillId="10" borderId="20" xfId="28" applyFont="1" applyFill="1" applyBorder="1" applyAlignment="1">
      <alignment horizontal="center" vertical="center" wrapText="1"/>
    </xf>
    <xf numFmtId="0" fontId="112" fillId="6" borderId="20" xfId="28" applyNumberFormat="1" applyFont="1" applyFill="1" applyBorder="1" applyAlignment="1">
      <alignment horizontal="center"/>
    </xf>
    <xf numFmtId="0" fontId="111" fillId="0" borderId="13" xfId="0" applyFont="1" applyBorder="1"/>
    <xf numFmtId="170" fontId="111" fillId="0" borderId="13" xfId="0" applyNumberFormat="1" applyFont="1" applyBorder="1"/>
    <xf numFmtId="0" fontId="111" fillId="0" borderId="13" xfId="0" applyFont="1" applyBorder="1" applyAlignment="1">
      <alignment horizontal="center"/>
    </xf>
    <xf numFmtId="0" fontId="111" fillId="0" borderId="12" xfId="0" applyFont="1" applyBorder="1" applyAlignment="1">
      <alignment horizontal="center"/>
    </xf>
    <xf numFmtId="173" fontId="76" fillId="10" borderId="12" xfId="28" applyFont="1" applyFill="1" applyBorder="1" applyAlignment="1">
      <alignment vertical="center" wrapText="1"/>
    </xf>
    <xf numFmtId="173" fontId="88" fillId="10" borderId="12" xfId="28" applyFont="1" applyFill="1" applyBorder="1" applyAlignment="1">
      <alignment horizontal="center" vertical="center" wrapText="1"/>
    </xf>
    <xf numFmtId="170" fontId="64" fillId="0" borderId="12" xfId="0" applyNumberFormat="1" applyFont="1" applyBorder="1" applyAlignment="1">
      <alignment horizontal="center"/>
    </xf>
    <xf numFmtId="10" fontId="100" fillId="0" borderId="0" xfId="36" applyNumberFormat="1" applyFont="1" applyFill="1" applyBorder="1" applyAlignment="1" applyProtection="1">
      <alignment horizontal="center"/>
    </xf>
    <xf numFmtId="0" fontId="76" fillId="10" borderId="59" xfId="0" applyFont="1" applyFill="1" applyBorder="1" applyAlignment="1">
      <alignment horizontal="center" vertical="center" wrapText="1"/>
    </xf>
    <xf numFmtId="0" fontId="100" fillId="13" borderId="1" xfId="0" applyFont="1" applyFill="1" applyBorder="1" applyAlignment="1" applyProtection="1">
      <alignment horizontal="center"/>
      <protection locked="0"/>
    </xf>
    <xf numFmtId="3" fontId="100" fillId="13" borderId="64" xfId="0" applyNumberFormat="1" applyFont="1" applyFill="1" applyBorder="1" applyAlignment="1" applyProtection="1">
      <alignment horizontal="center"/>
      <protection locked="0"/>
    </xf>
    <xf numFmtId="10" fontId="100" fillId="13" borderId="68" xfId="0" applyNumberFormat="1" applyFont="1" applyFill="1" applyBorder="1" applyAlignment="1" applyProtection="1">
      <alignment horizontal="center"/>
      <protection locked="0"/>
    </xf>
    <xf numFmtId="49" fontId="64" fillId="0" borderId="56" xfId="0" applyNumberFormat="1" applyFont="1" applyBorder="1" applyProtection="1">
      <protection locked="0"/>
    </xf>
    <xf numFmtId="49" fontId="64" fillId="0" borderId="66" xfId="0" applyNumberFormat="1" applyFont="1" applyBorder="1" applyProtection="1">
      <protection locked="0"/>
    </xf>
    <xf numFmtId="10" fontId="120" fillId="13" borderId="12" xfId="28" applyNumberFormat="1" applyFont="1" applyFill="1" applyBorder="1" applyProtection="1">
      <protection locked="0"/>
    </xf>
    <xf numFmtId="10" fontId="120" fillId="13" borderId="64" xfId="28" applyNumberFormat="1" applyFont="1" applyFill="1" applyBorder="1" applyProtection="1">
      <protection locked="0"/>
    </xf>
    <xf numFmtId="0" fontId="112" fillId="6" borderId="16" xfId="28" applyNumberFormat="1" applyFont="1" applyFill="1" applyBorder="1" applyProtection="1">
      <protection locked="0"/>
    </xf>
    <xf numFmtId="0" fontId="112" fillId="6" borderId="16" xfId="28" applyNumberFormat="1" applyFont="1" applyFill="1" applyBorder="1" applyAlignment="1" applyProtection="1">
      <alignment horizontal="center"/>
      <protection locked="0"/>
    </xf>
    <xf numFmtId="49" fontId="112" fillId="6" borderId="16" xfId="28" applyNumberFormat="1" applyFont="1" applyFill="1" applyBorder="1" applyAlignment="1" applyProtection="1">
      <alignment horizontal="center"/>
      <protection locked="0"/>
    </xf>
    <xf numFmtId="49" fontId="120" fillId="11" borderId="16" xfId="28" applyNumberFormat="1" applyFont="1" applyFill="1" applyBorder="1" applyAlignment="1" applyProtection="1">
      <alignment horizontal="center"/>
      <protection locked="0"/>
    </xf>
    <xf numFmtId="49" fontId="74" fillId="6" borderId="17" xfId="0" applyNumberFormat="1" applyFont="1" applyFill="1" applyBorder="1"/>
    <xf numFmtId="49" fontId="64" fillId="6" borderId="0" xfId="0" applyNumberFormat="1" applyFont="1" applyFill="1" applyAlignment="1">
      <alignment horizontal="left"/>
    </xf>
    <xf numFmtId="14" fontId="32" fillId="23" borderId="12" xfId="408" applyNumberFormat="1" applyFill="1" applyBorder="1" applyProtection="1">
      <protection locked="0"/>
    </xf>
    <xf numFmtId="14" fontId="32" fillId="0" borderId="12" xfId="408" applyNumberFormat="1" applyBorder="1" applyProtection="1">
      <protection locked="0"/>
    </xf>
    <xf numFmtId="3" fontId="172" fillId="26" borderId="8" xfId="1" applyNumberFormat="1" applyFont="1" applyFill="1" applyBorder="1" applyAlignment="1" applyProtection="1">
      <alignment horizontal="center"/>
      <protection locked="0"/>
    </xf>
    <xf numFmtId="3" fontId="172" fillId="26" borderId="12" xfId="1" applyNumberFormat="1" applyFont="1" applyFill="1" applyBorder="1" applyAlignment="1" applyProtection="1">
      <alignment horizontal="center"/>
      <protection locked="0"/>
    </xf>
    <xf numFmtId="0" fontId="80" fillId="25" borderId="0" xfId="0" applyFont="1" applyFill="1"/>
    <xf numFmtId="0" fontId="182" fillId="43" borderId="0" xfId="0" applyFont="1" applyFill="1" applyProtection="1">
      <protection locked="0"/>
    </xf>
    <xf numFmtId="0" fontId="176" fillId="20" borderId="0" xfId="408" applyFont="1" applyFill="1" applyProtection="1">
      <protection locked="0"/>
    </xf>
    <xf numFmtId="0" fontId="183" fillId="44" borderId="0" xfId="0" applyFont="1" applyFill="1" applyProtection="1">
      <protection locked="0"/>
    </xf>
    <xf numFmtId="3" fontId="69" fillId="0" borderId="94" xfId="0" applyNumberFormat="1" applyFont="1" applyBorder="1" applyAlignment="1">
      <alignment horizontal="center"/>
    </xf>
    <xf numFmtId="0" fontId="88" fillId="18" borderId="0" xfId="0" applyFont="1" applyFill="1"/>
    <xf numFmtId="14" fontId="0" fillId="0" borderId="0" xfId="0" applyNumberFormat="1" applyProtection="1">
      <protection locked="0"/>
    </xf>
    <xf numFmtId="0" fontId="1" fillId="12" borderId="0" xfId="408" applyFont="1" applyFill="1" applyProtection="1">
      <protection locked="0"/>
    </xf>
    <xf numFmtId="0" fontId="1" fillId="0" borderId="12" xfId="408" applyFont="1" applyBorder="1" applyProtection="1">
      <protection locked="0"/>
    </xf>
    <xf numFmtId="0" fontId="120" fillId="13" borderId="56" xfId="0" applyFont="1" applyFill="1" applyBorder="1" applyAlignment="1" applyProtection="1">
      <alignment horizontal="left"/>
      <protection locked="0"/>
    </xf>
    <xf numFmtId="0" fontId="120" fillId="13" borderId="15" xfId="0" applyFont="1" applyFill="1" applyBorder="1" applyAlignment="1" applyProtection="1">
      <alignment horizontal="left"/>
      <protection locked="0"/>
    </xf>
    <xf numFmtId="0" fontId="120" fillId="13" borderId="65" xfId="0" applyFont="1" applyFill="1" applyBorder="1" applyAlignment="1" applyProtection="1">
      <alignment horizontal="left"/>
      <protection locked="0"/>
    </xf>
    <xf numFmtId="0" fontId="120" fillId="13" borderId="51" xfId="0" applyFont="1" applyFill="1" applyBorder="1" applyAlignment="1" applyProtection="1">
      <alignment horizontal="left"/>
      <protection locked="0"/>
    </xf>
    <xf numFmtId="0" fontId="120" fillId="13" borderId="67" xfId="0" applyFont="1" applyFill="1" applyBorder="1" applyAlignment="1" applyProtection="1">
      <alignment horizontal="left"/>
      <protection locked="0"/>
    </xf>
    <xf numFmtId="0" fontId="120" fillId="13" borderId="53" xfId="0" applyFont="1" applyFill="1" applyBorder="1" applyAlignment="1" applyProtection="1">
      <alignment horizontal="left"/>
      <protection locked="0"/>
    </xf>
    <xf numFmtId="0" fontId="0" fillId="0" borderId="14" xfId="0" applyBorder="1" applyAlignment="1" applyProtection="1">
      <alignment horizontal="center"/>
      <protection locked="0"/>
    </xf>
    <xf numFmtId="0" fontId="88" fillId="18" borderId="61" xfId="0" applyFont="1" applyFill="1" applyBorder="1" applyAlignment="1">
      <alignment vertical="center"/>
    </xf>
    <xf numFmtId="0" fontId="1" fillId="0" borderId="0" xfId="408" applyFont="1" applyAlignment="1" applyProtection="1">
      <alignment horizontal="right"/>
      <protection locked="0"/>
    </xf>
    <xf numFmtId="9" fontId="0" fillId="0" borderId="12" xfId="0" applyNumberFormat="1" applyBorder="1" applyAlignment="1" applyProtection="1">
      <alignment horizontal="center"/>
      <protection locked="0"/>
    </xf>
    <xf numFmtId="0" fontId="46" fillId="18" borderId="0" xfId="0" applyFont="1" applyFill="1" applyProtection="1">
      <protection locked="0"/>
    </xf>
    <xf numFmtId="0" fontId="46" fillId="0" borderId="12" xfId="0" applyFont="1" applyBorder="1" applyAlignment="1">
      <alignment vertical="center"/>
    </xf>
    <xf numFmtId="44" fontId="46" fillId="0" borderId="12" xfId="0" applyNumberFormat="1" applyFont="1" applyBorder="1" applyAlignment="1" applyProtection="1">
      <alignment horizontal="center"/>
      <protection locked="0"/>
    </xf>
    <xf numFmtId="44" fontId="184" fillId="0" borderId="12" xfId="0" applyNumberFormat="1" applyFont="1" applyBorder="1" applyAlignment="1" applyProtection="1">
      <alignment horizontal="center"/>
      <protection locked="0"/>
    </xf>
    <xf numFmtId="0" fontId="185" fillId="0" borderId="12" xfId="0" applyFont="1" applyBorder="1" applyAlignment="1">
      <alignment horizontal="center"/>
    </xf>
    <xf numFmtId="0" fontId="46" fillId="0" borderId="13" xfId="0" applyFont="1" applyBorder="1"/>
    <xf numFmtId="0" fontId="46" fillId="0" borderId="12" xfId="0" applyFont="1" applyBorder="1" applyAlignment="1" applyProtection="1">
      <alignment horizontal="center"/>
      <protection locked="0"/>
    </xf>
    <xf numFmtId="0" fontId="76" fillId="10" borderId="70" xfId="0" applyFont="1" applyFill="1" applyBorder="1"/>
    <xf numFmtId="9" fontId="78" fillId="0" borderId="76" xfId="0" applyNumberFormat="1" applyFont="1" applyBorder="1" applyAlignment="1">
      <alignment horizontal="center"/>
    </xf>
    <xf numFmtId="0" fontId="46" fillId="0" borderId="30" xfId="60" applyBorder="1" applyAlignment="1">
      <alignment horizontal="center"/>
    </xf>
    <xf numFmtId="0" fontId="46" fillId="0" borderId="12" xfId="60" applyBorder="1" applyAlignment="1">
      <alignment horizontal="center"/>
    </xf>
    <xf numFmtId="9" fontId="46" fillId="0" borderId="30" xfId="60" applyNumberFormat="1" applyBorder="1" applyAlignment="1">
      <alignment horizontal="center"/>
    </xf>
    <xf numFmtId="0" fontId="46" fillId="0" borderId="12" xfId="60" applyBorder="1" applyAlignment="1" applyProtection="1">
      <alignment horizontal="center"/>
      <protection locked="0"/>
    </xf>
    <xf numFmtId="173" fontId="46" fillId="0" borderId="12" xfId="28" applyFont="1" applyBorder="1" applyAlignment="1" applyProtection="1">
      <alignment horizontal="center"/>
      <protection locked="0"/>
    </xf>
    <xf numFmtId="9" fontId="46" fillId="0" borderId="100" xfId="60" applyNumberFormat="1" applyBorder="1" applyAlignment="1">
      <alignment horizontal="center"/>
    </xf>
    <xf numFmtId="0" fontId="46" fillId="0" borderId="20" xfId="60" applyBorder="1" applyAlignment="1" applyProtection="1">
      <alignment horizontal="center"/>
      <protection locked="0"/>
    </xf>
    <xf numFmtId="173" fontId="46" fillId="0" borderId="20" xfId="28" applyFont="1" applyBorder="1" applyAlignment="1" applyProtection="1">
      <alignment horizontal="center"/>
      <protection locked="0"/>
    </xf>
    <xf numFmtId="0" fontId="46" fillId="0" borderId="34" xfId="60" applyBorder="1" applyAlignment="1">
      <alignment horizontal="center"/>
    </xf>
    <xf numFmtId="0" fontId="46" fillId="0" borderId="21" xfId="60" applyBorder="1" applyAlignment="1" applyProtection="1">
      <alignment horizontal="center"/>
      <protection locked="0"/>
    </xf>
    <xf numFmtId="0" fontId="46" fillId="0" borderId="35" xfId="60" applyBorder="1" applyAlignment="1">
      <alignment horizontal="center"/>
    </xf>
    <xf numFmtId="0" fontId="46" fillId="0" borderId="45" xfId="60" applyBorder="1" applyAlignment="1">
      <alignment horizontal="center"/>
    </xf>
    <xf numFmtId="0" fontId="46" fillId="0" borderId="71" xfId="60" applyBorder="1" applyAlignment="1">
      <alignment horizontal="center"/>
    </xf>
    <xf numFmtId="0" fontId="46" fillId="0" borderId="12" xfId="28" applyNumberFormat="1" applyFont="1" applyBorder="1" applyAlignment="1" applyProtection="1">
      <alignment horizontal="center"/>
      <protection locked="0"/>
    </xf>
    <xf numFmtId="0" fontId="46" fillId="0" borderId="52" xfId="60" applyBorder="1" applyAlignment="1">
      <alignment horizontal="center"/>
    </xf>
    <xf numFmtId="0" fontId="46" fillId="0" borderId="21" xfId="0" applyFont="1" applyBorder="1" applyAlignment="1">
      <alignment horizontal="center"/>
    </xf>
    <xf numFmtId="0" fontId="46" fillId="0" borderId="13" xfId="60" applyBorder="1" applyAlignment="1">
      <alignment horizontal="center"/>
    </xf>
    <xf numFmtId="0" fontId="46" fillId="0" borderId="36" xfId="60" applyBorder="1" applyAlignment="1">
      <alignment horizontal="center"/>
    </xf>
    <xf numFmtId="0" fontId="46" fillId="0" borderId="96" xfId="60" applyBorder="1" applyAlignment="1">
      <alignment horizontal="center"/>
    </xf>
    <xf numFmtId="0" fontId="46" fillId="0" borderId="96" xfId="60" applyBorder="1" applyAlignment="1" applyProtection="1">
      <alignment horizontal="center"/>
      <protection locked="0"/>
    </xf>
    <xf numFmtId="0" fontId="46" fillId="0" borderId="25" xfId="60" applyBorder="1" applyAlignment="1">
      <alignment horizontal="center"/>
    </xf>
    <xf numFmtId="0" fontId="46" fillId="0" borderId="13" xfId="0" applyFont="1" applyBorder="1" applyAlignment="1">
      <alignment horizontal="center"/>
    </xf>
    <xf numFmtId="0" fontId="186" fillId="0" borderId="12" xfId="0" applyFont="1" applyBorder="1" applyAlignment="1">
      <alignment horizontal="center"/>
    </xf>
    <xf numFmtId="0" fontId="46" fillId="0" borderId="40" xfId="0" applyFont="1" applyBorder="1" applyAlignment="1">
      <alignment horizontal="center"/>
    </xf>
    <xf numFmtId="10" fontId="100" fillId="11" borderId="0" xfId="0" applyNumberFormat="1" applyFont="1" applyFill="1" applyAlignment="1" applyProtection="1">
      <alignment horizontal="center"/>
      <protection locked="0"/>
    </xf>
    <xf numFmtId="0" fontId="0" fillId="25" borderId="12" xfId="0" applyFill="1" applyBorder="1" applyProtection="1">
      <protection locked="0"/>
    </xf>
    <xf numFmtId="0" fontId="46" fillId="0" borderId="13" xfId="0" applyFont="1" applyBorder="1" applyAlignment="1" applyProtection="1">
      <alignment horizontal="center"/>
      <protection locked="0"/>
    </xf>
    <xf numFmtId="0" fontId="32" fillId="20" borderId="0" xfId="408" applyFill="1" applyProtection="1">
      <protection locked="0"/>
    </xf>
    <xf numFmtId="0" fontId="32" fillId="20" borderId="0" xfId="408" applyFill="1" applyAlignment="1" applyProtection="1">
      <alignment horizontal="center"/>
      <protection locked="0"/>
    </xf>
    <xf numFmtId="0" fontId="0" fillId="20" borderId="0" xfId="0" applyFill="1" applyProtection="1">
      <protection locked="0"/>
    </xf>
    <xf numFmtId="0" fontId="46" fillId="20" borderId="0" xfId="0" applyFont="1" applyFill="1" applyProtection="1">
      <protection locked="0"/>
    </xf>
    <xf numFmtId="0" fontId="32" fillId="43" borderId="0" xfId="408" applyFill="1" applyProtection="1">
      <protection locked="0"/>
    </xf>
    <xf numFmtId="0" fontId="32" fillId="43" borderId="0" xfId="408" applyFill="1" applyAlignment="1" applyProtection="1">
      <alignment horizontal="center"/>
      <protection locked="0"/>
    </xf>
    <xf numFmtId="0" fontId="0" fillId="43" borderId="0" xfId="0" applyFill="1" applyProtection="1">
      <protection locked="0"/>
    </xf>
    <xf numFmtId="0" fontId="46" fillId="43" borderId="0" xfId="0" applyFont="1" applyFill="1" applyProtection="1">
      <protection locked="0"/>
    </xf>
    <xf numFmtId="0" fontId="0" fillId="43" borderId="0" xfId="0" applyFill="1" applyAlignment="1" applyProtection="1">
      <alignment horizontal="center"/>
      <protection locked="0"/>
    </xf>
    <xf numFmtId="0" fontId="0" fillId="43" borderId="12" xfId="0" applyFill="1" applyBorder="1" applyProtection="1">
      <protection locked="0"/>
    </xf>
    <xf numFmtId="0" fontId="0" fillId="44" borderId="0" xfId="0" applyFill="1" applyProtection="1">
      <protection locked="0"/>
    </xf>
    <xf numFmtId="0" fontId="0" fillId="44" borderId="0" xfId="0" applyFill="1" applyAlignment="1" applyProtection="1">
      <alignment horizontal="center"/>
      <protection locked="0"/>
    </xf>
    <xf numFmtId="0" fontId="0" fillId="44" borderId="12" xfId="0" applyFill="1" applyBorder="1" applyProtection="1">
      <protection locked="0"/>
    </xf>
    <xf numFmtId="0" fontId="46" fillId="44" borderId="0" xfId="0" applyFont="1" applyFill="1" applyProtection="1">
      <protection locked="0"/>
    </xf>
    <xf numFmtId="0" fontId="1" fillId="0" borderId="19" xfId="408" applyFont="1" applyBorder="1" applyProtection="1">
      <protection locked="0"/>
    </xf>
    <xf numFmtId="0" fontId="31" fillId="0" borderId="19" xfId="408" applyFont="1" applyBorder="1" applyProtection="1">
      <protection locked="0"/>
    </xf>
    <xf numFmtId="49" fontId="31" fillId="0" borderId="19" xfId="408" applyNumberFormat="1" applyFont="1" applyBorder="1" applyProtection="1">
      <protection locked="0"/>
    </xf>
    <xf numFmtId="49" fontId="32" fillId="0" borderId="19" xfId="408" applyNumberFormat="1" applyBorder="1" applyProtection="1">
      <protection locked="0"/>
    </xf>
    <xf numFmtId="0" fontId="32" fillId="0" borderId="19" xfId="408" applyBorder="1" applyProtection="1">
      <protection locked="0"/>
    </xf>
    <xf numFmtId="49" fontId="24" fillId="0" borderId="19" xfId="408" applyNumberFormat="1" applyFont="1" applyBorder="1" applyProtection="1">
      <protection locked="0"/>
    </xf>
    <xf numFmtId="49" fontId="0" fillId="0" borderId="19" xfId="0" applyNumberFormat="1" applyBorder="1" applyProtection="1">
      <protection locked="0"/>
    </xf>
    <xf numFmtId="0" fontId="0" fillId="0" borderId="0" xfId="0" applyAlignment="1" applyProtection="1">
      <alignment wrapText="1"/>
      <protection locked="0"/>
    </xf>
    <xf numFmtId="0" fontId="1" fillId="0" borderId="0" xfId="408" applyFont="1" applyAlignment="1" applyProtection="1">
      <alignment wrapText="1"/>
      <protection locked="0"/>
    </xf>
    <xf numFmtId="0" fontId="46" fillId="0" borderId="19" xfId="0" applyFont="1" applyBorder="1" applyProtection="1">
      <protection locked="0"/>
    </xf>
    <xf numFmtId="0" fontId="187" fillId="0" borderId="19" xfId="0" applyFont="1" applyBorder="1" applyAlignment="1" applyProtection="1">
      <alignment wrapText="1"/>
      <protection locked="0"/>
    </xf>
    <xf numFmtId="0" fontId="187" fillId="45" borderId="19" xfId="0" applyFont="1" applyFill="1" applyBorder="1" applyAlignment="1" applyProtection="1">
      <alignment wrapText="1"/>
      <protection locked="0"/>
    </xf>
    <xf numFmtId="44" fontId="100" fillId="11" borderId="96" xfId="0" applyNumberFormat="1" applyFont="1" applyFill="1" applyBorder="1" applyAlignment="1" applyProtection="1">
      <alignment horizontal="center"/>
      <protection locked="0"/>
    </xf>
    <xf numFmtId="44" fontId="120" fillId="11" borderId="96" xfId="0" applyNumberFormat="1" applyFont="1" applyFill="1" applyBorder="1" applyAlignment="1" applyProtection="1">
      <alignment horizontal="center"/>
      <protection locked="0"/>
    </xf>
    <xf numFmtId="0" fontId="120" fillId="11" borderId="12" xfId="60" applyFont="1" applyFill="1" applyBorder="1" applyAlignment="1" applyProtection="1">
      <alignment horizontal="center"/>
      <protection locked="0"/>
    </xf>
    <xf numFmtId="0" fontId="120" fillId="11" borderId="13" xfId="60" applyFont="1" applyFill="1" applyBorder="1" applyAlignment="1" applyProtection="1">
      <alignment horizontal="center"/>
      <protection locked="0"/>
    </xf>
    <xf numFmtId="0" fontId="120" fillId="11" borderId="64" xfId="60" applyFont="1" applyFill="1" applyBorder="1" applyAlignment="1" applyProtection="1">
      <alignment horizontal="center"/>
      <protection locked="0"/>
    </xf>
    <xf numFmtId="173" fontId="120" fillId="11" borderId="12" xfId="28" applyFont="1" applyFill="1" applyBorder="1" applyAlignment="1" applyProtection="1">
      <alignment horizontal="center"/>
      <protection locked="0"/>
    </xf>
    <xf numFmtId="0" fontId="120" fillId="11" borderId="20" xfId="60" applyFont="1" applyFill="1" applyBorder="1" applyAlignment="1" applyProtection="1">
      <alignment horizontal="center"/>
      <protection locked="0"/>
    </xf>
    <xf numFmtId="173" fontId="120" fillId="11" borderId="20" xfId="28" applyFont="1" applyFill="1" applyBorder="1" applyAlignment="1" applyProtection="1">
      <alignment horizontal="center"/>
      <protection locked="0"/>
    </xf>
    <xf numFmtId="0" fontId="120" fillId="11" borderId="16" xfId="60" applyFont="1" applyFill="1" applyBorder="1" applyAlignment="1" applyProtection="1">
      <alignment horizontal="center"/>
      <protection locked="0"/>
    </xf>
    <xf numFmtId="0" fontId="120" fillId="11" borderId="82" xfId="60" applyFont="1" applyFill="1" applyBorder="1" applyAlignment="1" applyProtection="1">
      <alignment horizontal="center"/>
      <protection locked="0"/>
    </xf>
    <xf numFmtId="0" fontId="120" fillId="11" borderId="21" xfId="60" applyFont="1" applyFill="1" applyBorder="1" applyAlignment="1" applyProtection="1">
      <alignment horizontal="center"/>
      <protection locked="0"/>
    </xf>
    <xf numFmtId="0" fontId="120" fillId="11" borderId="40" xfId="60" applyFont="1" applyFill="1" applyBorder="1" applyAlignment="1" applyProtection="1">
      <alignment horizontal="center"/>
      <protection locked="0"/>
    </xf>
    <xf numFmtId="0" fontId="0" fillId="0" borderId="19" xfId="0" applyBorder="1"/>
    <xf numFmtId="49" fontId="29" fillId="0" borderId="0" xfId="408" applyNumberFormat="1" applyFont="1" applyProtection="1">
      <protection locked="0"/>
    </xf>
    <xf numFmtId="49" fontId="46" fillId="0" borderId="12" xfId="0" applyNumberFormat="1" applyFont="1" applyBorder="1" applyAlignment="1">
      <alignment horizontal="center"/>
    </xf>
    <xf numFmtId="0" fontId="46" fillId="0" borderId="8" xfId="0" applyFont="1" applyBorder="1" applyAlignment="1">
      <alignment vertical="center"/>
    </xf>
    <xf numFmtId="0" fontId="0" fillId="46" borderId="12" xfId="0" applyFill="1" applyBorder="1"/>
    <xf numFmtId="0" fontId="46" fillId="46" borderId="12" xfId="0" applyFont="1" applyFill="1" applyBorder="1" applyAlignment="1">
      <alignment horizontal="center"/>
    </xf>
    <xf numFmtId="49" fontId="1" fillId="0" borderId="0" xfId="408" applyNumberFormat="1" applyFont="1" applyProtection="1">
      <protection locked="0"/>
    </xf>
    <xf numFmtId="49" fontId="46" fillId="0" borderId="12" xfId="0" applyNumberFormat="1" applyFont="1" applyBorder="1" applyAlignment="1" applyProtection="1">
      <alignment horizontal="center"/>
      <protection locked="0"/>
    </xf>
    <xf numFmtId="49" fontId="0" fillId="0" borderId="12" xfId="0" applyNumberFormat="1" applyBorder="1"/>
    <xf numFmtId="0" fontId="0" fillId="0" borderId="15" xfId="0" applyBorder="1" applyAlignment="1" applyProtection="1">
      <alignment horizontal="center"/>
      <protection locked="0"/>
    </xf>
    <xf numFmtId="0" fontId="120" fillId="11" borderId="64" xfId="0" applyFont="1" applyFill="1" applyBorder="1" applyAlignment="1" applyProtection="1">
      <alignment horizontal="center"/>
      <protection locked="0"/>
    </xf>
    <xf numFmtId="0" fontId="120" fillId="11" borderId="82" xfId="0" applyFont="1" applyFill="1" applyBorder="1" applyAlignment="1" applyProtection="1">
      <alignment horizontal="center"/>
      <protection locked="0"/>
    </xf>
    <xf numFmtId="0" fontId="120" fillId="11" borderId="68" xfId="0" applyFont="1" applyFill="1" applyBorder="1" applyAlignment="1" applyProtection="1">
      <alignment horizontal="center"/>
      <protection locked="0"/>
    </xf>
    <xf numFmtId="0" fontId="120" fillId="11" borderId="147" xfId="0" applyFont="1" applyFill="1" applyBorder="1" applyAlignment="1" applyProtection="1">
      <alignment horizontal="center"/>
      <protection locked="0"/>
    </xf>
    <xf numFmtId="184" fontId="0" fillId="0" borderId="12" xfId="0" applyNumberFormat="1" applyBorder="1" applyAlignment="1">
      <alignment horizontal="center"/>
    </xf>
    <xf numFmtId="184" fontId="32" fillId="0" borderId="12" xfId="408" applyNumberFormat="1" applyBorder="1" applyAlignment="1" applyProtection="1">
      <alignment horizontal="center"/>
      <protection locked="0"/>
    </xf>
    <xf numFmtId="184" fontId="9" fillId="0" borderId="12" xfId="408" applyNumberFormat="1" applyFont="1" applyBorder="1" applyAlignment="1" applyProtection="1">
      <alignment horizontal="center"/>
      <protection locked="0"/>
    </xf>
    <xf numFmtId="0" fontId="128" fillId="8" borderId="0" xfId="51" applyFont="1" applyFill="1" applyAlignment="1">
      <alignment horizontal="center"/>
    </xf>
    <xf numFmtId="178" fontId="75" fillId="8" borderId="0" xfId="51" applyNumberFormat="1" applyFont="1" applyFill="1" applyAlignment="1" applyProtection="1">
      <alignment horizontal="center" vertical="center"/>
      <protection hidden="1"/>
    </xf>
    <xf numFmtId="0" fontId="133" fillId="11" borderId="12" xfId="43" applyFont="1" applyFill="1" applyBorder="1" applyAlignment="1" applyProtection="1">
      <alignment horizontal="center"/>
      <protection locked="0"/>
    </xf>
    <xf numFmtId="0" fontId="69" fillId="2" borderId="13" xfId="0" applyFont="1" applyFill="1" applyBorder="1" applyAlignment="1">
      <alignment horizontal="center"/>
    </xf>
    <xf numFmtId="0" fontId="69" fillId="2" borderId="14" xfId="0" applyFont="1" applyFill="1" applyBorder="1" applyAlignment="1">
      <alignment horizontal="center"/>
    </xf>
    <xf numFmtId="0" fontId="69" fillId="2" borderId="15" xfId="0" applyFont="1" applyFill="1" applyBorder="1" applyAlignment="1">
      <alignment horizontal="center"/>
    </xf>
    <xf numFmtId="0" fontId="64" fillId="0" borderId="0" xfId="0" applyFont="1" applyAlignment="1">
      <alignment wrapText="1"/>
    </xf>
    <xf numFmtId="0" fontId="0" fillId="0" borderId="0" xfId="0" applyAlignment="1">
      <alignment wrapText="1"/>
    </xf>
    <xf numFmtId="0" fontId="64" fillId="0" borderId="19" xfId="0" applyFont="1" applyBorder="1" applyAlignment="1">
      <alignment wrapText="1"/>
    </xf>
    <xf numFmtId="0" fontId="0" fillId="0" borderId="19" xfId="0" applyBorder="1" applyAlignment="1">
      <alignment wrapText="1"/>
    </xf>
    <xf numFmtId="0" fontId="46" fillId="0" borderId="65" xfId="60" applyBorder="1" applyAlignment="1">
      <alignment horizontal="center"/>
    </xf>
    <xf numFmtId="0" fontId="46" fillId="0" borderId="72" xfId="60" applyBorder="1" applyAlignment="1">
      <alignment horizontal="center"/>
    </xf>
    <xf numFmtId="0" fontId="46" fillId="0" borderId="39" xfId="60" applyBorder="1" applyAlignment="1">
      <alignment horizontal="center"/>
    </xf>
    <xf numFmtId="0" fontId="183" fillId="43" borderId="0" xfId="0" applyFont="1" applyFill="1" applyAlignment="1" applyProtection="1">
      <alignment horizontal="center" vertical="center" textRotation="255"/>
      <protection locked="0"/>
    </xf>
    <xf numFmtId="0" fontId="183" fillId="20" borderId="0" xfId="0" applyFont="1" applyFill="1" applyAlignment="1" applyProtection="1">
      <alignment horizontal="center" vertical="center" textRotation="255"/>
      <protection locked="0"/>
    </xf>
    <xf numFmtId="0" fontId="183" fillId="44" borderId="0" xfId="0" applyFont="1" applyFill="1" applyAlignment="1" applyProtection="1">
      <alignment horizontal="center" vertical="center" textRotation="255"/>
      <protection locked="0"/>
    </xf>
    <xf numFmtId="172" fontId="100" fillId="13" borderId="13" xfId="0" applyNumberFormat="1" applyFont="1" applyFill="1" applyBorder="1" applyAlignment="1" applyProtection="1">
      <alignment horizontal="center"/>
      <protection locked="0"/>
    </xf>
    <xf numFmtId="172" fontId="100" fillId="13" borderId="14" xfId="0" applyNumberFormat="1" applyFont="1" applyFill="1" applyBorder="1" applyAlignment="1" applyProtection="1">
      <alignment horizontal="center"/>
      <protection locked="0"/>
    </xf>
    <xf numFmtId="172" fontId="100" fillId="13" borderId="42" xfId="0" applyNumberFormat="1" applyFont="1" applyFill="1" applyBorder="1" applyAlignment="1" applyProtection="1">
      <alignment horizontal="center"/>
      <protection locked="0"/>
    </xf>
    <xf numFmtId="49" fontId="100" fillId="13" borderId="13" xfId="0" applyNumberFormat="1" applyFont="1" applyFill="1" applyBorder="1" applyAlignment="1" applyProtection="1">
      <alignment horizontal="center"/>
      <protection locked="0"/>
    </xf>
    <xf numFmtId="49" fontId="100" fillId="13" borderId="14" xfId="0" applyNumberFormat="1" applyFont="1" applyFill="1" applyBorder="1" applyAlignment="1" applyProtection="1">
      <alignment horizontal="center"/>
      <protection locked="0"/>
    </xf>
    <xf numFmtId="49" fontId="100" fillId="13" borderId="42" xfId="0" applyNumberFormat="1" applyFont="1" applyFill="1" applyBorder="1" applyAlignment="1" applyProtection="1">
      <alignment horizontal="center"/>
      <protection locked="0"/>
    </xf>
    <xf numFmtId="49" fontId="100" fillId="13" borderId="50" xfId="0" applyNumberFormat="1" applyFont="1" applyFill="1" applyBorder="1" applyAlignment="1" applyProtection="1">
      <alignment horizontal="center"/>
      <protection locked="0"/>
    </xf>
    <xf numFmtId="49" fontId="100" fillId="13" borderId="72" xfId="0" applyNumberFormat="1" applyFont="1" applyFill="1" applyBorder="1" applyAlignment="1" applyProtection="1">
      <alignment horizontal="center"/>
      <protection locked="0"/>
    </xf>
    <xf numFmtId="49" fontId="100" fillId="13" borderId="39" xfId="0" applyNumberFormat="1" applyFont="1" applyFill="1" applyBorder="1" applyAlignment="1" applyProtection="1">
      <alignment horizontal="center"/>
      <protection locked="0"/>
    </xf>
    <xf numFmtId="0" fontId="119" fillId="13" borderId="40" xfId="21" applyNumberFormat="1" applyFont="1" applyFill="1" applyBorder="1" applyAlignment="1" applyProtection="1">
      <alignment horizontal="center"/>
      <protection locked="0"/>
    </xf>
    <xf numFmtId="0" fontId="119" fillId="13" borderId="73" xfId="21" applyNumberFormat="1" applyFont="1" applyFill="1" applyBorder="1" applyAlignment="1" applyProtection="1">
      <alignment horizontal="center"/>
      <protection locked="0"/>
    </xf>
    <xf numFmtId="0" fontId="119" fillId="13" borderId="43" xfId="21" applyNumberFormat="1" applyFont="1" applyFill="1" applyBorder="1" applyAlignment="1" applyProtection="1">
      <alignment horizontal="center"/>
      <protection locked="0"/>
    </xf>
    <xf numFmtId="49" fontId="100" fillId="13" borderId="41" xfId="0" applyNumberFormat="1" applyFont="1" applyFill="1" applyBorder="1" applyAlignment="1" applyProtection="1">
      <alignment horizontal="center"/>
      <protection locked="0"/>
    </xf>
    <xf numFmtId="49" fontId="100" fillId="13" borderId="59" xfId="0" applyNumberFormat="1" applyFont="1" applyFill="1" applyBorder="1" applyAlignment="1" applyProtection="1">
      <alignment horizontal="center"/>
      <protection locked="0"/>
    </xf>
    <xf numFmtId="49" fontId="100" fillId="13" borderId="37" xfId="0" applyNumberFormat="1" applyFont="1" applyFill="1" applyBorder="1" applyAlignment="1" applyProtection="1">
      <alignment horizontal="center"/>
      <protection locked="0"/>
    </xf>
    <xf numFmtId="0" fontId="100" fillId="13" borderId="56" xfId="0" applyFont="1" applyFill="1" applyBorder="1" applyAlignment="1" applyProtection="1">
      <alignment horizontal="center"/>
      <protection locked="0"/>
    </xf>
    <xf numFmtId="0" fontId="100" fillId="13" borderId="42" xfId="0" applyFont="1" applyFill="1" applyBorder="1" applyAlignment="1" applyProtection="1">
      <alignment horizontal="center"/>
      <protection locked="0"/>
    </xf>
    <xf numFmtId="2" fontId="101" fillId="13" borderId="13" xfId="0" applyNumberFormat="1" applyFont="1" applyFill="1" applyBorder="1" applyAlignment="1" applyProtection="1">
      <alignment horizontal="center"/>
      <protection locked="0"/>
    </xf>
    <xf numFmtId="2" fontId="101" fillId="13" borderId="42" xfId="0" applyNumberFormat="1" applyFont="1" applyFill="1" applyBorder="1" applyAlignment="1" applyProtection="1">
      <alignment horizontal="center"/>
      <protection locked="0"/>
    </xf>
    <xf numFmtId="0" fontId="100" fillId="11" borderId="50" xfId="0" applyFont="1" applyFill="1" applyBorder="1" applyAlignment="1" applyProtection="1">
      <alignment horizontal="center"/>
      <protection locked="0"/>
    </xf>
    <xf numFmtId="0" fontId="100" fillId="11" borderId="39" xfId="0" applyFont="1" applyFill="1" applyBorder="1" applyAlignment="1" applyProtection="1">
      <alignment horizontal="center"/>
      <protection locked="0"/>
    </xf>
    <xf numFmtId="0" fontId="100" fillId="11" borderId="13" xfId="0" applyFont="1" applyFill="1" applyBorder="1" applyAlignment="1" applyProtection="1">
      <alignment horizontal="center"/>
      <protection locked="0"/>
    </xf>
    <xf numFmtId="0" fontId="100" fillId="11" borderId="42" xfId="0" applyFont="1" applyFill="1" applyBorder="1" applyAlignment="1" applyProtection="1">
      <alignment horizontal="center"/>
      <protection locked="0"/>
    </xf>
    <xf numFmtId="167" fontId="100" fillId="11" borderId="13" xfId="0" applyNumberFormat="1" applyFont="1" applyFill="1" applyBorder="1" applyAlignment="1" applyProtection="1">
      <alignment horizontal="center"/>
      <protection locked="0"/>
    </xf>
    <xf numFmtId="167" fontId="100" fillId="11" borderId="42" xfId="0" applyNumberFormat="1" applyFont="1" applyFill="1" applyBorder="1" applyAlignment="1" applyProtection="1">
      <alignment horizontal="center"/>
      <protection locked="0"/>
    </xf>
    <xf numFmtId="169" fontId="100" fillId="11" borderId="13" xfId="0" applyNumberFormat="1" applyFont="1" applyFill="1" applyBorder="1" applyAlignment="1" applyProtection="1">
      <alignment horizontal="center"/>
      <protection locked="0"/>
    </xf>
    <xf numFmtId="169" fontId="100" fillId="11" borderId="42" xfId="0" applyNumberFormat="1" applyFont="1" applyFill="1" applyBorder="1" applyAlignment="1" applyProtection="1">
      <alignment horizontal="center"/>
      <protection locked="0"/>
    </xf>
    <xf numFmtId="169" fontId="100" fillId="11" borderId="13" xfId="36" applyNumberFormat="1" applyFont="1" applyFill="1" applyBorder="1" applyAlignment="1" applyProtection="1">
      <alignment horizontal="center"/>
      <protection locked="0"/>
    </xf>
    <xf numFmtId="169" fontId="100" fillId="11" borderId="42" xfId="36" applyNumberFormat="1" applyFont="1" applyFill="1" applyBorder="1" applyAlignment="1" applyProtection="1">
      <alignment horizontal="center"/>
      <protection locked="0"/>
    </xf>
    <xf numFmtId="165" fontId="100" fillId="11" borderId="11" xfId="0" applyNumberFormat="1" applyFont="1" applyFill="1" applyBorder="1" applyAlignment="1" applyProtection="1">
      <alignment horizontal="center"/>
      <protection locked="0"/>
    </xf>
    <xf numFmtId="165" fontId="100" fillId="11" borderId="33" xfId="0" applyNumberFormat="1" applyFont="1" applyFill="1" applyBorder="1" applyAlignment="1" applyProtection="1">
      <alignment horizontal="center"/>
      <protection locked="0"/>
    </xf>
    <xf numFmtId="49" fontId="100" fillId="11" borderId="13" xfId="0" applyNumberFormat="1" applyFont="1" applyFill="1" applyBorder="1" applyAlignment="1" applyProtection="1">
      <alignment horizontal="center"/>
      <protection locked="0"/>
    </xf>
    <xf numFmtId="49" fontId="100" fillId="11" borderId="42" xfId="0" applyNumberFormat="1" applyFont="1" applyFill="1" applyBorder="1" applyAlignment="1" applyProtection="1">
      <alignment horizontal="center"/>
      <protection locked="0"/>
    </xf>
    <xf numFmtId="0" fontId="100" fillId="11" borderId="65" xfId="0" applyFont="1" applyFill="1" applyBorder="1" applyAlignment="1" applyProtection="1">
      <alignment horizontal="center"/>
      <protection locked="0"/>
    </xf>
    <xf numFmtId="0" fontId="100" fillId="11" borderId="72" xfId="0" applyFont="1" applyFill="1" applyBorder="1" applyAlignment="1" applyProtection="1">
      <alignment horizontal="center"/>
      <protection locked="0"/>
    </xf>
    <xf numFmtId="0" fontId="100" fillId="11" borderId="56" xfId="0" applyFont="1" applyFill="1" applyBorder="1" applyAlignment="1" applyProtection="1">
      <alignment horizontal="center"/>
      <protection locked="0"/>
    </xf>
    <xf numFmtId="0" fontId="100" fillId="11" borderId="14" xfId="0" applyFont="1" applyFill="1" applyBorder="1" applyAlignment="1" applyProtection="1">
      <alignment horizontal="center"/>
      <protection locked="0"/>
    </xf>
    <xf numFmtId="0" fontId="0" fillId="0" borderId="14" xfId="0" applyBorder="1" applyAlignment="1" applyProtection="1">
      <alignment horizontal="center"/>
      <protection locked="0"/>
    </xf>
    <xf numFmtId="0" fontId="0" fillId="0" borderId="42" xfId="0" applyBorder="1" applyAlignment="1" applyProtection="1">
      <alignment horizontal="center"/>
      <protection locked="0"/>
    </xf>
    <xf numFmtId="49" fontId="100" fillId="11" borderId="56" xfId="0" quotePrefix="1" applyNumberFormat="1" applyFont="1" applyFill="1" applyBorder="1" applyAlignment="1" applyProtection="1">
      <alignment horizontal="center"/>
      <protection locked="0"/>
    </xf>
    <xf numFmtId="49" fontId="100" fillId="11" borderId="14" xfId="0" quotePrefix="1" applyNumberFormat="1" applyFont="1" applyFill="1" applyBorder="1" applyAlignment="1" applyProtection="1">
      <alignment horizontal="center"/>
      <protection locked="0"/>
    </xf>
    <xf numFmtId="49" fontId="100" fillId="11" borderId="42" xfId="0" quotePrefix="1" applyNumberFormat="1" applyFont="1" applyFill="1" applyBorder="1" applyAlignment="1" applyProtection="1">
      <alignment horizontal="center"/>
      <protection locked="0"/>
    </xf>
    <xf numFmtId="49" fontId="100" fillId="11" borderId="56" xfId="0" applyNumberFormat="1" applyFont="1" applyFill="1" applyBorder="1" applyAlignment="1" applyProtection="1">
      <alignment horizontal="center"/>
      <protection locked="0"/>
    </xf>
    <xf numFmtId="9" fontId="100" fillId="11" borderId="56" xfId="0" applyNumberFormat="1" applyFont="1" applyFill="1" applyBorder="1" applyAlignment="1" applyProtection="1">
      <alignment horizontal="center"/>
      <protection locked="0"/>
    </xf>
    <xf numFmtId="9" fontId="100" fillId="11" borderId="14" xfId="0" applyNumberFormat="1" applyFont="1" applyFill="1" applyBorder="1" applyAlignment="1" applyProtection="1">
      <alignment horizontal="center"/>
      <protection locked="0"/>
    </xf>
    <xf numFmtId="9" fontId="100" fillId="11" borderId="42" xfId="0" applyNumberFormat="1" applyFont="1" applyFill="1" applyBorder="1" applyAlignment="1" applyProtection="1">
      <alignment horizontal="center"/>
      <protection locked="0"/>
    </xf>
    <xf numFmtId="0" fontId="64" fillId="0" borderId="56" xfId="0" applyFont="1" applyBorder="1" applyAlignment="1">
      <alignment horizontal="center"/>
    </xf>
    <xf numFmtId="0" fontId="64" fillId="0" borderId="14" xfId="0" applyFont="1" applyBorder="1" applyAlignment="1">
      <alignment horizontal="center"/>
    </xf>
    <xf numFmtId="0" fontId="64" fillId="0" borderId="42" xfId="0" applyFont="1" applyBorder="1" applyAlignment="1">
      <alignment horizontal="center"/>
    </xf>
    <xf numFmtId="49" fontId="100" fillId="13" borderId="12" xfId="0" applyNumberFormat="1" applyFont="1" applyFill="1" applyBorder="1" applyAlignment="1" applyProtection="1">
      <alignment horizontal="center"/>
      <protection locked="0"/>
    </xf>
    <xf numFmtId="49" fontId="100" fillId="13" borderId="64" xfId="0" applyNumberFormat="1" applyFont="1" applyFill="1" applyBorder="1" applyAlignment="1" applyProtection="1">
      <alignment horizontal="center"/>
      <protection locked="0"/>
    </xf>
    <xf numFmtId="172" fontId="100" fillId="13" borderId="12" xfId="0" applyNumberFormat="1" applyFont="1" applyFill="1" applyBorder="1" applyAlignment="1" applyProtection="1">
      <alignment horizontal="center"/>
      <protection locked="0"/>
    </xf>
    <xf numFmtId="172" fontId="100" fillId="13" borderId="64" xfId="0" applyNumberFormat="1" applyFont="1" applyFill="1" applyBorder="1" applyAlignment="1" applyProtection="1">
      <alignment horizontal="center"/>
      <protection locked="0"/>
    </xf>
    <xf numFmtId="0" fontId="57" fillId="13" borderId="21" xfId="21" applyNumberFormat="1" applyFill="1" applyBorder="1" applyAlignment="1" applyProtection="1">
      <alignment horizontal="center"/>
      <protection locked="0"/>
    </xf>
    <xf numFmtId="0" fontId="119" fillId="13" borderId="21" xfId="21" applyNumberFormat="1" applyFont="1" applyFill="1" applyBorder="1" applyAlignment="1" applyProtection="1">
      <alignment horizontal="center"/>
      <protection locked="0"/>
    </xf>
    <xf numFmtId="0" fontId="119" fillId="13" borderId="68" xfId="21" applyNumberFormat="1" applyFont="1" applyFill="1" applyBorder="1" applyAlignment="1" applyProtection="1">
      <alignment horizontal="center"/>
      <protection locked="0"/>
    </xf>
    <xf numFmtId="0" fontId="76" fillId="10" borderId="41" xfId="0" applyFont="1" applyFill="1" applyBorder="1" applyAlignment="1">
      <alignment horizontal="center" vertical="center" wrapText="1"/>
    </xf>
    <xf numFmtId="0" fontId="76" fillId="10" borderId="37" xfId="0" applyFont="1" applyFill="1" applyBorder="1" applyAlignment="1">
      <alignment horizontal="center" vertical="center" wrapText="1"/>
    </xf>
    <xf numFmtId="49" fontId="100" fillId="13" borderId="8" xfId="0" applyNumberFormat="1" applyFont="1" applyFill="1" applyBorder="1" applyAlignment="1" applyProtection="1">
      <alignment horizontal="center"/>
      <protection locked="0"/>
    </xf>
    <xf numFmtId="49" fontId="100" fillId="13" borderId="75" xfId="0" applyNumberFormat="1" applyFont="1" applyFill="1" applyBorder="1" applyAlignment="1" applyProtection="1">
      <alignment horizontal="center"/>
      <protection locked="0"/>
    </xf>
    <xf numFmtId="0" fontId="100" fillId="13" borderId="67" xfId="0" applyFont="1" applyFill="1" applyBorder="1" applyAlignment="1" applyProtection="1">
      <alignment horizontal="center"/>
      <protection locked="0"/>
    </xf>
    <xf numFmtId="0" fontId="100" fillId="13" borderId="43" xfId="0" applyFont="1" applyFill="1" applyBorder="1" applyAlignment="1" applyProtection="1">
      <alignment horizontal="center"/>
      <protection locked="0"/>
    </xf>
    <xf numFmtId="0" fontId="100" fillId="13" borderId="65" xfId="0" applyFont="1" applyFill="1" applyBorder="1" applyAlignment="1" applyProtection="1">
      <alignment horizontal="center"/>
      <protection locked="0"/>
    </xf>
    <xf numFmtId="0" fontId="100" fillId="13" borderId="39" xfId="0" applyFont="1" applyFill="1" applyBorder="1" applyAlignment="1" applyProtection="1">
      <alignment horizontal="center"/>
      <protection locked="0"/>
    </xf>
    <xf numFmtId="170" fontId="64" fillId="0" borderId="8" xfId="7" applyNumberFormat="1" applyFont="1" applyFill="1" applyBorder="1" applyAlignment="1" applyProtection="1">
      <alignment horizontal="left"/>
    </xf>
    <xf numFmtId="170" fontId="64" fillId="0" borderId="75" xfId="7" applyNumberFormat="1" applyFont="1" applyFill="1" applyBorder="1" applyAlignment="1" applyProtection="1">
      <alignment horizontal="left"/>
    </xf>
    <xf numFmtId="170" fontId="64" fillId="0" borderId="12" xfId="7" applyNumberFormat="1" applyFont="1" applyFill="1" applyBorder="1" applyAlignment="1" applyProtection="1">
      <alignment horizontal="center"/>
    </xf>
    <xf numFmtId="170" fontId="64" fillId="0" borderId="64" xfId="7" applyNumberFormat="1" applyFont="1" applyFill="1" applyBorder="1" applyAlignment="1" applyProtection="1">
      <alignment horizontal="center"/>
    </xf>
    <xf numFmtId="0" fontId="76" fillId="10" borderId="36" xfId="0" applyFont="1" applyFill="1" applyBorder="1" applyAlignment="1">
      <alignment horizontal="center" vertical="center" wrapText="1"/>
    </xf>
    <xf numFmtId="0" fontId="76" fillId="10" borderId="63" xfId="0" applyFont="1" applyFill="1" applyBorder="1" applyAlignment="1">
      <alignment horizontal="center" vertical="center" wrapText="1"/>
    </xf>
    <xf numFmtId="0" fontId="100" fillId="13" borderId="13" xfId="0" applyFont="1" applyFill="1" applyBorder="1" applyAlignment="1" applyProtection="1">
      <alignment horizontal="center"/>
      <protection locked="0"/>
    </xf>
    <xf numFmtId="0" fontId="100" fillId="13" borderId="15" xfId="0" applyFont="1" applyFill="1" applyBorder="1" applyAlignment="1" applyProtection="1">
      <alignment horizontal="center"/>
      <protection locked="0"/>
    </xf>
    <xf numFmtId="0" fontId="100" fillId="13" borderId="50" xfId="0" applyFont="1" applyFill="1" applyBorder="1" applyAlignment="1" applyProtection="1">
      <alignment horizontal="center"/>
      <protection locked="0"/>
    </xf>
    <xf numFmtId="0" fontId="100" fillId="13" borderId="51" xfId="0" applyFont="1" applyFill="1" applyBorder="1" applyAlignment="1" applyProtection="1">
      <alignment horizontal="center"/>
      <protection locked="0"/>
    </xf>
    <xf numFmtId="9" fontId="100" fillId="11" borderId="40" xfId="0" applyNumberFormat="1" applyFont="1" applyFill="1" applyBorder="1" applyAlignment="1" applyProtection="1">
      <alignment horizontal="center"/>
      <protection locked="0"/>
    </xf>
    <xf numFmtId="9" fontId="100" fillId="11" borderId="73" xfId="0" applyNumberFormat="1" applyFont="1" applyFill="1" applyBorder="1" applyAlignment="1" applyProtection="1">
      <alignment horizontal="center"/>
      <protection locked="0"/>
    </xf>
    <xf numFmtId="9" fontId="100" fillId="11" borderId="43" xfId="0" applyNumberFormat="1" applyFont="1" applyFill="1" applyBorder="1" applyAlignment="1" applyProtection="1">
      <alignment horizontal="center"/>
      <protection locked="0"/>
    </xf>
    <xf numFmtId="3" fontId="100" fillId="11" borderId="20" xfId="0" applyNumberFormat="1" applyFont="1" applyFill="1" applyBorder="1" applyAlignment="1" applyProtection="1">
      <alignment horizontal="center"/>
      <protection locked="0"/>
    </xf>
    <xf numFmtId="3" fontId="100" fillId="11" borderId="82" xfId="0" applyNumberFormat="1" applyFont="1" applyFill="1" applyBorder="1" applyAlignment="1" applyProtection="1">
      <alignment horizontal="center"/>
      <protection locked="0"/>
    </xf>
    <xf numFmtId="3" fontId="64" fillId="0" borderId="40" xfId="0" applyNumberFormat="1" applyFont="1" applyBorder="1" applyAlignment="1">
      <alignment horizontal="center"/>
    </xf>
    <xf numFmtId="3" fontId="64" fillId="0" borderId="73" xfId="0" applyNumberFormat="1" applyFont="1" applyBorder="1" applyAlignment="1">
      <alignment horizontal="center"/>
    </xf>
    <xf numFmtId="3" fontId="64" fillId="0" borderId="43" xfId="0" applyNumberFormat="1" applyFont="1" applyBorder="1" applyAlignment="1">
      <alignment horizontal="center"/>
    </xf>
    <xf numFmtId="0" fontId="76" fillId="10" borderId="35" xfId="0" applyFont="1" applyFill="1" applyBorder="1" applyAlignment="1">
      <alignment horizontal="center" vertical="center" wrapText="1"/>
    </xf>
    <xf numFmtId="0" fontId="76" fillId="10" borderId="71" xfId="0" applyFont="1" applyFill="1" applyBorder="1" applyAlignment="1">
      <alignment horizontal="center" vertical="center" wrapText="1"/>
    </xf>
    <xf numFmtId="0" fontId="100" fillId="13" borderId="40" xfId="0" applyFont="1" applyFill="1" applyBorder="1" applyAlignment="1" applyProtection="1">
      <alignment horizontal="center"/>
      <protection locked="0"/>
    </xf>
    <xf numFmtId="0" fontId="100" fillId="13" borderId="53" xfId="0" applyFont="1" applyFill="1" applyBorder="1" applyAlignment="1" applyProtection="1">
      <alignment horizontal="center"/>
      <protection locked="0"/>
    </xf>
    <xf numFmtId="0" fontId="116" fillId="25" borderId="0" xfId="0" applyFont="1" applyFill="1" applyAlignment="1">
      <alignment horizontal="center"/>
    </xf>
    <xf numFmtId="0" fontId="100" fillId="11" borderId="40" xfId="0" applyFont="1" applyFill="1" applyBorder="1" applyAlignment="1" applyProtection="1">
      <alignment horizontal="center"/>
      <protection locked="0"/>
    </xf>
    <xf numFmtId="0" fontId="100" fillId="11" borderId="43" xfId="0" applyFont="1" applyFill="1" applyBorder="1" applyAlignment="1" applyProtection="1">
      <alignment horizontal="center"/>
      <protection locked="0"/>
    </xf>
    <xf numFmtId="172" fontId="100" fillId="11" borderId="13" xfId="0" applyNumberFormat="1" applyFont="1" applyFill="1" applyBorder="1" applyAlignment="1" applyProtection="1">
      <alignment horizontal="center"/>
      <protection locked="0"/>
    </xf>
    <xf numFmtId="172" fontId="100" fillId="11" borderId="42" xfId="0" applyNumberFormat="1" applyFont="1" applyFill="1" applyBorder="1" applyAlignment="1" applyProtection="1">
      <alignment horizontal="center"/>
      <protection locked="0"/>
    </xf>
    <xf numFmtId="0" fontId="100" fillId="0" borderId="13" xfId="0" applyFont="1" applyBorder="1" applyAlignment="1">
      <alignment horizontal="center"/>
    </xf>
    <xf numFmtId="0" fontId="100" fillId="0" borderId="42" xfId="0" applyFont="1" applyBorder="1" applyAlignment="1">
      <alignment horizontal="center"/>
    </xf>
    <xf numFmtId="3" fontId="100" fillId="11" borderId="13" xfId="0" applyNumberFormat="1" applyFont="1" applyFill="1" applyBorder="1" applyAlignment="1" applyProtection="1">
      <alignment horizontal="center"/>
      <protection locked="0"/>
    </xf>
    <xf numFmtId="3" fontId="100" fillId="11" borderId="14" xfId="0" applyNumberFormat="1" applyFont="1" applyFill="1" applyBorder="1" applyAlignment="1" applyProtection="1">
      <alignment horizontal="center"/>
      <protection locked="0"/>
    </xf>
    <xf numFmtId="3" fontId="100" fillId="11" borderId="42" xfId="0" applyNumberFormat="1" applyFont="1" applyFill="1" applyBorder="1" applyAlignment="1" applyProtection="1">
      <alignment horizontal="center"/>
      <protection locked="0"/>
    </xf>
    <xf numFmtId="165" fontId="100" fillId="11" borderId="13" xfId="0" applyNumberFormat="1" applyFont="1" applyFill="1" applyBorder="1" applyAlignment="1" applyProtection="1">
      <alignment horizontal="center"/>
      <protection locked="0"/>
    </xf>
    <xf numFmtId="165" fontId="100" fillId="11" borderId="42" xfId="0" applyNumberFormat="1" applyFont="1" applyFill="1" applyBorder="1" applyAlignment="1" applyProtection="1">
      <alignment horizontal="center"/>
      <protection locked="0"/>
    </xf>
    <xf numFmtId="10" fontId="100" fillId="11" borderId="40" xfId="36" applyNumberFormat="1" applyFont="1" applyFill="1" applyBorder="1" applyAlignment="1" applyProtection="1">
      <alignment horizontal="center"/>
      <protection locked="0"/>
    </xf>
    <xf numFmtId="10" fontId="100" fillId="11" borderId="43" xfId="36" applyNumberFormat="1" applyFont="1" applyFill="1" applyBorder="1" applyAlignment="1" applyProtection="1">
      <alignment horizontal="center"/>
      <protection locked="0"/>
    </xf>
    <xf numFmtId="171" fontId="64" fillId="0" borderId="67" xfId="0" applyNumberFormat="1" applyFont="1" applyBorder="1" applyAlignment="1">
      <alignment horizontal="center"/>
    </xf>
    <xf numFmtId="171" fontId="64" fillId="0" borderId="73" xfId="0" applyNumberFormat="1" applyFont="1" applyBorder="1" applyAlignment="1">
      <alignment horizontal="center"/>
    </xf>
    <xf numFmtId="171" fontId="64" fillId="0" borderId="43" xfId="0" applyNumberFormat="1" applyFont="1" applyBorder="1" applyAlignment="1">
      <alignment horizontal="center"/>
    </xf>
    <xf numFmtId="171" fontId="64" fillId="0" borderId="56" xfId="0" applyNumberFormat="1" applyFont="1" applyBorder="1" applyAlignment="1">
      <alignment horizontal="center"/>
    </xf>
    <xf numFmtId="171" fontId="64" fillId="0" borderId="14" xfId="0" applyNumberFormat="1" applyFont="1" applyBorder="1" applyAlignment="1">
      <alignment horizontal="center"/>
    </xf>
    <xf numFmtId="171" fontId="64" fillId="0" borderId="42" xfId="0" applyNumberFormat="1" applyFont="1" applyBorder="1" applyAlignment="1">
      <alignment horizontal="center"/>
    </xf>
    <xf numFmtId="10" fontId="102" fillId="0" borderId="152" xfId="36" applyNumberFormat="1" applyFont="1" applyFill="1" applyBorder="1" applyAlignment="1" applyProtection="1">
      <alignment horizontal="center"/>
    </xf>
    <xf numFmtId="10" fontId="102" fillId="0" borderId="58" xfId="36" applyNumberFormat="1" applyFont="1" applyFill="1" applyBorder="1" applyAlignment="1" applyProtection="1">
      <alignment horizontal="center"/>
    </xf>
    <xf numFmtId="0" fontId="64" fillId="6" borderId="13" xfId="0" applyFont="1" applyFill="1" applyBorder="1" applyAlignment="1">
      <alignment horizontal="center"/>
    </xf>
    <xf numFmtId="0" fontId="64" fillId="6" borderId="14" xfId="0" applyFont="1" applyFill="1" applyBorder="1" applyAlignment="1">
      <alignment horizontal="center"/>
    </xf>
    <xf numFmtId="0" fontId="64" fillId="6" borderId="42" xfId="0" applyFont="1" applyFill="1" applyBorder="1" applyAlignment="1">
      <alignment horizontal="center"/>
    </xf>
    <xf numFmtId="14" fontId="100" fillId="11" borderId="12" xfId="0" applyNumberFormat="1" applyFont="1" applyFill="1" applyBorder="1" applyAlignment="1" applyProtection="1">
      <alignment horizontal="center"/>
      <protection locked="0"/>
    </xf>
    <xf numFmtId="14" fontId="100" fillId="11" borderId="64" xfId="0" applyNumberFormat="1" applyFont="1" applyFill="1" applyBorder="1" applyAlignment="1" applyProtection="1">
      <alignment horizontal="center"/>
      <protection locked="0"/>
    </xf>
    <xf numFmtId="49" fontId="100" fillId="11" borderId="13" xfId="0" quotePrefix="1" applyNumberFormat="1" applyFont="1" applyFill="1" applyBorder="1" applyAlignment="1" applyProtection="1">
      <alignment horizontal="center"/>
      <protection locked="0"/>
    </xf>
    <xf numFmtId="0" fontId="100" fillId="13" borderId="13" xfId="0" applyFont="1" applyFill="1" applyBorder="1" applyProtection="1">
      <protection locked="0"/>
    </xf>
    <xf numFmtId="0" fontId="0" fillId="0" borderId="14" xfId="0" applyBorder="1"/>
    <xf numFmtId="0" fontId="0" fillId="0" borderId="15" xfId="0" applyBorder="1"/>
    <xf numFmtId="0" fontId="100" fillId="13" borderId="40" xfId="0" applyFont="1" applyFill="1" applyBorder="1" applyProtection="1">
      <protection locked="0"/>
    </xf>
    <xf numFmtId="0" fontId="0" fillId="0" borderId="73" xfId="0" applyBorder="1"/>
    <xf numFmtId="0" fontId="0" fillId="0" borderId="53" xfId="0" applyBorder="1"/>
    <xf numFmtId="0" fontId="100" fillId="13" borderId="73" xfId="0" applyFont="1" applyFill="1" applyBorder="1" applyAlignment="1" applyProtection="1">
      <alignment horizontal="center"/>
      <protection locked="0"/>
    </xf>
    <xf numFmtId="0" fontId="100" fillId="13" borderId="14" xfId="0" applyFont="1" applyFill="1" applyBorder="1" applyAlignment="1" applyProtection="1">
      <alignment horizontal="center"/>
      <protection locked="0"/>
    </xf>
    <xf numFmtId="0" fontId="83" fillId="0" borderId="13" xfId="0" applyFont="1" applyBorder="1" applyAlignment="1">
      <alignment horizontal="center"/>
    </xf>
    <xf numFmtId="0" fontId="83" fillId="0" borderId="15" xfId="0" applyFont="1" applyBorder="1" applyAlignment="1">
      <alignment horizontal="center"/>
    </xf>
    <xf numFmtId="0" fontId="88" fillId="10" borderId="13" xfId="0" applyFont="1" applyFill="1" applyBorder="1" applyAlignment="1">
      <alignment horizontal="center" wrapText="1"/>
    </xf>
    <xf numFmtId="0" fontId="88" fillId="10" borderId="14" xfId="0" applyFont="1" applyFill="1" applyBorder="1" applyAlignment="1">
      <alignment horizontal="center" wrapText="1"/>
    </xf>
    <xf numFmtId="0" fontId="88" fillId="10" borderId="15" xfId="0" applyFont="1" applyFill="1" applyBorder="1" applyAlignment="1">
      <alignment horizontal="center" wrapText="1"/>
    </xf>
    <xf numFmtId="0" fontId="69" fillId="3" borderId="101" xfId="0" applyFont="1" applyFill="1" applyBorder="1" applyAlignment="1">
      <alignment horizontal="center" vertical="center" wrapText="1"/>
    </xf>
    <xf numFmtId="0" fontId="69" fillId="3" borderId="102" xfId="0" applyFont="1" applyFill="1" applyBorder="1" applyAlignment="1">
      <alignment horizontal="center" vertical="center" wrapText="1"/>
    </xf>
    <xf numFmtId="0" fontId="69" fillId="0" borderId="10" xfId="0" applyFont="1" applyBorder="1" applyAlignment="1">
      <alignment horizontal="center"/>
    </xf>
    <xf numFmtId="0" fontId="69" fillId="0" borderId="9" xfId="0" applyFont="1" applyBorder="1" applyAlignment="1">
      <alignment horizontal="center"/>
    </xf>
    <xf numFmtId="0" fontId="69" fillId="0" borderId="117" xfId="29" applyFont="1" applyBorder="1" applyAlignment="1" applyProtection="1">
      <alignment horizontal="center" vertical="center" wrapText="1"/>
      <protection locked="0"/>
    </xf>
    <xf numFmtId="0" fontId="69" fillId="0" borderId="136" xfId="29" applyFont="1" applyBorder="1" applyAlignment="1" applyProtection="1">
      <alignment horizontal="center" vertical="center" wrapText="1"/>
      <protection locked="0"/>
    </xf>
    <xf numFmtId="0" fontId="81" fillId="0" borderId="84" xfId="29" applyFont="1" applyBorder="1" applyAlignment="1">
      <alignment horizontal="center" vertical="center"/>
    </xf>
    <xf numFmtId="0" fontId="81" fillId="0" borderId="77" xfId="29" applyFont="1" applyBorder="1" applyAlignment="1">
      <alignment horizontal="center" vertical="center"/>
    </xf>
    <xf numFmtId="0" fontId="81" fillId="0" borderId="97" xfId="29" applyFont="1" applyBorder="1" applyAlignment="1">
      <alignment horizontal="center" vertical="center"/>
    </xf>
    <xf numFmtId="0" fontId="78" fillId="0" borderId="155" xfId="27" applyFont="1" applyBorder="1" applyAlignment="1">
      <alignment horizontal="center" vertical="center" wrapText="1"/>
    </xf>
    <xf numFmtId="0" fontId="78" fillId="0" borderId="160" xfId="27" applyFont="1" applyBorder="1" applyAlignment="1">
      <alignment horizontal="center" vertical="center" wrapText="1"/>
    </xf>
    <xf numFmtId="0" fontId="78" fillId="0" borderId="161" xfId="27" applyFont="1" applyBorder="1" applyAlignment="1">
      <alignment horizontal="center" vertical="center" wrapText="1"/>
    </xf>
    <xf numFmtId="0" fontId="69" fillId="0" borderId="5" xfId="29" applyFont="1" applyBorder="1" applyAlignment="1" applyProtection="1">
      <alignment horizontal="center" vertical="center" wrapText="1"/>
      <protection locked="0"/>
    </xf>
    <xf numFmtId="0" fontId="69" fillId="0" borderId="163" xfId="29" applyFont="1" applyBorder="1" applyAlignment="1" applyProtection="1">
      <alignment horizontal="center" vertical="center" wrapText="1"/>
      <protection locked="0"/>
    </xf>
    <xf numFmtId="0" fontId="69" fillId="0" borderId="112" xfId="29" applyFont="1" applyBorder="1" applyAlignment="1" applyProtection="1">
      <alignment horizontal="center" vertical="center" wrapText="1"/>
      <protection locked="0"/>
    </xf>
    <xf numFmtId="0" fontId="69" fillId="0" borderId="162" xfId="29" applyFont="1" applyBorder="1" applyAlignment="1" applyProtection="1">
      <alignment horizontal="center" vertical="center" wrapText="1"/>
      <protection locked="0"/>
    </xf>
    <xf numFmtId="0" fontId="69" fillId="0" borderId="6" xfId="29" applyFont="1" applyBorder="1" applyAlignment="1" applyProtection="1">
      <alignment horizontal="center" vertical="center" wrapText="1"/>
      <protection locked="0"/>
    </xf>
    <xf numFmtId="0" fontId="80" fillId="0" borderId="6" xfId="0" applyFont="1" applyBorder="1" applyAlignment="1">
      <alignment horizontal="center" vertical="center" wrapText="1"/>
    </xf>
    <xf numFmtId="0" fontId="80" fillId="0" borderId="164" xfId="0" applyFont="1" applyBorder="1" applyAlignment="1">
      <alignment horizontal="center" vertical="center" wrapText="1"/>
    </xf>
    <xf numFmtId="0" fontId="88" fillId="8" borderId="50" xfId="0" applyFont="1" applyFill="1" applyBorder="1" applyAlignment="1">
      <alignment horizontal="center" vertical="center" wrapText="1"/>
    </xf>
    <xf numFmtId="0" fontId="88" fillId="8" borderId="72" xfId="0" applyFont="1" applyFill="1" applyBorder="1" applyAlignment="1">
      <alignment horizontal="center" vertical="center" wrapText="1"/>
    </xf>
    <xf numFmtId="0" fontId="88" fillId="8" borderId="51" xfId="0" applyFont="1" applyFill="1" applyBorder="1" applyAlignment="1">
      <alignment horizontal="center" vertical="center" wrapText="1"/>
    </xf>
    <xf numFmtId="0" fontId="64" fillId="0" borderId="13" xfId="0" applyFont="1" applyBorder="1" applyAlignment="1">
      <alignment horizontal="center"/>
    </xf>
    <xf numFmtId="0" fontId="64" fillId="0" borderId="15" xfId="0" applyFont="1" applyBorder="1" applyAlignment="1">
      <alignment horizontal="center"/>
    </xf>
    <xf numFmtId="49" fontId="64" fillId="0" borderId="13" xfId="0" applyNumberFormat="1" applyFont="1" applyBorder="1" applyAlignment="1">
      <alignment horizontal="center"/>
    </xf>
    <xf numFmtId="49" fontId="64" fillId="0" borderId="14" xfId="0" applyNumberFormat="1" applyFont="1" applyBorder="1" applyAlignment="1">
      <alignment horizontal="center"/>
    </xf>
    <xf numFmtId="49" fontId="64" fillId="0" borderId="15" xfId="0" applyNumberFormat="1" applyFont="1" applyBorder="1" applyAlignment="1">
      <alignment horizontal="center"/>
    </xf>
    <xf numFmtId="49" fontId="100" fillId="13" borderId="15" xfId="0" applyNumberFormat="1" applyFont="1" applyFill="1" applyBorder="1" applyAlignment="1" applyProtection="1">
      <alignment horizontal="center"/>
      <protection locked="0"/>
    </xf>
    <xf numFmtId="0" fontId="74" fillId="0" borderId="12" xfId="0" applyFont="1" applyBorder="1" applyAlignment="1">
      <alignment horizontal="center"/>
    </xf>
    <xf numFmtId="0" fontId="64" fillId="0" borderId="12" xfId="0" applyFont="1" applyBorder="1" applyAlignment="1">
      <alignment horizontal="center"/>
    </xf>
    <xf numFmtId="49" fontId="88" fillId="8" borderId="47" xfId="28" applyNumberFormat="1" applyFont="1" applyFill="1" applyBorder="1" applyAlignment="1" applyProtection="1">
      <alignment horizontal="center" vertical="center" wrapText="1"/>
      <protection locked="0"/>
    </xf>
    <xf numFmtId="49" fontId="88" fillId="8" borderId="70" xfId="28" applyNumberFormat="1" applyFont="1" applyFill="1" applyBorder="1" applyAlignment="1" applyProtection="1">
      <alignment horizontal="center" vertical="center" wrapText="1"/>
      <protection locked="0"/>
    </xf>
    <xf numFmtId="165" fontId="101" fillId="13" borderId="91" xfId="7" applyNumberFormat="1" applyFont="1" applyFill="1" applyBorder="1" applyAlignment="1" applyProtection="1">
      <alignment horizontal="center"/>
      <protection locked="0"/>
    </xf>
    <xf numFmtId="165" fontId="101" fillId="13" borderId="50" xfId="7" applyNumberFormat="1" applyFont="1" applyFill="1" applyBorder="1" applyAlignment="1" applyProtection="1">
      <alignment horizontal="center"/>
      <protection locked="0"/>
    </xf>
    <xf numFmtId="165" fontId="101" fillId="13" borderId="30" xfId="7" applyNumberFormat="1" applyFont="1" applyFill="1" applyBorder="1" applyAlignment="1" applyProtection="1">
      <alignment horizontal="center"/>
      <protection locked="0"/>
    </xf>
    <xf numFmtId="165" fontId="101" fillId="13" borderId="13" xfId="7" applyNumberFormat="1" applyFont="1" applyFill="1" applyBorder="1" applyAlignment="1" applyProtection="1">
      <alignment horizontal="center"/>
      <protection locked="0"/>
    </xf>
    <xf numFmtId="10" fontId="69" fillId="0" borderId="34" xfId="36" applyNumberFormat="1" applyFont="1" applyFill="1" applyBorder="1" applyAlignment="1" applyProtection="1">
      <alignment horizontal="center"/>
    </xf>
    <xf numFmtId="10" fontId="69" fillId="0" borderId="68" xfId="36" applyNumberFormat="1" applyFont="1" applyFill="1" applyBorder="1" applyAlignment="1" applyProtection="1">
      <alignment horizontal="center"/>
    </xf>
    <xf numFmtId="165" fontId="78" fillId="0" borderId="0" xfId="0" applyNumberFormat="1" applyFont="1" applyAlignment="1">
      <alignment horizontal="center"/>
    </xf>
    <xf numFmtId="0" fontId="120" fillId="11" borderId="12" xfId="0" quotePrefix="1" applyFont="1" applyFill="1" applyBorder="1" applyAlignment="1" applyProtection="1">
      <alignment horizontal="center"/>
      <protection locked="0"/>
    </xf>
    <xf numFmtId="0" fontId="120" fillId="11" borderId="64" xfId="0" quotePrefix="1" applyFont="1" applyFill="1" applyBorder="1" applyAlignment="1" applyProtection="1">
      <alignment horizontal="center"/>
      <protection locked="0"/>
    </xf>
    <xf numFmtId="0" fontId="120" fillId="11" borderId="21" xfId="0" quotePrefix="1" applyFont="1" applyFill="1" applyBorder="1" applyAlignment="1" applyProtection="1">
      <alignment horizontal="center"/>
      <protection locked="0"/>
    </xf>
    <xf numFmtId="0" fontId="120" fillId="11" borderId="68" xfId="0" quotePrefix="1" applyFont="1" applyFill="1" applyBorder="1" applyAlignment="1" applyProtection="1">
      <alignment horizontal="center"/>
      <protection locked="0"/>
    </xf>
    <xf numFmtId="0" fontId="120" fillId="11" borderId="12" xfId="0" applyFont="1" applyFill="1" applyBorder="1" applyAlignment="1" applyProtection="1">
      <alignment horizontal="center"/>
      <protection locked="0"/>
    </xf>
    <xf numFmtId="0" fontId="120" fillId="11" borderId="64" xfId="0" applyFont="1" applyFill="1" applyBorder="1" applyAlignment="1" applyProtection="1">
      <alignment horizontal="center"/>
      <protection locked="0"/>
    </xf>
    <xf numFmtId="44" fontId="120" fillId="11" borderId="12" xfId="0" applyNumberFormat="1" applyFont="1" applyFill="1" applyBorder="1" applyAlignment="1" applyProtection="1">
      <alignment horizontal="center"/>
      <protection locked="0"/>
    </xf>
    <xf numFmtId="44" fontId="120" fillId="11" borderId="64" xfId="0" applyNumberFormat="1" applyFont="1" applyFill="1" applyBorder="1" applyAlignment="1" applyProtection="1">
      <alignment horizontal="center"/>
      <protection locked="0"/>
    </xf>
    <xf numFmtId="0" fontId="111" fillId="0" borderId="128" xfId="46" applyFont="1" applyBorder="1" applyAlignment="1">
      <alignment horizontal="center" vertical="center" wrapText="1"/>
    </xf>
    <xf numFmtId="0" fontId="111" fillId="0" borderId="129" xfId="46" applyFont="1" applyBorder="1" applyAlignment="1">
      <alignment horizontal="center" vertical="center" wrapText="1"/>
    </xf>
    <xf numFmtId="0" fontId="111" fillId="0" borderId="130" xfId="46" applyFont="1" applyBorder="1" applyAlignment="1">
      <alignment horizontal="center" vertical="center" wrapText="1"/>
    </xf>
    <xf numFmtId="0" fontId="111" fillId="0" borderId="61" xfId="46" applyFont="1" applyBorder="1" applyAlignment="1">
      <alignment horizontal="center" vertical="center" wrapText="1"/>
    </xf>
    <xf numFmtId="0" fontId="111" fillId="0" borderId="0" xfId="46" applyFont="1" applyAlignment="1">
      <alignment horizontal="center" vertical="center" wrapText="1"/>
    </xf>
    <xf numFmtId="0" fontId="111" fillId="0" borderId="62" xfId="46" applyFont="1" applyBorder="1" applyAlignment="1">
      <alignment horizontal="center" vertical="center" wrapText="1"/>
    </xf>
    <xf numFmtId="0" fontId="133" fillId="11" borderId="41" xfId="46" applyFont="1" applyFill="1" applyBorder="1" applyAlignment="1" applyProtection="1">
      <alignment horizontal="left" vertical="center"/>
      <protection locked="0"/>
    </xf>
    <xf numFmtId="0" fontId="133" fillId="11" borderId="59" xfId="46" applyFont="1" applyFill="1" applyBorder="1" applyAlignment="1" applyProtection="1">
      <alignment horizontal="left" vertical="center"/>
      <protection locked="0"/>
    </xf>
    <xf numFmtId="0" fontId="133" fillId="11" borderId="137" xfId="46" applyFont="1" applyFill="1" applyBorder="1" applyAlignment="1" applyProtection="1">
      <alignment horizontal="left" vertical="center"/>
      <protection locked="0"/>
    </xf>
    <xf numFmtId="0" fontId="0" fillId="0" borderId="59" xfId="0" applyBorder="1" applyAlignment="1">
      <alignment horizontal="left" vertical="center"/>
    </xf>
    <xf numFmtId="0" fontId="0" fillId="0" borderId="137" xfId="0" applyBorder="1" applyAlignment="1">
      <alignment horizontal="left" vertical="center"/>
    </xf>
    <xf numFmtId="0" fontId="133" fillId="11" borderId="36" xfId="46" applyFont="1" applyFill="1" applyBorder="1" applyAlignment="1" applyProtection="1">
      <alignment horizontal="left" vertical="center"/>
      <protection locked="0"/>
    </xf>
    <xf numFmtId="0" fontId="133" fillId="11" borderId="143" xfId="46" applyFont="1" applyFill="1" applyBorder="1" applyAlignment="1" applyProtection="1">
      <alignment horizontal="left" vertical="center"/>
      <protection locked="0"/>
    </xf>
    <xf numFmtId="0" fontId="0" fillId="0" borderId="144" xfId="0" applyBorder="1" applyAlignment="1">
      <alignment horizontal="left" vertical="center"/>
    </xf>
    <xf numFmtId="0" fontId="0" fillId="0" borderId="146" xfId="0" applyBorder="1" applyAlignment="1">
      <alignment horizontal="left" vertical="center"/>
    </xf>
    <xf numFmtId="9" fontId="133" fillId="11" borderId="41" xfId="48" applyFont="1" applyFill="1" applyBorder="1" applyAlignment="1" applyProtection="1">
      <alignment horizontal="left" vertical="center"/>
      <protection locked="0"/>
    </xf>
    <xf numFmtId="0" fontId="152" fillId="0" borderId="41" xfId="0" applyFont="1" applyBorder="1" applyAlignment="1">
      <alignment horizontal="center" vertical="center" wrapText="1"/>
    </xf>
    <xf numFmtId="0" fontId="152" fillId="0" borderId="59" xfId="0" applyFont="1" applyBorder="1" applyAlignment="1">
      <alignment horizontal="center" vertical="center" wrapText="1"/>
    </xf>
    <xf numFmtId="0" fontId="152" fillId="0" borderId="37" xfId="0" applyFont="1" applyBorder="1" applyAlignment="1">
      <alignment horizontal="center" vertical="center" wrapText="1"/>
    </xf>
    <xf numFmtId="0" fontId="69" fillId="0" borderId="13" xfId="0" applyFont="1" applyBorder="1" applyAlignment="1">
      <alignment horizontal="center"/>
    </xf>
    <xf numFmtId="0" fontId="69" fillId="0" borderId="14" xfId="0" applyFont="1" applyBorder="1" applyAlignment="1">
      <alignment horizontal="center"/>
    </xf>
    <xf numFmtId="0" fontId="69" fillId="0" borderId="15" xfId="0" applyFont="1" applyBorder="1" applyAlignment="1">
      <alignment horizontal="center"/>
    </xf>
    <xf numFmtId="0" fontId="74" fillId="0" borderId="14" xfId="0" applyFont="1" applyBorder="1" applyAlignment="1">
      <alignment horizontal="center"/>
    </xf>
    <xf numFmtId="0" fontId="74" fillId="0" borderId="42" xfId="0" applyFont="1" applyBorder="1" applyAlignment="1">
      <alignment horizontal="center"/>
    </xf>
    <xf numFmtId="0" fontId="69" fillId="0" borderId="47" xfId="0" applyFont="1" applyBorder="1" applyAlignment="1">
      <alignment horizontal="center"/>
    </xf>
    <xf numFmtId="0" fontId="69" fillId="0" borderId="70" xfId="0" applyFont="1" applyBorder="1" applyAlignment="1">
      <alignment horizontal="center"/>
    </xf>
    <xf numFmtId="0" fontId="46" fillId="2" borderId="61" xfId="0" applyFont="1" applyFill="1" applyBorder="1" applyAlignment="1" applyProtection="1">
      <alignment horizontal="center"/>
      <protection locked="0"/>
    </xf>
    <xf numFmtId="0" fontId="0" fillId="2" borderId="62" xfId="0" applyFill="1" applyBorder="1" applyAlignment="1" applyProtection="1">
      <alignment horizontal="center"/>
      <protection locked="0"/>
    </xf>
    <xf numFmtId="0" fontId="52" fillId="0" borderId="12" xfId="0" applyFont="1" applyBorder="1" applyAlignment="1">
      <alignment horizontal="center"/>
    </xf>
    <xf numFmtId="3" fontId="0" fillId="2" borderId="61" xfId="0" applyNumberFormat="1" applyFill="1" applyBorder="1" applyAlignment="1" applyProtection="1">
      <alignment horizontal="center"/>
      <protection locked="0"/>
    </xf>
    <xf numFmtId="3" fontId="0" fillId="2" borderId="62" xfId="0" applyNumberFormat="1" applyFill="1" applyBorder="1" applyAlignment="1" applyProtection="1">
      <alignment horizontal="center"/>
      <protection locked="0"/>
    </xf>
    <xf numFmtId="0" fontId="50" fillId="0" borderId="41" xfId="0" applyFont="1" applyBorder="1" applyAlignment="1">
      <alignment horizontal="center"/>
    </xf>
    <xf numFmtId="0" fontId="50" fillId="0" borderId="37" xfId="0" applyFont="1" applyBorder="1" applyAlignment="1">
      <alignment horizontal="center"/>
    </xf>
    <xf numFmtId="3" fontId="0" fillId="0" borderId="61" xfId="2" applyNumberFormat="1" applyFont="1" applyFill="1" applyBorder="1" applyAlignment="1">
      <alignment horizontal="center"/>
    </xf>
    <xf numFmtId="3" fontId="0" fillId="0" borderId="62" xfId="2" applyNumberFormat="1" applyFont="1" applyFill="1" applyBorder="1" applyAlignment="1">
      <alignment horizontal="center"/>
    </xf>
    <xf numFmtId="10" fontId="0" fillId="0" borderId="46" xfId="0" applyNumberFormat="1" applyBorder="1" applyAlignment="1">
      <alignment horizontal="center"/>
    </xf>
    <xf numFmtId="10" fontId="0" fillId="0" borderId="58" xfId="0" applyNumberFormat="1" applyBorder="1" applyAlignment="1">
      <alignment horizontal="center"/>
    </xf>
    <xf numFmtId="0" fontId="50" fillId="0" borderId="47" xfId="0" applyFont="1" applyBorder="1" applyAlignment="1">
      <alignment horizontal="center"/>
    </xf>
    <xf numFmtId="0" fontId="50" fillId="0" borderId="70" xfId="0" applyFont="1" applyBorder="1" applyAlignment="1">
      <alignment horizontal="center"/>
    </xf>
    <xf numFmtId="0" fontId="50" fillId="4" borderId="41" xfId="0" applyFont="1" applyFill="1" applyBorder="1" applyAlignment="1">
      <alignment horizontal="center"/>
    </xf>
    <xf numFmtId="0" fontId="50" fillId="4" borderId="37" xfId="0" applyFont="1" applyFill="1" applyBorder="1" applyAlignment="1">
      <alignment horizontal="center"/>
    </xf>
    <xf numFmtId="0" fontId="59" fillId="4" borderId="0" xfId="0" applyFont="1" applyFill="1" applyAlignment="1">
      <alignment horizontal="center"/>
    </xf>
    <xf numFmtId="0" fontId="0" fillId="4" borderId="0" xfId="0" applyFill="1" applyAlignment="1">
      <alignment horizontal="center" wrapText="1"/>
    </xf>
    <xf numFmtId="0" fontId="50" fillId="4" borderId="0" xfId="0" applyFont="1" applyFill="1" applyAlignment="1">
      <alignment horizontal="center"/>
    </xf>
    <xf numFmtId="3" fontId="0" fillId="0" borderId="59" xfId="0" applyNumberFormat="1" applyBorder="1" applyAlignment="1">
      <alignment horizontal="center"/>
    </xf>
    <xf numFmtId="3" fontId="0" fillId="0" borderId="0" xfId="0" applyNumberFormat="1" applyAlignment="1">
      <alignment horizontal="left"/>
    </xf>
    <xf numFmtId="3" fontId="0" fillId="0" borderId="57" xfId="0" applyNumberFormat="1" applyBorder="1" applyAlignment="1">
      <alignment horizontal="left"/>
    </xf>
    <xf numFmtId="3" fontId="50" fillId="0" borderId="0" xfId="0" applyNumberFormat="1" applyFont="1" applyAlignment="1">
      <alignment horizontal="center"/>
    </xf>
    <xf numFmtId="0" fontId="50" fillId="0" borderId="0" xfId="0" applyFont="1" applyAlignment="1">
      <alignment horizontal="center"/>
    </xf>
    <xf numFmtId="0" fontId="0" fillId="2" borderId="0" xfId="0" applyFill="1" applyAlignment="1" applyProtection="1">
      <alignment horizontal="center"/>
      <protection locked="0"/>
    </xf>
    <xf numFmtId="3" fontId="46" fillId="0" borderId="57" xfId="0" applyNumberFormat="1" applyFont="1" applyBorder="1" applyAlignment="1">
      <alignment horizontal="center"/>
    </xf>
    <xf numFmtId="3" fontId="0" fillId="0" borderId="57" xfId="0" applyNumberFormat="1" applyBorder="1" applyAlignment="1">
      <alignment horizontal="center"/>
    </xf>
    <xf numFmtId="3" fontId="46" fillId="0" borderId="59" xfId="0" applyNumberFormat="1" applyFont="1" applyBorder="1" applyAlignment="1">
      <alignment horizontal="center"/>
    </xf>
    <xf numFmtId="0" fontId="157" fillId="0" borderId="0" xfId="42" applyFont="1" applyAlignment="1"/>
    <xf numFmtId="0" fontId="111" fillId="0" borderId="13" xfId="89" applyFont="1" applyBorder="1" applyAlignment="1">
      <alignment horizontal="left"/>
    </xf>
    <xf numFmtId="0" fontId="111" fillId="0" borderId="14" xfId="89" applyFont="1" applyBorder="1" applyAlignment="1">
      <alignment horizontal="left"/>
    </xf>
    <xf numFmtId="0" fontId="111" fillId="0" borderId="15" xfId="89" applyFont="1" applyBorder="1" applyAlignment="1">
      <alignment horizontal="left"/>
    </xf>
    <xf numFmtId="0" fontId="112" fillId="0" borderId="14" xfId="89" applyFont="1" applyBorder="1" applyAlignment="1">
      <alignment horizontal="center"/>
    </xf>
    <xf numFmtId="0" fontId="112" fillId="0" borderId="15" xfId="89" applyFont="1" applyBorder="1" applyAlignment="1">
      <alignment horizontal="center"/>
    </xf>
    <xf numFmtId="0" fontId="112" fillId="0" borderId="14" xfId="89" applyFont="1" applyBorder="1" applyAlignment="1">
      <alignment horizontal="left"/>
    </xf>
    <xf numFmtId="0" fontId="112" fillId="0" borderId="15" xfId="89" applyFont="1" applyBorder="1" applyAlignment="1">
      <alignment horizontal="left"/>
    </xf>
    <xf numFmtId="0" fontId="112" fillId="0" borderId="13" xfId="89" applyFont="1" applyBorder="1" applyAlignment="1">
      <alignment horizontal="center"/>
    </xf>
    <xf numFmtId="0" fontId="111" fillId="0" borderId="14" xfId="89" applyFont="1" applyBorder="1" applyAlignment="1">
      <alignment horizontal="right"/>
    </xf>
    <xf numFmtId="0" fontId="111" fillId="0" borderId="15" xfId="89" applyFont="1" applyBorder="1" applyAlignment="1">
      <alignment horizontal="right"/>
    </xf>
    <xf numFmtId="0" fontId="112" fillId="0" borderId="20" xfId="89" applyFont="1" applyBorder="1"/>
    <xf numFmtId="0" fontId="112" fillId="0" borderId="7" xfId="89" applyFont="1" applyBorder="1"/>
    <xf numFmtId="0" fontId="112" fillId="0" borderId="8" xfId="89" applyFont="1" applyBorder="1"/>
    <xf numFmtId="0" fontId="112" fillId="11" borderId="12" xfId="89" applyFont="1" applyFill="1" applyBorder="1" applyAlignment="1" applyProtection="1">
      <alignment horizontal="left"/>
      <protection locked="0"/>
    </xf>
    <xf numFmtId="0" fontId="112" fillId="11" borderId="12" xfId="89" applyFont="1" applyFill="1" applyBorder="1" applyProtection="1">
      <protection locked="0"/>
    </xf>
    <xf numFmtId="0" fontId="112" fillId="21" borderId="12" xfId="89" applyFont="1" applyFill="1" applyBorder="1" applyProtection="1">
      <protection locked="0"/>
    </xf>
    <xf numFmtId="0" fontId="141" fillId="0" borderId="13" xfId="89" applyFont="1" applyBorder="1" applyAlignment="1">
      <alignment horizontal="left"/>
    </xf>
    <xf numFmtId="0" fontId="141" fillId="0" borderId="14" xfId="89" applyFont="1" applyBorder="1" applyAlignment="1">
      <alignment horizontal="left"/>
    </xf>
    <xf numFmtId="0" fontId="141" fillId="0" borderId="15" xfId="89" applyFont="1" applyBorder="1" applyAlignment="1">
      <alignment horizontal="left"/>
    </xf>
    <xf numFmtId="0" fontId="112" fillId="0" borderId="12" xfId="89" applyFont="1" applyBorder="1" applyAlignment="1">
      <alignment horizontal="center"/>
    </xf>
    <xf numFmtId="0" fontId="159" fillId="0" borderId="13" xfId="89" applyFont="1" applyBorder="1" applyAlignment="1">
      <alignment horizontal="left"/>
    </xf>
    <xf numFmtId="0" fontId="160" fillId="0" borderId="14" xfId="89" applyFont="1" applyBorder="1" applyAlignment="1">
      <alignment horizontal="left"/>
    </xf>
    <xf numFmtId="0" fontId="160" fillId="0" borderId="15" xfId="89" applyFont="1" applyBorder="1" applyAlignment="1">
      <alignment horizontal="left"/>
    </xf>
    <xf numFmtId="0" fontId="111" fillId="0" borderId="13" xfId="89" applyFont="1" applyBorder="1"/>
    <xf numFmtId="0" fontId="111" fillId="0" borderId="14" xfId="89" applyFont="1" applyBorder="1"/>
    <xf numFmtId="0" fontId="111" fillId="0" borderId="15" xfId="89" applyFont="1" applyBorder="1"/>
    <xf numFmtId="168" fontId="64" fillId="0" borderId="13" xfId="90" applyNumberFormat="1" applyFont="1" applyBorder="1" applyAlignment="1">
      <alignment horizontal="center"/>
    </xf>
    <xf numFmtId="168" fontId="64" fillId="0" borderId="15" xfId="90" applyNumberFormat="1" applyFont="1" applyBorder="1" applyAlignment="1">
      <alignment horizontal="center"/>
    </xf>
    <xf numFmtId="0" fontId="112" fillId="0" borderId="13" xfId="89" applyFont="1" applyBorder="1" applyAlignment="1">
      <alignment horizontal="center" wrapText="1"/>
    </xf>
    <xf numFmtId="0" fontId="112" fillId="0" borderId="15" xfId="89" applyFont="1" applyBorder="1" applyAlignment="1">
      <alignment horizontal="center" wrapText="1"/>
    </xf>
    <xf numFmtId="168" fontId="111" fillId="0" borderId="7" xfId="90" applyNumberFormat="1" applyFont="1" applyBorder="1" applyAlignment="1">
      <alignment horizontal="center"/>
    </xf>
    <xf numFmtId="168" fontId="120" fillId="11" borderId="13" xfId="90" applyNumberFormat="1" applyFont="1" applyFill="1" applyBorder="1" applyAlignment="1" applyProtection="1">
      <protection locked="0"/>
    </xf>
    <xf numFmtId="168" fontId="120" fillId="11" borderId="15" xfId="90" applyNumberFormat="1" applyFont="1" applyFill="1" applyBorder="1" applyAlignment="1" applyProtection="1">
      <protection locked="0"/>
    </xf>
    <xf numFmtId="168" fontId="112" fillId="0" borderId="13" xfId="89" applyNumberFormat="1" applyFont="1" applyBorder="1"/>
    <xf numFmtId="168" fontId="112" fillId="0" borderId="15" xfId="89" applyNumberFormat="1" applyFont="1" applyBorder="1"/>
    <xf numFmtId="0" fontId="100" fillId="0" borderId="56" xfId="0" applyFont="1" applyBorder="1" applyAlignment="1" applyProtection="1">
      <alignment horizontal="center"/>
    </xf>
    <xf numFmtId="0" fontId="100" fillId="0" borderId="14" xfId="0" applyFont="1" applyBorder="1" applyAlignment="1" applyProtection="1">
      <alignment horizontal="center"/>
    </xf>
    <xf numFmtId="0" fontId="100" fillId="0" borderId="42" xfId="0" applyFont="1" applyBorder="1" applyAlignment="1" applyProtection="1">
      <alignment horizontal="center"/>
    </xf>
    <xf numFmtId="0" fontId="123" fillId="8" borderId="0" xfId="0" applyFont="1" applyFill="1" applyProtection="1"/>
    <xf numFmtId="0" fontId="121" fillId="8" borderId="0" xfId="0" applyFont="1" applyFill="1" applyProtection="1"/>
    <xf numFmtId="0" fontId="121" fillId="0" borderId="0" xfId="0" applyFont="1" applyProtection="1"/>
    <xf numFmtId="0" fontId="80" fillId="0" borderId="0" xfId="0" applyFont="1" applyProtection="1"/>
    <xf numFmtId="0" fontId="124" fillId="10" borderId="0" xfId="0" applyFont="1" applyFill="1" applyProtection="1"/>
    <xf numFmtId="0" fontId="122" fillId="10" borderId="0" xfId="0" applyFont="1" applyFill="1" applyProtection="1"/>
    <xf numFmtId="0" fontId="114" fillId="10" borderId="0" xfId="0" applyFont="1" applyFill="1" applyProtection="1"/>
    <xf numFmtId="0" fontId="114" fillId="10" borderId="0" xfId="0" applyFont="1" applyFill="1" applyAlignment="1" applyProtection="1">
      <alignment horizontal="right"/>
    </xf>
    <xf numFmtId="14" fontId="114" fillId="10" borderId="0" xfId="0" applyNumberFormat="1" applyFont="1" applyFill="1" applyProtection="1"/>
    <xf numFmtId="0" fontId="122" fillId="0" borderId="0" xfId="0" applyFont="1" applyProtection="1"/>
    <xf numFmtId="0" fontId="74" fillId="0" borderId="0" xfId="0" applyFont="1" applyProtection="1"/>
    <xf numFmtId="0" fontId="78" fillId="0" borderId="0" xfId="0" applyFont="1" applyProtection="1"/>
    <xf numFmtId="0" fontId="74" fillId="0" borderId="0" xfId="0" applyFont="1" applyAlignment="1" applyProtection="1">
      <alignment horizontal="center"/>
    </xf>
    <xf numFmtId="0" fontId="69" fillId="0" borderId="0" xfId="0" applyFont="1" applyAlignment="1" applyProtection="1">
      <alignment vertical="center"/>
    </xf>
    <xf numFmtId="0" fontId="100" fillId="0" borderId="0" xfId="0" applyFont="1" applyAlignment="1" applyProtection="1">
      <alignment horizontal="center"/>
    </xf>
    <xf numFmtId="0" fontId="69" fillId="0" borderId="0" xfId="0" applyFont="1" applyProtection="1"/>
    <xf numFmtId="0" fontId="114" fillId="8" borderId="41" xfId="0" applyFont="1" applyFill="1" applyBorder="1" applyAlignment="1" applyProtection="1">
      <alignment horizontal="left"/>
    </xf>
    <xf numFmtId="0" fontId="84" fillId="8" borderId="59" xfId="0" applyFont="1" applyFill="1" applyBorder="1" applyAlignment="1" applyProtection="1">
      <alignment horizontal="center"/>
    </xf>
    <xf numFmtId="0" fontId="84" fillId="8" borderId="59" xfId="0" applyFont="1" applyFill="1" applyBorder="1" applyProtection="1"/>
    <xf numFmtId="0" fontId="78" fillId="8" borderId="59" xfId="0" applyFont="1" applyFill="1" applyBorder="1" applyProtection="1"/>
    <xf numFmtId="0" fontId="74" fillId="8" borderId="59" xfId="0" applyFont="1" applyFill="1" applyBorder="1" applyProtection="1"/>
    <xf numFmtId="0" fontId="74" fillId="8" borderId="37" xfId="0" applyFont="1" applyFill="1" applyBorder="1" applyProtection="1"/>
    <xf numFmtId="0" fontId="83" fillId="0" borderId="0" xfId="0" applyFont="1" applyProtection="1"/>
    <xf numFmtId="0" fontId="80" fillId="0" borderId="0" xfId="0" applyFont="1" applyAlignment="1" applyProtection="1">
      <alignment horizontal="center"/>
    </xf>
    <xf numFmtId="0" fontId="76" fillId="10" borderId="41" xfId="0" applyFont="1" applyFill="1" applyBorder="1" applyProtection="1"/>
    <xf numFmtId="0" fontId="76" fillId="10" borderId="37" xfId="0" applyFont="1" applyFill="1" applyBorder="1" applyAlignment="1" applyProtection="1">
      <alignment horizontal="center"/>
    </xf>
    <xf numFmtId="0" fontId="76" fillId="10" borderId="47" xfId="0" applyFont="1" applyFill="1" applyBorder="1" applyProtection="1"/>
    <xf numFmtId="0" fontId="76" fillId="10" borderId="70" xfId="0" applyFont="1" applyFill="1" applyBorder="1" applyProtection="1"/>
    <xf numFmtId="0" fontId="76" fillId="10" borderId="91" xfId="0" applyFont="1" applyFill="1" applyBorder="1" applyProtection="1"/>
    <xf numFmtId="0" fontId="76" fillId="10" borderId="50" xfId="0" applyFont="1" applyFill="1" applyBorder="1" applyProtection="1"/>
    <xf numFmtId="0" fontId="76" fillId="10" borderId="72" xfId="0" applyFont="1" applyFill="1" applyBorder="1" applyProtection="1"/>
    <xf numFmtId="0" fontId="76" fillId="10" borderId="39" xfId="0" applyFont="1" applyFill="1" applyBorder="1" applyProtection="1"/>
    <xf numFmtId="0" fontId="69" fillId="0" borderId="84" xfId="0" applyFont="1" applyBorder="1" applyAlignment="1" applyProtection="1">
      <alignment vertical="center"/>
    </xf>
    <xf numFmtId="0" fontId="64" fillId="0" borderId="147" xfId="0" applyFont="1" applyBorder="1" applyAlignment="1" applyProtection="1">
      <alignment horizontal="center"/>
    </xf>
    <xf numFmtId="0" fontId="78" fillId="0" borderId="91" xfId="0" applyFont="1" applyBorder="1" applyAlignment="1" applyProtection="1">
      <alignment horizontal="center"/>
    </xf>
    <xf numFmtId="9" fontId="78" fillId="0" borderId="76" xfId="0" applyNumberFormat="1" applyFont="1" applyBorder="1" applyAlignment="1" applyProtection="1">
      <alignment horizontal="center"/>
    </xf>
    <xf numFmtId="0" fontId="69" fillId="0" borderId="30" xfId="0" applyFont="1" applyBorder="1" applyAlignment="1" applyProtection="1">
      <alignment horizontal="left" vertical="center"/>
    </xf>
    <xf numFmtId="0" fontId="69" fillId="0" borderId="12" xfId="0" applyFont="1" applyBorder="1" applyAlignment="1" applyProtection="1">
      <alignment horizontal="left" vertical="center"/>
    </xf>
    <xf numFmtId="0" fontId="69" fillId="0" borderId="77" xfId="0" applyFont="1" applyBorder="1" applyAlignment="1" applyProtection="1">
      <alignment vertical="center"/>
    </xf>
    <xf numFmtId="0" fontId="78" fillId="0" borderId="30" xfId="0" applyFont="1" applyBorder="1" applyAlignment="1" applyProtection="1">
      <alignment horizontal="center"/>
    </xf>
    <xf numFmtId="0" fontId="64" fillId="0" borderId="96" xfId="0" applyFont="1" applyBorder="1" applyAlignment="1" applyProtection="1">
      <alignment horizontal="center"/>
    </xf>
    <xf numFmtId="0" fontId="69" fillId="0" borderId="97" xfId="0" applyFont="1" applyBorder="1" applyAlignment="1" applyProtection="1">
      <alignment vertical="center"/>
    </xf>
    <xf numFmtId="0" fontId="64" fillId="0" borderId="85" xfId="0" quotePrefix="1" applyFont="1" applyBorder="1" applyAlignment="1" applyProtection="1">
      <alignment horizontal="center"/>
    </xf>
    <xf numFmtId="0" fontId="100" fillId="0" borderId="0" xfId="0" applyFont="1" applyProtection="1"/>
    <xf numFmtId="49" fontId="100" fillId="0" borderId="0" xfId="0" applyNumberFormat="1" applyFont="1" applyProtection="1"/>
    <xf numFmtId="0" fontId="96" fillId="0" borderId="0" xfId="0" applyFont="1" applyProtection="1"/>
    <xf numFmtId="0" fontId="69" fillId="0" borderId="34" xfId="0" applyFont="1" applyBorder="1" applyAlignment="1" applyProtection="1">
      <alignment horizontal="left" vertical="center"/>
    </xf>
    <xf numFmtId="0" fontId="69" fillId="0" borderId="21" xfId="0" applyFont="1" applyBorder="1" applyAlignment="1" applyProtection="1">
      <alignment horizontal="left" vertical="center"/>
    </xf>
    <xf numFmtId="0" fontId="78" fillId="0" borderId="100" xfId="0" applyFont="1" applyBorder="1" applyAlignment="1" applyProtection="1">
      <alignment horizontal="center"/>
    </xf>
    <xf numFmtId="0" fontId="78" fillId="0" borderId="34" xfId="0" applyFont="1" applyBorder="1" applyAlignment="1" applyProtection="1">
      <alignment horizontal="center"/>
    </xf>
    <xf numFmtId="0" fontId="78" fillId="0" borderId="57" xfId="0" applyFont="1" applyBorder="1" applyAlignment="1" applyProtection="1">
      <alignment horizontal="center"/>
    </xf>
    <xf numFmtId="0" fontId="64" fillId="0" borderId="57" xfId="0" applyFont="1" applyBorder="1" applyAlignment="1" applyProtection="1">
      <alignment horizontal="center"/>
    </xf>
    <xf numFmtId="0" fontId="114" fillId="8" borderId="41" xfId="0" applyFont="1" applyFill="1" applyBorder="1" applyProtection="1"/>
    <xf numFmtId="0" fontId="64" fillId="0" borderId="64" xfId="0" applyFont="1" applyBorder="1" applyAlignment="1" applyProtection="1">
      <alignment horizontal="center"/>
    </xf>
    <xf numFmtId="0" fontId="69" fillId="0" borderId="69" xfId="0" applyFont="1" applyBorder="1" applyAlignment="1" applyProtection="1">
      <alignment vertical="center"/>
    </xf>
    <xf numFmtId="0" fontId="64" fillId="0" borderId="69" xfId="0" quotePrefix="1" applyFont="1" applyBorder="1" applyAlignment="1" applyProtection="1">
      <alignment horizontal="center"/>
    </xf>
    <xf numFmtId="0" fontId="64" fillId="0" borderId="82" xfId="0" applyFont="1" applyBorder="1" applyAlignment="1" applyProtection="1">
      <alignment horizontal="center"/>
    </xf>
    <xf numFmtId="0" fontId="74" fillId="0" borderId="67" xfId="0" applyFont="1" applyBorder="1" applyAlignment="1" applyProtection="1">
      <alignment horizontal="center"/>
    </xf>
    <xf numFmtId="0" fontId="64" fillId="0" borderId="68" xfId="0" applyFont="1" applyBorder="1" applyAlignment="1" applyProtection="1">
      <alignment horizontal="center"/>
    </xf>
    <xf numFmtId="0" fontId="78" fillId="0" borderId="0" xfId="0" applyFont="1" applyAlignment="1" applyProtection="1">
      <alignment horizontal="center"/>
    </xf>
    <xf numFmtId="0" fontId="64" fillId="0" borderId="69" xfId="0" applyFont="1" applyBorder="1" applyAlignment="1" applyProtection="1">
      <alignment horizontal="center"/>
    </xf>
    <xf numFmtId="0" fontId="88" fillId="42" borderId="41" xfId="60" applyFont="1" applyFill="1" applyBorder="1" applyAlignment="1" applyProtection="1">
      <alignment horizontal="center"/>
    </xf>
    <xf numFmtId="0" fontId="88" fillId="42" borderId="59" xfId="60" applyFont="1" applyFill="1" applyBorder="1" applyAlignment="1" applyProtection="1">
      <alignment horizontal="center"/>
    </xf>
    <xf numFmtId="0" fontId="88" fillId="42" borderId="37" xfId="60" applyFont="1" applyFill="1" applyBorder="1" applyAlignment="1" applyProtection="1">
      <alignment horizontal="center"/>
    </xf>
    <xf numFmtId="0" fontId="88" fillId="26" borderId="32" xfId="60" applyFont="1" applyFill="1" applyBorder="1" applyAlignment="1" applyProtection="1">
      <alignment horizontal="center"/>
    </xf>
    <xf numFmtId="0" fontId="88" fillId="26" borderId="8" xfId="60" applyFont="1" applyFill="1" applyBorder="1" applyAlignment="1" applyProtection="1">
      <alignment horizontal="center"/>
    </xf>
    <xf numFmtId="0" fontId="88" fillId="26" borderId="11" xfId="60" applyFont="1" applyFill="1" applyBorder="1" applyAlignment="1" applyProtection="1">
      <alignment horizontal="center"/>
    </xf>
    <xf numFmtId="0" fontId="88" fillId="26" borderId="76" xfId="60" applyFont="1" applyFill="1" applyBorder="1" applyAlignment="1" applyProtection="1">
      <alignment horizontal="center"/>
    </xf>
    <xf numFmtId="0" fontId="88" fillId="26" borderId="75" xfId="60" applyFont="1" applyFill="1" applyBorder="1" applyAlignment="1" applyProtection="1">
      <alignment horizontal="center"/>
    </xf>
    <xf numFmtId="9" fontId="69" fillId="0" borderId="30" xfId="60" applyNumberFormat="1" applyFont="1" applyBorder="1" applyAlignment="1" applyProtection="1">
      <alignment horizontal="center"/>
    </xf>
    <xf numFmtId="0" fontId="64" fillId="0" borderId="64" xfId="60" applyFont="1" applyBorder="1" applyAlignment="1" applyProtection="1">
      <alignment horizontal="center"/>
    </xf>
    <xf numFmtId="9" fontId="69" fillId="0" borderId="100" xfId="60" applyNumberFormat="1" applyFont="1" applyBorder="1" applyAlignment="1" applyProtection="1">
      <alignment horizontal="center"/>
    </xf>
    <xf numFmtId="0" fontId="69" fillId="0" borderId="34" xfId="60" applyFont="1" applyBorder="1" applyAlignment="1" applyProtection="1">
      <alignment horizontal="center"/>
    </xf>
    <xf numFmtId="0" fontId="69" fillId="0" borderId="35" xfId="60" applyFont="1" applyBorder="1" applyAlignment="1" applyProtection="1">
      <alignment horizontal="center"/>
    </xf>
    <xf numFmtId="0" fontId="64" fillId="0" borderId="45" xfId="60" applyFont="1" applyBorder="1" applyAlignment="1" applyProtection="1">
      <alignment horizontal="center"/>
    </xf>
    <xf numFmtId="0" fontId="64" fillId="0" borderId="71" xfId="60" applyFont="1" applyBorder="1" applyAlignment="1" applyProtection="1">
      <alignment horizontal="center"/>
    </xf>
  </cellXfs>
  <cellStyles count="1460">
    <cellStyle name="Comma" xfId="1" builtinId="3"/>
    <cellStyle name="Comma 2" xfId="2" xr:uid="{00000000-0005-0000-0000-000001000000}"/>
    <cellStyle name="Comma 2 2" xfId="61" xr:uid="{00000000-0005-0000-0000-000002000000}"/>
    <cellStyle name="Comma 3" xfId="3" xr:uid="{00000000-0005-0000-0000-000003000000}"/>
    <cellStyle name="Comma 3 2" xfId="62" xr:uid="{00000000-0005-0000-0000-000004000000}"/>
    <cellStyle name="Comma 4" xfId="4" xr:uid="{00000000-0005-0000-0000-000005000000}"/>
    <cellStyle name="Comma 4 2" xfId="63" xr:uid="{00000000-0005-0000-0000-000006000000}"/>
    <cellStyle name="Comma 5" xfId="5" xr:uid="{00000000-0005-0000-0000-000007000000}"/>
    <cellStyle name="Comma 6" xfId="56" xr:uid="{00000000-0005-0000-0000-000008000000}"/>
    <cellStyle name="Comma 6 2" xfId="85" xr:uid="{00000000-0005-0000-0000-000009000000}"/>
    <cellStyle name="Comma 6 2 2" xfId="120" xr:uid="{00000000-0005-0000-0000-00000A000000}"/>
    <cellStyle name="Comma 6 2 2 2" xfId="190" xr:uid="{00000000-0005-0000-0000-00000B000000}"/>
    <cellStyle name="Comma 6 2 2 2 2" xfId="401" xr:uid="{00000000-0005-0000-0000-00000C000000}"/>
    <cellStyle name="Comma 6 2 2 2 2 2" xfId="752" xr:uid="{9E82CF97-6DAA-4E5C-8AFB-F27E202D7E4B}"/>
    <cellStyle name="Comma 6 2 2 2 2 2 2" xfId="1453" xr:uid="{C4485A22-313B-4544-ADAC-832968786773}"/>
    <cellStyle name="Comma 6 2 2 2 2 3" xfId="1102" xr:uid="{4695BA69-05D9-480E-A5C2-82138D51F94D}"/>
    <cellStyle name="Comma 6 2 2 2 3" xfId="542" xr:uid="{030930FC-9BDC-4611-AB33-BEE08011A2A9}"/>
    <cellStyle name="Comma 6 2 2 2 3 2" xfId="1243" xr:uid="{2AE248DF-60F4-41B3-8B8E-642B7DECDC87}"/>
    <cellStyle name="Comma 6 2 2 2 4" xfId="892" xr:uid="{7D52D018-7E58-4A58-BC8C-331B7058BB95}"/>
    <cellStyle name="Comma 6 2 2 3" xfId="261" xr:uid="{00000000-0005-0000-0000-00000D000000}"/>
    <cellStyle name="Comma 6 2 2 3 2" xfId="612" xr:uid="{DFBF1CCD-F197-474E-A0C2-99D28FA1CCF6}"/>
    <cellStyle name="Comma 6 2 2 3 2 2" xfId="1313" xr:uid="{AB23C4B9-32CA-4742-98DF-10D3B22A2569}"/>
    <cellStyle name="Comma 6 2 2 3 3" xfId="962" xr:uid="{26ED5F06-DF6D-418F-A484-12DB05FE750B}"/>
    <cellStyle name="Comma 6 2 2 4" xfId="331" xr:uid="{00000000-0005-0000-0000-00000E000000}"/>
    <cellStyle name="Comma 6 2 2 4 2" xfId="682" xr:uid="{39F6A129-79CE-4DA9-A78E-26120400403E}"/>
    <cellStyle name="Comma 6 2 2 4 2 2" xfId="1383" xr:uid="{C5B49EA4-3A23-4D65-AE32-08F874F50811}"/>
    <cellStyle name="Comma 6 2 2 4 3" xfId="1032" xr:uid="{B4658CC2-5AB0-4CDE-AD0C-A31AE50276C6}"/>
    <cellStyle name="Comma 6 2 2 5" xfId="472" xr:uid="{09015CE1-3A20-4889-9E32-3DF541480E9C}"/>
    <cellStyle name="Comma 6 2 2 5 2" xfId="1173" xr:uid="{EF4D224D-26C0-4C64-AC1E-B36C90017E9F}"/>
    <cellStyle name="Comma 6 2 2 6" xfId="822" xr:uid="{91A47BCC-466E-4AAE-A4AF-7101F232B3A1}"/>
    <cellStyle name="Comma 6 2 3" xfId="155" xr:uid="{00000000-0005-0000-0000-00000F000000}"/>
    <cellStyle name="Comma 6 2 3 2" xfId="366" xr:uid="{00000000-0005-0000-0000-000010000000}"/>
    <cellStyle name="Comma 6 2 3 2 2" xfId="717" xr:uid="{64D6F719-0623-4FF8-A138-B6C6BF33B8E4}"/>
    <cellStyle name="Comma 6 2 3 2 2 2" xfId="1418" xr:uid="{6A174E0A-418E-46F9-8355-A11D61239964}"/>
    <cellStyle name="Comma 6 2 3 2 3" xfId="1067" xr:uid="{13A49FEC-6819-4E1D-BF09-F6F13918EFEA}"/>
    <cellStyle name="Comma 6 2 3 3" xfId="507" xr:uid="{06E1E88D-DCB8-4E05-A259-58C67EFC6BE6}"/>
    <cellStyle name="Comma 6 2 3 3 2" xfId="1208" xr:uid="{8F6E351C-C50A-45B4-A3B1-DD1BA10778FF}"/>
    <cellStyle name="Comma 6 2 3 4" xfId="857" xr:uid="{BC872061-C717-45CE-B5A3-F8E88370BA00}"/>
    <cellStyle name="Comma 6 2 4" xfId="226" xr:uid="{00000000-0005-0000-0000-000011000000}"/>
    <cellStyle name="Comma 6 2 4 2" xfId="577" xr:uid="{6B773262-9561-40CC-B148-B6050A105510}"/>
    <cellStyle name="Comma 6 2 4 2 2" xfId="1278" xr:uid="{71D44265-5A67-41D1-A00C-A8CA6ECD722A}"/>
    <cellStyle name="Comma 6 2 4 3" xfId="927" xr:uid="{3999730E-AF7C-4351-8D57-9BB7EAB56A6E}"/>
    <cellStyle name="Comma 6 2 5" xfId="296" xr:uid="{00000000-0005-0000-0000-000012000000}"/>
    <cellStyle name="Comma 6 2 5 2" xfId="647" xr:uid="{CE33100A-701F-4DBC-9A88-4C1B41728B7A}"/>
    <cellStyle name="Comma 6 2 5 2 2" xfId="1348" xr:uid="{E4D7FE76-8571-4B70-A3F8-C181B1C25174}"/>
    <cellStyle name="Comma 6 2 5 3" xfId="997" xr:uid="{20DD6A09-7DF8-44E4-9DB7-E44F6DA0CF41}"/>
    <cellStyle name="Comma 6 2 6" xfId="437" xr:uid="{628829BF-58E2-4693-B0AF-25D22901C6B4}"/>
    <cellStyle name="Comma 6 2 6 2" xfId="1138" xr:uid="{428AFB7F-F32E-4458-82EA-E933124C75C9}"/>
    <cellStyle name="Comma 6 2 7" xfId="787" xr:uid="{A629C1DF-E0C5-44CE-87FB-DA946E95E502}"/>
    <cellStyle name="Comma 6 3" xfId="104" xr:uid="{00000000-0005-0000-0000-000013000000}"/>
    <cellStyle name="Comma 6 3 2" xfId="174" xr:uid="{00000000-0005-0000-0000-000014000000}"/>
    <cellStyle name="Comma 6 3 2 2" xfId="385" xr:uid="{00000000-0005-0000-0000-000015000000}"/>
    <cellStyle name="Comma 6 3 2 2 2" xfId="736" xr:uid="{DDA4589A-E277-4B94-A698-6EF84504DA7A}"/>
    <cellStyle name="Comma 6 3 2 2 2 2" xfId="1437" xr:uid="{5E183E1E-A731-4A3D-87AC-1264CBEF8717}"/>
    <cellStyle name="Comma 6 3 2 2 3" xfId="1086" xr:uid="{F89F83BE-FFEA-4ED4-9AB0-A513BD288343}"/>
    <cellStyle name="Comma 6 3 2 3" xfId="526" xr:uid="{9146150E-BC41-4A3D-AFE7-8B6737E16734}"/>
    <cellStyle name="Comma 6 3 2 3 2" xfId="1227" xr:uid="{3833BE22-0DB3-41A7-B958-957EE83234CF}"/>
    <cellStyle name="Comma 6 3 2 4" xfId="876" xr:uid="{850463D7-BD00-444E-ABD8-92EBD92AE947}"/>
    <cellStyle name="Comma 6 3 3" xfId="245" xr:uid="{00000000-0005-0000-0000-000016000000}"/>
    <cellStyle name="Comma 6 3 3 2" xfId="596" xr:uid="{B12EBD08-5116-4E40-9D72-24324ED38D1B}"/>
    <cellStyle name="Comma 6 3 3 2 2" xfId="1297" xr:uid="{590405FA-1F6E-4996-B75B-B51DA913D213}"/>
    <cellStyle name="Comma 6 3 3 3" xfId="946" xr:uid="{F7E53536-02BC-474A-8711-D09479E5247F}"/>
    <cellStyle name="Comma 6 3 4" xfId="315" xr:uid="{00000000-0005-0000-0000-000017000000}"/>
    <cellStyle name="Comma 6 3 4 2" xfId="666" xr:uid="{9D7CF0A1-80F1-4803-A483-2701A89F6DDF}"/>
    <cellStyle name="Comma 6 3 4 2 2" xfId="1367" xr:uid="{D1D16FE8-58EC-4F1B-B179-2B15C61665A0}"/>
    <cellStyle name="Comma 6 3 4 3" xfId="1016" xr:uid="{A8C98976-A39B-4AB2-914B-92511D079591}"/>
    <cellStyle name="Comma 6 3 5" xfId="456" xr:uid="{37350030-6C98-4277-881D-BBB90F844632}"/>
    <cellStyle name="Comma 6 3 5 2" xfId="1157" xr:uid="{9AA889BB-9644-44E5-B1A6-B495574EFA1E}"/>
    <cellStyle name="Comma 6 3 6" xfId="806" xr:uid="{7D95BAEC-94CB-4162-B1AC-4002DA6E0BBE}"/>
    <cellStyle name="Comma 6 4" xfId="139" xr:uid="{00000000-0005-0000-0000-000018000000}"/>
    <cellStyle name="Comma 6 4 2" xfId="350" xr:uid="{00000000-0005-0000-0000-000019000000}"/>
    <cellStyle name="Comma 6 4 2 2" xfId="701" xr:uid="{30B9D265-578D-496D-A174-5FEF3207F6E9}"/>
    <cellStyle name="Comma 6 4 2 2 2" xfId="1402" xr:uid="{569413EC-8815-46B7-A53B-DE210071970C}"/>
    <cellStyle name="Comma 6 4 2 3" xfId="1051" xr:uid="{854D3813-8B04-44B3-9389-8FF4A165C3B8}"/>
    <cellStyle name="Comma 6 4 3" xfId="491" xr:uid="{14250B07-4429-480C-9153-B0D822161274}"/>
    <cellStyle name="Comma 6 4 3 2" xfId="1192" xr:uid="{8E35F5EF-F3F2-4EF6-B1C7-4DA61C98DA23}"/>
    <cellStyle name="Comma 6 4 4" xfId="841" xr:uid="{D6A2FD93-9110-4F76-B4BE-918F8068BCDB}"/>
    <cellStyle name="Comma 6 5" xfId="210" xr:uid="{00000000-0005-0000-0000-00001A000000}"/>
    <cellStyle name="Comma 6 5 2" xfId="561" xr:uid="{A4EDD985-909A-4736-81FD-6EA7A753F528}"/>
    <cellStyle name="Comma 6 5 2 2" xfId="1262" xr:uid="{E4DBC570-672E-4A4C-8F55-6C789B29D741}"/>
    <cellStyle name="Comma 6 5 3" xfId="911" xr:uid="{057C8734-5C7F-4D2A-9436-2C060E05EDA0}"/>
    <cellStyle name="Comma 6 6" xfId="280" xr:uid="{00000000-0005-0000-0000-00001B000000}"/>
    <cellStyle name="Comma 6 6 2" xfId="631" xr:uid="{52869890-102C-4252-94EA-6B2A189E7782}"/>
    <cellStyle name="Comma 6 6 2 2" xfId="1332" xr:uid="{F9B8287F-D3AC-4795-A7F2-735FF6E06F4D}"/>
    <cellStyle name="Comma 6 6 3" xfId="981" xr:uid="{EC5BB17D-AD8D-45B3-9A15-0388966AC5DF}"/>
    <cellStyle name="Comma 6 7" xfId="421" xr:uid="{4D5EFCBF-467C-4749-985D-1CA9DDE229DF}"/>
    <cellStyle name="Comma 6 7 2" xfId="1122" xr:uid="{3941850D-8FB5-420B-8C6B-F3F3B30DAEE0}"/>
    <cellStyle name="Comma 6 8" xfId="771" xr:uid="{EEE67F52-3827-42FA-A5A8-B0EF1DC70D0B}"/>
    <cellStyle name="Comma 7" xfId="90" xr:uid="{00000000-0005-0000-0000-00001C000000}"/>
    <cellStyle name="Comma 7 2" xfId="125" xr:uid="{00000000-0005-0000-0000-00001D000000}"/>
    <cellStyle name="Comma 7 2 2" xfId="195" xr:uid="{00000000-0005-0000-0000-00001E000000}"/>
    <cellStyle name="Comma 7 2 2 2" xfId="406" xr:uid="{00000000-0005-0000-0000-00001F000000}"/>
    <cellStyle name="Comma 7 2 2 2 2" xfId="757" xr:uid="{5893BFF0-BD8E-404E-ABAF-79BA8F355E0E}"/>
    <cellStyle name="Comma 7 2 2 2 2 2" xfId="1458" xr:uid="{9F011BEE-5030-4EFE-8F16-71C23B614E85}"/>
    <cellStyle name="Comma 7 2 2 2 3" xfId="1107" xr:uid="{83AA5A39-92BB-4428-BE96-AAB1F0CA2909}"/>
    <cellStyle name="Comma 7 2 2 3" xfId="547" xr:uid="{22F3B0C8-CC46-4CEF-84F8-89A4852EFB55}"/>
    <cellStyle name="Comma 7 2 2 3 2" xfId="1248" xr:uid="{ABE08A51-0278-4D2E-93F8-A3A34E57040A}"/>
    <cellStyle name="Comma 7 2 2 4" xfId="897" xr:uid="{9292E71C-5EC1-4953-9272-B2BD41D6C801}"/>
    <cellStyle name="Comma 7 2 3" xfId="266" xr:uid="{00000000-0005-0000-0000-000020000000}"/>
    <cellStyle name="Comma 7 2 3 2" xfId="617" xr:uid="{8B6DFB7E-F40F-40F2-99BF-FFC61ECA1B92}"/>
    <cellStyle name="Comma 7 2 3 2 2" xfId="1318" xr:uid="{AF9410A6-BDDB-44F0-A039-8E71372273A3}"/>
    <cellStyle name="Comma 7 2 3 3" xfId="967" xr:uid="{06AEDB7D-3B48-4CF2-9963-BA95E8FFB487}"/>
    <cellStyle name="Comma 7 2 4" xfId="336" xr:uid="{00000000-0005-0000-0000-000021000000}"/>
    <cellStyle name="Comma 7 2 4 2" xfId="687" xr:uid="{C846090D-0E76-4263-BC4B-F91E571F687D}"/>
    <cellStyle name="Comma 7 2 4 2 2" xfId="1388" xr:uid="{6B77C3F4-2797-4CA5-BE4D-5C70A0293773}"/>
    <cellStyle name="Comma 7 2 4 3" xfId="1037" xr:uid="{010F49B6-DFA4-4306-BC54-4829538E4D9C}"/>
    <cellStyle name="Comma 7 2 5" xfId="477" xr:uid="{B6293C45-A89E-47C8-84BC-88266238E6C9}"/>
    <cellStyle name="Comma 7 2 5 2" xfId="1178" xr:uid="{969A3236-9DF0-49A8-AC38-C6053B79194F}"/>
    <cellStyle name="Comma 7 2 6" xfId="827" xr:uid="{3595EA7C-BCE2-44F9-ACA2-7A539F470CBD}"/>
    <cellStyle name="Comma 7 3" xfId="160" xr:uid="{00000000-0005-0000-0000-000022000000}"/>
    <cellStyle name="Comma 7 3 2" xfId="371" xr:uid="{00000000-0005-0000-0000-000023000000}"/>
    <cellStyle name="Comma 7 3 2 2" xfId="722" xr:uid="{712F6DE3-CCE8-485B-8E66-9BAC1A3CC105}"/>
    <cellStyle name="Comma 7 3 2 2 2" xfId="1423" xr:uid="{ED96013C-6DE5-4653-BF54-E228FCE8FEE4}"/>
    <cellStyle name="Comma 7 3 2 3" xfId="1072" xr:uid="{8794B463-1030-4F0D-9B9E-ED262AEB8257}"/>
    <cellStyle name="Comma 7 3 3" xfId="512" xr:uid="{0EE4B5AB-70B8-4D56-9C8B-2D627DDFAE16}"/>
    <cellStyle name="Comma 7 3 3 2" xfId="1213" xr:uid="{135ECDB8-3F32-48D8-AFA0-05CF6E9CC761}"/>
    <cellStyle name="Comma 7 3 4" xfId="862" xr:uid="{C21496B7-B5FE-4EF1-90AA-16A3710C2605}"/>
    <cellStyle name="Comma 7 4" xfId="231" xr:uid="{00000000-0005-0000-0000-000024000000}"/>
    <cellStyle name="Comma 7 4 2" xfId="582" xr:uid="{F1DE242E-6270-4483-852D-94BA1DE194B6}"/>
    <cellStyle name="Comma 7 4 2 2" xfId="1283" xr:uid="{6E05F9CD-FE92-424F-819A-27829127823C}"/>
    <cellStyle name="Comma 7 4 3" xfId="932" xr:uid="{FF977BB5-4B78-4612-A76E-F0860ABFAD60}"/>
    <cellStyle name="Comma 7 5" xfId="301" xr:uid="{00000000-0005-0000-0000-000025000000}"/>
    <cellStyle name="Comma 7 5 2" xfId="652" xr:uid="{A87CD37A-F9C5-4B39-BA45-A3AE5758E71B}"/>
    <cellStyle name="Comma 7 5 2 2" xfId="1353" xr:uid="{F5374FF3-EB3E-43E6-BA11-B87370E2483D}"/>
    <cellStyle name="Comma 7 5 3" xfId="1002" xr:uid="{A5D92080-0522-4998-8EBC-BC378CFAB7C6}"/>
    <cellStyle name="Comma 7 6" xfId="442" xr:uid="{81510C24-5123-44ED-8FC2-15D576B82C4B}"/>
    <cellStyle name="Comma 7 6 2" xfId="1143" xr:uid="{9F13294D-B32C-413D-B24D-C8E7D9D9C7A9}"/>
    <cellStyle name="Comma 7 7" xfId="792" xr:uid="{96A64A6A-A4B8-40CC-A49E-ED14D8C5BABF}"/>
    <cellStyle name="Comma_LIHTC Data" xfId="6" xr:uid="{00000000-0005-0000-0000-000026000000}"/>
    <cellStyle name="Currency" xfId="7" builtinId="4"/>
    <cellStyle name="Currency 10" xfId="59" xr:uid="{00000000-0005-0000-0000-000028000000}"/>
    <cellStyle name="Currency 10 2" xfId="88" xr:uid="{00000000-0005-0000-0000-000029000000}"/>
    <cellStyle name="Currency 10 2 2" xfId="123" xr:uid="{00000000-0005-0000-0000-00002A000000}"/>
    <cellStyle name="Currency 10 2 2 2" xfId="193" xr:uid="{00000000-0005-0000-0000-00002B000000}"/>
    <cellStyle name="Currency 10 2 2 2 2" xfId="404" xr:uid="{00000000-0005-0000-0000-00002C000000}"/>
    <cellStyle name="Currency 10 2 2 2 2 2" xfId="755" xr:uid="{9296F507-7B54-4E58-B875-27B15D675AAF}"/>
    <cellStyle name="Currency 10 2 2 2 2 2 2" xfId="1456" xr:uid="{E4A43EC0-4CDF-4E04-882E-CCBE68667608}"/>
    <cellStyle name="Currency 10 2 2 2 2 3" xfId="1105" xr:uid="{59ADC079-9E7A-4362-A178-368E52648BED}"/>
    <cellStyle name="Currency 10 2 2 2 3" xfId="545" xr:uid="{7448D0BB-0E21-4201-A2D7-F4FE5BFCBEE6}"/>
    <cellStyle name="Currency 10 2 2 2 3 2" xfId="1246" xr:uid="{5AF74893-449D-4C47-9AFB-A47BD000D166}"/>
    <cellStyle name="Currency 10 2 2 2 4" xfId="895" xr:uid="{CC48BB88-DCE9-4C5A-89DB-83715F0B0BB9}"/>
    <cellStyle name="Currency 10 2 2 3" xfId="264" xr:uid="{00000000-0005-0000-0000-00002D000000}"/>
    <cellStyle name="Currency 10 2 2 3 2" xfId="615" xr:uid="{BF13FFB2-20E9-46BF-9741-0249B764DF7B}"/>
    <cellStyle name="Currency 10 2 2 3 2 2" xfId="1316" xr:uid="{2157392F-A034-4FB3-B5DE-2DE02E0211C8}"/>
    <cellStyle name="Currency 10 2 2 3 3" xfId="965" xr:uid="{00FF4DC8-D9D1-4487-9355-F1329B4A8A7A}"/>
    <cellStyle name="Currency 10 2 2 4" xfId="334" xr:uid="{00000000-0005-0000-0000-00002E000000}"/>
    <cellStyle name="Currency 10 2 2 4 2" xfId="685" xr:uid="{CE302FB5-90FA-47FA-9D6B-5E87A237DD2E}"/>
    <cellStyle name="Currency 10 2 2 4 2 2" xfId="1386" xr:uid="{B54D6D83-2E51-493A-AA39-2F6C2019F051}"/>
    <cellStyle name="Currency 10 2 2 4 3" xfId="1035" xr:uid="{A8646A0E-A727-4AF7-BB12-4A781A9B76E6}"/>
    <cellStyle name="Currency 10 2 2 5" xfId="475" xr:uid="{A6C3A45C-F577-4639-B39E-E918D6B1BBE1}"/>
    <cellStyle name="Currency 10 2 2 5 2" xfId="1176" xr:uid="{C7886E7D-5EC3-4188-8250-C8B0B5EF1462}"/>
    <cellStyle name="Currency 10 2 2 6" xfId="825" xr:uid="{67DD1D7F-E69C-4BA0-B464-75FF9F4FE456}"/>
    <cellStyle name="Currency 10 2 3" xfId="158" xr:uid="{00000000-0005-0000-0000-00002F000000}"/>
    <cellStyle name="Currency 10 2 3 2" xfId="369" xr:uid="{00000000-0005-0000-0000-000030000000}"/>
    <cellStyle name="Currency 10 2 3 2 2" xfId="720" xr:uid="{717E93E2-8178-4FAB-8BD6-1187BD3707EE}"/>
    <cellStyle name="Currency 10 2 3 2 2 2" xfId="1421" xr:uid="{BF006B30-C90D-454A-9BFD-CF255BBE2EDD}"/>
    <cellStyle name="Currency 10 2 3 2 3" xfId="1070" xr:uid="{35BB745C-C133-421E-A930-C50B2C1A615C}"/>
    <cellStyle name="Currency 10 2 3 3" xfId="510" xr:uid="{5CF5E9D1-D069-41D3-A3AB-E7D599F7818D}"/>
    <cellStyle name="Currency 10 2 3 3 2" xfId="1211" xr:uid="{257770E0-0768-4067-B3BC-5223464236E5}"/>
    <cellStyle name="Currency 10 2 3 4" xfId="860" xr:uid="{4C570B9D-11BF-4787-9464-196CCB6F8445}"/>
    <cellStyle name="Currency 10 2 4" xfId="229" xr:uid="{00000000-0005-0000-0000-000031000000}"/>
    <cellStyle name="Currency 10 2 4 2" xfId="580" xr:uid="{AE60E337-6CF5-4AA0-9191-00EABD407831}"/>
    <cellStyle name="Currency 10 2 4 2 2" xfId="1281" xr:uid="{54AFD15F-8F86-409C-83C3-C3ECC056BD72}"/>
    <cellStyle name="Currency 10 2 4 3" xfId="930" xr:uid="{41F3ED20-8297-457E-BAE3-8B7C2E25CFF4}"/>
    <cellStyle name="Currency 10 2 5" xfId="299" xr:uid="{00000000-0005-0000-0000-000032000000}"/>
    <cellStyle name="Currency 10 2 5 2" xfId="650" xr:uid="{BF9C3431-57CF-4B95-AE48-87A0CB2BD1FA}"/>
    <cellStyle name="Currency 10 2 5 2 2" xfId="1351" xr:uid="{24D1D7A2-87AD-40A3-B14E-6E4FBD999B3B}"/>
    <cellStyle name="Currency 10 2 5 3" xfId="1000" xr:uid="{5D4880F1-09CF-48AF-9E9A-63FABD2650AF}"/>
    <cellStyle name="Currency 10 2 6" xfId="440" xr:uid="{16F0B346-11D0-40A1-84D7-22B0B4159740}"/>
    <cellStyle name="Currency 10 2 6 2" xfId="1141" xr:uid="{728FEA9B-EA78-43B5-B90D-A654E574622D}"/>
    <cellStyle name="Currency 10 2 7" xfId="790" xr:uid="{7C0447A4-6A93-4732-A95B-B54A23FE20E2}"/>
    <cellStyle name="Currency 10 3" xfId="107" xr:uid="{00000000-0005-0000-0000-000033000000}"/>
    <cellStyle name="Currency 10 3 2" xfId="177" xr:uid="{00000000-0005-0000-0000-000034000000}"/>
    <cellStyle name="Currency 10 3 2 2" xfId="388" xr:uid="{00000000-0005-0000-0000-000035000000}"/>
    <cellStyle name="Currency 10 3 2 2 2" xfId="739" xr:uid="{6E2849A3-53BD-422C-8B0C-4507420D4CEC}"/>
    <cellStyle name="Currency 10 3 2 2 2 2" xfId="1440" xr:uid="{8CA7760E-4FB5-4DF6-8333-342D9DF47D13}"/>
    <cellStyle name="Currency 10 3 2 2 3" xfId="1089" xr:uid="{D1BE6B72-A902-44DA-963A-8110574511DD}"/>
    <cellStyle name="Currency 10 3 2 3" xfId="529" xr:uid="{C72EA8B6-7294-4948-BA57-78D74BCB65FF}"/>
    <cellStyle name="Currency 10 3 2 3 2" xfId="1230" xr:uid="{5553E88B-BC33-4D3D-BDAE-0F754259B73E}"/>
    <cellStyle name="Currency 10 3 2 4" xfId="879" xr:uid="{E9B3163D-3210-43C2-BE1F-2B34D7EC45AD}"/>
    <cellStyle name="Currency 10 3 3" xfId="248" xr:uid="{00000000-0005-0000-0000-000036000000}"/>
    <cellStyle name="Currency 10 3 3 2" xfId="599" xr:uid="{729721D7-F779-4EB7-8E22-76DE7C0D03D0}"/>
    <cellStyle name="Currency 10 3 3 2 2" xfId="1300" xr:uid="{734B025C-2994-4E31-B5FF-709ADAD9B0DE}"/>
    <cellStyle name="Currency 10 3 3 3" xfId="949" xr:uid="{0CCE4644-684C-4A47-8742-A0F28121B7BD}"/>
    <cellStyle name="Currency 10 3 4" xfId="318" xr:uid="{00000000-0005-0000-0000-000037000000}"/>
    <cellStyle name="Currency 10 3 4 2" xfId="669" xr:uid="{18224723-4218-4AA8-ADB3-3AFF3DFC8349}"/>
    <cellStyle name="Currency 10 3 4 2 2" xfId="1370" xr:uid="{EC307E72-67A2-4483-A957-89DF450840E8}"/>
    <cellStyle name="Currency 10 3 4 3" xfId="1019" xr:uid="{4C823108-1DA1-4800-8D1A-5DA3AD12FB7E}"/>
    <cellStyle name="Currency 10 3 5" xfId="459" xr:uid="{1228774A-4461-4E02-8513-B03E01ACC3FC}"/>
    <cellStyle name="Currency 10 3 5 2" xfId="1160" xr:uid="{FADC6E5D-3360-4A52-BFE3-549DA967C396}"/>
    <cellStyle name="Currency 10 3 6" xfId="809" xr:uid="{92C142D8-FE10-4823-8826-158A42295CDF}"/>
    <cellStyle name="Currency 10 4" xfId="142" xr:uid="{00000000-0005-0000-0000-000038000000}"/>
    <cellStyle name="Currency 10 4 2" xfId="353" xr:uid="{00000000-0005-0000-0000-000039000000}"/>
    <cellStyle name="Currency 10 4 2 2" xfId="704" xr:uid="{83105D2C-C880-4E40-8B24-F80F657D5478}"/>
    <cellStyle name="Currency 10 4 2 2 2" xfId="1405" xr:uid="{A7E97378-6780-4E35-9C4C-9918DE19B907}"/>
    <cellStyle name="Currency 10 4 2 3" xfId="1054" xr:uid="{58405FC7-BC46-42D8-B05A-C78D7E02EE4D}"/>
    <cellStyle name="Currency 10 4 3" xfId="494" xr:uid="{ABC14FEE-6271-4B43-8A22-E8CA35B310D9}"/>
    <cellStyle name="Currency 10 4 3 2" xfId="1195" xr:uid="{A66B05C3-C21A-4A45-BF6E-3C05845E5EB4}"/>
    <cellStyle name="Currency 10 4 4" xfId="844" xr:uid="{AC974953-EE5F-4731-A4E7-6C02369D39D3}"/>
    <cellStyle name="Currency 10 5" xfId="213" xr:uid="{00000000-0005-0000-0000-00003A000000}"/>
    <cellStyle name="Currency 10 5 2" xfId="564" xr:uid="{7CE208E1-21E7-4316-A1A8-31B394714064}"/>
    <cellStyle name="Currency 10 5 2 2" xfId="1265" xr:uid="{0E347DFE-2192-445C-8152-10C601B5D4DB}"/>
    <cellStyle name="Currency 10 5 3" xfId="914" xr:uid="{5D2C41EE-3F24-4560-BD65-4617AEE0A603}"/>
    <cellStyle name="Currency 10 6" xfId="283" xr:uid="{00000000-0005-0000-0000-00003B000000}"/>
    <cellStyle name="Currency 10 6 2" xfId="634" xr:uid="{AD630576-E49B-4B5E-9021-6808694CD76C}"/>
    <cellStyle name="Currency 10 6 2 2" xfId="1335" xr:uid="{41B5114A-FBED-4E44-8A11-3241FA15B182}"/>
    <cellStyle name="Currency 10 6 3" xfId="984" xr:uid="{5AD79BC4-5980-4F15-A4A5-71D52C03F6E5}"/>
    <cellStyle name="Currency 10 7" xfId="424" xr:uid="{B560E00B-15D7-4CEE-9EF3-A7E941B62CFF}"/>
    <cellStyle name="Currency 10 7 2" xfId="1125" xr:uid="{CC480E52-7551-46E0-972C-D470C5E73204}"/>
    <cellStyle name="Currency 10 8" xfId="774" xr:uid="{9524E579-39CE-4819-931B-23E9F6BA9CDA}"/>
    <cellStyle name="Currency 2" xfId="8" xr:uid="{00000000-0005-0000-0000-00003C000000}"/>
    <cellStyle name="Currency 2 2" xfId="64" xr:uid="{00000000-0005-0000-0000-00003D000000}"/>
    <cellStyle name="Currency 3" xfId="9" xr:uid="{00000000-0005-0000-0000-00003E000000}"/>
    <cellStyle name="Currency 3 2" xfId="65" xr:uid="{00000000-0005-0000-0000-00003F000000}"/>
    <cellStyle name="Currency 4" xfId="10" xr:uid="{00000000-0005-0000-0000-000040000000}"/>
    <cellStyle name="Currency 4 2" xfId="66" xr:uid="{00000000-0005-0000-0000-000041000000}"/>
    <cellStyle name="Currency 5" xfId="11" xr:uid="{00000000-0005-0000-0000-000042000000}"/>
    <cellStyle name="Currency 6" xfId="44" xr:uid="{00000000-0005-0000-0000-000043000000}"/>
    <cellStyle name="Currency 6 2" xfId="75" xr:uid="{00000000-0005-0000-0000-000044000000}"/>
    <cellStyle name="Currency 6 2 2" xfId="110" xr:uid="{00000000-0005-0000-0000-000045000000}"/>
    <cellStyle name="Currency 6 2 2 2" xfId="180" xr:uid="{00000000-0005-0000-0000-000046000000}"/>
    <cellStyle name="Currency 6 2 2 2 2" xfId="391" xr:uid="{00000000-0005-0000-0000-000047000000}"/>
    <cellStyle name="Currency 6 2 2 2 2 2" xfId="742" xr:uid="{5B9DC66A-5EFD-49C1-A850-3B65CE1EB772}"/>
    <cellStyle name="Currency 6 2 2 2 2 2 2" xfId="1443" xr:uid="{5EE4BAFB-BCEB-4368-BE37-79534D6A72D5}"/>
    <cellStyle name="Currency 6 2 2 2 2 3" xfId="1092" xr:uid="{8A2BB1F0-F7CF-4668-AB34-8EEE4BE0C5D3}"/>
    <cellStyle name="Currency 6 2 2 2 3" xfId="532" xr:uid="{F46B55CD-9C71-4ACA-96F4-BB7CC480F9F4}"/>
    <cellStyle name="Currency 6 2 2 2 3 2" xfId="1233" xr:uid="{2CD65060-89B2-43CC-B760-71280555260C}"/>
    <cellStyle name="Currency 6 2 2 2 4" xfId="882" xr:uid="{D25122FD-2E4C-48AF-9258-69615C394626}"/>
    <cellStyle name="Currency 6 2 2 3" xfId="251" xr:uid="{00000000-0005-0000-0000-000048000000}"/>
    <cellStyle name="Currency 6 2 2 3 2" xfId="602" xr:uid="{E0F78F5B-80AF-4309-A3CB-215787929277}"/>
    <cellStyle name="Currency 6 2 2 3 2 2" xfId="1303" xr:uid="{17CAFE26-F4FC-4604-A224-6C3660635CD8}"/>
    <cellStyle name="Currency 6 2 2 3 3" xfId="952" xr:uid="{CEB39B4E-51C3-4257-A399-B5E3A45CBFB8}"/>
    <cellStyle name="Currency 6 2 2 4" xfId="321" xr:uid="{00000000-0005-0000-0000-000049000000}"/>
    <cellStyle name="Currency 6 2 2 4 2" xfId="672" xr:uid="{015553BA-EF91-4AA9-BE0C-6040572890F1}"/>
    <cellStyle name="Currency 6 2 2 4 2 2" xfId="1373" xr:uid="{B78D8885-0A06-43F8-9CDF-B9854B875347}"/>
    <cellStyle name="Currency 6 2 2 4 3" xfId="1022" xr:uid="{51406A90-3459-4D70-985C-77DC920CCF19}"/>
    <cellStyle name="Currency 6 2 2 5" xfId="462" xr:uid="{BB96F06F-EF79-421A-A83B-B540A82F5409}"/>
    <cellStyle name="Currency 6 2 2 5 2" xfId="1163" xr:uid="{2F498B08-05E2-4744-B19E-B8DF875C164F}"/>
    <cellStyle name="Currency 6 2 2 6" xfId="812" xr:uid="{173A41B5-6B06-456A-A4A8-7E9254266229}"/>
    <cellStyle name="Currency 6 2 3" xfId="145" xr:uid="{00000000-0005-0000-0000-00004A000000}"/>
    <cellStyle name="Currency 6 2 3 2" xfId="356" xr:uid="{00000000-0005-0000-0000-00004B000000}"/>
    <cellStyle name="Currency 6 2 3 2 2" xfId="707" xr:uid="{6F77E2C2-E220-45C1-8EDE-6CCC59AE57DD}"/>
    <cellStyle name="Currency 6 2 3 2 2 2" xfId="1408" xr:uid="{2258E8EB-A6A3-422E-9305-67534149737A}"/>
    <cellStyle name="Currency 6 2 3 2 3" xfId="1057" xr:uid="{0FA53A44-A5CB-4CA8-8F80-44C8EF4360C8}"/>
    <cellStyle name="Currency 6 2 3 3" xfId="497" xr:uid="{8A04422E-CEBA-43C0-99E0-716AC9C41BCE}"/>
    <cellStyle name="Currency 6 2 3 3 2" xfId="1198" xr:uid="{37E66B8D-8C0C-45BD-8FE1-EA5706256008}"/>
    <cellStyle name="Currency 6 2 3 4" xfId="847" xr:uid="{B9BAF1D6-CCC0-419D-9A04-12B4F1C90D10}"/>
    <cellStyle name="Currency 6 2 4" xfId="216" xr:uid="{00000000-0005-0000-0000-00004C000000}"/>
    <cellStyle name="Currency 6 2 4 2" xfId="567" xr:uid="{E12A8EBB-836B-4E57-B9AC-9F243B44EC25}"/>
    <cellStyle name="Currency 6 2 4 2 2" xfId="1268" xr:uid="{000E7E85-F8C0-46BA-8AAA-E0728896B06D}"/>
    <cellStyle name="Currency 6 2 4 3" xfId="917" xr:uid="{7FF469F4-6A9E-4DDC-B7A7-700554B38F86}"/>
    <cellStyle name="Currency 6 2 5" xfId="286" xr:uid="{00000000-0005-0000-0000-00004D000000}"/>
    <cellStyle name="Currency 6 2 5 2" xfId="637" xr:uid="{01C6F8BF-810E-4E2F-A81D-6E05EF461FF7}"/>
    <cellStyle name="Currency 6 2 5 2 2" xfId="1338" xr:uid="{A4054B82-7294-4495-A1D2-6740731FE92A}"/>
    <cellStyle name="Currency 6 2 5 3" xfId="987" xr:uid="{907CBFAF-6762-4CC3-9575-5555D50471A4}"/>
    <cellStyle name="Currency 6 2 6" xfId="427" xr:uid="{C5944230-52D4-499F-B0B6-FD1F82DEB609}"/>
    <cellStyle name="Currency 6 2 6 2" xfId="1128" xr:uid="{CBD4A007-9CC4-421B-A704-9568AA9E857D}"/>
    <cellStyle name="Currency 6 2 7" xfId="777" xr:uid="{DCDC7C2A-FC46-465F-B32D-2E815F5CDE8F}"/>
    <cellStyle name="Currency 6 3" xfId="94" xr:uid="{00000000-0005-0000-0000-00004E000000}"/>
    <cellStyle name="Currency 6 3 2" xfId="164" xr:uid="{00000000-0005-0000-0000-00004F000000}"/>
    <cellStyle name="Currency 6 3 2 2" xfId="375" xr:uid="{00000000-0005-0000-0000-000050000000}"/>
    <cellStyle name="Currency 6 3 2 2 2" xfId="726" xr:uid="{97F483DC-9EB5-4863-B0AF-BF7CAAD7CF68}"/>
    <cellStyle name="Currency 6 3 2 2 2 2" xfId="1427" xr:uid="{29FC0C12-A3FA-4EA3-A0D5-4B0EE892DA12}"/>
    <cellStyle name="Currency 6 3 2 2 3" xfId="1076" xr:uid="{8E620F76-1BA9-408B-BA5B-23954EF2B670}"/>
    <cellStyle name="Currency 6 3 2 3" xfId="516" xr:uid="{61DAB728-9F5B-4E1D-9D42-07E360B0CD45}"/>
    <cellStyle name="Currency 6 3 2 3 2" xfId="1217" xr:uid="{25D826AE-B5DD-4382-BB6B-0485E287ADBF}"/>
    <cellStyle name="Currency 6 3 2 4" xfId="866" xr:uid="{19706619-7653-4FD7-A74B-E9769E040033}"/>
    <cellStyle name="Currency 6 3 3" xfId="235" xr:uid="{00000000-0005-0000-0000-000051000000}"/>
    <cellStyle name="Currency 6 3 3 2" xfId="586" xr:uid="{3279F42E-8910-4B51-A8B6-31DB9E81B92C}"/>
    <cellStyle name="Currency 6 3 3 2 2" xfId="1287" xr:uid="{5E30FB4F-77C3-4D48-9A51-CDE95118BDE6}"/>
    <cellStyle name="Currency 6 3 3 3" xfId="936" xr:uid="{4E58A435-0A2D-4F85-935F-7B45CD62F857}"/>
    <cellStyle name="Currency 6 3 4" xfId="305" xr:uid="{00000000-0005-0000-0000-000052000000}"/>
    <cellStyle name="Currency 6 3 4 2" xfId="656" xr:uid="{1B2032B2-5F6F-401F-A8BF-61938AE1EF21}"/>
    <cellStyle name="Currency 6 3 4 2 2" xfId="1357" xr:uid="{DF949748-7608-490F-A492-D68849DB102C}"/>
    <cellStyle name="Currency 6 3 4 3" xfId="1006" xr:uid="{52E53E08-52E2-43C2-9277-5046FD955F94}"/>
    <cellStyle name="Currency 6 3 5" xfId="446" xr:uid="{712E17B6-4372-418E-B102-017DB4BF6414}"/>
    <cellStyle name="Currency 6 3 5 2" xfId="1147" xr:uid="{3691AF80-F176-4EE9-8C4A-1B47D0967D9E}"/>
    <cellStyle name="Currency 6 3 6" xfId="796" xr:uid="{09A110EF-DA4E-4AFE-989E-D583AB9229A8}"/>
    <cellStyle name="Currency 6 4" xfId="129" xr:uid="{00000000-0005-0000-0000-000053000000}"/>
    <cellStyle name="Currency 6 4 2" xfId="340" xr:uid="{00000000-0005-0000-0000-000054000000}"/>
    <cellStyle name="Currency 6 4 2 2" xfId="691" xr:uid="{CEBFF177-C73F-4CE7-8F3D-0C29C860A5CF}"/>
    <cellStyle name="Currency 6 4 2 2 2" xfId="1392" xr:uid="{209B3D94-936B-493E-9824-63A36896BA8C}"/>
    <cellStyle name="Currency 6 4 2 3" xfId="1041" xr:uid="{A9FD2956-639D-401A-B424-8457333A3E75}"/>
    <cellStyle name="Currency 6 4 3" xfId="481" xr:uid="{0216E11A-A295-4356-BA7B-0D41208E402B}"/>
    <cellStyle name="Currency 6 4 3 2" xfId="1182" xr:uid="{3BD8917A-F924-4429-8E05-F37D9F7DB619}"/>
    <cellStyle name="Currency 6 4 4" xfId="831" xr:uid="{07A616FD-1150-4A69-BDE9-9E8A54A5BB99}"/>
    <cellStyle name="Currency 6 5" xfId="200" xr:uid="{00000000-0005-0000-0000-000055000000}"/>
    <cellStyle name="Currency 6 5 2" xfId="551" xr:uid="{77388375-D135-4FDE-A33A-D33E6E8C4FF3}"/>
    <cellStyle name="Currency 6 5 2 2" xfId="1252" xr:uid="{EA4BE956-FD0D-4BCB-9809-62B468AC8849}"/>
    <cellStyle name="Currency 6 5 3" xfId="901" xr:uid="{DA8F9B0D-9949-4980-A00E-DB3C86DB84D1}"/>
    <cellStyle name="Currency 6 6" xfId="270" xr:uid="{00000000-0005-0000-0000-000056000000}"/>
    <cellStyle name="Currency 6 6 2" xfId="621" xr:uid="{3B22B70C-B24C-4185-8197-5A661200E146}"/>
    <cellStyle name="Currency 6 6 2 2" xfId="1322" xr:uid="{FFE2B5A6-ACCA-43DF-896F-F825DFED8057}"/>
    <cellStyle name="Currency 6 6 3" xfId="971" xr:uid="{ECE6F31E-A1B8-4A42-AEFE-5E58578F9A42}"/>
    <cellStyle name="Currency 6 7" xfId="411" xr:uid="{7D457711-D52E-422A-B4D7-B34A2041CA1B}"/>
    <cellStyle name="Currency 6 7 2" xfId="1112" xr:uid="{FA7AAD8C-C258-448A-B5E2-B2106BBA7CE2}"/>
    <cellStyle name="Currency 6 8" xfId="761" xr:uid="{F280CC18-43B0-4677-97BB-045694A6C78D}"/>
    <cellStyle name="Currency 7" xfId="47" xr:uid="{00000000-0005-0000-0000-000057000000}"/>
    <cellStyle name="Currency 7 2" xfId="77" xr:uid="{00000000-0005-0000-0000-000058000000}"/>
    <cellStyle name="Currency 7 2 2" xfId="112" xr:uid="{00000000-0005-0000-0000-000059000000}"/>
    <cellStyle name="Currency 7 2 2 2" xfId="182" xr:uid="{00000000-0005-0000-0000-00005A000000}"/>
    <cellStyle name="Currency 7 2 2 2 2" xfId="393" xr:uid="{00000000-0005-0000-0000-00005B000000}"/>
    <cellStyle name="Currency 7 2 2 2 2 2" xfId="744" xr:uid="{90841E95-10EB-4B1E-9FF4-6A3F113AD609}"/>
    <cellStyle name="Currency 7 2 2 2 2 2 2" xfId="1445" xr:uid="{60F373A9-7DD4-4841-9462-579122138BD4}"/>
    <cellStyle name="Currency 7 2 2 2 2 3" xfId="1094" xr:uid="{DA3EB2E0-68B2-4F63-8EF7-3AF9F80058A4}"/>
    <cellStyle name="Currency 7 2 2 2 3" xfId="534" xr:uid="{AEF59E0A-4948-4B0B-8F28-32340E5829B5}"/>
    <cellStyle name="Currency 7 2 2 2 3 2" xfId="1235" xr:uid="{EA6E3E5E-3D0F-4083-B066-F7F4858966A1}"/>
    <cellStyle name="Currency 7 2 2 2 4" xfId="884" xr:uid="{E8E5A69E-B21E-4AB8-B977-CE0BF2FA1F00}"/>
    <cellStyle name="Currency 7 2 2 3" xfId="253" xr:uid="{00000000-0005-0000-0000-00005C000000}"/>
    <cellStyle name="Currency 7 2 2 3 2" xfId="604" xr:uid="{97652254-CF41-4B8C-9DC2-74B57686C306}"/>
    <cellStyle name="Currency 7 2 2 3 2 2" xfId="1305" xr:uid="{2B59FE9B-F8EB-4CB0-9D5D-65BB89932636}"/>
    <cellStyle name="Currency 7 2 2 3 3" xfId="954" xr:uid="{85528633-CC14-4710-AEC0-081004373D74}"/>
    <cellStyle name="Currency 7 2 2 4" xfId="323" xr:uid="{00000000-0005-0000-0000-00005D000000}"/>
    <cellStyle name="Currency 7 2 2 4 2" xfId="674" xr:uid="{FB5FBD54-2E33-4C49-B978-896676A82DDD}"/>
    <cellStyle name="Currency 7 2 2 4 2 2" xfId="1375" xr:uid="{DB372E1B-587A-465D-9E51-9E366742113A}"/>
    <cellStyle name="Currency 7 2 2 4 3" xfId="1024" xr:uid="{358DB9EE-6349-4302-B58C-E37F196467E1}"/>
    <cellStyle name="Currency 7 2 2 5" xfId="464" xr:uid="{E40AD9D0-3878-4206-AB3D-BD7B63A8DA2A}"/>
    <cellStyle name="Currency 7 2 2 5 2" xfId="1165" xr:uid="{B8066B39-5957-4C15-81E0-F22742C5752B}"/>
    <cellStyle name="Currency 7 2 2 6" xfId="814" xr:uid="{0531398C-559F-4A10-A829-3BD16938FDA7}"/>
    <cellStyle name="Currency 7 2 3" xfId="147" xr:uid="{00000000-0005-0000-0000-00005E000000}"/>
    <cellStyle name="Currency 7 2 3 2" xfId="358" xr:uid="{00000000-0005-0000-0000-00005F000000}"/>
    <cellStyle name="Currency 7 2 3 2 2" xfId="709" xr:uid="{7214692B-5A36-45BA-BE32-9C4D7CF3592A}"/>
    <cellStyle name="Currency 7 2 3 2 2 2" xfId="1410" xr:uid="{9F1352F8-7638-4ADE-922F-598D5298C7AD}"/>
    <cellStyle name="Currency 7 2 3 2 3" xfId="1059" xr:uid="{B72AEC61-83F7-4C07-A065-B70A35C4A2A8}"/>
    <cellStyle name="Currency 7 2 3 3" xfId="499" xr:uid="{96FA0E63-FF0E-4B79-88DB-39C074A558FB}"/>
    <cellStyle name="Currency 7 2 3 3 2" xfId="1200" xr:uid="{1F561BCE-D388-4779-90A5-1CFB22A2E729}"/>
    <cellStyle name="Currency 7 2 3 4" xfId="849" xr:uid="{AE2E7974-99D4-4B07-9DC3-83A03472CAAA}"/>
    <cellStyle name="Currency 7 2 4" xfId="218" xr:uid="{00000000-0005-0000-0000-000060000000}"/>
    <cellStyle name="Currency 7 2 4 2" xfId="569" xr:uid="{654DE1CF-F4FA-4B84-BBDA-F7DFFCE95DB7}"/>
    <cellStyle name="Currency 7 2 4 2 2" xfId="1270" xr:uid="{ED2510CE-6CC8-4E43-BAA8-043E8F612131}"/>
    <cellStyle name="Currency 7 2 4 3" xfId="919" xr:uid="{B7514C83-6F3E-4543-9E1D-AF6A63620EBA}"/>
    <cellStyle name="Currency 7 2 5" xfId="288" xr:uid="{00000000-0005-0000-0000-000061000000}"/>
    <cellStyle name="Currency 7 2 5 2" xfId="639" xr:uid="{F29114C0-807F-40FD-B218-F5C6390064E8}"/>
    <cellStyle name="Currency 7 2 5 2 2" xfId="1340" xr:uid="{98D9D087-C6AA-48F5-AFFE-9FA54270AF46}"/>
    <cellStyle name="Currency 7 2 5 3" xfId="989" xr:uid="{3D92FA6E-68AE-4980-8F1C-CF905EFEA42D}"/>
    <cellStyle name="Currency 7 2 6" xfId="429" xr:uid="{EEB00134-0113-4EA5-BE59-5E68E631CDF2}"/>
    <cellStyle name="Currency 7 2 6 2" xfId="1130" xr:uid="{66E7FD81-6912-43D5-8738-60C979C5D81F}"/>
    <cellStyle name="Currency 7 2 7" xfId="779" xr:uid="{54660E73-C219-4DCE-B8C2-833737711D40}"/>
    <cellStyle name="Currency 7 3" xfId="96" xr:uid="{00000000-0005-0000-0000-000062000000}"/>
    <cellStyle name="Currency 7 3 2" xfId="166" xr:uid="{00000000-0005-0000-0000-000063000000}"/>
    <cellStyle name="Currency 7 3 2 2" xfId="377" xr:uid="{00000000-0005-0000-0000-000064000000}"/>
    <cellStyle name="Currency 7 3 2 2 2" xfId="728" xr:uid="{012803C5-08D8-4CC5-8551-DADF5A3720B6}"/>
    <cellStyle name="Currency 7 3 2 2 2 2" xfId="1429" xr:uid="{83483305-0245-4EE7-9574-A3E0D32BD37B}"/>
    <cellStyle name="Currency 7 3 2 2 3" xfId="1078" xr:uid="{3B89D9A0-BDBA-43FE-B76C-53754AA46678}"/>
    <cellStyle name="Currency 7 3 2 3" xfId="518" xr:uid="{C42977C1-5ABA-4070-BD5B-C47410BE27A5}"/>
    <cellStyle name="Currency 7 3 2 3 2" xfId="1219" xr:uid="{F603C1F3-D089-441E-AC6A-36BEF6C16F4D}"/>
    <cellStyle name="Currency 7 3 2 4" xfId="868" xr:uid="{99019728-648C-427E-A43E-C736D6BDA970}"/>
    <cellStyle name="Currency 7 3 3" xfId="237" xr:uid="{00000000-0005-0000-0000-000065000000}"/>
    <cellStyle name="Currency 7 3 3 2" xfId="588" xr:uid="{9626F6D3-9768-42AC-823B-3FD28E1A212B}"/>
    <cellStyle name="Currency 7 3 3 2 2" xfId="1289" xr:uid="{78391F61-18B4-4D47-9A2A-135EBE3D2C48}"/>
    <cellStyle name="Currency 7 3 3 3" xfId="938" xr:uid="{C5C651D0-1D20-4FB1-A440-485340754BE8}"/>
    <cellStyle name="Currency 7 3 4" xfId="307" xr:uid="{00000000-0005-0000-0000-000066000000}"/>
    <cellStyle name="Currency 7 3 4 2" xfId="658" xr:uid="{5A0F3419-A23C-4C3F-8BE9-536F8DFCB34A}"/>
    <cellStyle name="Currency 7 3 4 2 2" xfId="1359" xr:uid="{B4E51A09-FFBC-4148-95FC-5133E6253A63}"/>
    <cellStyle name="Currency 7 3 4 3" xfId="1008" xr:uid="{1D909FC1-51DE-4AF2-AB4D-B5F174565F83}"/>
    <cellStyle name="Currency 7 3 5" xfId="448" xr:uid="{CAA2D7A4-B226-4DB1-B68F-4DCAC7D66B7B}"/>
    <cellStyle name="Currency 7 3 5 2" xfId="1149" xr:uid="{0564AF93-6F40-454D-A323-BA5AD0B6C394}"/>
    <cellStyle name="Currency 7 3 6" xfId="798" xr:uid="{FE2ED8E3-A68B-4C30-AE3A-5E1E291F24BC}"/>
    <cellStyle name="Currency 7 4" xfId="131" xr:uid="{00000000-0005-0000-0000-000067000000}"/>
    <cellStyle name="Currency 7 4 2" xfId="342" xr:uid="{00000000-0005-0000-0000-000068000000}"/>
    <cellStyle name="Currency 7 4 2 2" xfId="693" xr:uid="{ADC1A7F5-086B-4EE8-97A1-8233F5C8D613}"/>
    <cellStyle name="Currency 7 4 2 2 2" xfId="1394" xr:uid="{2072C9E8-E8D6-440C-9EE4-07591A294C6E}"/>
    <cellStyle name="Currency 7 4 2 3" xfId="1043" xr:uid="{B4F5AFB7-2BFB-4A03-938D-B670E84B615B}"/>
    <cellStyle name="Currency 7 4 3" xfId="483" xr:uid="{A3004B4F-F935-46C1-9E38-BE95372A7A6C}"/>
    <cellStyle name="Currency 7 4 3 2" xfId="1184" xr:uid="{1DAC5074-9B9D-48A9-A3F5-479FF1DABA77}"/>
    <cellStyle name="Currency 7 4 4" xfId="833" xr:uid="{A9147631-45FD-4EEC-BFD4-68DE5DBB42D3}"/>
    <cellStyle name="Currency 7 5" xfId="202" xr:uid="{00000000-0005-0000-0000-000069000000}"/>
    <cellStyle name="Currency 7 5 2" xfId="553" xr:uid="{B201C555-1C21-4F19-8BE2-D7BDE036C17D}"/>
    <cellStyle name="Currency 7 5 2 2" xfId="1254" xr:uid="{5827EE59-0173-4B7F-8CAC-5FEC21DA6F01}"/>
    <cellStyle name="Currency 7 5 3" xfId="903" xr:uid="{DA495765-2FF9-4B8B-905C-9587F1325BA9}"/>
    <cellStyle name="Currency 7 6" xfId="272" xr:uid="{00000000-0005-0000-0000-00006A000000}"/>
    <cellStyle name="Currency 7 6 2" xfId="623" xr:uid="{6ED12037-CA45-49C4-8F82-138983A08DC2}"/>
    <cellStyle name="Currency 7 6 2 2" xfId="1324" xr:uid="{24957DC4-E7F1-4EF1-809E-EE196B4F3725}"/>
    <cellStyle name="Currency 7 6 3" xfId="973" xr:uid="{18493ECB-72D8-48DE-9529-10756C47D1E9}"/>
    <cellStyle name="Currency 7 7" xfId="413" xr:uid="{89C960A8-EDF0-46AB-B403-7F23AECC05C0}"/>
    <cellStyle name="Currency 7 7 2" xfId="1114" xr:uid="{70DE7FD4-C8A3-4780-92BA-CA1310DC78C4}"/>
    <cellStyle name="Currency 7 8" xfId="763" xr:uid="{B8EADFAF-E78E-4542-B4A9-1AC02376BD6D}"/>
    <cellStyle name="Currency 8" xfId="53" xr:uid="{00000000-0005-0000-0000-00006B000000}"/>
    <cellStyle name="Currency 8 2" xfId="82" xr:uid="{00000000-0005-0000-0000-00006C000000}"/>
    <cellStyle name="Currency 8 2 2" xfId="117" xr:uid="{00000000-0005-0000-0000-00006D000000}"/>
    <cellStyle name="Currency 8 2 2 2" xfId="187" xr:uid="{00000000-0005-0000-0000-00006E000000}"/>
    <cellStyle name="Currency 8 2 2 2 2" xfId="398" xr:uid="{00000000-0005-0000-0000-00006F000000}"/>
    <cellStyle name="Currency 8 2 2 2 2 2" xfId="749" xr:uid="{02751024-B183-49CB-B445-700953E96485}"/>
    <cellStyle name="Currency 8 2 2 2 2 2 2" xfId="1450" xr:uid="{54FAC6F5-BC2C-4D04-8900-0D4A7D123FFE}"/>
    <cellStyle name="Currency 8 2 2 2 2 3" xfId="1099" xr:uid="{C51B82AD-AE91-4CF5-88DD-A05E272FD911}"/>
    <cellStyle name="Currency 8 2 2 2 3" xfId="539" xr:uid="{83F19653-79B4-4410-B372-97CA4323E4A3}"/>
    <cellStyle name="Currency 8 2 2 2 3 2" xfId="1240" xr:uid="{6D42DCAA-E6DC-4D5E-B019-E9C8C8FFA17F}"/>
    <cellStyle name="Currency 8 2 2 2 4" xfId="889" xr:uid="{7822C8C1-0A03-4FB9-9F17-F2F38A4E4B5D}"/>
    <cellStyle name="Currency 8 2 2 3" xfId="258" xr:uid="{00000000-0005-0000-0000-000070000000}"/>
    <cellStyle name="Currency 8 2 2 3 2" xfId="609" xr:uid="{7D982B14-EAAE-4A77-99FF-7D88BB44A8BA}"/>
    <cellStyle name="Currency 8 2 2 3 2 2" xfId="1310" xr:uid="{38E27BA2-9A98-4D7F-8212-2F24DDA1F084}"/>
    <cellStyle name="Currency 8 2 2 3 3" xfId="959" xr:uid="{06FD2B5B-712A-4BE7-8439-BEDABFB30BC4}"/>
    <cellStyle name="Currency 8 2 2 4" xfId="328" xr:uid="{00000000-0005-0000-0000-000071000000}"/>
    <cellStyle name="Currency 8 2 2 4 2" xfId="679" xr:uid="{9758C234-147B-47EA-BFDB-FFE1E2E1D941}"/>
    <cellStyle name="Currency 8 2 2 4 2 2" xfId="1380" xr:uid="{941848AF-DF65-4A76-9755-B0637CD30ACC}"/>
    <cellStyle name="Currency 8 2 2 4 3" xfId="1029" xr:uid="{1E2105A6-EE5D-4DB8-A4AB-A456F9E2DD4E}"/>
    <cellStyle name="Currency 8 2 2 5" xfId="469" xr:uid="{6ACD99E2-FDD8-46A1-8C5C-5AC7732E9444}"/>
    <cellStyle name="Currency 8 2 2 5 2" xfId="1170" xr:uid="{2669B5DA-A3AC-44BB-9DAF-2C53B04DBE0A}"/>
    <cellStyle name="Currency 8 2 2 6" xfId="819" xr:uid="{4C6229B4-6B9A-43B4-BA98-EB142F13ED99}"/>
    <cellStyle name="Currency 8 2 3" xfId="152" xr:uid="{00000000-0005-0000-0000-000072000000}"/>
    <cellStyle name="Currency 8 2 3 2" xfId="363" xr:uid="{00000000-0005-0000-0000-000073000000}"/>
    <cellStyle name="Currency 8 2 3 2 2" xfId="714" xr:uid="{F5C0072D-A696-4E2A-9DFC-2F3F80BA199F}"/>
    <cellStyle name="Currency 8 2 3 2 2 2" xfId="1415" xr:uid="{8300856F-562E-442A-AA03-116BBA82CCEE}"/>
    <cellStyle name="Currency 8 2 3 2 3" xfId="1064" xr:uid="{99761CD1-7270-435A-8CC3-4351B3BE55AC}"/>
    <cellStyle name="Currency 8 2 3 3" xfId="504" xr:uid="{D2220D25-0D81-427C-A4A5-298BA2030786}"/>
    <cellStyle name="Currency 8 2 3 3 2" xfId="1205" xr:uid="{36A7771A-5E6B-4CD2-9000-3C65012FF80F}"/>
    <cellStyle name="Currency 8 2 3 4" xfId="854" xr:uid="{6B1EAD02-DA37-438E-B3A7-39D5C539873F}"/>
    <cellStyle name="Currency 8 2 4" xfId="223" xr:uid="{00000000-0005-0000-0000-000074000000}"/>
    <cellStyle name="Currency 8 2 4 2" xfId="574" xr:uid="{1FACE083-3C91-42FB-8EC9-9779C0958E8A}"/>
    <cellStyle name="Currency 8 2 4 2 2" xfId="1275" xr:uid="{2D9B99FC-5806-4F4C-83FC-E8F222EECA2A}"/>
    <cellStyle name="Currency 8 2 4 3" xfId="924" xr:uid="{7BE19FED-D42E-499F-82FC-F65FACAF13A9}"/>
    <cellStyle name="Currency 8 2 5" xfId="293" xr:uid="{00000000-0005-0000-0000-000075000000}"/>
    <cellStyle name="Currency 8 2 5 2" xfId="644" xr:uid="{785888E8-0760-43F8-AD5E-53DDA401390B}"/>
    <cellStyle name="Currency 8 2 5 2 2" xfId="1345" xr:uid="{C0095D12-DE64-4F8C-818A-A68D71A5B323}"/>
    <cellStyle name="Currency 8 2 5 3" xfId="994" xr:uid="{2CF875BA-E1B5-4142-848A-EA48E581491B}"/>
    <cellStyle name="Currency 8 2 6" xfId="434" xr:uid="{B18C4D5A-42A1-465A-BD9B-0970D1DAF7A5}"/>
    <cellStyle name="Currency 8 2 6 2" xfId="1135" xr:uid="{F23B122B-9DFD-4BF8-9C24-8FE812CFD722}"/>
    <cellStyle name="Currency 8 2 7" xfId="784" xr:uid="{9F941E33-775E-44D0-979E-ACC7CE4E3B94}"/>
    <cellStyle name="Currency 8 3" xfId="101" xr:uid="{00000000-0005-0000-0000-000076000000}"/>
    <cellStyle name="Currency 8 3 2" xfId="171" xr:uid="{00000000-0005-0000-0000-000077000000}"/>
    <cellStyle name="Currency 8 3 2 2" xfId="382" xr:uid="{00000000-0005-0000-0000-000078000000}"/>
    <cellStyle name="Currency 8 3 2 2 2" xfId="733" xr:uid="{696536D8-30B1-44CD-B7FE-B6E0ECD30250}"/>
    <cellStyle name="Currency 8 3 2 2 2 2" xfId="1434" xr:uid="{124BD93A-E723-45BD-8D2F-8FC593809829}"/>
    <cellStyle name="Currency 8 3 2 2 3" xfId="1083" xr:uid="{2CEB8741-7372-48E5-9907-095DC74D84B0}"/>
    <cellStyle name="Currency 8 3 2 3" xfId="523" xr:uid="{636E1AF9-0BEF-451B-BEA6-4FA9998DB33F}"/>
    <cellStyle name="Currency 8 3 2 3 2" xfId="1224" xr:uid="{4EDC2799-73B1-433A-8899-2820C293334F}"/>
    <cellStyle name="Currency 8 3 2 4" xfId="873" xr:uid="{30BB3F5E-5493-466A-A96A-04A4A5B2E154}"/>
    <cellStyle name="Currency 8 3 3" xfId="242" xr:uid="{00000000-0005-0000-0000-000079000000}"/>
    <cellStyle name="Currency 8 3 3 2" xfId="593" xr:uid="{3A703127-8643-491B-AE0C-4D26871F0908}"/>
    <cellStyle name="Currency 8 3 3 2 2" xfId="1294" xr:uid="{6BCA56E2-B6C5-432C-AFCA-1D33035DD45E}"/>
    <cellStyle name="Currency 8 3 3 3" xfId="943" xr:uid="{875A4094-CB0C-486C-8324-9AC8131D8894}"/>
    <cellStyle name="Currency 8 3 4" xfId="312" xr:uid="{00000000-0005-0000-0000-00007A000000}"/>
    <cellStyle name="Currency 8 3 4 2" xfId="663" xr:uid="{89154114-417B-4B76-978E-C417A4216909}"/>
    <cellStyle name="Currency 8 3 4 2 2" xfId="1364" xr:uid="{DFB064FC-B6EF-41BC-B9BD-150A4C4A8056}"/>
    <cellStyle name="Currency 8 3 4 3" xfId="1013" xr:uid="{2B2F21F7-6655-4B9A-A199-5DD77B6EB02D}"/>
    <cellStyle name="Currency 8 3 5" xfId="453" xr:uid="{96E68372-55E3-4465-A36E-D892E8CB4360}"/>
    <cellStyle name="Currency 8 3 5 2" xfId="1154" xr:uid="{3C467306-5649-42DE-AA90-CBAD21F7AF17}"/>
    <cellStyle name="Currency 8 3 6" xfId="803" xr:uid="{8DACA49A-FA67-4759-A949-3671A1A502FB}"/>
    <cellStyle name="Currency 8 4" xfId="136" xr:uid="{00000000-0005-0000-0000-00007B000000}"/>
    <cellStyle name="Currency 8 4 2" xfId="347" xr:uid="{00000000-0005-0000-0000-00007C000000}"/>
    <cellStyle name="Currency 8 4 2 2" xfId="698" xr:uid="{C936937E-CA38-4B07-A7CD-34816BD3EDCC}"/>
    <cellStyle name="Currency 8 4 2 2 2" xfId="1399" xr:uid="{B54FCD5D-E2E9-4935-AFE1-0DE39ABF7978}"/>
    <cellStyle name="Currency 8 4 2 3" xfId="1048" xr:uid="{26EC8C87-1488-43BF-AA20-03F5054E8685}"/>
    <cellStyle name="Currency 8 4 3" xfId="488" xr:uid="{074BCA35-EF35-46F4-8525-9EA952B5B8FD}"/>
    <cellStyle name="Currency 8 4 3 2" xfId="1189" xr:uid="{E9328360-243D-4B36-B7BA-2A92A2854D60}"/>
    <cellStyle name="Currency 8 4 4" xfId="838" xr:uid="{6768A15A-EF44-4A30-A631-004FBEC42DF9}"/>
    <cellStyle name="Currency 8 5" xfId="207" xr:uid="{00000000-0005-0000-0000-00007D000000}"/>
    <cellStyle name="Currency 8 5 2" xfId="558" xr:uid="{281A98D1-66FF-4519-A298-EFED4C31C750}"/>
    <cellStyle name="Currency 8 5 2 2" xfId="1259" xr:uid="{97A87FBE-77B3-4BE1-AA86-DD4861C5F58F}"/>
    <cellStyle name="Currency 8 5 3" xfId="908" xr:uid="{5792A8AD-3177-43C1-B521-B52579DE986C}"/>
    <cellStyle name="Currency 8 6" xfId="277" xr:uid="{00000000-0005-0000-0000-00007E000000}"/>
    <cellStyle name="Currency 8 6 2" xfId="628" xr:uid="{4800077B-E7D3-4E68-8681-8B291C622C49}"/>
    <cellStyle name="Currency 8 6 2 2" xfId="1329" xr:uid="{4A50B02D-DC9E-49BD-9EDB-F247B8D3D678}"/>
    <cellStyle name="Currency 8 6 3" xfId="978" xr:uid="{E02A0DFA-2941-4A31-B3F8-626978BFB57A}"/>
    <cellStyle name="Currency 8 7" xfId="418" xr:uid="{BB5FFD91-EE14-46C2-ADF2-D08E92F6E750}"/>
    <cellStyle name="Currency 8 7 2" xfId="1119" xr:uid="{44B44DFE-446F-4A0C-8FAD-3357035922C9}"/>
    <cellStyle name="Currency 8 8" xfId="768" xr:uid="{217700FA-9C43-46C1-805F-AB92B2E1FC60}"/>
    <cellStyle name="Currency 9" xfId="57" xr:uid="{00000000-0005-0000-0000-00007F000000}"/>
    <cellStyle name="Currency 9 2" xfId="86" xr:uid="{00000000-0005-0000-0000-000080000000}"/>
    <cellStyle name="Currency 9 2 2" xfId="121" xr:uid="{00000000-0005-0000-0000-000081000000}"/>
    <cellStyle name="Currency 9 2 2 2" xfId="191" xr:uid="{00000000-0005-0000-0000-000082000000}"/>
    <cellStyle name="Currency 9 2 2 2 2" xfId="402" xr:uid="{00000000-0005-0000-0000-000083000000}"/>
    <cellStyle name="Currency 9 2 2 2 2 2" xfId="753" xr:uid="{996E0AB4-676F-4F1A-9D19-905B71F8622B}"/>
    <cellStyle name="Currency 9 2 2 2 2 2 2" xfId="1454" xr:uid="{60F45B73-BED4-4777-BC00-9FF00CF230CA}"/>
    <cellStyle name="Currency 9 2 2 2 2 3" xfId="1103" xr:uid="{ADCD66D6-BB80-43B8-81B7-945F0E9764B3}"/>
    <cellStyle name="Currency 9 2 2 2 3" xfId="543" xr:uid="{25E1715E-9140-40B3-9EEE-0C460BFA8E91}"/>
    <cellStyle name="Currency 9 2 2 2 3 2" xfId="1244" xr:uid="{2DEB8EFE-445E-4176-9072-4CCEF3D333B1}"/>
    <cellStyle name="Currency 9 2 2 2 4" xfId="893" xr:uid="{8A34EE18-6D6B-4A44-9621-453132B21ADD}"/>
    <cellStyle name="Currency 9 2 2 3" xfId="262" xr:uid="{00000000-0005-0000-0000-000084000000}"/>
    <cellStyle name="Currency 9 2 2 3 2" xfId="613" xr:uid="{8BA38FE8-6BAC-4EF1-BB46-DA1E9B1ACA22}"/>
    <cellStyle name="Currency 9 2 2 3 2 2" xfId="1314" xr:uid="{9BDE900E-B12C-4ACF-BF89-584BF357B4FB}"/>
    <cellStyle name="Currency 9 2 2 3 3" xfId="963" xr:uid="{8EED4BA6-099F-4AF1-BC1B-2B58142281C8}"/>
    <cellStyle name="Currency 9 2 2 4" xfId="332" xr:uid="{00000000-0005-0000-0000-000085000000}"/>
    <cellStyle name="Currency 9 2 2 4 2" xfId="683" xr:uid="{2A5E02A4-A8D8-47A2-A048-147068E89D60}"/>
    <cellStyle name="Currency 9 2 2 4 2 2" xfId="1384" xr:uid="{80F56C5D-EA75-44C4-A5B9-15B71B439EE4}"/>
    <cellStyle name="Currency 9 2 2 4 3" xfId="1033" xr:uid="{412BF541-AFE9-44DD-BDA4-3B2EE4186C28}"/>
    <cellStyle name="Currency 9 2 2 5" xfId="473" xr:uid="{54A639EB-BDD6-4805-AB02-68E199F4F58E}"/>
    <cellStyle name="Currency 9 2 2 5 2" xfId="1174" xr:uid="{86F75C85-BD98-4FD6-8D16-0BD55837CE77}"/>
    <cellStyle name="Currency 9 2 2 6" xfId="823" xr:uid="{301B6CF8-BF95-41A2-BAF4-0FE46433FB92}"/>
    <cellStyle name="Currency 9 2 3" xfId="156" xr:uid="{00000000-0005-0000-0000-000086000000}"/>
    <cellStyle name="Currency 9 2 3 2" xfId="367" xr:uid="{00000000-0005-0000-0000-000087000000}"/>
    <cellStyle name="Currency 9 2 3 2 2" xfId="718" xr:uid="{8386FF1B-C02B-4C74-9145-937AE431E6A7}"/>
    <cellStyle name="Currency 9 2 3 2 2 2" xfId="1419" xr:uid="{F859903D-A67E-4DC6-992F-F9F11D115519}"/>
    <cellStyle name="Currency 9 2 3 2 3" xfId="1068" xr:uid="{E2353F5F-9DC7-4F50-8632-C00A3996455B}"/>
    <cellStyle name="Currency 9 2 3 3" xfId="508" xr:uid="{508987EB-ECEC-4244-A4CA-5FDCC71E9F10}"/>
    <cellStyle name="Currency 9 2 3 3 2" xfId="1209" xr:uid="{5349D709-4A7A-4DC3-9824-F243092AB317}"/>
    <cellStyle name="Currency 9 2 3 4" xfId="858" xr:uid="{6B1F5991-C1C4-44FC-8055-B190363A49C7}"/>
    <cellStyle name="Currency 9 2 4" xfId="227" xr:uid="{00000000-0005-0000-0000-000088000000}"/>
    <cellStyle name="Currency 9 2 4 2" xfId="578" xr:uid="{EB056F83-53A5-462D-BDA0-5779C8B3D63C}"/>
    <cellStyle name="Currency 9 2 4 2 2" xfId="1279" xr:uid="{848F6F9F-29EB-4E98-8D46-B598CCF279F4}"/>
    <cellStyle name="Currency 9 2 4 3" xfId="928" xr:uid="{EEB12193-DE6C-4F44-A6E9-C4E2BEA3F8F8}"/>
    <cellStyle name="Currency 9 2 5" xfId="297" xr:uid="{00000000-0005-0000-0000-000089000000}"/>
    <cellStyle name="Currency 9 2 5 2" xfId="648" xr:uid="{4F39F323-C917-4EA1-B98E-CFCDD086ADBA}"/>
    <cellStyle name="Currency 9 2 5 2 2" xfId="1349" xr:uid="{FCA99600-86AA-4C0C-A9C5-15C4FDAABF36}"/>
    <cellStyle name="Currency 9 2 5 3" xfId="998" xr:uid="{C6ADBC70-C78B-484A-B626-81539559A4FE}"/>
    <cellStyle name="Currency 9 2 6" xfId="438" xr:uid="{DB1E7C29-BD02-4A7D-822B-E737F4B16051}"/>
    <cellStyle name="Currency 9 2 6 2" xfId="1139" xr:uid="{2784AB77-31B3-4155-9211-734E6AE36D4B}"/>
    <cellStyle name="Currency 9 2 7" xfId="788" xr:uid="{943197E5-F981-40E3-8AA5-BFF5C82E5C3E}"/>
    <cellStyle name="Currency 9 3" xfId="105" xr:uid="{00000000-0005-0000-0000-00008A000000}"/>
    <cellStyle name="Currency 9 3 2" xfId="175" xr:uid="{00000000-0005-0000-0000-00008B000000}"/>
    <cellStyle name="Currency 9 3 2 2" xfId="386" xr:uid="{00000000-0005-0000-0000-00008C000000}"/>
    <cellStyle name="Currency 9 3 2 2 2" xfId="737" xr:uid="{4F8DF1A0-0535-4652-8774-28D828D4D234}"/>
    <cellStyle name="Currency 9 3 2 2 2 2" xfId="1438" xr:uid="{C3C22FC8-C050-4A0F-89AA-FEE5832A4E2E}"/>
    <cellStyle name="Currency 9 3 2 2 3" xfId="1087" xr:uid="{9CBB8D95-7580-4A26-889E-460DF219ED19}"/>
    <cellStyle name="Currency 9 3 2 3" xfId="527" xr:uid="{90A94A68-AFFF-4E62-ADF7-95B9EF359EF3}"/>
    <cellStyle name="Currency 9 3 2 3 2" xfId="1228" xr:uid="{FC91503E-F3C0-4606-BF6F-F6B0D77F42C4}"/>
    <cellStyle name="Currency 9 3 2 4" xfId="877" xr:uid="{7FF582AD-8CDE-474B-8D03-462E0F4AB7AC}"/>
    <cellStyle name="Currency 9 3 3" xfId="246" xr:uid="{00000000-0005-0000-0000-00008D000000}"/>
    <cellStyle name="Currency 9 3 3 2" xfId="597" xr:uid="{5741A4C3-A618-47B8-BFAE-41F4A0454086}"/>
    <cellStyle name="Currency 9 3 3 2 2" xfId="1298" xr:uid="{BDFB0D2D-26E5-4D92-86AA-2E91CF95DEEC}"/>
    <cellStyle name="Currency 9 3 3 3" xfId="947" xr:uid="{308CE4BD-E0DA-4818-85EE-B5AEE8B14C69}"/>
    <cellStyle name="Currency 9 3 4" xfId="316" xr:uid="{00000000-0005-0000-0000-00008E000000}"/>
    <cellStyle name="Currency 9 3 4 2" xfId="667" xr:uid="{4482E20C-9254-40DF-AAE8-A76F24A4C486}"/>
    <cellStyle name="Currency 9 3 4 2 2" xfId="1368" xr:uid="{A9D7D782-3734-4702-A47B-5DF0A9B62236}"/>
    <cellStyle name="Currency 9 3 4 3" xfId="1017" xr:uid="{61E121AA-6D5D-46E2-B076-C003C6A7ABBD}"/>
    <cellStyle name="Currency 9 3 5" xfId="457" xr:uid="{60323A2A-2546-4857-9FBD-9C2BF440FC71}"/>
    <cellStyle name="Currency 9 3 5 2" xfId="1158" xr:uid="{5FE52CF9-4B16-47F1-8D0F-503250CF599E}"/>
    <cellStyle name="Currency 9 3 6" xfId="807" xr:uid="{833F6B91-C18A-4E1D-B735-81430ED1885A}"/>
    <cellStyle name="Currency 9 4" xfId="140" xr:uid="{00000000-0005-0000-0000-00008F000000}"/>
    <cellStyle name="Currency 9 4 2" xfId="351" xr:uid="{00000000-0005-0000-0000-000090000000}"/>
    <cellStyle name="Currency 9 4 2 2" xfId="702" xr:uid="{E8559A66-BD39-4191-AAF0-1691ACD1DB36}"/>
    <cellStyle name="Currency 9 4 2 2 2" xfId="1403" xr:uid="{7EDA9DC3-8BD7-41DE-A527-5A7ACBD95153}"/>
    <cellStyle name="Currency 9 4 2 3" xfId="1052" xr:uid="{DE1F78FC-D5D3-4D24-A9CC-8E6C6D6946ED}"/>
    <cellStyle name="Currency 9 4 3" xfId="492" xr:uid="{D7BD89AC-C250-4273-9174-50073578C99C}"/>
    <cellStyle name="Currency 9 4 3 2" xfId="1193" xr:uid="{801BF3AE-DBFC-4EE4-8132-2FE8F1CB75C3}"/>
    <cellStyle name="Currency 9 4 4" xfId="842" xr:uid="{38284AA8-9FB6-43DE-B94C-7498444E33D0}"/>
    <cellStyle name="Currency 9 5" xfId="211" xr:uid="{00000000-0005-0000-0000-000091000000}"/>
    <cellStyle name="Currency 9 5 2" xfId="562" xr:uid="{81771A65-0C73-440B-A17B-F7EBB2975673}"/>
    <cellStyle name="Currency 9 5 2 2" xfId="1263" xr:uid="{1F81914D-168A-4BBE-8A33-479D4342089F}"/>
    <cellStyle name="Currency 9 5 3" xfId="912" xr:uid="{679D914A-198C-41CE-9383-CA18FA06E778}"/>
    <cellStyle name="Currency 9 6" xfId="281" xr:uid="{00000000-0005-0000-0000-000092000000}"/>
    <cellStyle name="Currency 9 6 2" xfId="632" xr:uid="{6BDF4081-FF11-4B0D-8087-FBB584762A15}"/>
    <cellStyle name="Currency 9 6 2 2" xfId="1333" xr:uid="{4626DED9-4F10-41C1-B57A-2CFC29834B42}"/>
    <cellStyle name="Currency 9 6 3" xfId="982" xr:uid="{A35A85AC-C470-4BDC-8042-0E2E7FF4C6B1}"/>
    <cellStyle name="Currency 9 7" xfId="422" xr:uid="{8D3C5658-9246-4A57-98EC-277ECA961178}"/>
    <cellStyle name="Currency 9 7 2" xfId="1123" xr:uid="{9A8A4E9C-10B4-4414-B2EA-6C046979F580}"/>
    <cellStyle name="Currency 9 8" xfId="772" xr:uid="{7B2A6A5D-09C8-4464-B090-E285A234B5F5}"/>
    <cellStyle name="Dollar 00." xfId="12" xr:uid="{00000000-0005-0000-0000-000093000000}"/>
    <cellStyle name="Dollar 00. 2" xfId="13" xr:uid="{00000000-0005-0000-0000-000094000000}"/>
    <cellStyle name="Dollar 00. 3" xfId="14" xr:uid="{00000000-0005-0000-0000-000095000000}"/>
    <cellStyle name="Dollar 00. 4" xfId="15" xr:uid="{00000000-0005-0000-0000-000096000000}"/>
    <cellStyle name="Dollar 00. 4 2" xfId="67" xr:uid="{00000000-0005-0000-0000-000097000000}"/>
    <cellStyle name="General" xfId="16" xr:uid="{00000000-0005-0000-0000-000098000000}"/>
    <cellStyle name="HUD" xfId="17" xr:uid="{00000000-0005-0000-0000-000099000000}"/>
    <cellStyle name="HUD 2" xfId="18" xr:uid="{00000000-0005-0000-0000-00009A000000}"/>
    <cellStyle name="HUD 3" xfId="19" xr:uid="{00000000-0005-0000-0000-00009B000000}"/>
    <cellStyle name="HUD 4" xfId="20" xr:uid="{00000000-0005-0000-0000-00009C000000}"/>
    <cellStyle name="HUD 4 2" xfId="68" xr:uid="{00000000-0005-0000-0000-00009D000000}"/>
    <cellStyle name="Hyperlink" xfId="21" builtinId="8"/>
    <cellStyle name="Hyperlink 2" xfId="42" xr:uid="{00000000-0005-0000-0000-00009F000000}"/>
    <cellStyle name="NACC" xfId="22" xr:uid="{00000000-0005-0000-0000-0000A0000000}"/>
    <cellStyle name="Normal" xfId="0" builtinId="0"/>
    <cellStyle name="Normal 10" xfId="54" xr:uid="{00000000-0005-0000-0000-0000A2000000}"/>
    <cellStyle name="Normal 10 2" xfId="83" xr:uid="{00000000-0005-0000-0000-0000A3000000}"/>
    <cellStyle name="Normal 10 2 2" xfId="118" xr:uid="{00000000-0005-0000-0000-0000A4000000}"/>
    <cellStyle name="Normal 10 2 2 2" xfId="188" xr:uid="{00000000-0005-0000-0000-0000A5000000}"/>
    <cellStyle name="Normal 10 2 2 2 2" xfId="399" xr:uid="{00000000-0005-0000-0000-0000A6000000}"/>
    <cellStyle name="Normal 10 2 2 2 2 2" xfId="750" xr:uid="{EF7F9255-4766-4386-AE70-779929996732}"/>
    <cellStyle name="Normal 10 2 2 2 2 2 2" xfId="1451" xr:uid="{5B441BA4-43B6-43FD-9D1A-B83FC4701B72}"/>
    <cellStyle name="Normal 10 2 2 2 2 3" xfId="1100" xr:uid="{594C15D7-624D-42DC-A9D0-D6E8ABA8F526}"/>
    <cellStyle name="Normal 10 2 2 2 3" xfId="540" xr:uid="{D40269FE-5E7F-4179-BAA7-F8ECFE9C0789}"/>
    <cellStyle name="Normal 10 2 2 2 3 2" xfId="1241" xr:uid="{8DFFF1BA-684E-449A-9C12-AF47CED907F8}"/>
    <cellStyle name="Normal 10 2 2 2 4" xfId="890" xr:uid="{96B9F226-64C9-4CCC-9BD9-515D7A9BD630}"/>
    <cellStyle name="Normal 10 2 2 3" xfId="259" xr:uid="{00000000-0005-0000-0000-0000A7000000}"/>
    <cellStyle name="Normal 10 2 2 3 2" xfId="610" xr:uid="{A1AC1A11-F474-4C97-B1EC-B9895595603E}"/>
    <cellStyle name="Normal 10 2 2 3 2 2" xfId="1311" xr:uid="{DD5FC4F7-2B46-43C4-A035-BE657963D98A}"/>
    <cellStyle name="Normal 10 2 2 3 3" xfId="960" xr:uid="{E7090F98-CA8E-4C40-A7BE-BE98ABE72568}"/>
    <cellStyle name="Normal 10 2 2 4" xfId="329" xr:uid="{00000000-0005-0000-0000-0000A8000000}"/>
    <cellStyle name="Normal 10 2 2 4 2" xfId="680" xr:uid="{19B38594-861D-4AC7-8E56-91FFA1AB97A9}"/>
    <cellStyle name="Normal 10 2 2 4 2 2" xfId="1381" xr:uid="{4C30BFA8-40C6-4AFF-BF2D-75C877FF9F5C}"/>
    <cellStyle name="Normal 10 2 2 4 3" xfId="1030" xr:uid="{FE358F6C-DBFE-4FC6-90A5-2926AB39C9B8}"/>
    <cellStyle name="Normal 10 2 2 5" xfId="470" xr:uid="{B6F7F64B-228B-4B2C-B294-809E9B54ACFE}"/>
    <cellStyle name="Normal 10 2 2 5 2" xfId="1171" xr:uid="{FF8C801F-F2EA-4F4C-9D31-3999117FE539}"/>
    <cellStyle name="Normal 10 2 2 6" xfId="820" xr:uid="{B3B511B7-D3C2-4F5C-A98A-2465587F3322}"/>
    <cellStyle name="Normal 10 2 3" xfId="153" xr:uid="{00000000-0005-0000-0000-0000A9000000}"/>
    <cellStyle name="Normal 10 2 3 2" xfId="364" xr:uid="{00000000-0005-0000-0000-0000AA000000}"/>
    <cellStyle name="Normal 10 2 3 2 2" xfId="715" xr:uid="{12FE0A50-A15B-4B16-A7C0-372CB282350F}"/>
    <cellStyle name="Normal 10 2 3 2 2 2" xfId="1416" xr:uid="{2C4E1336-831E-4D27-ACB8-4E70BE6FFB2F}"/>
    <cellStyle name="Normal 10 2 3 2 3" xfId="1065" xr:uid="{F4E9296C-46B3-4D03-8FF1-B35290F8E507}"/>
    <cellStyle name="Normal 10 2 3 3" xfId="505" xr:uid="{EB03431C-3816-4523-B453-225CB725F541}"/>
    <cellStyle name="Normal 10 2 3 3 2" xfId="1206" xr:uid="{C8F82DD3-2F8C-431C-B214-242B2F43BEC0}"/>
    <cellStyle name="Normal 10 2 3 4" xfId="855" xr:uid="{6F9AB876-3AD0-4D8D-B90D-9BC2259AB08E}"/>
    <cellStyle name="Normal 10 2 4" xfId="224" xr:uid="{00000000-0005-0000-0000-0000AB000000}"/>
    <cellStyle name="Normal 10 2 4 2" xfId="575" xr:uid="{91819AE5-60DC-4200-A0D7-A0C0693C695B}"/>
    <cellStyle name="Normal 10 2 4 2 2" xfId="1276" xr:uid="{1C29B67D-AAD3-4C43-93BB-45DA0874DE62}"/>
    <cellStyle name="Normal 10 2 4 3" xfId="925" xr:uid="{28D99EA6-AE6C-4840-85FC-150D93C78B5F}"/>
    <cellStyle name="Normal 10 2 5" xfId="294" xr:uid="{00000000-0005-0000-0000-0000AC000000}"/>
    <cellStyle name="Normal 10 2 5 2" xfId="645" xr:uid="{85711D59-2624-4EDF-A708-0B1455B29671}"/>
    <cellStyle name="Normal 10 2 5 2 2" xfId="1346" xr:uid="{E76C21F5-1E79-4BA7-8DA8-52CBA993DE87}"/>
    <cellStyle name="Normal 10 2 5 3" xfId="995" xr:uid="{2D635948-7272-45AB-9E43-35F9704A351B}"/>
    <cellStyle name="Normal 10 2 6" xfId="435" xr:uid="{5BDE804A-3B45-4714-A5CC-421715232B22}"/>
    <cellStyle name="Normal 10 2 6 2" xfId="1136" xr:uid="{F24E8EB9-46E9-49F2-9D98-CFBB821AA800}"/>
    <cellStyle name="Normal 10 2 7" xfId="785" xr:uid="{34485EA8-032D-4F69-AB7B-6C34188A7D02}"/>
    <cellStyle name="Normal 10 3" xfId="102" xr:uid="{00000000-0005-0000-0000-0000AD000000}"/>
    <cellStyle name="Normal 10 3 2" xfId="172" xr:uid="{00000000-0005-0000-0000-0000AE000000}"/>
    <cellStyle name="Normal 10 3 2 2" xfId="383" xr:uid="{00000000-0005-0000-0000-0000AF000000}"/>
    <cellStyle name="Normal 10 3 2 2 2" xfId="734" xr:uid="{33FF4945-D674-46FB-9002-87E4B0FBE8D3}"/>
    <cellStyle name="Normal 10 3 2 2 2 2" xfId="1435" xr:uid="{94EC254A-B648-4651-A179-528CCA7159EF}"/>
    <cellStyle name="Normal 10 3 2 2 3" xfId="1084" xr:uid="{0F68B9A9-15A3-4560-8009-3C53E81C189D}"/>
    <cellStyle name="Normal 10 3 2 3" xfId="524" xr:uid="{15873781-8E5F-41EB-B32E-F10ECB80D54E}"/>
    <cellStyle name="Normal 10 3 2 3 2" xfId="1225" xr:uid="{6015EAED-3571-4532-9598-C8BC88A8A489}"/>
    <cellStyle name="Normal 10 3 2 4" xfId="874" xr:uid="{60710CA1-66C6-4A29-83EA-7F8B2BE1188D}"/>
    <cellStyle name="Normal 10 3 3" xfId="243" xr:uid="{00000000-0005-0000-0000-0000B0000000}"/>
    <cellStyle name="Normal 10 3 3 2" xfId="594" xr:uid="{0F84B1F9-8863-4828-87A6-ECFA2144E516}"/>
    <cellStyle name="Normal 10 3 3 2 2" xfId="1295" xr:uid="{C15BFDF0-B971-4721-A63B-4F6AE5BF7B85}"/>
    <cellStyle name="Normal 10 3 3 3" xfId="944" xr:uid="{8D32FFAA-1947-4B6B-A1CD-854AA7EDACE4}"/>
    <cellStyle name="Normal 10 3 4" xfId="313" xr:uid="{00000000-0005-0000-0000-0000B1000000}"/>
    <cellStyle name="Normal 10 3 4 2" xfId="664" xr:uid="{BAFD86BD-CA1F-4263-80D0-FE1E886803A6}"/>
    <cellStyle name="Normal 10 3 4 2 2" xfId="1365" xr:uid="{6E87FCF2-331E-43B4-95BE-52EE7ECB5E8C}"/>
    <cellStyle name="Normal 10 3 4 3" xfId="1014" xr:uid="{4AC5E233-ABC2-4275-B725-9D4F954A9994}"/>
    <cellStyle name="Normal 10 3 5" xfId="454" xr:uid="{79EF4DF3-D328-452A-9437-A0BD56099892}"/>
    <cellStyle name="Normal 10 3 5 2" xfId="1155" xr:uid="{7AED864A-F10E-45E3-B969-A2CB9660DECA}"/>
    <cellStyle name="Normal 10 3 6" xfId="804" xr:uid="{3780F12B-9205-4873-826B-365405BA8F54}"/>
    <cellStyle name="Normal 10 4" xfId="137" xr:uid="{00000000-0005-0000-0000-0000B2000000}"/>
    <cellStyle name="Normal 10 4 2" xfId="348" xr:uid="{00000000-0005-0000-0000-0000B3000000}"/>
    <cellStyle name="Normal 10 4 2 2" xfId="699" xr:uid="{23B7272E-EF20-4E63-A0B3-0A0AEFDAE8D6}"/>
    <cellStyle name="Normal 10 4 2 2 2" xfId="1400" xr:uid="{65E55769-29EB-49BD-BDB3-3E8FEC825CC3}"/>
    <cellStyle name="Normal 10 4 2 3" xfId="1049" xr:uid="{22571B5D-620B-486E-9933-22CD0CE96C7F}"/>
    <cellStyle name="Normal 10 4 3" xfId="489" xr:uid="{61224F92-07F1-41BC-B41A-56035B22BE90}"/>
    <cellStyle name="Normal 10 4 3 2" xfId="1190" xr:uid="{7B3BF22D-7967-4432-8333-A591106530BC}"/>
    <cellStyle name="Normal 10 4 4" xfId="839" xr:uid="{DEF38C03-1CBA-4075-84B4-2DCE89EE6471}"/>
    <cellStyle name="Normal 10 5" xfId="208" xr:uid="{00000000-0005-0000-0000-0000B4000000}"/>
    <cellStyle name="Normal 10 5 2" xfId="559" xr:uid="{AC9A3E1A-37BC-4F5E-AE1E-AF8E8E4E2731}"/>
    <cellStyle name="Normal 10 5 2 2" xfId="1260" xr:uid="{7582FBD6-435D-42B7-BF31-99DE1F0CC91B}"/>
    <cellStyle name="Normal 10 5 3" xfId="909" xr:uid="{DC4837A0-BCD7-439A-9AD0-C001ED0D9870}"/>
    <cellStyle name="Normal 10 6" xfId="278" xr:uid="{00000000-0005-0000-0000-0000B5000000}"/>
    <cellStyle name="Normal 10 6 2" xfId="629" xr:uid="{BC2F17D8-F727-4CCA-87F3-CA32E156585E}"/>
    <cellStyle name="Normal 10 6 2 2" xfId="1330" xr:uid="{4430EEA0-4835-484B-88A8-5DD53002C326}"/>
    <cellStyle name="Normal 10 6 3" xfId="979" xr:uid="{FF4EB6F0-0F2F-4F8B-89ED-9B16DEA5CC28}"/>
    <cellStyle name="Normal 10 7" xfId="419" xr:uid="{458EDEF3-2A7A-499A-B0FC-8A6897F4974D}"/>
    <cellStyle name="Normal 10 7 2" xfId="1120" xr:uid="{2A9C39C7-C9F2-453F-ACC0-95FEE6E7DA5B}"/>
    <cellStyle name="Normal 10 8" xfId="769" xr:uid="{B10FA724-4F1B-4D1C-9762-394AE887ECEA}"/>
    <cellStyle name="Normal 11" xfId="58" xr:uid="{00000000-0005-0000-0000-0000B6000000}"/>
    <cellStyle name="Normal 11 2" xfId="87" xr:uid="{00000000-0005-0000-0000-0000B7000000}"/>
    <cellStyle name="Normal 11 2 2" xfId="122" xr:uid="{00000000-0005-0000-0000-0000B8000000}"/>
    <cellStyle name="Normal 11 2 2 2" xfId="192" xr:uid="{00000000-0005-0000-0000-0000B9000000}"/>
    <cellStyle name="Normal 11 2 2 2 2" xfId="403" xr:uid="{00000000-0005-0000-0000-0000BA000000}"/>
    <cellStyle name="Normal 11 2 2 2 2 2" xfId="754" xr:uid="{174E6760-25B5-42B7-B369-93DE31125E69}"/>
    <cellStyle name="Normal 11 2 2 2 2 2 2" xfId="1455" xr:uid="{290D8484-1E24-4C37-85C8-CDD42AC6BD60}"/>
    <cellStyle name="Normal 11 2 2 2 2 3" xfId="1104" xr:uid="{A986394D-1B16-4CC3-98B5-438CB53AD60F}"/>
    <cellStyle name="Normal 11 2 2 2 3" xfId="544" xr:uid="{255C4814-D337-407F-8512-CC3F88C8483F}"/>
    <cellStyle name="Normal 11 2 2 2 3 2" xfId="1245" xr:uid="{A1C95709-394B-4376-9457-FFE3F3CDE75F}"/>
    <cellStyle name="Normal 11 2 2 2 4" xfId="894" xr:uid="{19CE22D9-D36A-4B70-B18F-EEEDFB4B6B97}"/>
    <cellStyle name="Normal 11 2 2 3" xfId="263" xr:uid="{00000000-0005-0000-0000-0000BB000000}"/>
    <cellStyle name="Normal 11 2 2 3 2" xfId="614" xr:uid="{ED66FD28-570D-4AD6-A2F7-CE0043258110}"/>
    <cellStyle name="Normal 11 2 2 3 2 2" xfId="1315" xr:uid="{6DB45527-DF12-4452-94A1-9E53B3B07A88}"/>
    <cellStyle name="Normal 11 2 2 3 3" xfId="964" xr:uid="{433F3FA9-326D-4A1C-ACB5-21F50094FB65}"/>
    <cellStyle name="Normal 11 2 2 4" xfId="333" xr:uid="{00000000-0005-0000-0000-0000BC000000}"/>
    <cellStyle name="Normal 11 2 2 4 2" xfId="684" xr:uid="{EE8141CC-B7A7-49A9-A03A-DC76F06CCD8B}"/>
    <cellStyle name="Normal 11 2 2 4 2 2" xfId="1385" xr:uid="{BAECE18E-B1F3-4ABD-93B1-67E016EFEF16}"/>
    <cellStyle name="Normal 11 2 2 4 3" xfId="1034" xr:uid="{6A51AD73-94FA-4073-B3FD-55C48C68CFB4}"/>
    <cellStyle name="Normal 11 2 2 5" xfId="474" xr:uid="{BB5AEBBB-C306-41F4-80EC-1EE0ED5FA546}"/>
    <cellStyle name="Normal 11 2 2 5 2" xfId="1175" xr:uid="{EEB9869A-CED3-4C70-A7BC-32B5B41B7115}"/>
    <cellStyle name="Normal 11 2 2 6" xfId="824" xr:uid="{414ED820-8AEC-4410-A7F8-0BDDAACE5B9B}"/>
    <cellStyle name="Normal 11 2 3" xfId="157" xr:uid="{00000000-0005-0000-0000-0000BD000000}"/>
    <cellStyle name="Normal 11 2 3 2" xfId="368" xr:uid="{00000000-0005-0000-0000-0000BE000000}"/>
    <cellStyle name="Normal 11 2 3 2 2" xfId="719" xr:uid="{78FDEEEC-C12F-46CE-A255-109CC7169FB5}"/>
    <cellStyle name="Normal 11 2 3 2 2 2" xfId="1420" xr:uid="{DDF269E4-7322-4ECB-8EFA-D81F151D8F23}"/>
    <cellStyle name="Normal 11 2 3 2 3" xfId="1069" xr:uid="{33A0890A-6C76-4BD5-9EAA-647D0195AC3F}"/>
    <cellStyle name="Normal 11 2 3 3" xfId="509" xr:uid="{21E3F2FE-3AD1-4C59-88B6-8A829EC1C36E}"/>
    <cellStyle name="Normal 11 2 3 3 2" xfId="1210" xr:uid="{3EE928F5-37D7-402F-B491-6AB73A2734D8}"/>
    <cellStyle name="Normal 11 2 3 4" xfId="859" xr:uid="{D419E4E8-3365-41DB-94F6-00E54F19A94E}"/>
    <cellStyle name="Normal 11 2 4" xfId="228" xr:uid="{00000000-0005-0000-0000-0000BF000000}"/>
    <cellStyle name="Normal 11 2 4 2" xfId="579" xr:uid="{655ABA26-B879-4743-BE6F-F199C6678037}"/>
    <cellStyle name="Normal 11 2 4 2 2" xfId="1280" xr:uid="{818ACEB7-2D37-4AB3-B54A-58EB80141BDF}"/>
    <cellStyle name="Normal 11 2 4 3" xfId="929" xr:uid="{B29F9E83-FADD-4C3E-B8B9-92DDD32D0802}"/>
    <cellStyle name="Normal 11 2 5" xfId="298" xr:uid="{00000000-0005-0000-0000-0000C0000000}"/>
    <cellStyle name="Normal 11 2 5 2" xfId="649" xr:uid="{34E19BB7-F8D8-4B64-A7D3-D705A60CC550}"/>
    <cellStyle name="Normal 11 2 5 2 2" xfId="1350" xr:uid="{C3C05F30-4B23-4165-A5D2-74682E0F1F24}"/>
    <cellStyle name="Normal 11 2 5 3" xfId="999" xr:uid="{6BBCE511-CE98-49C3-AB0E-F808B2250AF1}"/>
    <cellStyle name="Normal 11 2 6" xfId="439" xr:uid="{CEC627F4-A76A-4A91-8B1C-FAA065CF2112}"/>
    <cellStyle name="Normal 11 2 6 2" xfId="1140" xr:uid="{69F3BE86-7338-4186-B9EE-D68BE19F729E}"/>
    <cellStyle name="Normal 11 2 7" xfId="789" xr:uid="{D3058832-7F70-4070-BCA4-D26715B1F176}"/>
    <cellStyle name="Normal 11 3" xfId="106" xr:uid="{00000000-0005-0000-0000-0000C1000000}"/>
    <cellStyle name="Normal 11 3 2" xfId="176" xr:uid="{00000000-0005-0000-0000-0000C2000000}"/>
    <cellStyle name="Normal 11 3 2 2" xfId="387" xr:uid="{00000000-0005-0000-0000-0000C3000000}"/>
    <cellStyle name="Normal 11 3 2 2 2" xfId="738" xr:uid="{349A9586-9B8D-4D3A-9626-72F0175E7CD5}"/>
    <cellStyle name="Normal 11 3 2 2 2 2" xfId="1439" xr:uid="{257548E7-E314-453A-990F-8EC4EFCDD2A3}"/>
    <cellStyle name="Normal 11 3 2 2 3" xfId="1088" xr:uid="{66782431-F4D8-400C-BB54-525F3DB1B022}"/>
    <cellStyle name="Normal 11 3 2 3" xfId="528" xr:uid="{BEC9D138-E5A4-4A41-8F81-2971E4D4DDC8}"/>
    <cellStyle name="Normal 11 3 2 3 2" xfId="1229" xr:uid="{E81F57E7-4FEE-4E2D-81D5-21C94120D47A}"/>
    <cellStyle name="Normal 11 3 2 4" xfId="878" xr:uid="{02B203BA-C8F1-477D-A240-67F2B4C5DEFA}"/>
    <cellStyle name="Normal 11 3 3" xfId="247" xr:uid="{00000000-0005-0000-0000-0000C4000000}"/>
    <cellStyle name="Normal 11 3 3 2" xfId="598" xr:uid="{80B221F9-43BA-4549-B696-5DB7171AAD1E}"/>
    <cellStyle name="Normal 11 3 3 2 2" xfId="1299" xr:uid="{86033EC1-D5B5-40CB-B674-3D26BFD0879E}"/>
    <cellStyle name="Normal 11 3 3 3" xfId="948" xr:uid="{58695A09-3357-4632-879A-146697AEE33B}"/>
    <cellStyle name="Normal 11 3 4" xfId="317" xr:uid="{00000000-0005-0000-0000-0000C5000000}"/>
    <cellStyle name="Normal 11 3 4 2" xfId="668" xr:uid="{AE43DD7F-AACA-4992-B7E6-DFB9A21DBF13}"/>
    <cellStyle name="Normal 11 3 4 2 2" xfId="1369" xr:uid="{C8097B0F-D854-4E6D-A427-57A932BE9F83}"/>
    <cellStyle name="Normal 11 3 4 3" xfId="1018" xr:uid="{02D238EF-9A21-4EA4-B078-D3F35F835F02}"/>
    <cellStyle name="Normal 11 3 5" xfId="458" xr:uid="{B222A338-731A-4D93-97EA-7B0FC3684545}"/>
    <cellStyle name="Normal 11 3 5 2" xfId="1159" xr:uid="{6E4342EB-C6CC-4B5D-9874-E002ACCCAC5D}"/>
    <cellStyle name="Normal 11 3 6" xfId="808" xr:uid="{DF5C265E-0C56-4445-9C9B-B3705B3A810E}"/>
    <cellStyle name="Normal 11 4" xfId="141" xr:uid="{00000000-0005-0000-0000-0000C6000000}"/>
    <cellStyle name="Normal 11 4 2" xfId="352" xr:uid="{00000000-0005-0000-0000-0000C7000000}"/>
    <cellStyle name="Normal 11 4 2 2" xfId="703" xr:uid="{76715ED3-1577-424D-BFD3-7AE89EA911F8}"/>
    <cellStyle name="Normal 11 4 2 2 2" xfId="1404" xr:uid="{C3177C74-4335-49E2-B5A0-5D0484FF82C3}"/>
    <cellStyle name="Normal 11 4 2 3" xfId="1053" xr:uid="{D20E8A52-50FD-49F3-9A9E-CF581606E94F}"/>
    <cellStyle name="Normal 11 4 3" xfId="493" xr:uid="{2C8791FC-16DE-4533-9E82-B8D485032741}"/>
    <cellStyle name="Normal 11 4 3 2" xfId="1194" xr:uid="{98B18C97-ED5D-4B01-9EFC-1965584C594F}"/>
    <cellStyle name="Normal 11 4 4" xfId="843" xr:uid="{EDE27BC6-F924-44C8-89F6-0DB5355CC80E}"/>
    <cellStyle name="Normal 11 5" xfId="212" xr:uid="{00000000-0005-0000-0000-0000C8000000}"/>
    <cellStyle name="Normal 11 5 2" xfId="563" xr:uid="{5686A182-9416-44F9-864F-9D6C202037FD}"/>
    <cellStyle name="Normal 11 5 2 2" xfId="1264" xr:uid="{F0007875-C3E6-495B-9D9D-57F00EDB0013}"/>
    <cellStyle name="Normal 11 5 3" xfId="913" xr:uid="{68D1E660-B55D-452B-8AE2-F5C72EB93565}"/>
    <cellStyle name="Normal 11 6" xfId="282" xr:uid="{00000000-0005-0000-0000-0000C9000000}"/>
    <cellStyle name="Normal 11 6 2" xfId="633" xr:uid="{EF70AFDC-7A5C-4CEF-9549-C63E83376554}"/>
    <cellStyle name="Normal 11 6 2 2" xfId="1334" xr:uid="{A0752313-DE52-457D-A887-18426B084CD1}"/>
    <cellStyle name="Normal 11 6 3" xfId="983" xr:uid="{DBBA7E07-EF32-48AA-A500-8E33ABC215DB}"/>
    <cellStyle name="Normal 11 7" xfId="423" xr:uid="{8C57E226-0E31-40EC-B71A-B939280D2381}"/>
    <cellStyle name="Normal 11 7 2" xfId="1124" xr:uid="{A9393F72-E6D7-4E84-BC53-351BAB3B28FB}"/>
    <cellStyle name="Normal 11 8" xfId="773" xr:uid="{F3252278-EF8B-4525-9C0D-72D2B12F0839}"/>
    <cellStyle name="Normal 12" xfId="60" xr:uid="{00000000-0005-0000-0000-0000CA000000}"/>
    <cellStyle name="Normal 13" xfId="89" xr:uid="{00000000-0005-0000-0000-0000CB000000}"/>
    <cellStyle name="Normal 13 2" xfId="124" xr:uid="{00000000-0005-0000-0000-0000CC000000}"/>
    <cellStyle name="Normal 13 2 2" xfId="194" xr:uid="{00000000-0005-0000-0000-0000CD000000}"/>
    <cellStyle name="Normal 13 2 2 2" xfId="405" xr:uid="{00000000-0005-0000-0000-0000CE000000}"/>
    <cellStyle name="Normal 13 2 2 2 2" xfId="756" xr:uid="{17EBFCD4-731B-4ABC-9673-CD8C4FE71900}"/>
    <cellStyle name="Normal 13 2 2 2 2 2" xfId="1457" xr:uid="{EFF77BA3-5513-44FE-AFBA-84940530A43F}"/>
    <cellStyle name="Normal 13 2 2 2 3" xfId="1106" xr:uid="{5F99D0D8-EB88-4E3C-BBD7-3F86DCE1A25C}"/>
    <cellStyle name="Normal 13 2 2 3" xfId="546" xr:uid="{7D09406B-324D-47B5-B795-A3064E71A868}"/>
    <cellStyle name="Normal 13 2 2 3 2" xfId="1247" xr:uid="{757036B9-6E82-4AF3-BAC3-53876DF05FC4}"/>
    <cellStyle name="Normal 13 2 2 4" xfId="896" xr:uid="{66658EF5-AA4A-49F6-A4C6-F5ED7A6015F9}"/>
    <cellStyle name="Normal 13 2 3" xfId="265" xr:uid="{00000000-0005-0000-0000-0000CF000000}"/>
    <cellStyle name="Normal 13 2 3 2" xfId="616" xr:uid="{1445AAF4-BA2E-4F54-86A2-81DB7F6908F8}"/>
    <cellStyle name="Normal 13 2 3 2 2" xfId="1317" xr:uid="{F75F37FE-550F-4D67-8F76-F0AEE1BD6E32}"/>
    <cellStyle name="Normal 13 2 3 3" xfId="966" xr:uid="{9694B98D-DAB7-415F-A37E-8F9DB2E2EFEE}"/>
    <cellStyle name="Normal 13 2 4" xfId="335" xr:uid="{00000000-0005-0000-0000-0000D0000000}"/>
    <cellStyle name="Normal 13 2 4 2" xfId="686" xr:uid="{3F1B28CF-C6D9-49CC-846A-0E36E6897213}"/>
    <cellStyle name="Normal 13 2 4 2 2" xfId="1387" xr:uid="{8F30C391-7ECB-4F69-AB99-C5A03F9696C6}"/>
    <cellStyle name="Normal 13 2 4 3" xfId="1036" xr:uid="{9C3A9802-69FD-4BE6-845F-5EC36856C55F}"/>
    <cellStyle name="Normal 13 2 5" xfId="476" xr:uid="{06951E15-BB49-4B3A-9CA0-C7BC38D9726F}"/>
    <cellStyle name="Normal 13 2 5 2" xfId="1177" xr:uid="{10DC60F8-CD7A-4989-9C87-870735FB7E98}"/>
    <cellStyle name="Normal 13 2 6" xfId="826" xr:uid="{E5C43B3A-7463-4822-A9F5-3C04302856C4}"/>
    <cellStyle name="Normal 13 3" xfId="159" xr:uid="{00000000-0005-0000-0000-0000D1000000}"/>
    <cellStyle name="Normal 13 3 2" xfId="370" xr:uid="{00000000-0005-0000-0000-0000D2000000}"/>
    <cellStyle name="Normal 13 3 2 2" xfId="721" xr:uid="{7C9EDED2-627B-4382-B414-AAF72000F42C}"/>
    <cellStyle name="Normal 13 3 2 2 2" xfId="1422" xr:uid="{98B06985-0F9D-4066-A060-5995B3FE2C39}"/>
    <cellStyle name="Normal 13 3 2 3" xfId="1071" xr:uid="{D9128E8F-F7D5-478D-8C18-726614F89B70}"/>
    <cellStyle name="Normal 13 3 3" xfId="511" xr:uid="{D4EE6ECB-0925-4F84-B691-AA2E89F67C0E}"/>
    <cellStyle name="Normal 13 3 3 2" xfId="1212" xr:uid="{E4F3C492-5D00-4B59-8C9D-D52A329DF440}"/>
    <cellStyle name="Normal 13 3 4" xfId="861" xr:uid="{FCB6CFB4-6371-4FB7-8B0E-F45DB68BEABE}"/>
    <cellStyle name="Normal 13 4" xfId="230" xr:uid="{00000000-0005-0000-0000-0000D3000000}"/>
    <cellStyle name="Normal 13 4 2" xfId="581" xr:uid="{FCD33B5C-D531-407E-8505-76091BA489F8}"/>
    <cellStyle name="Normal 13 4 2 2" xfId="1282" xr:uid="{B7DD5F37-FEDF-480D-93F0-1DCDC6F9298B}"/>
    <cellStyle name="Normal 13 4 3" xfId="931" xr:uid="{238B1888-01DE-48D5-9CB1-BE907C82D957}"/>
    <cellStyle name="Normal 13 5" xfId="300" xr:uid="{00000000-0005-0000-0000-0000D4000000}"/>
    <cellStyle name="Normal 13 5 2" xfId="651" xr:uid="{7CFD366A-BBDA-4C50-862B-04C667B7507B}"/>
    <cellStyle name="Normal 13 5 2 2" xfId="1352" xr:uid="{1F9ED407-A1F5-4CB9-B181-5AB7E4775FC4}"/>
    <cellStyle name="Normal 13 5 3" xfId="1001" xr:uid="{35FC6BAB-0C48-4B3B-80BA-FFE7259ACCBD}"/>
    <cellStyle name="Normal 13 6" xfId="441" xr:uid="{A0FAFD9D-DC04-4271-A634-D8A40470DA06}"/>
    <cellStyle name="Normal 13 6 2" xfId="1142" xr:uid="{84A7320E-8661-4402-99CB-37D724F6ED4B}"/>
    <cellStyle name="Normal 13 7" xfId="791" xr:uid="{4C97272C-0552-4EEF-A5BC-0A44C592A773}"/>
    <cellStyle name="Normal 15" xfId="408" xr:uid="{50E57494-8CBD-4E8D-906A-F065903C85A8}"/>
    <cellStyle name="Normal 15 2" xfId="1109" xr:uid="{55BD0F1E-E623-4EB5-AFDE-CB40FA43B8F4}"/>
    <cellStyle name="Normal 2" xfId="23" xr:uid="{00000000-0005-0000-0000-0000D5000000}"/>
    <cellStyle name="Normal 2 2" xfId="69" xr:uid="{00000000-0005-0000-0000-0000D6000000}"/>
    <cellStyle name="Normal 3" xfId="24" xr:uid="{00000000-0005-0000-0000-0000D7000000}"/>
    <cellStyle name="Normal 4" xfId="41" xr:uid="{00000000-0005-0000-0000-0000D8000000}"/>
    <cellStyle name="Normal 4 2" xfId="51" xr:uid="{00000000-0005-0000-0000-0000D9000000}"/>
    <cellStyle name="Normal 4 2 2" xfId="80" xr:uid="{00000000-0005-0000-0000-0000DA000000}"/>
    <cellStyle name="Normal 4 2 2 2" xfId="115" xr:uid="{00000000-0005-0000-0000-0000DB000000}"/>
    <cellStyle name="Normal 4 2 2 2 2" xfId="185" xr:uid="{00000000-0005-0000-0000-0000DC000000}"/>
    <cellStyle name="Normal 4 2 2 2 2 2" xfId="396" xr:uid="{00000000-0005-0000-0000-0000DD000000}"/>
    <cellStyle name="Normal 4 2 2 2 2 2 2" xfId="747" xr:uid="{334BFA9E-3961-46F8-8911-87D970A78D96}"/>
    <cellStyle name="Normal 4 2 2 2 2 2 2 2" xfId="1448" xr:uid="{0CE70B0E-AC0B-4EF7-A461-E9341EF6531F}"/>
    <cellStyle name="Normal 4 2 2 2 2 2 3" xfId="1097" xr:uid="{AB88F40F-9B68-4A36-B96D-A7335642D7E2}"/>
    <cellStyle name="Normal 4 2 2 2 2 3" xfId="537" xr:uid="{DD48F335-A086-4069-A429-1CA2057A3FC6}"/>
    <cellStyle name="Normal 4 2 2 2 2 3 2" xfId="1238" xr:uid="{616A4036-3225-475F-8055-9FDF70C1397B}"/>
    <cellStyle name="Normal 4 2 2 2 2 4" xfId="887" xr:uid="{B8552321-25DC-41A6-9CAE-30CFC11894B0}"/>
    <cellStyle name="Normal 4 2 2 2 3" xfId="256" xr:uid="{00000000-0005-0000-0000-0000DE000000}"/>
    <cellStyle name="Normal 4 2 2 2 3 2" xfId="607" xr:uid="{4F39016D-19B8-470A-8C47-8F9711224D18}"/>
    <cellStyle name="Normal 4 2 2 2 3 2 2" xfId="1308" xr:uid="{6DB11F05-8F7E-432C-9329-46981CFD4458}"/>
    <cellStyle name="Normal 4 2 2 2 3 3" xfId="957" xr:uid="{7CBAE734-5BE4-4CE5-A26A-FCB94E3C0D4F}"/>
    <cellStyle name="Normal 4 2 2 2 4" xfId="326" xr:uid="{00000000-0005-0000-0000-0000DF000000}"/>
    <cellStyle name="Normal 4 2 2 2 4 2" xfId="677" xr:uid="{D947F685-CFF0-420A-A84A-670D85EDCB8C}"/>
    <cellStyle name="Normal 4 2 2 2 4 2 2" xfId="1378" xr:uid="{C13EB182-4549-4D82-AD29-76ED32C06694}"/>
    <cellStyle name="Normal 4 2 2 2 4 3" xfId="1027" xr:uid="{A8AF0E1A-D908-4665-9A93-E677790C60F6}"/>
    <cellStyle name="Normal 4 2 2 2 5" xfId="467" xr:uid="{2660F5EA-EE9F-4093-90F1-A9CDE6121227}"/>
    <cellStyle name="Normal 4 2 2 2 5 2" xfId="1168" xr:uid="{EDE1E1BD-781E-4159-96F8-D0FDCD17DC1F}"/>
    <cellStyle name="Normal 4 2 2 2 6" xfId="817" xr:uid="{7B30CC00-3A58-4157-9914-14D3604443CE}"/>
    <cellStyle name="Normal 4 2 2 3" xfId="150" xr:uid="{00000000-0005-0000-0000-0000E0000000}"/>
    <cellStyle name="Normal 4 2 2 3 2" xfId="361" xr:uid="{00000000-0005-0000-0000-0000E1000000}"/>
    <cellStyle name="Normal 4 2 2 3 2 2" xfId="712" xr:uid="{3F90988A-1063-4F9F-BB8E-43EBB76B5CDD}"/>
    <cellStyle name="Normal 4 2 2 3 2 2 2" xfId="1413" xr:uid="{2AB03380-CE5E-4A7E-99E1-EDF108634D2F}"/>
    <cellStyle name="Normal 4 2 2 3 2 3" xfId="1062" xr:uid="{E629628E-4CB9-4CBC-A0EC-E7D835AD1291}"/>
    <cellStyle name="Normal 4 2 2 3 3" xfId="502" xr:uid="{F448655E-1BC5-4DFA-BC9D-5B31E7E49D63}"/>
    <cellStyle name="Normal 4 2 2 3 3 2" xfId="1203" xr:uid="{A54A8527-4F53-4AA2-957F-540CEBD483F5}"/>
    <cellStyle name="Normal 4 2 2 3 4" xfId="852" xr:uid="{81A18279-ABD4-47A2-BDEC-0F21EBAC7609}"/>
    <cellStyle name="Normal 4 2 2 4" xfId="221" xr:uid="{00000000-0005-0000-0000-0000E2000000}"/>
    <cellStyle name="Normal 4 2 2 4 2" xfId="572" xr:uid="{891ED1D2-1049-43CF-BC56-0D25DDF570AA}"/>
    <cellStyle name="Normal 4 2 2 4 2 2" xfId="1273" xr:uid="{37D09CB7-2D28-4AC9-BD66-E0BCC5EC545A}"/>
    <cellStyle name="Normal 4 2 2 4 3" xfId="922" xr:uid="{24F45ACE-B443-4AD8-8972-CEDA0915455C}"/>
    <cellStyle name="Normal 4 2 2 5" xfId="291" xr:uid="{00000000-0005-0000-0000-0000E3000000}"/>
    <cellStyle name="Normal 4 2 2 5 2" xfId="642" xr:uid="{54849228-2BE5-4A34-928E-FF59CBEACF47}"/>
    <cellStyle name="Normal 4 2 2 5 2 2" xfId="1343" xr:uid="{25080E6E-4583-45AD-AD41-20A5A0376410}"/>
    <cellStyle name="Normal 4 2 2 5 3" xfId="992" xr:uid="{3F598B9D-CD94-485B-92DC-829ECCEC2B76}"/>
    <cellStyle name="Normal 4 2 2 6" xfId="432" xr:uid="{EB0AEC9E-6870-4256-8463-8FCE5093CCC3}"/>
    <cellStyle name="Normal 4 2 2 6 2" xfId="1133" xr:uid="{CE0BD141-FDA5-46C9-B5AB-8541FE207BA3}"/>
    <cellStyle name="Normal 4 2 2 7" xfId="782" xr:uid="{FC39B1FA-8BFF-4D70-9C50-8E5F3CD40200}"/>
    <cellStyle name="Normal 4 2 3" xfId="99" xr:uid="{00000000-0005-0000-0000-0000E4000000}"/>
    <cellStyle name="Normal 4 2 3 2" xfId="169" xr:uid="{00000000-0005-0000-0000-0000E5000000}"/>
    <cellStyle name="Normal 4 2 3 2 2" xfId="380" xr:uid="{00000000-0005-0000-0000-0000E6000000}"/>
    <cellStyle name="Normal 4 2 3 2 2 2" xfId="731" xr:uid="{5ED5035C-55D2-4720-84A4-AC652E6BE050}"/>
    <cellStyle name="Normal 4 2 3 2 2 2 2" xfId="1432" xr:uid="{177EF989-8215-4006-9057-054FB0293A25}"/>
    <cellStyle name="Normal 4 2 3 2 2 3" xfId="1081" xr:uid="{65A8830D-CA1C-41D9-9B06-C7966FA1920D}"/>
    <cellStyle name="Normal 4 2 3 2 3" xfId="521" xr:uid="{D1786E95-065E-4513-80CB-CCCC1C91921D}"/>
    <cellStyle name="Normal 4 2 3 2 3 2" xfId="1222" xr:uid="{104BAF0E-E709-43CE-A323-95B0309AD510}"/>
    <cellStyle name="Normal 4 2 3 2 4" xfId="871" xr:uid="{0991EA60-38DF-4F6F-AABD-AEF829831C47}"/>
    <cellStyle name="Normal 4 2 3 3" xfId="240" xr:uid="{00000000-0005-0000-0000-0000E7000000}"/>
    <cellStyle name="Normal 4 2 3 3 2" xfId="591" xr:uid="{A79729D6-120B-482B-84A5-004A03ED05C8}"/>
    <cellStyle name="Normal 4 2 3 3 2 2" xfId="1292" xr:uid="{A6B77FA5-862D-4F3D-B6C6-07D736970542}"/>
    <cellStyle name="Normal 4 2 3 3 3" xfId="941" xr:uid="{C81798F6-CFD5-4CE1-8481-6C884B0951C5}"/>
    <cellStyle name="Normal 4 2 3 4" xfId="310" xr:uid="{00000000-0005-0000-0000-0000E8000000}"/>
    <cellStyle name="Normal 4 2 3 4 2" xfId="661" xr:uid="{E1C63119-030F-4C67-B500-9E991B9C10BB}"/>
    <cellStyle name="Normal 4 2 3 4 2 2" xfId="1362" xr:uid="{96C8E9EC-12D4-44FE-923C-320090835983}"/>
    <cellStyle name="Normal 4 2 3 4 3" xfId="1011" xr:uid="{70ACCE33-11FE-46E9-8B9F-BB3F12C68BEB}"/>
    <cellStyle name="Normal 4 2 3 5" xfId="451" xr:uid="{72F654AD-D1E9-4CC8-B7D5-E2FCF9FF8413}"/>
    <cellStyle name="Normal 4 2 3 5 2" xfId="1152" xr:uid="{751294EA-4D1B-4F61-B936-B3568136FB5F}"/>
    <cellStyle name="Normal 4 2 3 6" xfId="801" xr:uid="{4871A096-85E1-404E-8D25-F7B936EBAFA7}"/>
    <cellStyle name="Normal 4 2 4" xfId="134" xr:uid="{00000000-0005-0000-0000-0000E9000000}"/>
    <cellStyle name="Normal 4 2 4 2" xfId="345" xr:uid="{00000000-0005-0000-0000-0000EA000000}"/>
    <cellStyle name="Normal 4 2 4 2 2" xfId="696" xr:uid="{F2D04171-3DF4-4488-853F-4AEDBFDDF9B6}"/>
    <cellStyle name="Normal 4 2 4 2 2 2" xfId="1397" xr:uid="{002F05CF-5B62-45C7-A8BC-F4E872E019CA}"/>
    <cellStyle name="Normal 4 2 4 2 3" xfId="1046" xr:uid="{60527CF8-B6C9-4171-B8A1-4E22E68489EB}"/>
    <cellStyle name="Normal 4 2 4 3" xfId="486" xr:uid="{E6D014CA-E3BC-4D5D-92F4-92551D261959}"/>
    <cellStyle name="Normal 4 2 4 3 2" xfId="1187" xr:uid="{2CF841F9-62A0-4021-8B0D-23A639F43A9E}"/>
    <cellStyle name="Normal 4 2 4 4" xfId="836" xr:uid="{D9C46163-5782-4967-9157-F5D67458C08A}"/>
    <cellStyle name="Normal 4 2 5" xfId="205" xr:uid="{00000000-0005-0000-0000-0000EB000000}"/>
    <cellStyle name="Normal 4 2 5 2" xfId="556" xr:uid="{4016D042-3A8F-4C53-8A9E-E35675CA7347}"/>
    <cellStyle name="Normal 4 2 5 2 2" xfId="1257" xr:uid="{0988374D-9196-43DA-A2CB-6FBF6AEF20CF}"/>
    <cellStyle name="Normal 4 2 5 3" xfId="906" xr:uid="{58F2A16E-FCCE-478D-B934-9D16BA6C60CE}"/>
    <cellStyle name="Normal 4 2 6" xfId="275" xr:uid="{00000000-0005-0000-0000-0000EC000000}"/>
    <cellStyle name="Normal 4 2 6 2" xfId="626" xr:uid="{C9675958-B36C-4266-BA67-B6555B94DEF4}"/>
    <cellStyle name="Normal 4 2 6 2 2" xfId="1327" xr:uid="{3D542AFE-1140-4980-AB24-DD7CF196EE2E}"/>
    <cellStyle name="Normal 4 2 6 3" xfId="976" xr:uid="{A0CE734C-BF01-4C0B-A01C-B0BF07621C4B}"/>
    <cellStyle name="Normal 4 2 7" xfId="416" xr:uid="{606F08CE-38CC-4550-9CB2-815B87A2ED0A}"/>
    <cellStyle name="Normal 4 2 7 2" xfId="1117" xr:uid="{DD5E4F47-A236-4ECA-96CA-A254491560AA}"/>
    <cellStyle name="Normal 4 2 8" xfId="766" xr:uid="{10AE3B2D-64C5-4224-AABE-24F539E002BB}"/>
    <cellStyle name="Normal 4 3" xfId="73" xr:uid="{00000000-0005-0000-0000-0000ED000000}"/>
    <cellStyle name="Normal 4 3 2" xfId="108" xr:uid="{00000000-0005-0000-0000-0000EE000000}"/>
    <cellStyle name="Normal 4 3 2 2" xfId="178" xr:uid="{00000000-0005-0000-0000-0000EF000000}"/>
    <cellStyle name="Normal 4 3 2 2 2" xfId="389" xr:uid="{00000000-0005-0000-0000-0000F0000000}"/>
    <cellStyle name="Normal 4 3 2 2 2 2" xfId="740" xr:uid="{0EFC2569-5CA9-48FC-AF0D-C814A0DEBD92}"/>
    <cellStyle name="Normal 4 3 2 2 2 2 2" xfId="1441" xr:uid="{AA20B8E0-97EE-45FC-AA49-7C9E1738198E}"/>
    <cellStyle name="Normal 4 3 2 2 2 3" xfId="1090" xr:uid="{17AF47BD-DC51-4A5C-8324-44512762B94D}"/>
    <cellStyle name="Normal 4 3 2 2 3" xfId="530" xr:uid="{7AB6E236-AD8C-44CD-9DB3-B4824B7F2F11}"/>
    <cellStyle name="Normal 4 3 2 2 3 2" xfId="1231" xr:uid="{D9770D19-9D92-4CDF-98F4-7299DBC5878D}"/>
    <cellStyle name="Normal 4 3 2 2 4" xfId="880" xr:uid="{A1FD6B06-29D6-4CD2-BE96-BAF2AA35D957}"/>
    <cellStyle name="Normal 4 3 2 3" xfId="249" xr:uid="{00000000-0005-0000-0000-0000F1000000}"/>
    <cellStyle name="Normal 4 3 2 3 2" xfId="600" xr:uid="{819127EE-C672-47B8-8A23-6F9474009BF9}"/>
    <cellStyle name="Normal 4 3 2 3 2 2" xfId="1301" xr:uid="{09F4A9C6-829B-4793-9DF0-48B71861C42D}"/>
    <cellStyle name="Normal 4 3 2 3 3" xfId="950" xr:uid="{988F868D-F71F-48CB-AB08-B596EF7B98A2}"/>
    <cellStyle name="Normal 4 3 2 4" xfId="319" xr:uid="{00000000-0005-0000-0000-0000F2000000}"/>
    <cellStyle name="Normal 4 3 2 4 2" xfId="670" xr:uid="{76AEDC55-B288-4DB3-AF0F-86C5376DC5D6}"/>
    <cellStyle name="Normal 4 3 2 4 2 2" xfId="1371" xr:uid="{A4E932A1-6351-4547-8E16-E6F076A8E478}"/>
    <cellStyle name="Normal 4 3 2 4 3" xfId="1020" xr:uid="{F334EF04-83DD-4ED8-B03D-9FBAB436363D}"/>
    <cellStyle name="Normal 4 3 2 5" xfId="460" xr:uid="{9153761D-6D42-4DE6-A753-035789D7271F}"/>
    <cellStyle name="Normal 4 3 2 5 2" xfId="1161" xr:uid="{1CF98B85-1E59-4A81-9276-21F9023B6694}"/>
    <cellStyle name="Normal 4 3 2 6" xfId="810" xr:uid="{0D89B79B-EEE4-4A70-A841-7B3C8633B093}"/>
    <cellStyle name="Normal 4 3 3" xfId="143" xr:uid="{00000000-0005-0000-0000-0000F3000000}"/>
    <cellStyle name="Normal 4 3 3 2" xfId="354" xr:uid="{00000000-0005-0000-0000-0000F4000000}"/>
    <cellStyle name="Normal 4 3 3 2 2" xfId="705" xr:uid="{E89C8F8D-1AE2-40D9-BD76-C74832106D18}"/>
    <cellStyle name="Normal 4 3 3 2 2 2" xfId="1406" xr:uid="{D7D0A660-185E-4C9A-85DA-88BDC240EF91}"/>
    <cellStyle name="Normal 4 3 3 2 3" xfId="1055" xr:uid="{319134BC-50D5-49CE-B6A9-EEEDAB5EA696}"/>
    <cellStyle name="Normal 4 3 3 3" xfId="495" xr:uid="{51C0EC89-9C65-4C1A-94A4-4CECF2E77E9D}"/>
    <cellStyle name="Normal 4 3 3 3 2" xfId="1196" xr:uid="{A8080212-64DA-48D5-8E00-4810D40059DE}"/>
    <cellStyle name="Normal 4 3 3 4" xfId="845" xr:uid="{ECD602DF-99A2-49D6-B060-7BDBBC605C08}"/>
    <cellStyle name="Normal 4 3 4" xfId="214" xr:uid="{00000000-0005-0000-0000-0000F5000000}"/>
    <cellStyle name="Normal 4 3 4 2" xfId="565" xr:uid="{511AD09E-5E46-4FC9-9DA4-DCB959DC0F5D}"/>
    <cellStyle name="Normal 4 3 4 2 2" xfId="1266" xr:uid="{EA3B8577-0EC5-4F62-A232-6A891C69E886}"/>
    <cellStyle name="Normal 4 3 4 3" xfId="915" xr:uid="{43B234C2-6E82-4709-ADAC-D9BDAFEF1E52}"/>
    <cellStyle name="Normal 4 3 5" xfId="284" xr:uid="{00000000-0005-0000-0000-0000F6000000}"/>
    <cellStyle name="Normal 4 3 5 2" xfId="635" xr:uid="{DACF60E6-2811-4490-9A4E-7E0532F08E75}"/>
    <cellStyle name="Normal 4 3 5 2 2" xfId="1336" xr:uid="{F247148E-DA70-41C2-B3A7-5CBFEF5DEF2B}"/>
    <cellStyle name="Normal 4 3 5 3" xfId="985" xr:uid="{2F4FA1CF-6A70-40BF-ACC1-FD683C014DF8}"/>
    <cellStyle name="Normal 4 3 6" xfId="425" xr:uid="{10C61494-82C7-42A7-9559-323EF4FA03A4}"/>
    <cellStyle name="Normal 4 3 6 2" xfId="1126" xr:uid="{8F23B222-AC3F-47A9-8854-1664D3C41359}"/>
    <cellStyle name="Normal 4 3 7" xfId="775" xr:uid="{7762A9C9-E9EB-4E36-8A06-2A5891C606D6}"/>
    <cellStyle name="Normal 4 4" xfId="92" xr:uid="{00000000-0005-0000-0000-0000F7000000}"/>
    <cellStyle name="Normal 4 4 2" xfId="162" xr:uid="{00000000-0005-0000-0000-0000F8000000}"/>
    <cellStyle name="Normal 4 4 2 2" xfId="373" xr:uid="{00000000-0005-0000-0000-0000F9000000}"/>
    <cellStyle name="Normal 4 4 2 2 2" xfId="724" xr:uid="{88422A1D-AA5E-48B5-A4DD-C67B2798FA36}"/>
    <cellStyle name="Normal 4 4 2 2 2 2" xfId="1425" xr:uid="{CD96C98D-0454-498B-90A5-472DF88AF76E}"/>
    <cellStyle name="Normal 4 4 2 2 3" xfId="1074" xr:uid="{597AE4D9-14CB-4484-AFBB-477A24F3E040}"/>
    <cellStyle name="Normal 4 4 2 3" xfId="514" xr:uid="{340924BB-E6FF-48A3-AE8E-B8957EAA47FF}"/>
    <cellStyle name="Normal 4 4 2 3 2" xfId="1215" xr:uid="{33929287-3221-41F8-8328-487CBFA92160}"/>
    <cellStyle name="Normal 4 4 2 4" xfId="864" xr:uid="{50B3BA4C-FFC3-406D-A626-FF5F51C22739}"/>
    <cellStyle name="Normal 4 4 3" xfId="233" xr:uid="{00000000-0005-0000-0000-0000FA000000}"/>
    <cellStyle name="Normal 4 4 3 2" xfId="584" xr:uid="{54F5F78C-662A-4A57-81F8-4F4ED7DC44C6}"/>
    <cellStyle name="Normal 4 4 3 2 2" xfId="1285" xr:uid="{DD0595A9-5069-462A-8757-C927BC136237}"/>
    <cellStyle name="Normal 4 4 3 3" xfId="934" xr:uid="{FEAE8919-8BBC-4AFF-8F12-054EA7287E30}"/>
    <cellStyle name="Normal 4 4 4" xfId="303" xr:uid="{00000000-0005-0000-0000-0000FB000000}"/>
    <cellStyle name="Normal 4 4 4 2" xfId="654" xr:uid="{E16518E3-180F-4E60-BB5B-B4F425A6BD8C}"/>
    <cellStyle name="Normal 4 4 4 2 2" xfId="1355" xr:uid="{BABA3D36-F040-4A10-BB46-8A858C96C8E4}"/>
    <cellStyle name="Normal 4 4 4 3" xfId="1004" xr:uid="{D1EC1D1F-1B5A-4D49-9E5B-D140044AE18E}"/>
    <cellStyle name="Normal 4 4 5" xfId="444" xr:uid="{F5030E3F-4A82-4679-88A7-4952CEEB1931}"/>
    <cellStyle name="Normal 4 4 5 2" xfId="1145" xr:uid="{67E74624-32F9-4E5E-BD11-D8AEBCEADB21}"/>
    <cellStyle name="Normal 4 4 6" xfId="794" xr:uid="{B9B9F622-947C-4C1C-87E0-13BEE7780DBA}"/>
    <cellStyle name="Normal 4 5" xfId="127" xr:uid="{00000000-0005-0000-0000-0000FC000000}"/>
    <cellStyle name="Normal 4 5 2" xfId="338" xr:uid="{00000000-0005-0000-0000-0000FD000000}"/>
    <cellStyle name="Normal 4 5 2 2" xfId="689" xr:uid="{74BD5061-2FCF-4FDF-B1FA-53B31DE58B7A}"/>
    <cellStyle name="Normal 4 5 2 2 2" xfId="1390" xr:uid="{0EF2EFBE-3057-4DD4-8EAF-D90CEF7AB443}"/>
    <cellStyle name="Normal 4 5 2 3" xfId="1039" xr:uid="{CFE2AD6C-3209-4E21-B839-C1E4DD3812F7}"/>
    <cellStyle name="Normal 4 5 3" xfId="479" xr:uid="{A7708717-B138-4DDB-A209-1C130C018E1B}"/>
    <cellStyle name="Normal 4 5 3 2" xfId="1180" xr:uid="{9435A86A-EF71-4289-883A-FC042221DA17}"/>
    <cellStyle name="Normal 4 5 4" xfId="829" xr:uid="{626CBF20-0026-4EED-BD8E-5B0AA67C1F8F}"/>
    <cellStyle name="Normal 4 6" xfId="198" xr:uid="{00000000-0005-0000-0000-0000FE000000}"/>
    <cellStyle name="Normal 4 6 2" xfId="549" xr:uid="{8890641E-9D50-46E4-A3F2-9AECCC8B19AC}"/>
    <cellStyle name="Normal 4 6 2 2" xfId="1250" xr:uid="{08FEECCE-7151-4254-8B21-EC40DFF7E47C}"/>
    <cellStyle name="Normal 4 6 3" xfId="899" xr:uid="{CF82D56F-F302-4F16-AE13-286F861D94EE}"/>
    <cellStyle name="Normal 4 7" xfId="268" xr:uid="{00000000-0005-0000-0000-0000FF000000}"/>
    <cellStyle name="Normal 4 7 2" xfId="619" xr:uid="{C5A976A2-CAAB-4DFB-B448-D31EE67FEEAF}"/>
    <cellStyle name="Normal 4 7 2 2" xfId="1320" xr:uid="{AA4590C4-19B2-4951-AF4B-207BE7FC91EF}"/>
    <cellStyle name="Normal 4 7 3" xfId="969" xr:uid="{D3295A59-4FD2-4D8D-9848-DB20BEE5EE1E}"/>
    <cellStyle name="Normal 4 8" xfId="409" xr:uid="{D6FCF1BB-FE88-42E5-92EF-EC5774B5B633}"/>
    <cellStyle name="Normal 4 8 2" xfId="1110" xr:uid="{327B103F-ED7B-4B36-AFAD-87F1F7B445F5}"/>
    <cellStyle name="Normal 4 9" xfId="759" xr:uid="{A1C03CF7-2AD5-482D-BC86-947128BDC4DA}"/>
    <cellStyle name="Normal 5" xfId="43" xr:uid="{00000000-0005-0000-0000-000000010000}"/>
    <cellStyle name="Normal 5 2" xfId="74" xr:uid="{00000000-0005-0000-0000-000001010000}"/>
    <cellStyle name="Normal 5 2 2" xfId="109" xr:uid="{00000000-0005-0000-0000-000002010000}"/>
    <cellStyle name="Normal 5 2 2 2" xfId="179" xr:uid="{00000000-0005-0000-0000-000003010000}"/>
    <cellStyle name="Normal 5 2 2 2 2" xfId="390" xr:uid="{00000000-0005-0000-0000-000004010000}"/>
    <cellStyle name="Normal 5 2 2 2 2 2" xfId="741" xr:uid="{A918C3E1-5192-4000-B524-FD1F37E0ACCA}"/>
    <cellStyle name="Normal 5 2 2 2 2 2 2" xfId="1442" xr:uid="{DBE3BCDE-3BB9-40D0-A8D0-C8BED4B2AB41}"/>
    <cellStyle name="Normal 5 2 2 2 2 3" xfId="1091" xr:uid="{78B24320-AF63-4D9F-A348-13D7F8FFB2D6}"/>
    <cellStyle name="Normal 5 2 2 2 3" xfId="531" xr:uid="{7C8BC386-48BF-4AEA-8833-5DDC209D018D}"/>
    <cellStyle name="Normal 5 2 2 2 3 2" xfId="1232" xr:uid="{102CEFFC-D355-455D-B8A3-877D09AA4C46}"/>
    <cellStyle name="Normal 5 2 2 2 4" xfId="881" xr:uid="{D8A91F04-588D-4CBC-A183-045EE1ED485F}"/>
    <cellStyle name="Normal 5 2 2 3" xfId="250" xr:uid="{00000000-0005-0000-0000-000005010000}"/>
    <cellStyle name="Normal 5 2 2 3 2" xfId="601" xr:uid="{4AC2A4F6-B563-43BA-A31F-8DEC8A535DBB}"/>
    <cellStyle name="Normal 5 2 2 3 2 2" xfId="1302" xr:uid="{E893980A-05A5-490C-A533-5394AE960DE4}"/>
    <cellStyle name="Normal 5 2 2 3 3" xfId="951" xr:uid="{F95C35D4-4DE4-4F59-B723-3F0E9FC0BD17}"/>
    <cellStyle name="Normal 5 2 2 4" xfId="320" xr:uid="{00000000-0005-0000-0000-000006010000}"/>
    <cellStyle name="Normal 5 2 2 4 2" xfId="671" xr:uid="{14EE8596-A1B9-41BC-A1B1-C4BAB9D630E9}"/>
    <cellStyle name="Normal 5 2 2 4 2 2" xfId="1372" xr:uid="{D851915F-7033-413B-AC3D-2F65F10C48C9}"/>
    <cellStyle name="Normal 5 2 2 4 3" xfId="1021" xr:uid="{BC2F5651-9599-4063-B23D-4C1A3A4BF4F7}"/>
    <cellStyle name="Normal 5 2 2 5" xfId="461" xr:uid="{E8CF8DDC-BFA7-4EDA-BCD2-1696E1E18752}"/>
    <cellStyle name="Normal 5 2 2 5 2" xfId="1162" xr:uid="{E9969CCB-1690-458B-B617-6A4A87C197D6}"/>
    <cellStyle name="Normal 5 2 2 6" xfId="811" xr:uid="{CEC697D2-142A-49A3-8823-7DB6FAEDFD0F}"/>
    <cellStyle name="Normal 5 2 3" xfId="144" xr:uid="{00000000-0005-0000-0000-000007010000}"/>
    <cellStyle name="Normal 5 2 3 2" xfId="355" xr:uid="{00000000-0005-0000-0000-000008010000}"/>
    <cellStyle name="Normal 5 2 3 2 2" xfId="706" xr:uid="{0ADDF94A-181A-4B18-AB3B-428255F40C4B}"/>
    <cellStyle name="Normal 5 2 3 2 2 2" xfId="1407" xr:uid="{82B23DBC-6ACA-48E5-B5E5-3AFBBA3E2C93}"/>
    <cellStyle name="Normal 5 2 3 2 3" xfId="1056" xr:uid="{9FB1CA82-F05B-4FFF-AC51-88CCDCD7600E}"/>
    <cellStyle name="Normal 5 2 3 3" xfId="496" xr:uid="{F6EDDB40-B4C5-41CE-8794-F1299C39CB7F}"/>
    <cellStyle name="Normal 5 2 3 3 2" xfId="1197" xr:uid="{0D9F15A6-4587-42C9-9192-C098F254B04A}"/>
    <cellStyle name="Normal 5 2 3 4" xfId="846" xr:uid="{23785C2D-CBAE-483F-A830-91CE25A2B8BE}"/>
    <cellStyle name="Normal 5 2 4" xfId="215" xr:uid="{00000000-0005-0000-0000-000009010000}"/>
    <cellStyle name="Normal 5 2 4 2" xfId="566" xr:uid="{93CD1FFA-C423-4D08-A9E0-1117406C842B}"/>
    <cellStyle name="Normal 5 2 4 2 2" xfId="1267" xr:uid="{C3444458-1DF5-4655-8A0F-1C840B7F2998}"/>
    <cellStyle name="Normal 5 2 4 3" xfId="916" xr:uid="{0A92243C-6C3A-4FFA-9960-90210A1982F8}"/>
    <cellStyle name="Normal 5 2 5" xfId="285" xr:uid="{00000000-0005-0000-0000-00000A010000}"/>
    <cellStyle name="Normal 5 2 5 2" xfId="636" xr:uid="{7D09A7C4-5F05-4101-B7D6-D2CC4A5E0041}"/>
    <cellStyle name="Normal 5 2 5 2 2" xfId="1337" xr:uid="{54389505-85C6-4AEE-85C2-D9DC1B1B01C9}"/>
    <cellStyle name="Normal 5 2 5 3" xfId="986" xr:uid="{2FDE0829-8E8E-4660-BAEC-411333FB0472}"/>
    <cellStyle name="Normal 5 2 6" xfId="426" xr:uid="{CD58919C-579B-4C45-9BC2-C2DB53D94328}"/>
    <cellStyle name="Normal 5 2 6 2" xfId="1127" xr:uid="{CF192694-3C5C-43CE-BEE5-2683B44C6925}"/>
    <cellStyle name="Normal 5 2 7" xfId="776" xr:uid="{0014EC27-8526-426A-951C-E0E725ECAA12}"/>
    <cellStyle name="Normal 5 3" xfId="93" xr:uid="{00000000-0005-0000-0000-00000B010000}"/>
    <cellStyle name="Normal 5 3 2" xfId="163" xr:uid="{00000000-0005-0000-0000-00000C010000}"/>
    <cellStyle name="Normal 5 3 2 2" xfId="374" xr:uid="{00000000-0005-0000-0000-00000D010000}"/>
    <cellStyle name="Normal 5 3 2 2 2" xfId="725" xr:uid="{18FDE591-52E8-47A6-A6CC-18ED31EBDC78}"/>
    <cellStyle name="Normal 5 3 2 2 2 2" xfId="1426" xr:uid="{ED5D3F7E-225F-4072-880C-E185F4E2F670}"/>
    <cellStyle name="Normal 5 3 2 2 3" xfId="1075" xr:uid="{43FC9750-B574-4459-A83C-EBE70D6AFEDF}"/>
    <cellStyle name="Normal 5 3 2 3" xfId="515" xr:uid="{7A2CBEB1-35AD-4AB5-9CB4-0DA848AC2471}"/>
    <cellStyle name="Normal 5 3 2 3 2" xfId="1216" xr:uid="{A1603643-C239-4C77-AC9D-B6909624ABA6}"/>
    <cellStyle name="Normal 5 3 2 4" xfId="865" xr:uid="{B2AC7845-E5A2-4797-876A-6384084171A6}"/>
    <cellStyle name="Normal 5 3 3" xfId="234" xr:uid="{00000000-0005-0000-0000-00000E010000}"/>
    <cellStyle name="Normal 5 3 3 2" xfId="585" xr:uid="{13ED84A9-3BE2-4EB7-A519-D74F34E8D4B4}"/>
    <cellStyle name="Normal 5 3 3 2 2" xfId="1286" xr:uid="{79BAAE9E-EE18-4820-84C7-0F592EAB858B}"/>
    <cellStyle name="Normal 5 3 3 3" xfId="935" xr:uid="{E76A6B0A-BBBF-4DC4-8255-3239248190DE}"/>
    <cellStyle name="Normal 5 3 4" xfId="304" xr:uid="{00000000-0005-0000-0000-00000F010000}"/>
    <cellStyle name="Normal 5 3 4 2" xfId="655" xr:uid="{217262B0-FC6F-441F-8AB0-05326AA5C468}"/>
    <cellStyle name="Normal 5 3 4 2 2" xfId="1356" xr:uid="{CE0084F8-B6F0-4B78-8DE2-2EC3C43B16A4}"/>
    <cellStyle name="Normal 5 3 4 3" xfId="1005" xr:uid="{E467AF4D-87F9-4E3B-8576-3AA5D44A5340}"/>
    <cellStyle name="Normal 5 3 5" xfId="445" xr:uid="{E18754E1-628B-44E7-9A7D-7CF77ECA6EFF}"/>
    <cellStyle name="Normal 5 3 5 2" xfId="1146" xr:uid="{48236650-9374-4AFD-9E35-10FC4E46EDC0}"/>
    <cellStyle name="Normal 5 3 6" xfId="795" xr:uid="{825970E2-AFD9-438F-8E77-88E04A446B4E}"/>
    <cellStyle name="Normal 5 4" xfId="128" xr:uid="{00000000-0005-0000-0000-000010010000}"/>
    <cellStyle name="Normal 5 4 2" xfId="339" xr:uid="{00000000-0005-0000-0000-000011010000}"/>
    <cellStyle name="Normal 5 4 2 2" xfId="690" xr:uid="{2F2A2365-A432-4CC3-8F6B-65B25ADBBD00}"/>
    <cellStyle name="Normal 5 4 2 2 2" xfId="1391" xr:uid="{928C90A6-2DE2-4FB7-84C7-481AA547A0C1}"/>
    <cellStyle name="Normal 5 4 2 3" xfId="1040" xr:uid="{44F30ABA-F5AB-41AD-8E2C-5890DABD1E9E}"/>
    <cellStyle name="Normal 5 4 3" xfId="480" xr:uid="{9CFA06D1-4E33-4A1B-8C06-660B03A248BB}"/>
    <cellStyle name="Normal 5 4 3 2" xfId="1181" xr:uid="{A59B00DD-67E7-4540-90A2-22D233AA029A}"/>
    <cellStyle name="Normal 5 4 4" xfId="830" xr:uid="{531BB652-5C84-42EE-BE4D-FC9DD8884EE8}"/>
    <cellStyle name="Normal 5 5" xfId="199" xr:uid="{00000000-0005-0000-0000-000012010000}"/>
    <cellStyle name="Normal 5 5 2" xfId="550" xr:uid="{A563F743-CF90-4A7A-B53E-BAD12FF8E185}"/>
    <cellStyle name="Normal 5 5 2 2" xfId="1251" xr:uid="{7165DE09-A1D9-41B9-AEE2-134A56019205}"/>
    <cellStyle name="Normal 5 5 3" xfId="900" xr:uid="{809F9A9B-2004-4C36-B905-1183935C760A}"/>
    <cellStyle name="Normal 5 6" xfId="269" xr:uid="{00000000-0005-0000-0000-000013010000}"/>
    <cellStyle name="Normal 5 6 2" xfId="620" xr:uid="{5718B39E-995B-4EE7-81D7-A219B54939F4}"/>
    <cellStyle name="Normal 5 6 2 2" xfId="1321" xr:uid="{788040C2-3EEA-4D5A-9696-C506E1206C14}"/>
    <cellStyle name="Normal 5 6 3" xfId="970" xr:uid="{E095F256-BDFA-4D2C-8FB4-6A7B5D78F3D7}"/>
    <cellStyle name="Normal 5 7" xfId="410" xr:uid="{79BA577B-C8B2-4688-A1F0-64F410056C37}"/>
    <cellStyle name="Normal 5 7 2" xfId="1111" xr:uid="{90D55B80-D8F0-47F3-9385-2CA13014A286}"/>
    <cellStyle name="Normal 5 8" xfId="760" xr:uid="{4710E364-6F88-4B2A-AEC3-5751E6E919F4}"/>
    <cellStyle name="Normal 6" xfId="45" xr:uid="{00000000-0005-0000-0000-000014010000}"/>
    <cellStyle name="Normal 7" xfId="46" xr:uid="{00000000-0005-0000-0000-000015010000}"/>
    <cellStyle name="Normal 7 2" xfId="76" xr:uid="{00000000-0005-0000-0000-000016010000}"/>
    <cellStyle name="Normal 7 2 2" xfId="111" xr:uid="{00000000-0005-0000-0000-000017010000}"/>
    <cellStyle name="Normal 7 2 2 2" xfId="181" xr:uid="{00000000-0005-0000-0000-000018010000}"/>
    <cellStyle name="Normal 7 2 2 2 2" xfId="392" xr:uid="{00000000-0005-0000-0000-000019010000}"/>
    <cellStyle name="Normal 7 2 2 2 2 2" xfId="743" xr:uid="{4284F798-8356-4CD2-A157-84493FB67D84}"/>
    <cellStyle name="Normal 7 2 2 2 2 2 2" xfId="1444" xr:uid="{2DA8E87A-3543-4533-98E1-AB9EE9AE5800}"/>
    <cellStyle name="Normal 7 2 2 2 2 3" xfId="1093" xr:uid="{BB28A6D0-E176-4ABE-95DC-B4651DC82AEB}"/>
    <cellStyle name="Normal 7 2 2 2 3" xfId="533" xr:uid="{65AACD3A-F8CF-4CD8-8ACF-9F572B00DA65}"/>
    <cellStyle name="Normal 7 2 2 2 3 2" xfId="1234" xr:uid="{DA892933-BE7A-4CA7-B35E-E96D9AFDC089}"/>
    <cellStyle name="Normal 7 2 2 2 4" xfId="883" xr:uid="{4EE047F2-6603-4476-8563-49C63CCABF26}"/>
    <cellStyle name="Normal 7 2 2 3" xfId="252" xr:uid="{00000000-0005-0000-0000-00001A010000}"/>
    <cellStyle name="Normal 7 2 2 3 2" xfId="603" xr:uid="{E764374E-A906-4F74-B265-39CDC1802D56}"/>
    <cellStyle name="Normal 7 2 2 3 2 2" xfId="1304" xr:uid="{7AE4B117-71B2-4157-BE45-5CD3FC3E19CA}"/>
    <cellStyle name="Normal 7 2 2 3 3" xfId="953" xr:uid="{38757B8A-C2D3-4A33-957B-C60CD6BCDE88}"/>
    <cellStyle name="Normal 7 2 2 4" xfId="322" xr:uid="{00000000-0005-0000-0000-00001B010000}"/>
    <cellStyle name="Normal 7 2 2 4 2" xfId="673" xr:uid="{AEF959C5-88B8-41EC-9F90-81D074D31779}"/>
    <cellStyle name="Normal 7 2 2 4 2 2" xfId="1374" xr:uid="{BD83A01E-EE9B-4A9D-AE44-E7FBD7F97492}"/>
    <cellStyle name="Normal 7 2 2 4 3" xfId="1023" xr:uid="{CFF72E89-F06E-4874-BBA9-BC05CA3E84F2}"/>
    <cellStyle name="Normal 7 2 2 5" xfId="463" xr:uid="{B263B74E-7EBD-4B51-A496-299479D9FDF3}"/>
    <cellStyle name="Normal 7 2 2 5 2" xfId="1164" xr:uid="{91158707-F9EF-4D32-851F-85B50D10FF53}"/>
    <cellStyle name="Normal 7 2 2 6" xfId="813" xr:uid="{4476378F-69AF-4DF6-A9AA-E56CB40C3665}"/>
    <cellStyle name="Normal 7 2 3" xfId="146" xr:uid="{00000000-0005-0000-0000-00001C010000}"/>
    <cellStyle name="Normal 7 2 3 2" xfId="357" xr:uid="{00000000-0005-0000-0000-00001D010000}"/>
    <cellStyle name="Normal 7 2 3 2 2" xfId="708" xr:uid="{5E8CD2D8-241C-4487-946F-23DDE2111F0C}"/>
    <cellStyle name="Normal 7 2 3 2 2 2" xfId="1409" xr:uid="{7A5EE381-C482-47BD-890F-337B6B63B2C4}"/>
    <cellStyle name="Normal 7 2 3 2 3" xfId="1058" xr:uid="{A119C35A-A358-4020-8B58-79F1A34DE954}"/>
    <cellStyle name="Normal 7 2 3 3" xfId="498" xr:uid="{FC33EB89-2E06-4195-B0B5-860BE345FD55}"/>
    <cellStyle name="Normal 7 2 3 3 2" xfId="1199" xr:uid="{FF6D936C-BC93-48EB-A3F1-92CFAC370E12}"/>
    <cellStyle name="Normal 7 2 3 4" xfId="848" xr:uid="{C2DB9DA1-05A2-4393-98B5-14572618987C}"/>
    <cellStyle name="Normal 7 2 4" xfId="217" xr:uid="{00000000-0005-0000-0000-00001E010000}"/>
    <cellStyle name="Normal 7 2 4 2" xfId="568" xr:uid="{7FF440B3-2BC1-4025-876E-D67EC9E45EDF}"/>
    <cellStyle name="Normal 7 2 4 2 2" xfId="1269" xr:uid="{44343B8A-2717-4D5E-B788-6D34177EB646}"/>
    <cellStyle name="Normal 7 2 4 3" xfId="918" xr:uid="{28407C6C-1137-4C96-9A2B-77AD8AA0AD32}"/>
    <cellStyle name="Normal 7 2 5" xfId="287" xr:uid="{00000000-0005-0000-0000-00001F010000}"/>
    <cellStyle name="Normal 7 2 5 2" xfId="638" xr:uid="{BA5C1B08-A32D-4AB2-96A7-32868D97DCB3}"/>
    <cellStyle name="Normal 7 2 5 2 2" xfId="1339" xr:uid="{3EE0B259-2D02-439F-92DA-657770BDB0BB}"/>
    <cellStyle name="Normal 7 2 5 3" xfId="988" xr:uid="{8B7245BD-9DA5-481E-8E95-1B0E3C5A3262}"/>
    <cellStyle name="Normal 7 2 6" xfId="428" xr:uid="{B7AD676A-BF84-46E2-A5B7-9AF254365B55}"/>
    <cellStyle name="Normal 7 2 6 2" xfId="1129" xr:uid="{E452D14C-B7C6-47F1-8374-DCCD1AB4871E}"/>
    <cellStyle name="Normal 7 2 7" xfId="778" xr:uid="{297738DC-AA04-4AFC-B621-7F6717BC8370}"/>
    <cellStyle name="Normal 7 3" xfId="95" xr:uid="{00000000-0005-0000-0000-000020010000}"/>
    <cellStyle name="Normal 7 3 2" xfId="165" xr:uid="{00000000-0005-0000-0000-000021010000}"/>
    <cellStyle name="Normal 7 3 2 2" xfId="376" xr:uid="{00000000-0005-0000-0000-000022010000}"/>
    <cellStyle name="Normal 7 3 2 2 2" xfId="727" xr:uid="{5A1E9CC4-8F14-42F6-84FC-FE895EAD49EE}"/>
    <cellStyle name="Normal 7 3 2 2 2 2" xfId="1428" xr:uid="{B0818C80-958D-488D-B898-F69B96C6A49B}"/>
    <cellStyle name="Normal 7 3 2 2 3" xfId="1077" xr:uid="{7D5AF256-B635-48AF-B03D-CD747861B39D}"/>
    <cellStyle name="Normal 7 3 2 3" xfId="517" xr:uid="{4BA5F0CD-E00D-4FD3-A9DC-7496F2D4E0F9}"/>
    <cellStyle name="Normal 7 3 2 3 2" xfId="1218" xr:uid="{7DBCE54F-09F9-4954-8BBD-CB263D29A557}"/>
    <cellStyle name="Normal 7 3 2 4" xfId="867" xr:uid="{C59D889E-12AA-4946-8D0B-C44301462AC9}"/>
    <cellStyle name="Normal 7 3 3" xfId="236" xr:uid="{00000000-0005-0000-0000-000023010000}"/>
    <cellStyle name="Normal 7 3 3 2" xfId="587" xr:uid="{F544E73E-295D-4F84-80BC-2CBA08C3B2E9}"/>
    <cellStyle name="Normal 7 3 3 2 2" xfId="1288" xr:uid="{2B2FFCFD-E373-4C7F-85DD-E36EA4435A54}"/>
    <cellStyle name="Normal 7 3 3 3" xfId="937" xr:uid="{23640EF7-BBEC-4DAE-9343-B2D57C53D7E0}"/>
    <cellStyle name="Normal 7 3 4" xfId="306" xr:uid="{00000000-0005-0000-0000-000024010000}"/>
    <cellStyle name="Normal 7 3 4 2" xfId="657" xr:uid="{60202E41-3091-4667-B9CD-119606EE57E9}"/>
    <cellStyle name="Normal 7 3 4 2 2" xfId="1358" xr:uid="{2455A3D1-CFE6-4A71-8D61-2592A68C4C4B}"/>
    <cellStyle name="Normal 7 3 4 3" xfId="1007" xr:uid="{B60F2692-8153-47ED-8789-5EF48267B6F5}"/>
    <cellStyle name="Normal 7 3 5" xfId="447" xr:uid="{2543E2AF-A1E9-4A58-82E5-DFC55B8EE96C}"/>
    <cellStyle name="Normal 7 3 5 2" xfId="1148" xr:uid="{97F4F87E-A94D-43A0-A1F0-F6F9119FC14D}"/>
    <cellStyle name="Normal 7 3 6" xfId="797" xr:uid="{682BB9B0-2073-4FDB-9CA6-FEBA8E020719}"/>
    <cellStyle name="Normal 7 4" xfId="130" xr:uid="{00000000-0005-0000-0000-000025010000}"/>
    <cellStyle name="Normal 7 4 2" xfId="341" xr:uid="{00000000-0005-0000-0000-000026010000}"/>
    <cellStyle name="Normal 7 4 2 2" xfId="692" xr:uid="{4CF35BF9-B680-4396-A6A2-0525856BBD80}"/>
    <cellStyle name="Normal 7 4 2 2 2" xfId="1393" xr:uid="{F8C89A10-1855-45AE-AB84-663AA6634830}"/>
    <cellStyle name="Normal 7 4 2 3" xfId="1042" xr:uid="{F2F1FD7F-4A33-4B1B-B8C3-7F18325B3F37}"/>
    <cellStyle name="Normal 7 4 3" xfId="482" xr:uid="{3538CD4B-D54A-4D0C-B49A-F9E031F65AB3}"/>
    <cellStyle name="Normal 7 4 3 2" xfId="1183" xr:uid="{81582811-9905-4538-902E-602027040005}"/>
    <cellStyle name="Normal 7 4 4" xfId="832" xr:uid="{B84E0C3B-F241-4C3E-8E50-D13500C20F4F}"/>
    <cellStyle name="Normal 7 5" xfId="201" xr:uid="{00000000-0005-0000-0000-000027010000}"/>
    <cellStyle name="Normal 7 5 2" xfId="552" xr:uid="{F20CEAD0-CD79-4176-9394-D9636BD90D1E}"/>
    <cellStyle name="Normal 7 5 2 2" xfId="1253" xr:uid="{0D0B0B01-2012-40BE-A9EF-CBCEA21CEF5F}"/>
    <cellStyle name="Normal 7 5 3" xfId="902" xr:uid="{65E0BF37-E11C-4743-83CA-00F489EF785C}"/>
    <cellStyle name="Normal 7 6" xfId="271" xr:uid="{00000000-0005-0000-0000-000028010000}"/>
    <cellStyle name="Normal 7 6 2" xfId="622" xr:uid="{5F359B8D-4D63-4741-8DC6-2EADC31408F1}"/>
    <cellStyle name="Normal 7 6 2 2" xfId="1323" xr:uid="{35B727E3-89A7-43D7-9263-2BEC8B27B74C}"/>
    <cellStyle name="Normal 7 6 3" xfId="972" xr:uid="{FC18CF8E-86B9-495A-AE4C-571350E42B3E}"/>
    <cellStyle name="Normal 7 7" xfId="412" xr:uid="{4F511733-A8CF-43EF-838A-CD444DD6D169}"/>
    <cellStyle name="Normal 7 7 2" xfId="1113" xr:uid="{0899DEAF-648E-42C3-9541-E9052853A097}"/>
    <cellStyle name="Normal 7 8" xfId="762" xr:uid="{5FD01E63-A699-479B-AD0A-7D8EC820F557}"/>
    <cellStyle name="Normal 8" xfId="49" xr:uid="{00000000-0005-0000-0000-000029010000}"/>
    <cellStyle name="Normal 9" xfId="52" xr:uid="{00000000-0005-0000-0000-00002A010000}"/>
    <cellStyle name="Normal 9 2" xfId="81" xr:uid="{00000000-0005-0000-0000-00002B010000}"/>
    <cellStyle name="Normal 9 2 2" xfId="116" xr:uid="{00000000-0005-0000-0000-00002C010000}"/>
    <cellStyle name="Normal 9 2 2 2" xfId="186" xr:uid="{00000000-0005-0000-0000-00002D010000}"/>
    <cellStyle name="Normal 9 2 2 2 2" xfId="397" xr:uid="{00000000-0005-0000-0000-00002E010000}"/>
    <cellStyle name="Normal 9 2 2 2 2 2" xfId="748" xr:uid="{2F1FDF69-85FD-44EB-A8A0-D14D2C013381}"/>
    <cellStyle name="Normal 9 2 2 2 2 2 2" xfId="1449" xr:uid="{C45F1E06-F00E-44A0-87CD-21B24B11626E}"/>
    <cellStyle name="Normal 9 2 2 2 2 3" xfId="1098" xr:uid="{F6D210A7-0F61-4FDE-859F-835266C489F3}"/>
    <cellStyle name="Normal 9 2 2 2 3" xfId="538" xr:uid="{F9377802-8AFD-4414-BBB5-CB9130A6F7F3}"/>
    <cellStyle name="Normal 9 2 2 2 3 2" xfId="1239" xr:uid="{EB81628E-DA98-4E43-AA05-595C757A6402}"/>
    <cellStyle name="Normal 9 2 2 2 4" xfId="888" xr:uid="{B8F3BEC2-A0F2-4496-BC78-C613B2E97B42}"/>
    <cellStyle name="Normal 9 2 2 3" xfId="257" xr:uid="{00000000-0005-0000-0000-00002F010000}"/>
    <cellStyle name="Normal 9 2 2 3 2" xfId="608" xr:uid="{7CBFF2CB-BEEB-42B3-A43D-FDE8DAF30F7A}"/>
    <cellStyle name="Normal 9 2 2 3 2 2" xfId="1309" xr:uid="{5278EC4D-AFC4-44A3-BAEB-1E36E4807CBF}"/>
    <cellStyle name="Normal 9 2 2 3 3" xfId="958" xr:uid="{4255A8A9-D0D5-4EFA-8A64-ACD2CC285A1C}"/>
    <cellStyle name="Normal 9 2 2 4" xfId="327" xr:uid="{00000000-0005-0000-0000-000030010000}"/>
    <cellStyle name="Normal 9 2 2 4 2" xfId="678" xr:uid="{2AE4C44B-93DC-4B60-ABE6-E3129BCB9BF2}"/>
    <cellStyle name="Normal 9 2 2 4 2 2" xfId="1379" xr:uid="{62DB40B3-6DF8-47E6-B92A-A2D64D34EED8}"/>
    <cellStyle name="Normal 9 2 2 4 3" xfId="1028" xr:uid="{D1CA103E-9C28-4889-A7DC-AA60F1A60B0F}"/>
    <cellStyle name="Normal 9 2 2 5" xfId="468" xr:uid="{9B661591-39DF-4282-9906-8DD49729E420}"/>
    <cellStyle name="Normal 9 2 2 5 2" xfId="1169" xr:uid="{30B4A957-4B91-494C-8500-342AD2462CAD}"/>
    <cellStyle name="Normal 9 2 2 6" xfId="818" xr:uid="{F4F6E993-6173-4152-B75C-C0EBE5C0C7C3}"/>
    <cellStyle name="Normal 9 2 3" xfId="151" xr:uid="{00000000-0005-0000-0000-000031010000}"/>
    <cellStyle name="Normal 9 2 3 2" xfId="362" xr:uid="{00000000-0005-0000-0000-000032010000}"/>
    <cellStyle name="Normal 9 2 3 2 2" xfId="713" xr:uid="{60AFD55F-D911-4A13-B48C-82869B9C972F}"/>
    <cellStyle name="Normal 9 2 3 2 2 2" xfId="1414" xr:uid="{DD27164C-4A4C-46FC-8481-39E963734DBA}"/>
    <cellStyle name="Normal 9 2 3 2 3" xfId="1063" xr:uid="{67D4A40E-088D-4461-BC02-E850823F9328}"/>
    <cellStyle name="Normal 9 2 3 3" xfId="503" xr:uid="{66314985-E603-4A2E-9B98-021D1EBCA8F1}"/>
    <cellStyle name="Normal 9 2 3 3 2" xfId="1204" xr:uid="{92F7460C-DB9E-42B4-9171-5DDC83BEFD9E}"/>
    <cellStyle name="Normal 9 2 3 4" xfId="853" xr:uid="{0EB7CA98-BF34-4703-BEED-BB6BB0BB0879}"/>
    <cellStyle name="Normal 9 2 4" xfId="222" xr:uid="{00000000-0005-0000-0000-000033010000}"/>
    <cellStyle name="Normal 9 2 4 2" xfId="573" xr:uid="{A794E7AD-6E79-443C-863B-49C7CF7BE495}"/>
    <cellStyle name="Normal 9 2 4 2 2" xfId="1274" xr:uid="{AF8F217F-0F90-4048-B89C-ED9207071815}"/>
    <cellStyle name="Normal 9 2 4 3" xfId="923" xr:uid="{5FC7269E-5A03-46DE-86CD-0B561E03B387}"/>
    <cellStyle name="Normal 9 2 5" xfId="292" xr:uid="{00000000-0005-0000-0000-000034010000}"/>
    <cellStyle name="Normal 9 2 5 2" xfId="643" xr:uid="{87D6BB61-C617-4A96-8801-2CE50787BEF8}"/>
    <cellStyle name="Normal 9 2 5 2 2" xfId="1344" xr:uid="{FD040DB6-8862-47D0-A130-5A4CAD779F7C}"/>
    <cellStyle name="Normal 9 2 5 3" xfId="993" xr:uid="{AB3098C4-6A58-4E9A-8D6D-10BCA05409CD}"/>
    <cellStyle name="Normal 9 2 6" xfId="433" xr:uid="{A92A985C-FC0B-44CD-A5E2-BEDD0A5C05F0}"/>
    <cellStyle name="Normal 9 2 6 2" xfId="1134" xr:uid="{A33DA3FA-AAD6-425D-9BF7-F18B3984D369}"/>
    <cellStyle name="Normal 9 2 7" xfId="783" xr:uid="{8B39697B-4071-4D28-9342-2E91E8917007}"/>
    <cellStyle name="Normal 9 3" xfId="100" xr:uid="{00000000-0005-0000-0000-000035010000}"/>
    <cellStyle name="Normal 9 3 2" xfId="170" xr:uid="{00000000-0005-0000-0000-000036010000}"/>
    <cellStyle name="Normal 9 3 2 2" xfId="381" xr:uid="{00000000-0005-0000-0000-000037010000}"/>
    <cellStyle name="Normal 9 3 2 2 2" xfId="732" xr:uid="{87E21FDF-02A5-40C0-A2E5-278FD8B1ECB3}"/>
    <cellStyle name="Normal 9 3 2 2 2 2" xfId="1433" xr:uid="{90AC9CC0-94D4-431A-912A-8C72C3305275}"/>
    <cellStyle name="Normal 9 3 2 2 3" xfId="1082" xr:uid="{58A2AEEE-DF0F-486A-9F52-5A0A8D92F8B0}"/>
    <cellStyle name="Normal 9 3 2 3" xfId="522" xr:uid="{1DE2D8A3-31DC-4FA2-A05C-994D122FE906}"/>
    <cellStyle name="Normal 9 3 2 3 2" xfId="1223" xr:uid="{A6800E5A-53BC-4658-A8F5-7CCED228F972}"/>
    <cellStyle name="Normal 9 3 2 4" xfId="872" xr:uid="{D3F2520F-FAB3-404B-8F8C-62DAE8B41143}"/>
    <cellStyle name="Normal 9 3 3" xfId="241" xr:uid="{00000000-0005-0000-0000-000038010000}"/>
    <cellStyle name="Normal 9 3 3 2" xfId="592" xr:uid="{AFFEDAF2-B0DF-47E9-AAC0-94B328532844}"/>
    <cellStyle name="Normal 9 3 3 2 2" xfId="1293" xr:uid="{CCC4F653-5FDF-4644-B2E4-5F1696BB8479}"/>
    <cellStyle name="Normal 9 3 3 3" xfId="942" xr:uid="{17643466-6808-4058-9D45-43BBC673B579}"/>
    <cellStyle name="Normal 9 3 4" xfId="311" xr:uid="{00000000-0005-0000-0000-000039010000}"/>
    <cellStyle name="Normal 9 3 4 2" xfId="662" xr:uid="{5A7DEB56-CE70-4CC2-BF4A-4631DB87BF3C}"/>
    <cellStyle name="Normal 9 3 4 2 2" xfId="1363" xr:uid="{3E023FF9-724E-469E-B5DE-8A74D704C382}"/>
    <cellStyle name="Normal 9 3 4 3" xfId="1012" xr:uid="{F103F9FA-2D21-4BF9-AE24-524DF2A6AB49}"/>
    <cellStyle name="Normal 9 3 5" xfId="452" xr:uid="{C323DE8F-87C7-4A21-96B8-7F95DF765693}"/>
    <cellStyle name="Normal 9 3 5 2" xfId="1153" xr:uid="{4CC8FE78-6FEE-41D1-A053-FAB2C848A733}"/>
    <cellStyle name="Normal 9 3 6" xfId="802" xr:uid="{44BA923E-1EC6-4EED-9CBF-AFB7DF295D7E}"/>
    <cellStyle name="Normal 9 4" xfId="135" xr:uid="{00000000-0005-0000-0000-00003A010000}"/>
    <cellStyle name="Normal 9 4 2" xfId="346" xr:uid="{00000000-0005-0000-0000-00003B010000}"/>
    <cellStyle name="Normal 9 4 2 2" xfId="697" xr:uid="{FCE34827-1C59-41BF-9148-E899F6E2E572}"/>
    <cellStyle name="Normal 9 4 2 2 2" xfId="1398" xr:uid="{57210A2C-E302-47C1-8D97-1A78C055620B}"/>
    <cellStyle name="Normal 9 4 2 3" xfId="1047" xr:uid="{CD136959-F177-4825-B782-6FB2278DDE09}"/>
    <cellStyle name="Normal 9 4 3" xfId="487" xr:uid="{2FAD9305-A4D9-42C8-B0B7-B53DC43EE13A}"/>
    <cellStyle name="Normal 9 4 3 2" xfId="1188" xr:uid="{E00FE257-BD6B-4E42-83F0-526DEBDF9F1B}"/>
    <cellStyle name="Normal 9 4 4" xfId="837" xr:uid="{EC9D033F-4FA9-4FB6-9AB3-900051C3D355}"/>
    <cellStyle name="Normal 9 5" xfId="206" xr:uid="{00000000-0005-0000-0000-00003C010000}"/>
    <cellStyle name="Normal 9 5 2" xfId="557" xr:uid="{302D6DC3-C0D1-444A-8081-3D526E6BA2EA}"/>
    <cellStyle name="Normal 9 5 2 2" xfId="1258" xr:uid="{EBF6809B-389F-445B-8A86-671F5BEDB52F}"/>
    <cellStyle name="Normal 9 5 3" xfId="907" xr:uid="{CC6E6751-D124-44DD-8EC3-EF10BD5B182C}"/>
    <cellStyle name="Normal 9 6" xfId="276" xr:uid="{00000000-0005-0000-0000-00003D010000}"/>
    <cellStyle name="Normal 9 6 2" xfId="627" xr:uid="{ABCDB98B-40A0-4538-840A-B25886FF7E88}"/>
    <cellStyle name="Normal 9 6 2 2" xfId="1328" xr:uid="{00BA8C31-ED35-4065-B568-51E78BBF54FD}"/>
    <cellStyle name="Normal 9 6 3" xfId="977" xr:uid="{4A828FDD-4D6E-461B-B9F4-AA8AA258D81D}"/>
    <cellStyle name="Normal 9 7" xfId="417" xr:uid="{BBEE8FBC-64AA-4ACD-9042-7AE7AC5A3E8C}"/>
    <cellStyle name="Normal 9 7 2" xfId="1118" xr:uid="{4729EB48-257B-4DCD-9B2B-6822C47CB3A6}"/>
    <cellStyle name="Normal 9 8" xfId="767" xr:uid="{C91F2157-1F79-47B5-842E-FA2279C9F292}"/>
    <cellStyle name="Normal_Construction" xfId="25" xr:uid="{00000000-0005-0000-0000-00003E010000}"/>
    <cellStyle name="Normal_LIHTC Data" xfId="26" xr:uid="{00000000-0005-0000-0000-00003F010000}"/>
    <cellStyle name="Normal_M2M Underwriting Rev 4 3-13-02 Training Copy" xfId="27" xr:uid="{00000000-0005-0000-0000-000040010000}"/>
    <cellStyle name="Normal_Proforma" xfId="28" xr:uid="{00000000-0005-0000-0000-000041010000}"/>
    <cellStyle name="Normal_sheet1_1" xfId="29" xr:uid="{00000000-0005-0000-0000-000042010000}"/>
    <cellStyle name="Normal_sheet1_1 2" xfId="30" xr:uid="{00000000-0005-0000-0000-000043010000}"/>
    <cellStyle name="Normal_sheet1_1 2 2" xfId="197" xr:uid="{00000000-0005-0000-0000-000044010000}"/>
    <cellStyle name="Normal_Sheet3" xfId="31" xr:uid="{00000000-0005-0000-0000-000045010000}"/>
    <cellStyle name="Normal_Source Schedule_1" xfId="32" xr:uid="{00000000-0005-0000-0000-000046010000}"/>
    <cellStyle name="Normal_Table1" xfId="33" xr:uid="{00000000-0005-0000-0000-000047010000}"/>
    <cellStyle name="Normal_Table1 2" xfId="34" xr:uid="{00000000-0005-0000-0000-000048010000}"/>
    <cellStyle name="Normal_Tables" xfId="35" xr:uid="{00000000-0005-0000-0000-000049010000}"/>
    <cellStyle name="Percent" xfId="36" builtinId="5"/>
    <cellStyle name="Percent 2" xfId="37" xr:uid="{00000000-0005-0000-0000-00004B010000}"/>
    <cellStyle name="Percent 2 2" xfId="70" xr:uid="{00000000-0005-0000-0000-00004C010000}"/>
    <cellStyle name="Percent 3" xfId="38" xr:uid="{00000000-0005-0000-0000-00004D010000}"/>
    <cellStyle name="Percent 3 2" xfId="71" xr:uid="{00000000-0005-0000-0000-00004E010000}"/>
    <cellStyle name="Percent 4" xfId="39" xr:uid="{00000000-0005-0000-0000-00004F010000}"/>
    <cellStyle name="Percent 4 2" xfId="72" xr:uid="{00000000-0005-0000-0000-000050010000}"/>
    <cellStyle name="Percent 5" xfId="40" xr:uid="{00000000-0005-0000-0000-000051010000}"/>
    <cellStyle name="Percent 6" xfId="48" xr:uid="{00000000-0005-0000-0000-000052010000}"/>
    <cellStyle name="Percent 6 2" xfId="78" xr:uid="{00000000-0005-0000-0000-000053010000}"/>
    <cellStyle name="Percent 6 2 2" xfId="113" xr:uid="{00000000-0005-0000-0000-000054010000}"/>
    <cellStyle name="Percent 6 2 2 2" xfId="183" xr:uid="{00000000-0005-0000-0000-000055010000}"/>
    <cellStyle name="Percent 6 2 2 2 2" xfId="394" xr:uid="{00000000-0005-0000-0000-000056010000}"/>
    <cellStyle name="Percent 6 2 2 2 2 2" xfId="745" xr:uid="{E845DF06-AB6A-4308-9EF0-EB75208DD898}"/>
    <cellStyle name="Percent 6 2 2 2 2 2 2" xfId="1446" xr:uid="{9D8F7250-C331-4B91-94C3-59F0F2797109}"/>
    <cellStyle name="Percent 6 2 2 2 2 3" xfId="1095" xr:uid="{66197CD1-FD3F-4831-BB10-D1E9AD7DA0F4}"/>
    <cellStyle name="Percent 6 2 2 2 3" xfId="535" xr:uid="{BE94F692-9C23-473D-AA30-FF775B9FC235}"/>
    <cellStyle name="Percent 6 2 2 2 3 2" xfId="1236" xr:uid="{6C47AACB-C5E2-4ADB-9588-B906CF0B263C}"/>
    <cellStyle name="Percent 6 2 2 2 4" xfId="885" xr:uid="{7EF9F68C-35DA-46AF-B5F6-8A7CDB7459CA}"/>
    <cellStyle name="Percent 6 2 2 3" xfId="254" xr:uid="{00000000-0005-0000-0000-000057010000}"/>
    <cellStyle name="Percent 6 2 2 3 2" xfId="605" xr:uid="{6EA1B95F-82CF-40B6-895D-4ACCE664A894}"/>
    <cellStyle name="Percent 6 2 2 3 2 2" xfId="1306" xr:uid="{B6917305-A988-42DE-A1E8-170F7D61A64A}"/>
    <cellStyle name="Percent 6 2 2 3 3" xfId="955" xr:uid="{CDCE5149-F3B6-4531-B311-2BB7B5760298}"/>
    <cellStyle name="Percent 6 2 2 4" xfId="324" xr:uid="{00000000-0005-0000-0000-000058010000}"/>
    <cellStyle name="Percent 6 2 2 4 2" xfId="675" xr:uid="{CF805D8E-5AA9-4D20-B99C-8D5B53DE40FA}"/>
    <cellStyle name="Percent 6 2 2 4 2 2" xfId="1376" xr:uid="{A46CA456-C714-4438-8154-94B484882A14}"/>
    <cellStyle name="Percent 6 2 2 4 3" xfId="1025" xr:uid="{210A6571-EE6F-4BED-8BFA-A10E701845DA}"/>
    <cellStyle name="Percent 6 2 2 5" xfId="465" xr:uid="{2CB4FCDD-16E1-4897-89D5-161B085F2E2A}"/>
    <cellStyle name="Percent 6 2 2 5 2" xfId="1166" xr:uid="{95E3AFBD-4558-46AC-A1C6-356721E79A73}"/>
    <cellStyle name="Percent 6 2 2 6" xfId="815" xr:uid="{F66B69AD-FDD4-4FF4-A4CB-5C6894C14768}"/>
    <cellStyle name="Percent 6 2 3" xfId="148" xr:uid="{00000000-0005-0000-0000-000059010000}"/>
    <cellStyle name="Percent 6 2 3 2" xfId="359" xr:uid="{00000000-0005-0000-0000-00005A010000}"/>
    <cellStyle name="Percent 6 2 3 2 2" xfId="710" xr:uid="{52518B86-7EF5-4144-B788-7CBE0653DFFF}"/>
    <cellStyle name="Percent 6 2 3 2 2 2" xfId="1411" xr:uid="{97FF6030-9777-49B5-8DE6-037B521B8F02}"/>
    <cellStyle name="Percent 6 2 3 2 3" xfId="1060" xr:uid="{F4D591DC-7D11-47BB-B6BD-45DBC4109943}"/>
    <cellStyle name="Percent 6 2 3 3" xfId="500" xr:uid="{16D07361-1878-4421-9AF0-9A5EF4CFEC72}"/>
    <cellStyle name="Percent 6 2 3 3 2" xfId="1201" xr:uid="{9ADFD03E-AA8E-49AB-AAF1-98398419C884}"/>
    <cellStyle name="Percent 6 2 3 4" xfId="850" xr:uid="{AF38BACE-EA77-4BE5-A9BC-F76E71EE224B}"/>
    <cellStyle name="Percent 6 2 4" xfId="219" xr:uid="{00000000-0005-0000-0000-00005B010000}"/>
    <cellStyle name="Percent 6 2 4 2" xfId="570" xr:uid="{F1E6FE8B-2E6E-4A0D-9740-7A24F6DB8949}"/>
    <cellStyle name="Percent 6 2 4 2 2" xfId="1271" xr:uid="{EC5BFC2F-1FB0-4781-9E00-C49A6471611E}"/>
    <cellStyle name="Percent 6 2 4 3" xfId="920" xr:uid="{51073215-DC75-4990-A242-EE2F88815820}"/>
    <cellStyle name="Percent 6 2 5" xfId="289" xr:uid="{00000000-0005-0000-0000-00005C010000}"/>
    <cellStyle name="Percent 6 2 5 2" xfId="640" xr:uid="{2BA3D235-23A5-41E6-97FF-49214B5CB019}"/>
    <cellStyle name="Percent 6 2 5 2 2" xfId="1341" xr:uid="{E857058F-7130-4D97-9C00-8AA702F9ABBC}"/>
    <cellStyle name="Percent 6 2 5 3" xfId="990" xr:uid="{7AD22A6C-A0C0-49A2-BE1B-F562C9E64BB9}"/>
    <cellStyle name="Percent 6 2 6" xfId="430" xr:uid="{949DEEFC-53F0-4FF2-BEBB-BCB23B1F8C53}"/>
    <cellStyle name="Percent 6 2 6 2" xfId="1131" xr:uid="{F3AAEEBD-1482-4091-9BD1-19CD669AD6E2}"/>
    <cellStyle name="Percent 6 2 7" xfId="780" xr:uid="{13FADCCC-104C-49D1-84DE-4E986CBEC811}"/>
    <cellStyle name="Percent 6 3" xfId="97" xr:uid="{00000000-0005-0000-0000-00005D010000}"/>
    <cellStyle name="Percent 6 3 2" xfId="167" xr:uid="{00000000-0005-0000-0000-00005E010000}"/>
    <cellStyle name="Percent 6 3 2 2" xfId="378" xr:uid="{00000000-0005-0000-0000-00005F010000}"/>
    <cellStyle name="Percent 6 3 2 2 2" xfId="729" xr:uid="{F73F101A-23E3-4AE7-9531-9F628A8CE8F1}"/>
    <cellStyle name="Percent 6 3 2 2 2 2" xfId="1430" xr:uid="{4CEFD673-20E3-4F80-802C-A927472F1B86}"/>
    <cellStyle name="Percent 6 3 2 2 3" xfId="1079" xr:uid="{4ECFC38B-3BB4-4A92-BFAD-BAF98A2B1D7B}"/>
    <cellStyle name="Percent 6 3 2 3" xfId="519" xr:uid="{26AAB43E-67AC-48E4-8ABB-04341BF016FB}"/>
    <cellStyle name="Percent 6 3 2 3 2" xfId="1220" xr:uid="{3A783EAF-26D2-4E3A-874E-98DDBC548B0F}"/>
    <cellStyle name="Percent 6 3 2 4" xfId="869" xr:uid="{1644B14B-FC0C-4961-B2B0-6FB8416794B0}"/>
    <cellStyle name="Percent 6 3 3" xfId="238" xr:uid="{00000000-0005-0000-0000-000060010000}"/>
    <cellStyle name="Percent 6 3 3 2" xfId="589" xr:uid="{09A7A8F4-3F0F-4D15-9A86-EF0A352BE9C5}"/>
    <cellStyle name="Percent 6 3 3 2 2" xfId="1290" xr:uid="{0DF1D2A0-DAA5-419C-97B0-2ED23865F2FE}"/>
    <cellStyle name="Percent 6 3 3 3" xfId="939" xr:uid="{AAE98B22-0876-4EDB-A423-AA85C2818E38}"/>
    <cellStyle name="Percent 6 3 4" xfId="308" xr:uid="{00000000-0005-0000-0000-000061010000}"/>
    <cellStyle name="Percent 6 3 4 2" xfId="659" xr:uid="{66751FD0-A4ED-4046-A29F-FDDD45427DD5}"/>
    <cellStyle name="Percent 6 3 4 2 2" xfId="1360" xr:uid="{7A22A868-A197-4A71-8302-EC1EB5A10E2C}"/>
    <cellStyle name="Percent 6 3 4 3" xfId="1009" xr:uid="{574B7520-E3BE-4DD5-918C-A1A8B0C841BC}"/>
    <cellStyle name="Percent 6 3 5" xfId="449" xr:uid="{1EC5F754-A81C-4891-A39F-AA4F609727AA}"/>
    <cellStyle name="Percent 6 3 5 2" xfId="1150" xr:uid="{739D888D-12CE-4E4E-9CCC-99C4BB6F5763}"/>
    <cellStyle name="Percent 6 3 6" xfId="799" xr:uid="{ACE17A33-2134-48C9-99DA-97ED45766D67}"/>
    <cellStyle name="Percent 6 4" xfId="132" xr:uid="{00000000-0005-0000-0000-000062010000}"/>
    <cellStyle name="Percent 6 4 2" xfId="343" xr:uid="{00000000-0005-0000-0000-000063010000}"/>
    <cellStyle name="Percent 6 4 2 2" xfId="694" xr:uid="{7494BDC7-F7BB-497E-B5D4-804902F07278}"/>
    <cellStyle name="Percent 6 4 2 2 2" xfId="1395" xr:uid="{A5FE9B9F-F0E6-4CEF-8340-961D9D58C78F}"/>
    <cellStyle name="Percent 6 4 2 3" xfId="1044" xr:uid="{BEAAC90D-3E3A-4960-B625-34EE9F65B2DC}"/>
    <cellStyle name="Percent 6 4 3" xfId="484" xr:uid="{C8EC1BCE-6BCA-4902-9C9D-07A7ECAD34A7}"/>
    <cellStyle name="Percent 6 4 3 2" xfId="1185" xr:uid="{C51B36AE-2C49-47F2-AAD1-C5395D1C4FEC}"/>
    <cellStyle name="Percent 6 4 4" xfId="834" xr:uid="{4E809CEA-E5AD-408F-BD9D-D83454894671}"/>
    <cellStyle name="Percent 6 5" xfId="203" xr:uid="{00000000-0005-0000-0000-000064010000}"/>
    <cellStyle name="Percent 6 5 2" xfId="554" xr:uid="{82CC0756-3224-4F81-9F58-1BC91E35594D}"/>
    <cellStyle name="Percent 6 5 2 2" xfId="1255" xr:uid="{0DED2150-72D3-4018-BB0B-5FACE738872E}"/>
    <cellStyle name="Percent 6 5 3" xfId="904" xr:uid="{F54A8E06-208D-424B-A69E-DF902CE5D55F}"/>
    <cellStyle name="Percent 6 6" xfId="273" xr:uid="{00000000-0005-0000-0000-000065010000}"/>
    <cellStyle name="Percent 6 6 2" xfId="624" xr:uid="{9DA505F8-AA61-4916-8A1E-423664E90193}"/>
    <cellStyle name="Percent 6 6 2 2" xfId="1325" xr:uid="{F19D6076-845C-4298-AF19-58D629C8AC01}"/>
    <cellStyle name="Percent 6 6 3" xfId="974" xr:uid="{01DE0C2A-822B-4D84-939A-7D85E4B04DB6}"/>
    <cellStyle name="Percent 6 7" xfId="414" xr:uid="{5F6064A4-42C7-4081-AF93-BF650FD6029A}"/>
    <cellStyle name="Percent 6 7 2" xfId="1115" xr:uid="{EF803E9C-EC8F-4B74-B55C-4D28B4C5CC96}"/>
    <cellStyle name="Percent 6 8" xfId="764" xr:uid="{5CF9E511-FBED-489B-BD2A-DFCD87AF13ED}"/>
    <cellStyle name="Percent 7" xfId="50" xr:uid="{00000000-0005-0000-0000-000066010000}"/>
    <cellStyle name="Percent 7 2" xfId="79" xr:uid="{00000000-0005-0000-0000-000067010000}"/>
    <cellStyle name="Percent 7 2 2" xfId="114" xr:uid="{00000000-0005-0000-0000-000068010000}"/>
    <cellStyle name="Percent 7 2 2 2" xfId="184" xr:uid="{00000000-0005-0000-0000-000069010000}"/>
    <cellStyle name="Percent 7 2 2 2 2" xfId="395" xr:uid="{00000000-0005-0000-0000-00006A010000}"/>
    <cellStyle name="Percent 7 2 2 2 2 2" xfId="746" xr:uid="{25416CCB-321C-4361-87B1-8163766D7FBE}"/>
    <cellStyle name="Percent 7 2 2 2 2 2 2" xfId="1447" xr:uid="{E435972C-A7E8-449A-AA35-EF8BF18EC7AA}"/>
    <cellStyle name="Percent 7 2 2 2 2 3" xfId="1096" xr:uid="{B8FDCA1F-C542-42EA-B66E-88D538FA2DA4}"/>
    <cellStyle name="Percent 7 2 2 2 3" xfId="536" xr:uid="{115E39FA-3792-4F2A-8B8E-D61240B3F8B0}"/>
    <cellStyle name="Percent 7 2 2 2 3 2" xfId="1237" xr:uid="{6963A8FE-D1A8-4BB7-8A07-1E5C30251939}"/>
    <cellStyle name="Percent 7 2 2 2 4" xfId="886" xr:uid="{B920B87C-F9F9-420B-8140-E3D0072647D1}"/>
    <cellStyle name="Percent 7 2 2 3" xfId="255" xr:uid="{00000000-0005-0000-0000-00006B010000}"/>
    <cellStyle name="Percent 7 2 2 3 2" xfId="606" xr:uid="{2E72092B-103C-4BE0-BAE9-3477587CA22E}"/>
    <cellStyle name="Percent 7 2 2 3 2 2" xfId="1307" xr:uid="{2F5CEDDC-80A6-4E17-82FD-5E1D9DF377C3}"/>
    <cellStyle name="Percent 7 2 2 3 3" xfId="956" xr:uid="{AA25B652-B5C0-4046-BBC5-F128CAC41F2E}"/>
    <cellStyle name="Percent 7 2 2 4" xfId="325" xr:uid="{00000000-0005-0000-0000-00006C010000}"/>
    <cellStyle name="Percent 7 2 2 4 2" xfId="676" xr:uid="{3C264299-6FEA-41F3-8331-8561E279FDBE}"/>
    <cellStyle name="Percent 7 2 2 4 2 2" xfId="1377" xr:uid="{ACB303AE-65DF-46A6-9464-DDE7E0E94145}"/>
    <cellStyle name="Percent 7 2 2 4 3" xfId="1026" xr:uid="{3B46C61A-E4A3-4FE7-8A13-23B01059948F}"/>
    <cellStyle name="Percent 7 2 2 5" xfId="466" xr:uid="{2BF389A9-F78D-4D4C-B10A-DB4F51DBA3EA}"/>
    <cellStyle name="Percent 7 2 2 5 2" xfId="1167" xr:uid="{9FD8D0A4-7813-4D52-AD3A-801B5F167B43}"/>
    <cellStyle name="Percent 7 2 2 6" xfId="816" xr:uid="{A0CC9843-3B36-44E0-9EBA-44D9BA98D397}"/>
    <cellStyle name="Percent 7 2 3" xfId="149" xr:uid="{00000000-0005-0000-0000-00006D010000}"/>
    <cellStyle name="Percent 7 2 3 2" xfId="360" xr:uid="{00000000-0005-0000-0000-00006E010000}"/>
    <cellStyle name="Percent 7 2 3 2 2" xfId="711" xr:uid="{0D5E9B80-AE81-4675-B2C9-5FE5D393AC41}"/>
    <cellStyle name="Percent 7 2 3 2 2 2" xfId="1412" xr:uid="{010E9CC4-E741-46BF-8FDD-C30338D1DC3D}"/>
    <cellStyle name="Percent 7 2 3 2 3" xfId="1061" xr:uid="{CA437717-93E4-4953-A70A-C7D4127E2F19}"/>
    <cellStyle name="Percent 7 2 3 3" xfId="501" xr:uid="{9C418E02-9E37-4A21-9CA1-A7BB945FA752}"/>
    <cellStyle name="Percent 7 2 3 3 2" xfId="1202" xr:uid="{9A18027D-3F25-4DD5-8402-E459958085B7}"/>
    <cellStyle name="Percent 7 2 3 4" xfId="851" xr:uid="{CDF89F18-1B5C-45D2-B185-2CF31C64B772}"/>
    <cellStyle name="Percent 7 2 4" xfId="220" xr:uid="{00000000-0005-0000-0000-00006F010000}"/>
    <cellStyle name="Percent 7 2 4 2" xfId="571" xr:uid="{AC9AD706-F7C3-48DE-9140-D00E6FE40B53}"/>
    <cellStyle name="Percent 7 2 4 2 2" xfId="1272" xr:uid="{6070E62D-CCBA-4742-9CAA-C495CCF0A6F7}"/>
    <cellStyle name="Percent 7 2 4 3" xfId="921" xr:uid="{4C483A0A-2836-45B5-88A3-FCA2287362D3}"/>
    <cellStyle name="Percent 7 2 5" xfId="290" xr:uid="{00000000-0005-0000-0000-000070010000}"/>
    <cellStyle name="Percent 7 2 5 2" xfId="641" xr:uid="{16757445-9C16-48D0-A4D7-286EB24BEF5B}"/>
    <cellStyle name="Percent 7 2 5 2 2" xfId="1342" xr:uid="{98FEAB76-F286-4720-90C6-2B49EDEFEB82}"/>
    <cellStyle name="Percent 7 2 5 3" xfId="991" xr:uid="{C63B43E0-908D-4AFA-8635-F0D40C67627C}"/>
    <cellStyle name="Percent 7 2 6" xfId="431" xr:uid="{3E651661-DBA5-4512-97E1-A5094E9A12AC}"/>
    <cellStyle name="Percent 7 2 6 2" xfId="1132" xr:uid="{85D8AB24-8DD5-4518-95A3-39027ACB232E}"/>
    <cellStyle name="Percent 7 2 7" xfId="781" xr:uid="{9A52BD60-2996-41E5-9DF5-277596D446C9}"/>
    <cellStyle name="Percent 7 3" xfId="98" xr:uid="{00000000-0005-0000-0000-000071010000}"/>
    <cellStyle name="Percent 7 3 2" xfId="168" xr:uid="{00000000-0005-0000-0000-000072010000}"/>
    <cellStyle name="Percent 7 3 2 2" xfId="379" xr:uid="{00000000-0005-0000-0000-000073010000}"/>
    <cellStyle name="Percent 7 3 2 2 2" xfId="730" xr:uid="{CB84A9D7-F190-4B4B-9D4E-411CD81ABEFE}"/>
    <cellStyle name="Percent 7 3 2 2 2 2" xfId="1431" xr:uid="{30B7C94F-E380-4831-A58B-10AFFF4EDB58}"/>
    <cellStyle name="Percent 7 3 2 2 3" xfId="1080" xr:uid="{68F9DA92-D16E-461D-8D66-2BB87672E43A}"/>
    <cellStyle name="Percent 7 3 2 3" xfId="520" xr:uid="{EBF632FC-F0CF-4483-8FA7-1396974B7E06}"/>
    <cellStyle name="Percent 7 3 2 3 2" xfId="1221" xr:uid="{6D842870-A981-47CE-AA59-1F3435514548}"/>
    <cellStyle name="Percent 7 3 2 4" xfId="870" xr:uid="{AA25C435-1681-4E00-B50E-D49A6B9DF6C4}"/>
    <cellStyle name="Percent 7 3 3" xfId="239" xr:uid="{00000000-0005-0000-0000-000074010000}"/>
    <cellStyle name="Percent 7 3 3 2" xfId="590" xr:uid="{006E35CB-44CC-413D-BE20-82EC6085E86B}"/>
    <cellStyle name="Percent 7 3 3 2 2" xfId="1291" xr:uid="{209359EF-A19C-41A5-97ED-029519931792}"/>
    <cellStyle name="Percent 7 3 3 3" xfId="940" xr:uid="{65E16BCB-4BBD-4D68-BB73-738ED80F1056}"/>
    <cellStyle name="Percent 7 3 4" xfId="309" xr:uid="{00000000-0005-0000-0000-000075010000}"/>
    <cellStyle name="Percent 7 3 4 2" xfId="660" xr:uid="{AD38B326-5581-4937-8A75-853E183E8926}"/>
    <cellStyle name="Percent 7 3 4 2 2" xfId="1361" xr:uid="{5D36E3F6-327A-43E6-81DA-545803ABD0E0}"/>
    <cellStyle name="Percent 7 3 4 3" xfId="1010" xr:uid="{6FE54806-7147-4A66-8CE5-6DF38198C7E9}"/>
    <cellStyle name="Percent 7 3 5" xfId="450" xr:uid="{5D3443BB-664F-4781-AB3B-584FEF3BA9B4}"/>
    <cellStyle name="Percent 7 3 5 2" xfId="1151" xr:uid="{04FDAD2D-DBF1-4C83-A0EA-EC2C40E070FA}"/>
    <cellStyle name="Percent 7 3 6" xfId="800" xr:uid="{F64956B9-BFF1-44BB-9958-48516D1D3782}"/>
    <cellStyle name="Percent 7 4" xfId="133" xr:uid="{00000000-0005-0000-0000-000076010000}"/>
    <cellStyle name="Percent 7 4 2" xfId="344" xr:uid="{00000000-0005-0000-0000-000077010000}"/>
    <cellStyle name="Percent 7 4 2 2" xfId="695" xr:uid="{4E432EB7-3CAA-4B43-B075-F1F7F3F5C715}"/>
    <cellStyle name="Percent 7 4 2 2 2" xfId="1396" xr:uid="{0177A828-8CD7-40D3-99DD-576104637D5C}"/>
    <cellStyle name="Percent 7 4 2 3" xfId="1045" xr:uid="{A85DD3C0-A7EC-4750-B48F-3D23973DA5FF}"/>
    <cellStyle name="Percent 7 4 3" xfId="485" xr:uid="{E11C245D-5DB8-484C-A12F-99C30454B806}"/>
    <cellStyle name="Percent 7 4 3 2" xfId="1186" xr:uid="{A2159311-918E-4E24-92ED-E8481DF93528}"/>
    <cellStyle name="Percent 7 4 4" xfId="835" xr:uid="{7A00A7BF-DE8F-4FAF-B9A6-450911B249F2}"/>
    <cellStyle name="Percent 7 5" xfId="204" xr:uid="{00000000-0005-0000-0000-000078010000}"/>
    <cellStyle name="Percent 7 5 2" xfId="555" xr:uid="{6298E26E-8EE0-4016-B3C2-877CDCCD2E89}"/>
    <cellStyle name="Percent 7 5 2 2" xfId="1256" xr:uid="{80D98E80-5A53-4970-986A-735CAE77A92F}"/>
    <cellStyle name="Percent 7 5 3" xfId="905" xr:uid="{3FB59E00-0420-45E9-9806-9C1F71A5965C}"/>
    <cellStyle name="Percent 7 6" xfId="274" xr:uid="{00000000-0005-0000-0000-000079010000}"/>
    <cellStyle name="Percent 7 6 2" xfId="625" xr:uid="{40430B52-7D98-4E3C-9557-39C68BB7C5F3}"/>
    <cellStyle name="Percent 7 6 2 2" xfId="1326" xr:uid="{3D68740C-A7A8-4E4D-A66F-186AB7A627CB}"/>
    <cellStyle name="Percent 7 6 3" xfId="975" xr:uid="{1362A7F3-E009-4EF3-A316-D87EBC49BF60}"/>
    <cellStyle name="Percent 7 7" xfId="415" xr:uid="{B6490A50-9032-4C29-A488-6E9500CD379B}"/>
    <cellStyle name="Percent 7 7 2" xfId="1116" xr:uid="{BF577FFA-2A39-44F8-B6E7-972BEC03DA2B}"/>
    <cellStyle name="Percent 7 8" xfId="765" xr:uid="{B81703FB-65E0-457D-85A3-34CA9B24DCBA}"/>
    <cellStyle name="Percent 8" xfId="55" xr:uid="{00000000-0005-0000-0000-00007A010000}"/>
    <cellStyle name="Percent 8 2" xfId="84" xr:uid="{00000000-0005-0000-0000-00007B010000}"/>
    <cellStyle name="Percent 8 2 2" xfId="119" xr:uid="{00000000-0005-0000-0000-00007C010000}"/>
    <cellStyle name="Percent 8 2 2 2" xfId="189" xr:uid="{00000000-0005-0000-0000-00007D010000}"/>
    <cellStyle name="Percent 8 2 2 2 2" xfId="400" xr:uid="{00000000-0005-0000-0000-00007E010000}"/>
    <cellStyle name="Percent 8 2 2 2 2 2" xfId="751" xr:uid="{6C8C5C92-B9E4-4E21-9597-D4802C6C312D}"/>
    <cellStyle name="Percent 8 2 2 2 2 2 2" xfId="1452" xr:uid="{B3E7C73D-8A94-448C-88EB-5A888AF0D98E}"/>
    <cellStyle name="Percent 8 2 2 2 2 3" xfId="1101" xr:uid="{3D07AFCB-EC92-4CED-AA7B-C958BA4DD287}"/>
    <cellStyle name="Percent 8 2 2 2 3" xfId="541" xr:uid="{461D9791-8DB8-4F09-9A45-3B9A80679A01}"/>
    <cellStyle name="Percent 8 2 2 2 3 2" xfId="1242" xr:uid="{258942E0-E8F7-487A-9D19-0FBA490477E5}"/>
    <cellStyle name="Percent 8 2 2 2 4" xfId="891" xr:uid="{B5D1A9A5-C7DC-4954-BB73-C6F3F808694E}"/>
    <cellStyle name="Percent 8 2 2 3" xfId="260" xr:uid="{00000000-0005-0000-0000-00007F010000}"/>
    <cellStyle name="Percent 8 2 2 3 2" xfId="611" xr:uid="{EE83AB42-1702-4E02-891D-CC60E47F5DFF}"/>
    <cellStyle name="Percent 8 2 2 3 2 2" xfId="1312" xr:uid="{CF63852C-C9CD-4B8D-BAD2-4D0B28619FF6}"/>
    <cellStyle name="Percent 8 2 2 3 3" xfId="961" xr:uid="{E20F0E8E-0F46-4B61-818F-1FAB7C74B986}"/>
    <cellStyle name="Percent 8 2 2 4" xfId="330" xr:uid="{00000000-0005-0000-0000-000080010000}"/>
    <cellStyle name="Percent 8 2 2 4 2" xfId="681" xr:uid="{EB847FCC-DC83-4128-A355-20F1B86DB5D8}"/>
    <cellStyle name="Percent 8 2 2 4 2 2" xfId="1382" xr:uid="{5510582A-DE93-4298-8169-3671A26F7E23}"/>
    <cellStyle name="Percent 8 2 2 4 3" xfId="1031" xr:uid="{21BAC1B4-6549-4310-A6C6-BFF4FCAAAB4E}"/>
    <cellStyle name="Percent 8 2 2 5" xfId="471" xr:uid="{D1C0B191-C438-4CF7-814E-F9B078A75A4A}"/>
    <cellStyle name="Percent 8 2 2 5 2" xfId="1172" xr:uid="{46519511-0AE1-4ADA-936A-5FDC5C7000A4}"/>
    <cellStyle name="Percent 8 2 2 6" xfId="821" xr:uid="{4E253F03-05F5-4CF8-A8BD-A2008D2AB12C}"/>
    <cellStyle name="Percent 8 2 3" xfId="154" xr:uid="{00000000-0005-0000-0000-000081010000}"/>
    <cellStyle name="Percent 8 2 3 2" xfId="365" xr:uid="{00000000-0005-0000-0000-000082010000}"/>
    <cellStyle name="Percent 8 2 3 2 2" xfId="716" xr:uid="{6901BD3A-208A-4734-A536-1600B1A23C9D}"/>
    <cellStyle name="Percent 8 2 3 2 2 2" xfId="1417" xr:uid="{1827EFD2-2A65-4887-8CFC-A06035DADC75}"/>
    <cellStyle name="Percent 8 2 3 2 3" xfId="1066" xr:uid="{3CBF62F8-E4BC-4190-A25A-FA8FCBD57E7D}"/>
    <cellStyle name="Percent 8 2 3 3" xfId="506" xr:uid="{40D63E0A-8918-4F52-8829-F616F3B8C2EA}"/>
    <cellStyle name="Percent 8 2 3 3 2" xfId="1207" xr:uid="{9A449EF6-5400-4FBE-851F-5BA4B77AD0B1}"/>
    <cellStyle name="Percent 8 2 3 4" xfId="856" xr:uid="{19E3001F-E048-4BE5-A346-0C1FA22597CA}"/>
    <cellStyle name="Percent 8 2 4" xfId="225" xr:uid="{00000000-0005-0000-0000-000083010000}"/>
    <cellStyle name="Percent 8 2 4 2" xfId="576" xr:uid="{D134EB08-EEB1-4FFD-A73A-7E96D8334951}"/>
    <cellStyle name="Percent 8 2 4 2 2" xfId="1277" xr:uid="{85DCC1F4-0684-414C-9D59-3FEEFFDCB964}"/>
    <cellStyle name="Percent 8 2 4 3" xfId="926" xr:uid="{03C5E75B-6966-45A9-A774-75FC71E66558}"/>
    <cellStyle name="Percent 8 2 5" xfId="295" xr:uid="{00000000-0005-0000-0000-000084010000}"/>
    <cellStyle name="Percent 8 2 5 2" xfId="646" xr:uid="{FF8BA54E-C660-46B4-9C1C-57620013667F}"/>
    <cellStyle name="Percent 8 2 5 2 2" xfId="1347" xr:uid="{22CEE84A-2EC7-4D8C-8CA1-51634889F554}"/>
    <cellStyle name="Percent 8 2 5 3" xfId="996" xr:uid="{5BF48B25-CCBE-4752-AB83-80FA52663234}"/>
    <cellStyle name="Percent 8 2 6" xfId="436" xr:uid="{6CA17E68-93D0-44F0-895A-C0CB921329D5}"/>
    <cellStyle name="Percent 8 2 6 2" xfId="1137" xr:uid="{755F0B55-73B5-42AB-A312-30FEB8F66A37}"/>
    <cellStyle name="Percent 8 2 7" xfId="786" xr:uid="{B65B5136-AF7B-4B2B-A54C-A2946AC8ABD2}"/>
    <cellStyle name="Percent 8 3" xfId="103" xr:uid="{00000000-0005-0000-0000-000085010000}"/>
    <cellStyle name="Percent 8 3 2" xfId="173" xr:uid="{00000000-0005-0000-0000-000086010000}"/>
    <cellStyle name="Percent 8 3 2 2" xfId="384" xr:uid="{00000000-0005-0000-0000-000087010000}"/>
    <cellStyle name="Percent 8 3 2 2 2" xfId="735" xr:uid="{13081E7E-7AFA-47BC-B7A5-16527EA5E0EF}"/>
    <cellStyle name="Percent 8 3 2 2 2 2" xfId="1436" xr:uid="{84DBEC61-9EA6-4C31-9BB8-4C889903732F}"/>
    <cellStyle name="Percent 8 3 2 2 3" xfId="1085" xr:uid="{2B6956BA-652D-4022-8569-274FA673954E}"/>
    <cellStyle name="Percent 8 3 2 3" xfId="525" xr:uid="{5F2F1B48-29B6-41FD-B8C5-BF92773E2C5B}"/>
    <cellStyle name="Percent 8 3 2 3 2" xfId="1226" xr:uid="{AA6F4E1A-80F5-4599-8FCF-2E7C150B86C2}"/>
    <cellStyle name="Percent 8 3 2 4" xfId="875" xr:uid="{1B5BCA4A-CE5F-4CB9-A507-F974D5E42DB0}"/>
    <cellStyle name="Percent 8 3 3" xfId="244" xr:uid="{00000000-0005-0000-0000-000088010000}"/>
    <cellStyle name="Percent 8 3 3 2" xfId="595" xr:uid="{168E73D2-9DE6-47D3-84F5-A7A97F76FEA3}"/>
    <cellStyle name="Percent 8 3 3 2 2" xfId="1296" xr:uid="{ABB77FC6-3392-4418-A312-D9B8F7B7E9DF}"/>
    <cellStyle name="Percent 8 3 3 3" xfId="945" xr:uid="{3BBDD0DA-BB40-4288-A691-298A99E335A3}"/>
    <cellStyle name="Percent 8 3 4" xfId="314" xr:uid="{00000000-0005-0000-0000-000089010000}"/>
    <cellStyle name="Percent 8 3 4 2" xfId="665" xr:uid="{2A104618-9E16-4755-9F15-A2422FAAE611}"/>
    <cellStyle name="Percent 8 3 4 2 2" xfId="1366" xr:uid="{336D4467-5A01-4BFC-A4F7-9EF629E41661}"/>
    <cellStyle name="Percent 8 3 4 3" xfId="1015" xr:uid="{FA2771A5-8DA5-4286-A321-A380F932377B}"/>
    <cellStyle name="Percent 8 3 5" xfId="455" xr:uid="{954BA763-EA79-46C2-9490-DB97B4CA21B3}"/>
    <cellStyle name="Percent 8 3 5 2" xfId="1156" xr:uid="{5724E26A-E9F5-49EF-B546-633E3825513D}"/>
    <cellStyle name="Percent 8 3 6" xfId="805" xr:uid="{06883DCD-77F8-4719-8C49-A1AB89E3B006}"/>
    <cellStyle name="Percent 8 4" xfId="138" xr:uid="{00000000-0005-0000-0000-00008A010000}"/>
    <cellStyle name="Percent 8 4 2" xfId="349" xr:uid="{00000000-0005-0000-0000-00008B010000}"/>
    <cellStyle name="Percent 8 4 2 2" xfId="700" xr:uid="{195C6A10-00B9-409D-92D4-E4024A03C14B}"/>
    <cellStyle name="Percent 8 4 2 2 2" xfId="1401" xr:uid="{D037EB72-5C23-439F-8E15-A44CA80F4A02}"/>
    <cellStyle name="Percent 8 4 2 3" xfId="1050" xr:uid="{B040B323-C3A3-4132-AF35-AB18366597BB}"/>
    <cellStyle name="Percent 8 4 3" xfId="490" xr:uid="{3EC4F9CF-DED5-48BE-B436-86F7F7540E27}"/>
    <cellStyle name="Percent 8 4 3 2" xfId="1191" xr:uid="{F6523398-2409-45C4-BBB1-F41B59F8EC20}"/>
    <cellStyle name="Percent 8 4 4" xfId="840" xr:uid="{37F6FB37-49D3-46B6-9192-3748E7F8CF3E}"/>
    <cellStyle name="Percent 8 5" xfId="209" xr:uid="{00000000-0005-0000-0000-00008C010000}"/>
    <cellStyle name="Percent 8 5 2" xfId="560" xr:uid="{33E5A13C-C54D-4A20-947E-129F5C7DAB20}"/>
    <cellStyle name="Percent 8 5 2 2" xfId="1261" xr:uid="{3ABE3C7C-2913-4F65-B991-83BCE732F12A}"/>
    <cellStyle name="Percent 8 5 3" xfId="910" xr:uid="{76B37621-26A8-4BF7-A790-9C186A6256C2}"/>
    <cellStyle name="Percent 8 6" xfId="279" xr:uid="{00000000-0005-0000-0000-00008D010000}"/>
    <cellStyle name="Percent 8 6 2" xfId="630" xr:uid="{7CFC3F9A-F6B3-4FEA-9E05-E6BA1A0CBDF7}"/>
    <cellStyle name="Percent 8 6 2 2" xfId="1331" xr:uid="{ABF67E68-640E-4FA5-B7F8-2F0EF24EFEF2}"/>
    <cellStyle name="Percent 8 6 3" xfId="980" xr:uid="{B2763D94-B74C-4829-8AA7-62D0E4160432}"/>
    <cellStyle name="Percent 8 7" xfId="420" xr:uid="{FC099E44-2F85-4313-9449-4E551CD4A745}"/>
    <cellStyle name="Percent 8 7 2" xfId="1121" xr:uid="{4B7C1827-7F8E-4F8D-BBEF-697D5EDC445E}"/>
    <cellStyle name="Percent 8 8" xfId="770" xr:uid="{AFB715B6-8918-4D38-A8CD-DAD3449F481D}"/>
    <cellStyle name="Percent 9" xfId="91" xr:uid="{00000000-0005-0000-0000-00008E010000}"/>
    <cellStyle name="Percent 9 2" xfId="126" xr:uid="{00000000-0005-0000-0000-00008F010000}"/>
    <cellStyle name="Percent 9 2 2" xfId="196" xr:uid="{00000000-0005-0000-0000-000090010000}"/>
    <cellStyle name="Percent 9 2 2 2" xfId="407" xr:uid="{00000000-0005-0000-0000-000091010000}"/>
    <cellStyle name="Percent 9 2 2 2 2" xfId="758" xr:uid="{D9C66008-5DBE-4C1E-A122-E2A5A2EF04AF}"/>
    <cellStyle name="Percent 9 2 2 2 2 2" xfId="1459" xr:uid="{DA31C964-B0E4-43F7-828F-C8ECB0602CEA}"/>
    <cellStyle name="Percent 9 2 2 2 3" xfId="1108" xr:uid="{1FF1BB60-FEC9-4F21-B567-0C87820B61BC}"/>
    <cellStyle name="Percent 9 2 2 3" xfId="548" xr:uid="{8E880754-6351-4555-BCC2-481E0DCCCD30}"/>
    <cellStyle name="Percent 9 2 2 3 2" xfId="1249" xr:uid="{4BB52409-FB8D-4A26-9266-678C401AED2B}"/>
    <cellStyle name="Percent 9 2 2 4" xfId="898" xr:uid="{B894651C-D89C-400F-8999-6EA1620E2C08}"/>
    <cellStyle name="Percent 9 2 3" xfId="267" xr:uid="{00000000-0005-0000-0000-000092010000}"/>
    <cellStyle name="Percent 9 2 3 2" xfId="618" xr:uid="{E72E650F-043B-44AE-91D9-9DF270640188}"/>
    <cellStyle name="Percent 9 2 3 2 2" xfId="1319" xr:uid="{14AAA6B2-BF94-40DD-A90F-EFD711930C26}"/>
    <cellStyle name="Percent 9 2 3 3" xfId="968" xr:uid="{2043DAC3-3877-41B1-871D-CF6747BB4DCC}"/>
    <cellStyle name="Percent 9 2 4" xfId="337" xr:uid="{00000000-0005-0000-0000-000093010000}"/>
    <cellStyle name="Percent 9 2 4 2" xfId="688" xr:uid="{86D67F61-33D7-4BB4-A9D6-76833B388BFE}"/>
    <cellStyle name="Percent 9 2 4 2 2" xfId="1389" xr:uid="{5DB3A982-641A-41DA-9E19-86F504558536}"/>
    <cellStyle name="Percent 9 2 4 3" xfId="1038" xr:uid="{45DD5839-755B-4C26-BBF5-9713F199A35A}"/>
    <cellStyle name="Percent 9 2 5" xfId="478" xr:uid="{F8C926F3-E5A8-4231-8BEC-41D7BF0E7B5F}"/>
    <cellStyle name="Percent 9 2 5 2" xfId="1179" xr:uid="{4E599D63-91FF-420A-8A6B-5A8B414EC8A6}"/>
    <cellStyle name="Percent 9 2 6" xfId="828" xr:uid="{6AB6CBB9-D161-492F-9AB7-AAEB23185D44}"/>
    <cellStyle name="Percent 9 3" xfId="161" xr:uid="{00000000-0005-0000-0000-000094010000}"/>
    <cellStyle name="Percent 9 3 2" xfId="372" xr:uid="{00000000-0005-0000-0000-000095010000}"/>
    <cellStyle name="Percent 9 3 2 2" xfId="723" xr:uid="{92D9F560-C4FF-430C-8DA7-7B40A425C86C}"/>
    <cellStyle name="Percent 9 3 2 2 2" xfId="1424" xr:uid="{832592EC-E356-4EE4-8944-849C2F9B0363}"/>
    <cellStyle name="Percent 9 3 2 3" xfId="1073" xr:uid="{CE631D93-D219-4C3A-B8CB-5ABD49EAF729}"/>
    <cellStyle name="Percent 9 3 3" xfId="513" xr:uid="{269D2F34-9BF9-4E4C-A7D1-045369D7FB26}"/>
    <cellStyle name="Percent 9 3 3 2" xfId="1214" xr:uid="{AE3DA56F-D830-40C8-98C9-4E1A4CA8BB9B}"/>
    <cellStyle name="Percent 9 3 4" xfId="863" xr:uid="{66EA0522-50E1-464C-AAC2-494900EAC933}"/>
    <cellStyle name="Percent 9 4" xfId="232" xr:uid="{00000000-0005-0000-0000-000096010000}"/>
    <cellStyle name="Percent 9 4 2" xfId="583" xr:uid="{F387ADFB-3340-400A-AF31-AE8D726B914B}"/>
    <cellStyle name="Percent 9 4 2 2" xfId="1284" xr:uid="{9536C114-677B-49EE-ABBB-4BDBEFCC6A82}"/>
    <cellStyle name="Percent 9 4 3" xfId="933" xr:uid="{CDB80387-6807-4666-836E-782411DF18EF}"/>
    <cellStyle name="Percent 9 5" xfId="302" xr:uid="{00000000-0005-0000-0000-000097010000}"/>
    <cellStyle name="Percent 9 5 2" xfId="653" xr:uid="{90A31556-F53B-4838-8D30-11ED4D544AC9}"/>
    <cellStyle name="Percent 9 5 2 2" xfId="1354" xr:uid="{F9BEBAFF-6373-4E82-81F7-BA25A1DB12B1}"/>
    <cellStyle name="Percent 9 5 3" xfId="1003" xr:uid="{EF6089F6-4A04-4E45-9D0A-197665CA48BB}"/>
    <cellStyle name="Percent 9 6" xfId="443" xr:uid="{130452AD-44BF-4CD3-A9EF-64A3B3BE8289}"/>
    <cellStyle name="Percent 9 6 2" xfId="1144" xr:uid="{7C2D6321-D61E-4701-9162-95666DB6F083}"/>
    <cellStyle name="Percent 9 7" xfId="793" xr:uid="{F6B79E79-784A-4CD4-8E2F-387D3B801F07}"/>
  </cellStyles>
  <dxfs count="173">
    <dxf>
      <font>
        <color rgb="FFFF0000"/>
      </font>
      <fill>
        <patternFill>
          <bgColor theme="5" tint="0.59996337778862885"/>
        </patternFill>
      </fill>
    </dxf>
    <dxf>
      <font>
        <color rgb="FFFF0000"/>
      </font>
      <fill>
        <patternFill>
          <bgColor theme="5" tint="0.59996337778862885"/>
        </patternFill>
      </fill>
    </dxf>
    <dxf>
      <font>
        <color rgb="FF9C0006"/>
      </font>
      <fill>
        <patternFill>
          <bgColor rgb="FFFFC7CE"/>
        </patternFill>
      </fill>
    </dxf>
    <dxf>
      <font>
        <color theme="0" tint="-0.24994659260841701"/>
      </font>
    </dxf>
    <dxf>
      <font>
        <color theme="0" tint="-0.24994659260841701"/>
      </font>
    </dxf>
    <dxf>
      <font>
        <b/>
        <i val="0"/>
      </font>
    </dxf>
    <dxf>
      <font>
        <color theme="0" tint="-0.24994659260841701"/>
      </font>
    </dxf>
    <dxf>
      <font>
        <color theme="0" tint="-0.24994659260841701"/>
      </font>
    </dxf>
    <dxf>
      <font>
        <color theme="0" tint="-0.24994659260841701"/>
      </font>
    </dxf>
    <dxf>
      <font>
        <b/>
        <i val="0"/>
      </font>
    </dxf>
    <dxf>
      <font>
        <color theme="0" tint="-0.24994659260841701"/>
      </font>
    </dxf>
    <dxf>
      <font>
        <color theme="0"/>
      </font>
    </dxf>
    <dxf>
      <font>
        <color theme="1" tint="0.24994659260841701"/>
      </font>
      <fill>
        <patternFill>
          <bgColor theme="1" tint="0.24994659260841701"/>
        </patternFill>
      </fill>
    </dxf>
    <dxf>
      <font>
        <color rgb="FFFF0000"/>
      </font>
      <fill>
        <patternFill>
          <fgColor theme="5" tint="0.39991454817346722"/>
          <bgColor theme="5" tint="0.39994506668294322"/>
        </patternFill>
      </fill>
    </dxf>
    <dxf>
      <font>
        <color rgb="FF9C0006"/>
      </font>
      <fill>
        <patternFill>
          <bgColor rgb="FFFFC7CE"/>
        </patternFill>
      </fill>
    </dxf>
    <dxf>
      <protection locked="0" hidden="0"/>
    </dxf>
    <dxf>
      <numFmt numFmtId="0" formatCode="General"/>
      <protection locked="0" hidden="0"/>
    </dxf>
    <dxf>
      <protection locked="0" hidden="0"/>
    </dxf>
    <dxf>
      <protection locked="0" hidden="0"/>
    </dxf>
    <dxf>
      <numFmt numFmtId="0" formatCode="General"/>
      <protection locked="0" hidden="0"/>
    </dxf>
    <dxf>
      <numFmt numFmtId="0" formatCode="General"/>
      <protection locked="0" hidden="0"/>
    </dxf>
    <dxf>
      <protection locked="0" hidden="0"/>
    </dxf>
    <dxf>
      <font>
        <b val="0"/>
        <i val="0"/>
        <strike val="0"/>
        <condense val="0"/>
        <extend val="0"/>
        <outline val="0"/>
        <shadow val="0"/>
        <u val="none"/>
        <vertAlign val="baseline"/>
        <sz val="11"/>
        <color theme="0"/>
        <name val="Calibri"/>
        <family val="2"/>
        <scheme val="minor"/>
      </font>
      <alignment horizontal="center" vertical="bottom" textRotation="0" wrapText="0" indent="0" justifyLastLine="0" shrinkToFit="0" readingOrder="0"/>
      <protection locked="0" hidden="0"/>
    </dxf>
    <dxf>
      <numFmt numFmtId="0" formatCode="General"/>
      <protection locked="0" hidden="0"/>
    </dxf>
    <dxf>
      <numFmt numFmtId="0" formatCode="General"/>
      <protection locked="0" hidden="0"/>
    </dxf>
    <dxf>
      <numFmt numFmtId="0" formatCode="General"/>
      <protection locked="0" hidden="0"/>
    </dxf>
    <dxf>
      <protection locked="0" hidden="0"/>
    </dxf>
    <dxf>
      <font>
        <sz val="11"/>
        <color theme="1"/>
        <name val="Calibri"/>
        <family val="2"/>
        <scheme val="minor"/>
      </font>
      <numFmt numFmtId="0" formatCode="General"/>
      <protection locked="0" hidden="0"/>
    </dxf>
    <dxf>
      <numFmt numFmtId="0" formatCode="General"/>
      <protection locked="0" hidden="0"/>
    </dxf>
    <dxf>
      <protection locked="0" hidden="0"/>
    </dxf>
    <dxf>
      <font>
        <b val="0"/>
        <i val="0"/>
        <strike val="0"/>
        <condense val="0"/>
        <extend val="0"/>
        <outline val="0"/>
        <shadow val="0"/>
        <u val="none"/>
        <vertAlign val="baseline"/>
        <sz val="11"/>
        <color theme="0"/>
        <name val="Calibri"/>
        <family val="2"/>
        <scheme val="minor"/>
      </font>
      <alignment horizontal="center" vertical="bottom"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font>
        <b/>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protection locked="0" hidden="0"/>
    </dxf>
    <dxf>
      <font>
        <b val="0"/>
        <i val="0"/>
        <strike val="0"/>
        <condense val="0"/>
        <extend val="0"/>
        <outline val="0"/>
        <shadow val="0"/>
        <u val="none"/>
        <vertAlign val="baseline"/>
        <sz val="11"/>
        <color theme="0"/>
        <name val="Calibri"/>
        <family val="2"/>
        <scheme val="minor"/>
      </font>
      <alignment horizontal="center" vertical="bottom" textRotation="0" wrapText="0" indent="0" justifyLastLine="0" shrinkToFit="0" readingOrder="0"/>
      <protection locked="0" hidden="0"/>
    </dxf>
    <dxf>
      <numFmt numFmtId="30" formatCode="@"/>
    </dxf>
    <dxf>
      <font>
        <b/>
        <i val="0"/>
        <strike val="0"/>
        <condense val="0"/>
        <extend val="0"/>
        <outline val="0"/>
        <shadow val="0"/>
        <u val="none"/>
        <vertAlign val="baseline"/>
        <sz val="12"/>
        <color theme="0"/>
        <name val="Garamond"/>
        <family val="1"/>
        <scheme val="none"/>
      </font>
      <fill>
        <patternFill patternType="solid">
          <fgColor indexed="64"/>
          <bgColor theme="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Garamond"/>
        <family val="1"/>
        <scheme val="none"/>
      </font>
    </dxf>
    <dxf>
      <font>
        <b val="0"/>
        <i val="0"/>
        <strike val="0"/>
        <condense val="0"/>
        <extend val="0"/>
        <outline val="0"/>
        <shadow val="0"/>
        <u val="none"/>
        <vertAlign val="baseline"/>
        <sz val="11"/>
        <color auto="1"/>
        <name val="Garamond"/>
        <family val="1"/>
        <scheme val="none"/>
      </font>
    </dxf>
    <dxf>
      <font>
        <b/>
        <i val="0"/>
        <strike val="0"/>
        <condense val="0"/>
        <extend val="0"/>
        <outline val="0"/>
        <shadow val="0"/>
        <u val="none"/>
        <vertAlign val="baseline"/>
        <sz val="12"/>
        <color theme="0"/>
        <name val="Garamond"/>
        <family val="1"/>
        <scheme val="none"/>
      </font>
      <fill>
        <patternFill patternType="solid">
          <fgColor indexed="64"/>
          <bgColor theme="1"/>
        </patternFill>
      </fill>
    </dxf>
    <dxf>
      <font>
        <b val="0"/>
        <i val="0"/>
        <strike val="0"/>
        <condense val="0"/>
        <extend val="0"/>
        <outline val="0"/>
        <shadow val="0"/>
        <u val="none"/>
        <vertAlign val="baseline"/>
        <sz val="11"/>
        <color auto="1"/>
        <name val="Garamond"/>
        <family val="1"/>
        <scheme val="none"/>
      </font>
    </dxf>
    <dxf>
      <font>
        <b val="0"/>
        <i val="0"/>
        <strike val="0"/>
        <condense val="0"/>
        <extend val="0"/>
        <outline val="0"/>
        <shadow val="0"/>
        <u val="none"/>
        <vertAlign val="baseline"/>
        <sz val="11"/>
        <color auto="1"/>
        <name val="Garamond"/>
        <family val="1"/>
        <scheme val="none"/>
      </font>
    </dxf>
    <dxf>
      <font>
        <b/>
        <i val="0"/>
        <strike val="0"/>
        <condense val="0"/>
        <extend val="0"/>
        <outline val="0"/>
        <shadow val="0"/>
        <u val="none"/>
        <vertAlign val="baseline"/>
        <sz val="12"/>
        <color theme="0"/>
        <name val="Garamond"/>
        <family val="1"/>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numFmt numFmtId="13" formatCode="0%"/>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theme="1"/>
        <name val="Garamond"/>
        <scheme val="none"/>
      </font>
    </dxf>
    <dxf>
      <border outline="0">
        <bottom style="medium">
          <color indexed="64"/>
        </bottom>
      </border>
    </dxf>
    <dxf>
      <font>
        <b val="0"/>
        <i val="0"/>
        <strike val="0"/>
        <condense val="0"/>
        <extend val="0"/>
        <outline val="0"/>
        <shadow val="0"/>
        <u val="none"/>
        <vertAlign val="baseline"/>
        <sz val="12"/>
        <color theme="1"/>
        <name val="Garamond"/>
        <scheme val="none"/>
      </font>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numFmt numFmtId="30" formatCode="@"/>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fill>
        <patternFill patternType="none">
          <fgColor indexed="64"/>
          <bgColor indexed="65"/>
        </patternFill>
      </fill>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numFmt numFmtId="30" formatCode="@"/>
      <alignment horizontal="left" vertical="bottom" textRotation="0" wrapText="0" indent="0" justifyLastLine="0" shrinkToFit="0" readingOrder="0"/>
    </dxf>
    <dxf>
      <font>
        <b val="0"/>
        <i val="0"/>
        <strike val="0"/>
        <condense val="0"/>
        <extend val="0"/>
        <outline val="0"/>
        <shadow val="0"/>
        <u val="none"/>
        <vertAlign val="baseline"/>
        <sz val="11"/>
        <color auto="1"/>
        <name val="Garamond"/>
        <scheme val="none"/>
      </font>
      <numFmt numFmtId="30" formatCode="@"/>
      <alignment horizontal="left" vertical="bottom" textRotation="0" wrapText="0" indent="0" justifyLastLine="0" shrinkToFit="0" readingOrder="0"/>
    </dxf>
    <dxf>
      <font>
        <b val="0"/>
        <i val="0"/>
        <strike val="0"/>
        <condense val="0"/>
        <extend val="0"/>
        <outline val="0"/>
        <shadow val="0"/>
        <u val="none"/>
        <vertAlign val="baseline"/>
        <sz val="11"/>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alignment horizontal="left" vertical="bottom" textRotation="0" wrapText="0" indent="0" justifyLastLine="0" shrinkToFit="0" readingOrder="0"/>
    </dxf>
    <dxf>
      <font>
        <b val="0"/>
        <i val="0"/>
        <strike val="0"/>
        <condense val="0"/>
        <extend val="0"/>
        <outline val="0"/>
        <shadow val="0"/>
        <u val="none"/>
        <vertAlign val="baseline"/>
        <sz val="11"/>
        <color auto="1"/>
        <name val="Garamond"/>
        <scheme val="none"/>
      </font>
      <alignment horizontal="left" vertical="bottom" textRotation="0" wrapText="0" indent="0" justifyLastLine="0" shrinkToFit="0" readingOrder="0"/>
    </dxf>
    <dxf>
      <font>
        <b val="0"/>
        <i val="0"/>
        <strike val="0"/>
        <condense val="0"/>
        <extend val="0"/>
        <outline val="0"/>
        <shadow val="0"/>
        <u val="none"/>
        <vertAlign val="baseline"/>
        <sz val="11"/>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fill>
        <patternFill patternType="solid">
          <fgColor indexed="64"/>
          <bgColor theme="1"/>
        </patternFill>
      </fill>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dxf>
    <dxf>
      <font>
        <b val="0"/>
        <i val="0"/>
        <strike val="0"/>
        <condense val="0"/>
        <extend val="0"/>
        <outline val="0"/>
        <shadow val="0"/>
        <u val="none"/>
        <vertAlign val="baseline"/>
        <sz val="11"/>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Garamond"/>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dxf>
    <dxf>
      <font>
        <b val="0"/>
        <i val="0"/>
        <strike val="0"/>
        <condense val="0"/>
        <extend val="0"/>
        <outline val="0"/>
        <shadow val="0"/>
        <u val="none"/>
        <vertAlign val="baseline"/>
        <sz val="12"/>
        <color auto="1"/>
        <name val="Garamond"/>
        <scheme val="none"/>
      </font>
      <fill>
        <patternFill patternType="solid">
          <fgColor indexed="64"/>
          <bgColor theme="1"/>
        </patternFill>
      </fill>
    </dxf>
    <dxf>
      <font>
        <b val="0"/>
        <i val="0"/>
        <strike val="0"/>
        <condense val="0"/>
        <extend val="0"/>
        <outline val="0"/>
        <shadow val="0"/>
        <u val="none"/>
        <vertAlign val="baseline"/>
        <sz val="11"/>
        <color theme="1"/>
        <name val="Garamond"/>
        <scheme val="none"/>
      </font>
    </dxf>
    <dxf>
      <font>
        <b val="0"/>
        <i val="0"/>
        <strike val="0"/>
        <condense val="0"/>
        <extend val="0"/>
        <outline val="0"/>
        <shadow val="0"/>
        <u val="none"/>
        <vertAlign val="baseline"/>
        <sz val="11"/>
        <color theme="1"/>
        <name val="Garamond"/>
        <scheme val="none"/>
      </font>
      <fill>
        <patternFill patternType="none">
          <fgColor indexed="64"/>
          <bgColor indexed="65"/>
        </patternFill>
      </fill>
    </dxf>
    <dxf>
      <font>
        <b val="0"/>
        <i val="0"/>
        <strike val="0"/>
        <condense val="0"/>
        <extend val="0"/>
        <outline val="0"/>
        <shadow val="0"/>
        <u val="none"/>
        <vertAlign val="baseline"/>
        <sz val="11"/>
        <color theme="1"/>
        <name val="Garamond"/>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Garamond"/>
        <scheme val="none"/>
      </font>
    </dxf>
    <dxf>
      <numFmt numFmtId="0" formatCode="General"/>
    </dxf>
    <dxf>
      <font>
        <b val="0"/>
        <i val="0"/>
        <strike val="0"/>
        <condense val="0"/>
        <extend val="0"/>
        <outline val="0"/>
        <shadow val="0"/>
        <u val="none"/>
        <vertAlign val="baseline"/>
        <sz val="11"/>
        <color theme="1"/>
        <name val="Garamond"/>
        <scheme val="none"/>
      </font>
      <fill>
        <patternFill patternType="none">
          <fgColor indexed="64"/>
          <bgColor indexed="65"/>
        </patternFill>
      </fill>
    </dxf>
    <dxf>
      <font>
        <strike val="0"/>
        <outline val="0"/>
        <shadow val="0"/>
        <u val="none"/>
        <vertAlign val="baseline"/>
        <sz val="11"/>
        <color theme="0"/>
      </font>
    </dxf>
    <dxf>
      <font>
        <strike val="0"/>
        <outline val="0"/>
        <shadow val="0"/>
        <vertAlign val="baseline"/>
        <name val="Garamond"/>
        <scheme val="none"/>
      </font>
    </dxf>
    <dxf>
      <font>
        <strike val="0"/>
        <outline val="0"/>
        <shadow val="0"/>
        <vertAlign val="baseline"/>
        <name val="Garamond"/>
        <scheme val="none"/>
      </font>
      <numFmt numFmtId="0" formatCode="General"/>
      <alignment horizontal="left" vertical="bottom" textRotation="0" wrapText="0" indent="0" justifyLastLine="0" shrinkToFit="0" readingOrder="0"/>
    </dxf>
    <dxf>
      <font>
        <strike val="0"/>
        <outline val="0"/>
        <shadow val="0"/>
        <vertAlign val="baseline"/>
        <name val="Garamond"/>
        <scheme val="none"/>
      </font>
      <alignment horizontal="left" vertical="bottom" textRotation="0" wrapText="0" indent="0" justifyLastLine="0" shrinkToFit="0" readingOrder="0"/>
    </dxf>
    <dxf>
      <font>
        <strike val="0"/>
        <outline val="0"/>
        <shadow val="0"/>
        <vertAlign val="baseline"/>
        <name val="Garamond"/>
        <scheme val="none"/>
      </font>
    </dxf>
    <dxf>
      <font>
        <strike val="0"/>
        <outline val="0"/>
        <shadow val="0"/>
        <vertAlign val="baseline"/>
        <name val="Garamond"/>
        <scheme val="none"/>
      </font>
    </dxf>
    <dxf>
      <font>
        <strike val="0"/>
        <outline val="0"/>
        <shadow val="0"/>
        <u val="none"/>
        <vertAlign val="baseline"/>
        <sz val="11"/>
        <color theme="0"/>
        <name val="Garamond"/>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Garamond"/>
        <family val="1"/>
        <scheme val="none"/>
      </font>
      <numFmt numFmtId="171" formatCode="mmmm\ d\,\ yyyy"/>
      <fill>
        <patternFill patternType="solid">
          <fgColor indexed="64"/>
          <bgColor rgb="FFEBF1DE"/>
        </patternFill>
      </fill>
      <alignment horizontal="center" vertical="bottom" textRotation="0" wrapText="0" indent="0" justifyLastLine="0" shrinkToFit="0" readingOrder="0"/>
      <border diagonalUp="0" diagonalDown="0" outline="0">
        <left style="thin">
          <color indexed="64"/>
        </left>
        <right style="medium">
          <color indexed="64"/>
        </right>
        <top style="medium">
          <color indexed="64"/>
        </top>
        <bottom style="medium">
          <color indexed="64"/>
        </bottom>
      </border>
      <protection locked="0" hidden="0"/>
    </dxf>
    <dxf>
      <font>
        <strike val="0"/>
        <outline val="0"/>
        <shadow val="0"/>
        <u val="none"/>
        <vertAlign val="baseline"/>
        <name val="Garamond"/>
        <scheme val="none"/>
      </font>
      <alignment vertical="center" textRotation="0" indent="0" justifyLastLine="0" shrinkToFit="0" readingOrder="0"/>
    </dxf>
    <dxf>
      <font>
        <b val="0"/>
        <i val="0"/>
        <strike val="0"/>
        <condense val="0"/>
        <extend val="0"/>
        <outline val="0"/>
        <shadow val="0"/>
        <u val="none"/>
        <vertAlign val="baseline"/>
        <sz val="10"/>
        <color auto="1"/>
        <name val="Garamond"/>
        <family val="1"/>
        <scheme val="none"/>
      </font>
      <fill>
        <patternFill patternType="solid">
          <fgColor indexed="64"/>
          <bgColor rgb="FFEBF1DE"/>
        </patternFill>
      </fill>
      <alignment horizontal="left" vertical="bottom" textRotation="0" wrapText="1" indent="0" justifyLastLine="0" shrinkToFit="0" readingOrder="0"/>
      <border diagonalUp="0" diagonalDown="0" outline="0">
        <left/>
        <right style="thin">
          <color indexed="64"/>
        </right>
        <top style="medium">
          <color indexed="64"/>
        </top>
        <bottom style="medium">
          <color indexed="64"/>
        </bottom>
      </border>
      <protection locked="0" hidden="0"/>
    </dxf>
    <dxf>
      <font>
        <b val="0"/>
        <i val="0"/>
        <strike val="0"/>
        <condense val="0"/>
        <extend val="0"/>
        <outline val="0"/>
        <shadow val="0"/>
        <u val="none"/>
        <vertAlign val="baseline"/>
        <sz val="10"/>
        <color indexed="12"/>
        <name val="Garamond"/>
        <scheme val="none"/>
      </font>
      <numFmt numFmtId="30" formatCode="@"/>
      <fill>
        <patternFill patternType="solid">
          <fgColor indexed="64"/>
          <bgColor rgb="FFEBF1DE"/>
        </patternFill>
      </fill>
      <alignment horizontal="center" vertical="center" textRotation="0" wrapText="1"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0"/>
        <color auto="1"/>
        <name val="Garamond"/>
        <family val="1"/>
        <scheme val="none"/>
      </font>
      <fill>
        <patternFill patternType="solid">
          <fgColor indexed="64"/>
          <bgColor rgb="FFEBF1DE"/>
        </patternFill>
      </fill>
      <alignment horizontal="left" vertical="bottom" textRotation="0" wrapText="1" indent="0" justifyLastLine="0" shrinkToFit="0" readingOrder="0"/>
      <border diagonalUp="0" diagonalDown="0" outline="0">
        <left style="medium">
          <color indexed="64"/>
        </left>
        <right style="thin">
          <color indexed="64"/>
        </right>
        <top style="medium">
          <color indexed="64"/>
        </top>
        <bottom style="medium">
          <color indexed="64"/>
        </bottom>
      </border>
      <protection locked="0" hidden="0"/>
    </dxf>
    <dxf>
      <font>
        <strike val="0"/>
        <outline val="0"/>
        <shadow val="0"/>
        <u val="none"/>
        <vertAlign val="baseline"/>
        <name val="Garamond"/>
        <scheme val="none"/>
      </font>
      <alignment vertical="center" textRotation="0" indent="0" justifyLastLine="0" shrinkToFit="0" readingOrder="0"/>
    </dxf>
    <dxf>
      <border>
        <top style="medium">
          <color indexed="64"/>
        </top>
      </border>
    </dxf>
    <dxf>
      <font>
        <strike val="0"/>
        <outline val="0"/>
        <shadow val="0"/>
        <u val="none"/>
        <vertAlign val="baseline"/>
        <sz val="10"/>
        <color auto="1"/>
        <name val="Garamond"/>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name val="Garamond"/>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Garamond"/>
        <scheme val="none"/>
      </font>
      <fill>
        <patternFill patternType="solid">
          <fgColor indexed="64"/>
          <bgColor theme="3" tint="-0.249977111117893"/>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00FF"/>
      <color rgb="FF0000E1"/>
      <color rgb="FF595959"/>
      <color rgb="FFEBF1DE"/>
      <color rgb="FF16365C"/>
      <color rgb="FFF57B20"/>
      <color rgb="FFFF2929"/>
      <color rgb="FFF9D963"/>
      <color rgb="FFE7EEF5"/>
      <color rgb="FF4555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haredStrings" Target="sharedStrings.xml"/><Relationship Id="rId42"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r>
              <a:rPr lang="en-US" sz="1600" b="1">
                <a:solidFill>
                  <a:sysClr val="windowText" lastClr="000000"/>
                </a:solidFill>
                <a:latin typeface="Garamond" panose="02020404030301010803" pitchFamily="18" charset="0"/>
              </a:rPr>
              <a:t>Sources</a:t>
            </a:r>
          </a:p>
        </c:rich>
      </c:tx>
      <c:layout>
        <c:manualLayout>
          <c:xMode val="edge"/>
          <c:yMode val="edge"/>
          <c:x val="2.6164113691695035E-3"/>
          <c:y val="8.7605256701753947E-4"/>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manualLayout>
          <c:layoutTarget val="inner"/>
          <c:xMode val="edge"/>
          <c:yMode val="edge"/>
          <c:x val="0.35252614139345051"/>
          <c:y val="0.12017543266565314"/>
          <c:w val="0.61212710637725043"/>
          <c:h val="0.72230988875996005"/>
        </c:manualLayout>
      </c:layout>
      <c:pieChart>
        <c:varyColors val="1"/>
        <c:ser>
          <c:idx val="0"/>
          <c:order val="0"/>
          <c:spPr>
            <a:ln w="19050">
              <a:solidFill>
                <a:sysClr val="windowText" lastClr="000000"/>
              </a:solidFill>
            </a:ln>
          </c:spPr>
          <c:explosion val="15"/>
          <c:dPt>
            <c:idx val="0"/>
            <c:bubble3D val="0"/>
            <c:spPr>
              <a:solidFill>
                <a:schemeClr val="accent1"/>
              </a:solidFill>
              <a:ln w="19050">
                <a:solidFill>
                  <a:sysClr val="windowText" lastClr="000000"/>
                </a:solidFill>
              </a:ln>
              <a:effectLst/>
            </c:spPr>
            <c:extLst>
              <c:ext xmlns:c16="http://schemas.microsoft.com/office/drawing/2014/chart" uri="{C3380CC4-5D6E-409C-BE32-E72D297353CC}">
                <c16:uniqueId val="{00000001-9E87-4781-89F5-A4FA0D24AAFD}"/>
              </c:ext>
            </c:extLst>
          </c:dPt>
          <c:dPt>
            <c:idx val="1"/>
            <c:bubble3D val="0"/>
            <c:spPr>
              <a:solidFill>
                <a:schemeClr val="accent2"/>
              </a:solidFill>
              <a:ln w="19050">
                <a:solidFill>
                  <a:sysClr val="windowText" lastClr="000000"/>
                </a:solidFill>
              </a:ln>
              <a:effectLst/>
            </c:spPr>
            <c:extLst>
              <c:ext xmlns:c16="http://schemas.microsoft.com/office/drawing/2014/chart" uri="{C3380CC4-5D6E-409C-BE32-E72D297353CC}">
                <c16:uniqueId val="{00000003-9E87-4781-89F5-A4FA0D24AAFD}"/>
              </c:ext>
            </c:extLst>
          </c:dPt>
          <c:dPt>
            <c:idx val="2"/>
            <c:bubble3D val="0"/>
            <c:spPr>
              <a:solidFill>
                <a:schemeClr val="accent3"/>
              </a:solidFill>
              <a:ln w="19050">
                <a:solidFill>
                  <a:sysClr val="windowText" lastClr="000000"/>
                </a:solidFill>
              </a:ln>
              <a:effectLst/>
            </c:spPr>
            <c:extLst>
              <c:ext xmlns:c16="http://schemas.microsoft.com/office/drawing/2014/chart" uri="{C3380CC4-5D6E-409C-BE32-E72D297353CC}">
                <c16:uniqueId val="{00000005-9E87-4781-89F5-A4FA0D24AAFD}"/>
              </c:ext>
            </c:extLst>
          </c:dPt>
          <c:dPt>
            <c:idx val="3"/>
            <c:bubble3D val="0"/>
            <c:spPr>
              <a:solidFill>
                <a:schemeClr val="accent4"/>
              </a:solidFill>
              <a:ln w="19050">
                <a:solidFill>
                  <a:sysClr val="windowText" lastClr="000000"/>
                </a:solidFill>
              </a:ln>
              <a:effectLst/>
            </c:spPr>
            <c:extLst>
              <c:ext xmlns:c16="http://schemas.microsoft.com/office/drawing/2014/chart" uri="{C3380CC4-5D6E-409C-BE32-E72D297353CC}">
                <c16:uniqueId val="{00000007-9E87-4781-89F5-A4FA0D24AAFD}"/>
              </c:ext>
            </c:extLst>
          </c:dPt>
          <c:dPt>
            <c:idx val="4"/>
            <c:bubble3D val="0"/>
            <c:spPr>
              <a:solidFill>
                <a:schemeClr val="accent5"/>
              </a:solidFill>
              <a:ln w="19050">
                <a:solidFill>
                  <a:sysClr val="windowText" lastClr="000000"/>
                </a:solidFill>
              </a:ln>
              <a:effectLst/>
            </c:spPr>
            <c:extLst>
              <c:ext xmlns:c16="http://schemas.microsoft.com/office/drawing/2014/chart" uri="{C3380CC4-5D6E-409C-BE32-E72D297353CC}">
                <c16:uniqueId val="{00000009-9E87-4781-89F5-A4FA0D24AAFD}"/>
              </c:ext>
            </c:extLst>
          </c:dPt>
          <c:dLbls>
            <c:dLbl>
              <c:idx val="0"/>
              <c:layout>
                <c:manualLayout>
                  <c:x val="2.8685318153237088E-2"/>
                  <c:y val="-3.804840214579755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87-4781-89F5-A4FA0D24AAFD}"/>
                </c:ext>
              </c:extLst>
            </c:dLbl>
            <c:dLbl>
              <c:idx val="3"/>
              <c:layout>
                <c:manualLayout>
                  <c:x val="-0.10075569175141999"/>
                  <c:y val="1.271628453260132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87-4781-89F5-A4FA0D24AAFD}"/>
                </c:ext>
              </c:extLst>
            </c:dLbl>
            <c:dLbl>
              <c:idx val="4"/>
              <c:layout>
                <c:manualLayout>
                  <c:x val="-0.18117100311462597"/>
                  <c:y val="4.537628727569865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87-4781-89F5-A4FA0D24AAFD}"/>
                </c:ext>
              </c:extLst>
            </c:dLbl>
            <c:spPr>
              <a:solidFill>
                <a:sysClr val="window" lastClr="FFFFFF"/>
              </a:solidFill>
              <a:ln>
                <a:solidFill>
                  <a:sysClr val="windowText" lastClr="000000"/>
                </a:solidFill>
                <a:prstDash val="dash"/>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Garamond" panose="02020404030301010803" pitchFamily="18"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'06_1_Summary Printout'!$C$93:$C$96</c:f>
              <c:strCache>
                <c:ptCount val="4"/>
                <c:pt idx="0">
                  <c:v>RIH Mortgage</c:v>
                </c:pt>
                <c:pt idx="1">
                  <c:v>Other Permanent Financing</c:v>
                </c:pt>
                <c:pt idx="2">
                  <c:v>Equity</c:v>
                </c:pt>
                <c:pt idx="3">
                  <c:v>Other Loan</c:v>
                </c:pt>
              </c:strCache>
            </c:strRef>
          </c:cat>
          <c:val>
            <c:numRef>
              <c:f>'06_1_Summary Printout'!$D$93:$D$96</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F1EB-4F4A-9786-D191C6314861}"/>
            </c:ext>
          </c:extLst>
        </c:ser>
        <c:dLbls>
          <c:showLegendKey val="0"/>
          <c:showVal val="0"/>
          <c:showCatName val="0"/>
          <c:showSerName val="0"/>
          <c:showPercent val="0"/>
          <c:showBubbleSize val="0"/>
          <c:showLeaderLines val="1"/>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ysClr val="windowText" lastClr="000000"/>
                </a:solidFill>
                <a:latin typeface="Garamond" panose="02020404030301010803" pitchFamily="18" charset="0"/>
                <a:ea typeface="+mn-ea"/>
                <a:cs typeface="+mn-cs"/>
              </a:defRPr>
            </a:pPr>
            <a:endParaRPr lang="en-US"/>
          </a:p>
        </c:txPr>
      </c:legendEntry>
      <c:layout>
        <c:manualLayout>
          <c:xMode val="edge"/>
          <c:yMode val="edge"/>
          <c:x val="0"/>
          <c:y val="0.6737689671144047"/>
          <c:w val="0.46374958331169625"/>
          <c:h val="0.3142212752817661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r>
              <a:rPr lang="en-US" sz="1600" b="1">
                <a:solidFill>
                  <a:sysClr val="windowText" lastClr="000000"/>
                </a:solidFill>
                <a:latin typeface="Garamond" panose="02020404030301010803" pitchFamily="18" charset="0"/>
              </a:rPr>
              <a:t>Uses</a:t>
            </a:r>
          </a:p>
        </c:rich>
      </c:tx>
      <c:layout>
        <c:manualLayout>
          <c:xMode val="edge"/>
          <c:yMode val="edge"/>
          <c:x val="7.0466954900227967E-5"/>
          <c:y val="6.1333338484689847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Garamond" panose="02020404030301010803" pitchFamily="18" charset="0"/>
              <a:ea typeface="+mn-ea"/>
              <a:cs typeface="+mn-cs"/>
            </a:defRPr>
          </a:pPr>
          <a:endParaRPr lang="en-US"/>
        </a:p>
      </c:txPr>
    </c:title>
    <c:autoTitleDeleted val="0"/>
    <c:plotArea>
      <c:layout>
        <c:manualLayout>
          <c:layoutTarget val="inner"/>
          <c:xMode val="edge"/>
          <c:yMode val="edge"/>
          <c:x val="0.24505101623907533"/>
          <c:y val="0.12297696570935145"/>
          <c:w val="0.69928330286651319"/>
          <c:h val="0.73564606703589031"/>
        </c:manualLayout>
      </c:layout>
      <c:pieChart>
        <c:varyColors val="1"/>
        <c:ser>
          <c:idx val="0"/>
          <c:order val="0"/>
          <c:spPr>
            <a:ln w="19050">
              <a:solidFill>
                <a:sysClr val="windowText" lastClr="000000"/>
              </a:solidFill>
            </a:ln>
          </c:spPr>
          <c:explosion val="16"/>
          <c:dPt>
            <c:idx val="0"/>
            <c:bubble3D val="0"/>
            <c:spPr>
              <a:solidFill>
                <a:schemeClr val="accent1"/>
              </a:solidFill>
              <a:ln w="19050">
                <a:solidFill>
                  <a:sysClr val="windowText" lastClr="000000"/>
                </a:solidFill>
              </a:ln>
              <a:effectLst/>
            </c:spPr>
            <c:extLst>
              <c:ext xmlns:c16="http://schemas.microsoft.com/office/drawing/2014/chart" uri="{C3380CC4-5D6E-409C-BE32-E72D297353CC}">
                <c16:uniqueId val="{00000020-F154-4E9B-AB86-1E8A8E3091F9}"/>
              </c:ext>
            </c:extLst>
          </c:dPt>
          <c:dPt>
            <c:idx val="1"/>
            <c:bubble3D val="0"/>
            <c:spPr>
              <a:solidFill>
                <a:schemeClr val="accent2"/>
              </a:solidFill>
              <a:ln w="19050">
                <a:solidFill>
                  <a:sysClr val="windowText" lastClr="000000"/>
                </a:solidFill>
              </a:ln>
              <a:effectLst/>
            </c:spPr>
            <c:extLst>
              <c:ext xmlns:c16="http://schemas.microsoft.com/office/drawing/2014/chart" uri="{C3380CC4-5D6E-409C-BE32-E72D297353CC}">
                <c16:uniqueId val="{0000001B-F154-4E9B-AB86-1E8A8E3091F9}"/>
              </c:ext>
            </c:extLst>
          </c:dPt>
          <c:dPt>
            <c:idx val="2"/>
            <c:bubble3D val="0"/>
            <c:spPr>
              <a:solidFill>
                <a:schemeClr val="accent3"/>
              </a:solidFill>
              <a:ln w="19050">
                <a:solidFill>
                  <a:sysClr val="windowText" lastClr="000000"/>
                </a:solidFill>
              </a:ln>
              <a:effectLst/>
            </c:spPr>
            <c:extLst>
              <c:ext xmlns:c16="http://schemas.microsoft.com/office/drawing/2014/chart" uri="{C3380CC4-5D6E-409C-BE32-E72D297353CC}">
                <c16:uniqueId val="{0000001C-F154-4E9B-AB86-1E8A8E3091F9}"/>
              </c:ext>
            </c:extLst>
          </c:dPt>
          <c:dPt>
            <c:idx val="3"/>
            <c:bubble3D val="0"/>
            <c:spPr>
              <a:solidFill>
                <a:schemeClr val="accent4"/>
              </a:solidFill>
              <a:ln w="19050">
                <a:solidFill>
                  <a:sysClr val="windowText" lastClr="000000"/>
                </a:solidFill>
              </a:ln>
              <a:effectLst/>
            </c:spPr>
            <c:extLst>
              <c:ext xmlns:c16="http://schemas.microsoft.com/office/drawing/2014/chart" uri="{C3380CC4-5D6E-409C-BE32-E72D297353CC}">
                <c16:uniqueId val="{0000001D-F154-4E9B-AB86-1E8A8E3091F9}"/>
              </c:ext>
            </c:extLst>
          </c:dPt>
          <c:dPt>
            <c:idx val="4"/>
            <c:bubble3D val="0"/>
            <c:spPr>
              <a:solidFill>
                <a:schemeClr val="tx1">
                  <a:lumMod val="75000"/>
                  <a:lumOff val="25000"/>
                </a:schemeClr>
              </a:solidFill>
              <a:ln w="19050">
                <a:solidFill>
                  <a:sysClr val="windowText" lastClr="000000"/>
                </a:solidFill>
              </a:ln>
              <a:effectLst/>
            </c:spPr>
            <c:extLst>
              <c:ext xmlns:c16="http://schemas.microsoft.com/office/drawing/2014/chart" uri="{C3380CC4-5D6E-409C-BE32-E72D297353CC}">
                <c16:uniqueId val="{0000001E-F154-4E9B-AB86-1E8A8E3091F9}"/>
              </c:ext>
            </c:extLst>
          </c:dPt>
          <c:dPt>
            <c:idx val="5"/>
            <c:bubble3D val="0"/>
            <c:spPr>
              <a:solidFill>
                <a:schemeClr val="accent6"/>
              </a:solidFill>
              <a:ln w="19050">
                <a:solidFill>
                  <a:sysClr val="windowText" lastClr="000000"/>
                </a:solidFill>
              </a:ln>
              <a:effectLst/>
            </c:spPr>
            <c:extLst>
              <c:ext xmlns:c16="http://schemas.microsoft.com/office/drawing/2014/chart" uri="{C3380CC4-5D6E-409C-BE32-E72D297353CC}">
                <c16:uniqueId val="{0000001F-F154-4E9B-AB86-1E8A8E3091F9}"/>
              </c:ext>
            </c:extLst>
          </c:dPt>
          <c:dLbls>
            <c:dLbl>
              <c:idx val="0"/>
              <c:layout>
                <c:manualLayout>
                  <c:x val="0.15327848081508461"/>
                  <c:y val="1.949023785744779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154-4E9B-AB86-1E8A8E3091F9}"/>
                </c:ext>
              </c:extLst>
            </c:dLbl>
            <c:dLbl>
              <c:idx val="2"/>
              <c:layout>
                <c:manualLayout>
                  <c:x val="-6.3510007225732065E-2"/>
                  <c:y val="2.53065218105215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154-4E9B-AB86-1E8A8E3091F9}"/>
                </c:ext>
              </c:extLst>
            </c:dLbl>
            <c:dLbl>
              <c:idx val="3"/>
              <c:layout>
                <c:manualLayout>
                  <c:x val="-4.0835256063601132E-2"/>
                  <c:y val="2.365076314127144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154-4E9B-AB86-1E8A8E3091F9}"/>
                </c:ext>
              </c:extLst>
            </c:dLbl>
            <c:dLbl>
              <c:idx val="4"/>
              <c:layout>
                <c:manualLayout>
                  <c:x val="-3.9231456739523704E-2"/>
                  <c:y val="-8.832095590606901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154-4E9B-AB86-1E8A8E3091F9}"/>
                </c:ext>
              </c:extLst>
            </c:dLbl>
            <c:dLbl>
              <c:idx val="5"/>
              <c:layout>
                <c:manualLayout>
                  <c:x val="3.5776095956252647E-2"/>
                  <c:y val="-7.873848430349501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154-4E9B-AB86-1E8A8E3091F9}"/>
                </c:ext>
              </c:extLst>
            </c:dLbl>
            <c:spPr>
              <a:solidFill>
                <a:sysClr val="window" lastClr="FFFFFF"/>
              </a:solidFill>
              <a:ln>
                <a:solidFill>
                  <a:sysClr val="windowText" lastClr="000000"/>
                </a:solidFill>
                <a:prstDash val="dash"/>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Garamond" panose="02020404030301010803" pitchFamily="18"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'06_1_Summary Printout'!$C$99:$C$104</c:f>
              <c:strCache>
                <c:ptCount val="6"/>
                <c:pt idx="0">
                  <c:v>Acquisition</c:v>
                </c:pt>
                <c:pt idx="1">
                  <c:v>Construction</c:v>
                </c:pt>
                <c:pt idx="2">
                  <c:v>Soft Costs</c:v>
                </c:pt>
                <c:pt idx="3">
                  <c:v>Developer Fee</c:v>
                </c:pt>
                <c:pt idx="4">
                  <c:v>Reserves</c:v>
                </c:pt>
                <c:pt idx="5">
                  <c:v>Other</c:v>
                </c:pt>
              </c:strCache>
            </c:strRef>
          </c:cat>
          <c:val>
            <c:numRef>
              <c:f>'06_1_Summary Printout'!$D$99:$D$104</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F154-4E9B-AB86-1E8A8E3091F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
          <c:y val="0.67200258662488921"/>
          <c:w val="0.31277584843379291"/>
          <c:h val="0.3279974133751108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Garamond" panose="02020404030301010803" pitchFamily="18" charset="0"/>
              <a:ea typeface="+mn-ea"/>
              <a:cs typeface="+mn-cs"/>
            </a:defRPr>
          </a:pPr>
          <a:endParaRPr lang="en-US"/>
        </a:p>
      </c:txPr>
    </c:legend>
    <c:plotVisOnly val="1"/>
    <c:dispBlanksAs val="gap"/>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hyperlink" Target="#rng01_Header_DeveloperInfo"/><Relationship Id="rId2" Type="http://schemas.openxmlformats.org/officeDocument/2006/relationships/hyperlink" Target="#rng01_Header_BuildingDetail"/><Relationship Id="rId1" Type="http://schemas.openxmlformats.org/officeDocument/2006/relationships/hyperlink" Target="#rng01_Header_GenInfo"/><Relationship Id="rId5" Type="http://schemas.openxmlformats.org/officeDocument/2006/relationships/hyperlink" Target="#rng01_Header_Absorption"/><Relationship Id="rId4" Type="http://schemas.openxmlformats.org/officeDocument/2006/relationships/hyperlink" Target="#rng01_Header_Acquisition"/></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381000</xdr:colOff>
      <xdr:row>9</xdr:row>
      <xdr:rowOff>0</xdr:rowOff>
    </xdr:from>
    <xdr:to>
      <xdr:col>9</xdr:col>
      <xdr:colOff>179294</xdr:colOff>
      <xdr:row>11</xdr:row>
      <xdr:rowOff>0</xdr:rowOff>
    </xdr:to>
    <xdr:sp macro="[0]!user_RIH" textlink="">
      <xdr:nvSpPr>
        <xdr:cNvPr id="2" name="Rounded Rectangle 2">
          <a:extLst>
            <a:ext uri="{FF2B5EF4-FFF2-40B4-BE49-F238E27FC236}">
              <a16:creationId xmlns:a16="http://schemas.microsoft.com/office/drawing/2014/main" id="{00000000-0008-0000-0000-000002000000}"/>
            </a:ext>
          </a:extLst>
        </xdr:cNvPr>
        <xdr:cNvSpPr/>
      </xdr:nvSpPr>
      <xdr:spPr>
        <a:xfrm>
          <a:off x="4011706" y="1759324"/>
          <a:ext cx="1613647" cy="537882"/>
        </a:xfrm>
        <a:prstGeom prst="roundRect">
          <a:avLst>
            <a:gd name="adj" fmla="val 50000"/>
          </a:avLst>
        </a:prstGeom>
        <a:solidFill>
          <a:schemeClr val="tx2">
            <a:lumMod val="75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Garamond" panose="02020404030301010803" pitchFamily="18" charset="0"/>
            </a:rPr>
            <a:t>RIH</a:t>
          </a:r>
          <a:r>
            <a:rPr lang="en-US" sz="1400">
              <a:solidFill>
                <a:schemeClr val="bg1"/>
              </a:solidFill>
              <a:latin typeface="Garamond" panose="02020404030301010803" pitchFamily="18" charset="0"/>
            </a:rPr>
            <a:t> </a:t>
          </a:r>
          <a:r>
            <a:rPr lang="en-US" sz="1400" b="1">
              <a:solidFill>
                <a:schemeClr val="bg1"/>
              </a:solidFill>
              <a:latin typeface="Garamond" panose="02020404030301010803" pitchFamily="18" charset="0"/>
            </a:rPr>
            <a:t>Personnel</a:t>
          </a:r>
        </a:p>
      </xdr:txBody>
    </xdr:sp>
    <xdr:clientData/>
  </xdr:twoCellAnchor>
  <xdr:twoCellAnchor>
    <xdr:from>
      <xdr:col>9</xdr:col>
      <xdr:colOff>605116</xdr:colOff>
      <xdr:row>9</xdr:row>
      <xdr:rowOff>0</xdr:rowOff>
    </xdr:from>
    <xdr:to>
      <xdr:col>12</xdr:col>
      <xdr:colOff>358588</xdr:colOff>
      <xdr:row>11</xdr:row>
      <xdr:rowOff>0</xdr:rowOff>
    </xdr:to>
    <xdr:sp macro="[0]!user_Developer" textlink="">
      <xdr:nvSpPr>
        <xdr:cNvPr id="3" name="Rounded Rectangle 3">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SpPr/>
      </xdr:nvSpPr>
      <xdr:spPr>
        <a:xfrm>
          <a:off x="6051175" y="1759324"/>
          <a:ext cx="1568825" cy="537882"/>
        </a:xfrm>
        <a:prstGeom prst="roundRect">
          <a:avLst>
            <a:gd name="adj" fmla="val 50000"/>
          </a:avLst>
        </a:prstGeom>
        <a:solidFill>
          <a:schemeClr val="tx2">
            <a:lumMod val="75000"/>
          </a:schemeClr>
        </a:solidFill>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marL="0" indent="0" algn="ctr"/>
          <a:r>
            <a:rPr lang="en-US" sz="1400" b="1">
              <a:solidFill>
                <a:schemeClr val="bg1"/>
              </a:solidFill>
              <a:latin typeface="Garamond" panose="02020404030301010803" pitchFamily="18" charset="0"/>
            </a:rPr>
            <a:t>Developer</a:t>
          </a:r>
        </a:p>
      </xdr:txBody>
    </xdr:sp>
    <xdr:clientData/>
  </xdr:twoCellAnchor>
  <xdr:twoCellAnchor editAs="oneCell">
    <xdr:from>
      <xdr:col>0</xdr:col>
      <xdr:colOff>78441</xdr:colOff>
      <xdr:row>3</xdr:row>
      <xdr:rowOff>33618</xdr:rowOff>
    </xdr:from>
    <xdr:to>
      <xdr:col>4</xdr:col>
      <xdr:colOff>291853</xdr:colOff>
      <xdr:row>8</xdr:row>
      <xdr:rowOff>22412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41" y="605118"/>
          <a:ext cx="2633883" cy="941294"/>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428625</xdr:colOff>
          <xdr:row>11</xdr:row>
          <xdr:rowOff>171450</xdr:rowOff>
        </xdr:from>
        <xdr:to>
          <xdr:col>9</xdr:col>
          <xdr:colOff>171450</xdr:colOff>
          <xdr:row>13</xdr:row>
          <xdr:rowOff>9525</xdr:rowOff>
        </xdr:to>
        <xdr:sp macro="" textlink="">
          <xdr:nvSpPr>
            <xdr:cNvPr id="1025" name="rng_BoxPassword"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2752724</xdr:colOff>
      <xdr:row>3</xdr:row>
      <xdr:rowOff>190500</xdr:rowOff>
    </xdr:from>
    <xdr:to>
      <xdr:col>2</xdr:col>
      <xdr:colOff>1162050</xdr:colOff>
      <xdr:row>6</xdr:row>
      <xdr:rowOff>118440</xdr:rowOff>
    </xdr:to>
    <xdr:sp macro="[0]!wst03_2_ConstructionSchedule.Show_Construction_Timeline" textlink="">
      <xdr:nvSpPr>
        <xdr:cNvPr id="2" name="Rectangle: Rounded Corners 1">
          <a:extLst>
            <a:ext uri="{FF2B5EF4-FFF2-40B4-BE49-F238E27FC236}">
              <a16:creationId xmlns:a16="http://schemas.microsoft.com/office/drawing/2014/main" id="{00000000-0008-0000-1100-000002000000}"/>
            </a:ext>
          </a:extLst>
        </xdr:cNvPr>
        <xdr:cNvSpPr/>
      </xdr:nvSpPr>
      <xdr:spPr bwMode="auto">
        <a:xfrm>
          <a:off x="2924174" y="990600"/>
          <a:ext cx="1266826" cy="528015"/>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100"/>
            <a:t>Show Construction Months Timeline</a:t>
          </a:r>
        </a:p>
      </xdr:txBody>
    </xdr:sp>
    <xdr:clientData/>
  </xdr:twoCellAnchor>
  <xdr:twoCellAnchor>
    <xdr:from>
      <xdr:col>1</xdr:col>
      <xdr:colOff>1</xdr:colOff>
      <xdr:row>2</xdr:row>
      <xdr:rowOff>67236</xdr:rowOff>
    </xdr:from>
    <xdr:to>
      <xdr:col>1</xdr:col>
      <xdr:colOff>2689413</xdr:colOff>
      <xdr:row>3</xdr:row>
      <xdr:rowOff>199717</xdr:rowOff>
    </xdr:to>
    <xdr:sp macro="[0]!Hide_Zero_ConstructionBudget" textlink="">
      <xdr:nvSpPr>
        <xdr:cNvPr id="3" name="Rectangle: Rounded Corners 2">
          <a:extLst>
            <a:ext uri="{FF2B5EF4-FFF2-40B4-BE49-F238E27FC236}">
              <a16:creationId xmlns:a16="http://schemas.microsoft.com/office/drawing/2014/main" id="{00000000-0008-0000-1100-000003000000}"/>
            </a:ext>
          </a:extLst>
        </xdr:cNvPr>
        <xdr:cNvSpPr/>
      </xdr:nvSpPr>
      <xdr:spPr bwMode="auto">
        <a:xfrm>
          <a:off x="162848" y="669462"/>
          <a:ext cx="2689412" cy="332199"/>
        </a:xfrm>
        <a:prstGeom prst="roundRect">
          <a:avLst>
            <a:gd name="adj" fmla="val 50000"/>
          </a:avLst>
        </a:prstGeom>
        <a:solidFill>
          <a:schemeClr val="accent3">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200"/>
            <a:t>Compact Schedule</a:t>
          </a:r>
        </a:p>
      </xdr:txBody>
    </xdr:sp>
    <xdr:clientData/>
  </xdr:twoCellAnchor>
  <xdr:twoCellAnchor>
    <xdr:from>
      <xdr:col>1</xdr:col>
      <xdr:colOff>922</xdr:colOff>
      <xdr:row>4</xdr:row>
      <xdr:rowOff>1</xdr:rowOff>
    </xdr:from>
    <xdr:to>
      <xdr:col>1</xdr:col>
      <xdr:colOff>2689412</xdr:colOff>
      <xdr:row>5</xdr:row>
      <xdr:rowOff>112059</xdr:rowOff>
    </xdr:to>
    <xdr:sp macro="[0]!Show_Zero_ConstructionBudget" textlink="">
      <xdr:nvSpPr>
        <xdr:cNvPr id="4" name="Rectangle: Rounded Corners 3">
          <a:extLst>
            <a:ext uri="{FF2B5EF4-FFF2-40B4-BE49-F238E27FC236}">
              <a16:creationId xmlns:a16="http://schemas.microsoft.com/office/drawing/2014/main" id="{00000000-0008-0000-1100-000004000000}"/>
            </a:ext>
          </a:extLst>
        </xdr:cNvPr>
        <xdr:cNvSpPr/>
      </xdr:nvSpPr>
      <xdr:spPr bwMode="auto">
        <a:xfrm>
          <a:off x="157804" y="1008530"/>
          <a:ext cx="2688490" cy="313764"/>
        </a:xfrm>
        <a:prstGeom prst="roundRect">
          <a:avLst>
            <a:gd name="adj" fmla="val 50000"/>
          </a:avLst>
        </a:prstGeom>
        <a:solidFill>
          <a:schemeClr val="accent2">
            <a:lumMod val="75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200"/>
            <a:t>Decompact Schedule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3726</xdr:colOff>
      <xdr:row>59</xdr:row>
      <xdr:rowOff>0</xdr:rowOff>
    </xdr:from>
    <xdr:to>
      <xdr:col>5</xdr:col>
      <xdr:colOff>712303</xdr:colOff>
      <xdr:row>84</xdr:row>
      <xdr:rowOff>0</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59</xdr:row>
      <xdr:rowOff>0</xdr:rowOff>
    </xdr:from>
    <xdr:to>
      <xdr:col>12</xdr:col>
      <xdr:colOff>0</xdr:colOff>
      <xdr:row>84</xdr:row>
      <xdr:rowOff>0</xdr:rowOff>
    </xdr:to>
    <xdr:graphicFrame macro="">
      <xdr:nvGraphicFramePr>
        <xdr:cNvPr id="5" name="Chart 4">
          <a:extLst>
            <a:ext uri="{FF2B5EF4-FFF2-40B4-BE49-F238E27FC236}">
              <a16:creationId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xdr:colOff>
      <xdr:row>3</xdr:row>
      <xdr:rowOff>22413</xdr:rowOff>
    </xdr:from>
    <xdr:to>
      <xdr:col>13</xdr:col>
      <xdr:colOff>0</xdr:colOff>
      <xdr:row>5</xdr:row>
      <xdr:rowOff>20485</xdr:rowOff>
    </xdr:to>
    <xdr:sp macro="[0]!HideLineItems" textlink="">
      <xdr:nvSpPr>
        <xdr:cNvPr id="2" name="Rectangle: Rounded Corners 1">
          <a:extLst>
            <a:ext uri="{FF2B5EF4-FFF2-40B4-BE49-F238E27FC236}">
              <a16:creationId xmlns:a16="http://schemas.microsoft.com/office/drawing/2014/main" id="{00000000-0008-0000-1800-000002000000}"/>
            </a:ext>
          </a:extLst>
        </xdr:cNvPr>
        <xdr:cNvSpPr/>
      </xdr:nvSpPr>
      <xdr:spPr bwMode="auto">
        <a:xfrm>
          <a:off x="13525501" y="862854"/>
          <a:ext cx="1333499" cy="423896"/>
        </a:xfrm>
        <a:prstGeom prst="roundRect">
          <a:avLst>
            <a:gd name="adj" fmla="val 50000"/>
          </a:avLst>
        </a:prstGeom>
        <a:solidFill>
          <a:schemeClr val="accent3">
            <a:lumMod val="50000"/>
          </a:schemeClr>
        </a:solidFill>
        <a:ln>
          <a:headEnd type="none" w="med" len="med"/>
          <a:tailEnd type="none" w="med" len="med"/>
        </a:ln>
      </xdr:spPr>
      <xdr:style>
        <a:lnRef idx="3">
          <a:schemeClr val="lt1"/>
        </a:lnRef>
        <a:fillRef idx="1">
          <a:schemeClr val="accent3"/>
        </a:fillRef>
        <a:effectRef idx="1">
          <a:schemeClr val="accent3"/>
        </a:effectRef>
        <a:fontRef idx="minor">
          <a:schemeClr val="lt1"/>
        </a:fontRef>
      </xdr:style>
      <xdr:txBody>
        <a:bodyPr vertOverflow="clip" horzOverflow="clip" wrap="square" lIns="18288" tIns="0" rIns="0" bIns="0" rtlCol="0" anchor="ctr" upright="1"/>
        <a:lstStyle/>
        <a:p>
          <a:pPr algn="ctr"/>
          <a:r>
            <a:rPr lang="en-US" sz="1200" b="1">
              <a:latin typeface="Garamond" panose="02020404030301010803" pitchFamily="18" charset="0"/>
            </a:rPr>
            <a:t>Hide</a:t>
          </a:r>
          <a:r>
            <a:rPr lang="en-US" sz="1200" b="1" baseline="0">
              <a:latin typeface="Garamond" panose="02020404030301010803" pitchFamily="18" charset="0"/>
            </a:rPr>
            <a:t> line items</a:t>
          </a:r>
          <a:endParaRPr lang="en-US" sz="1200" b="1">
            <a:latin typeface="Garamond" panose="02020404030301010803" pitchFamily="18" charset="0"/>
          </a:endParaRPr>
        </a:p>
      </xdr:txBody>
    </xdr:sp>
    <xdr:clientData/>
  </xdr:twoCellAnchor>
  <xdr:twoCellAnchor>
    <xdr:from>
      <xdr:col>12</xdr:col>
      <xdr:colOff>1</xdr:colOff>
      <xdr:row>5</xdr:row>
      <xdr:rowOff>22413</xdr:rowOff>
    </xdr:from>
    <xdr:to>
      <xdr:col>13</xdr:col>
      <xdr:colOff>0</xdr:colOff>
      <xdr:row>7</xdr:row>
      <xdr:rowOff>0</xdr:rowOff>
    </xdr:to>
    <xdr:sp macro="[0]!ShowLineItems" textlink="">
      <xdr:nvSpPr>
        <xdr:cNvPr id="4" name="Rectangle: Rounded Corners 3">
          <a:extLst>
            <a:ext uri="{FF2B5EF4-FFF2-40B4-BE49-F238E27FC236}">
              <a16:creationId xmlns:a16="http://schemas.microsoft.com/office/drawing/2014/main" id="{00000000-0008-0000-1800-000004000000}"/>
            </a:ext>
          </a:extLst>
        </xdr:cNvPr>
        <xdr:cNvSpPr/>
      </xdr:nvSpPr>
      <xdr:spPr bwMode="auto">
        <a:xfrm>
          <a:off x="13525501" y="1288678"/>
          <a:ext cx="1333499" cy="369793"/>
        </a:xfrm>
        <a:prstGeom prst="roundRect">
          <a:avLst>
            <a:gd name="adj" fmla="val 50000"/>
          </a:avLst>
        </a:prstGeom>
        <a:solidFill>
          <a:schemeClr val="accent2">
            <a:lumMod val="75000"/>
          </a:schemeClr>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horzOverflow="clip" wrap="square" lIns="18288" tIns="0" rIns="0" bIns="0" rtlCol="0" anchor="ctr" upright="1"/>
        <a:lstStyle/>
        <a:p>
          <a:pPr algn="ctr"/>
          <a:r>
            <a:rPr lang="en-US" sz="1200" b="1" i="0">
              <a:latin typeface="Garamond" panose="02020404030301010803" pitchFamily="18" charset="0"/>
            </a:rPr>
            <a:t>Show</a:t>
          </a:r>
          <a:r>
            <a:rPr lang="en-US" sz="1200" b="1" i="0" baseline="0">
              <a:latin typeface="Garamond" panose="02020404030301010803" pitchFamily="18" charset="0"/>
            </a:rPr>
            <a:t> line items</a:t>
          </a:r>
          <a:endParaRPr lang="en-US" sz="1200" b="1" i="0">
            <a:latin typeface="Garamond" panose="02020404030301010803" pitchFamily="18" charset="0"/>
          </a:endParaRPr>
        </a:p>
      </xdr:txBody>
    </xdr:sp>
    <xdr:clientData/>
  </xdr:twoCellAnchor>
  <xdr:twoCellAnchor>
    <xdr:from>
      <xdr:col>12</xdr:col>
      <xdr:colOff>1</xdr:colOff>
      <xdr:row>31</xdr:row>
      <xdr:rowOff>22413</xdr:rowOff>
    </xdr:from>
    <xdr:to>
      <xdr:col>13</xdr:col>
      <xdr:colOff>1</xdr:colOff>
      <xdr:row>32</xdr:row>
      <xdr:rowOff>187864</xdr:rowOff>
    </xdr:to>
    <xdr:sp macro="[0]!Hide_Zero_SU" textlink="">
      <xdr:nvSpPr>
        <xdr:cNvPr id="5" name="Rectangle: Rounded Corners 4">
          <a:extLst>
            <a:ext uri="{FF2B5EF4-FFF2-40B4-BE49-F238E27FC236}">
              <a16:creationId xmlns:a16="http://schemas.microsoft.com/office/drawing/2014/main" id="{00000000-0008-0000-1800-000005000000}"/>
            </a:ext>
          </a:extLst>
        </xdr:cNvPr>
        <xdr:cNvSpPr/>
      </xdr:nvSpPr>
      <xdr:spPr bwMode="auto">
        <a:xfrm>
          <a:off x="13525501" y="6521825"/>
          <a:ext cx="1333500" cy="400774"/>
        </a:xfrm>
        <a:prstGeom prst="roundRect">
          <a:avLst>
            <a:gd name="adj" fmla="val 50000"/>
          </a:avLst>
        </a:prstGeom>
        <a:solidFill>
          <a:schemeClr val="accent3">
            <a:lumMod val="50000"/>
          </a:schemeClr>
        </a:solidFill>
        <a:ln>
          <a:headEnd type="none" w="med" len="med"/>
          <a:tailEnd type="none" w="med" len="med"/>
        </a:ln>
      </xdr:spPr>
      <xdr:style>
        <a:lnRef idx="3">
          <a:schemeClr val="lt1"/>
        </a:lnRef>
        <a:fillRef idx="1">
          <a:schemeClr val="accent3"/>
        </a:fillRef>
        <a:effectRef idx="1">
          <a:schemeClr val="accent3"/>
        </a:effectRef>
        <a:fontRef idx="minor">
          <a:schemeClr val="lt1"/>
        </a:fontRef>
      </xdr:style>
      <xdr:txBody>
        <a:bodyPr vertOverflow="clip" horzOverflow="clip" wrap="square" lIns="18288" tIns="0" rIns="0" bIns="0" rtlCol="0" anchor="ctr" upright="1"/>
        <a:lstStyle/>
        <a:p>
          <a:pPr algn="ctr"/>
          <a:r>
            <a:rPr lang="en-US" sz="1200" b="1">
              <a:latin typeface="Garamond" panose="02020404030301010803" pitchFamily="18" charset="0"/>
            </a:rPr>
            <a:t>Hide</a:t>
          </a:r>
          <a:r>
            <a:rPr lang="en-US" sz="1200" b="1" baseline="0">
              <a:latin typeface="Garamond" panose="02020404030301010803" pitchFamily="18" charset="0"/>
            </a:rPr>
            <a:t> $0 lines</a:t>
          </a:r>
          <a:endParaRPr lang="en-US" sz="1200" b="1">
            <a:latin typeface="Garamond" panose="02020404030301010803" pitchFamily="18" charset="0"/>
          </a:endParaRPr>
        </a:p>
      </xdr:txBody>
    </xdr:sp>
    <xdr:clientData/>
  </xdr:twoCellAnchor>
  <xdr:twoCellAnchor>
    <xdr:from>
      <xdr:col>12</xdr:col>
      <xdr:colOff>1</xdr:colOff>
      <xdr:row>33</xdr:row>
      <xdr:rowOff>22412</xdr:rowOff>
    </xdr:from>
    <xdr:to>
      <xdr:col>13</xdr:col>
      <xdr:colOff>1</xdr:colOff>
      <xdr:row>35</xdr:row>
      <xdr:rowOff>0</xdr:rowOff>
    </xdr:to>
    <xdr:sp macro="[0]!Show_Zero_SU" textlink="">
      <xdr:nvSpPr>
        <xdr:cNvPr id="6" name="Rectangle: Rounded Corners 5">
          <a:extLst>
            <a:ext uri="{FF2B5EF4-FFF2-40B4-BE49-F238E27FC236}">
              <a16:creationId xmlns:a16="http://schemas.microsoft.com/office/drawing/2014/main" id="{00000000-0008-0000-1800-000006000000}"/>
            </a:ext>
          </a:extLst>
        </xdr:cNvPr>
        <xdr:cNvSpPr/>
      </xdr:nvSpPr>
      <xdr:spPr bwMode="auto">
        <a:xfrm>
          <a:off x="13525501" y="6947647"/>
          <a:ext cx="1333500" cy="358588"/>
        </a:xfrm>
        <a:prstGeom prst="roundRect">
          <a:avLst>
            <a:gd name="adj" fmla="val 50000"/>
          </a:avLst>
        </a:prstGeom>
        <a:solidFill>
          <a:schemeClr val="accent2">
            <a:lumMod val="75000"/>
          </a:schemeClr>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horzOverflow="clip" wrap="square" lIns="18288" tIns="0" rIns="0" bIns="0" rtlCol="0" anchor="ctr" upright="1"/>
        <a:lstStyle/>
        <a:p>
          <a:pPr algn="ctr"/>
          <a:r>
            <a:rPr lang="en-US" sz="1200" b="1">
              <a:latin typeface="Garamond" panose="02020404030301010803" pitchFamily="18" charset="0"/>
            </a:rPr>
            <a:t>Show</a:t>
          </a:r>
          <a:r>
            <a:rPr lang="en-US" sz="1200" b="1" baseline="0">
              <a:latin typeface="Garamond" panose="02020404030301010803" pitchFamily="18" charset="0"/>
            </a:rPr>
            <a:t> $0 lines</a:t>
          </a:r>
          <a:endParaRPr lang="en-US" sz="1200" b="1">
            <a:latin typeface="Garamond" panose="02020404030301010803" pitchFamily="18" charset="0"/>
          </a:endParaRPr>
        </a:p>
      </xdr:txBody>
    </xdr:sp>
    <xdr:clientData/>
  </xdr:twoCellAnchor>
  <xdr:twoCellAnchor>
    <xdr:from>
      <xdr:col>14</xdr:col>
      <xdr:colOff>0</xdr:colOff>
      <xdr:row>31</xdr:row>
      <xdr:rowOff>22412</xdr:rowOff>
    </xdr:from>
    <xdr:to>
      <xdr:col>17</xdr:col>
      <xdr:colOff>0</xdr:colOff>
      <xdr:row>35</xdr:row>
      <xdr:rowOff>22412</xdr:rowOff>
    </xdr:to>
    <xdr:sp macro="[0]!LockDown_Preliminary" textlink="">
      <xdr:nvSpPr>
        <xdr:cNvPr id="3" name="Rectangle: Rounded Corners 2">
          <a:extLst>
            <a:ext uri="{FF2B5EF4-FFF2-40B4-BE49-F238E27FC236}">
              <a16:creationId xmlns:a16="http://schemas.microsoft.com/office/drawing/2014/main" id="{00000000-0008-0000-1800-000003000000}"/>
            </a:ext>
          </a:extLst>
        </xdr:cNvPr>
        <xdr:cNvSpPr/>
      </xdr:nvSpPr>
      <xdr:spPr bwMode="auto">
        <a:xfrm>
          <a:off x="16472647" y="6521824"/>
          <a:ext cx="1613647" cy="806823"/>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b="1">
              <a:latin typeface="Garamond" panose="02020404030301010803" pitchFamily="18" charset="0"/>
            </a:rPr>
            <a:t>Lock</a:t>
          </a:r>
          <a:r>
            <a:rPr lang="en-US" sz="1400" b="1" baseline="0">
              <a:latin typeface="Garamond" panose="02020404030301010803" pitchFamily="18" charset="0"/>
            </a:rPr>
            <a:t> down Preliminary</a:t>
          </a:r>
          <a:endParaRPr lang="en-US" sz="1400" b="1">
            <a:latin typeface="Garamond" panose="02020404030301010803" pitchFamily="18" charset="0"/>
          </a:endParaRPr>
        </a:p>
      </xdr:txBody>
    </xdr:sp>
    <xdr:clientData/>
  </xdr:twoCellAnchor>
  <xdr:twoCellAnchor>
    <xdr:from>
      <xdr:col>14</xdr:col>
      <xdr:colOff>0</xdr:colOff>
      <xdr:row>79</xdr:row>
      <xdr:rowOff>16564</xdr:rowOff>
    </xdr:from>
    <xdr:to>
      <xdr:col>15</xdr:col>
      <xdr:colOff>0</xdr:colOff>
      <xdr:row>81</xdr:row>
      <xdr:rowOff>16565</xdr:rowOff>
    </xdr:to>
    <xdr:sp macro="[0]!Hide_Zero_UW" textlink="">
      <xdr:nvSpPr>
        <xdr:cNvPr id="7" name="Rectangle: Rounded Corners 6">
          <a:extLst>
            <a:ext uri="{FF2B5EF4-FFF2-40B4-BE49-F238E27FC236}">
              <a16:creationId xmlns:a16="http://schemas.microsoft.com/office/drawing/2014/main" id="{00000000-0008-0000-1800-000007000000}"/>
            </a:ext>
          </a:extLst>
        </xdr:cNvPr>
        <xdr:cNvSpPr/>
      </xdr:nvSpPr>
      <xdr:spPr bwMode="auto">
        <a:xfrm>
          <a:off x="16730383" y="14606623"/>
          <a:ext cx="1613646" cy="425824"/>
        </a:xfrm>
        <a:prstGeom prst="roundRect">
          <a:avLst>
            <a:gd name="adj" fmla="val 50000"/>
          </a:avLst>
        </a:prstGeom>
        <a:solidFill>
          <a:schemeClr val="accent3">
            <a:lumMod val="50000"/>
          </a:schemeClr>
        </a:solidFill>
        <a:ln>
          <a:headEnd type="none" w="med" len="med"/>
          <a:tailEnd type="none" w="med" len="med"/>
        </a:ln>
      </xdr:spPr>
      <xdr:style>
        <a:lnRef idx="3">
          <a:schemeClr val="lt1"/>
        </a:lnRef>
        <a:fillRef idx="1">
          <a:schemeClr val="accent3"/>
        </a:fillRef>
        <a:effectRef idx="1">
          <a:schemeClr val="accent3"/>
        </a:effectRef>
        <a:fontRef idx="minor">
          <a:schemeClr val="lt1"/>
        </a:fontRef>
      </xdr:style>
      <xdr:txBody>
        <a:bodyPr vertOverflow="clip" horzOverflow="clip" wrap="square" lIns="18288" tIns="0" rIns="0" bIns="0" rtlCol="0" anchor="ctr" upright="1"/>
        <a:lstStyle/>
        <a:p>
          <a:pPr algn="ctr"/>
          <a:r>
            <a:rPr lang="en-US" sz="1200" b="1">
              <a:latin typeface="Garamond" panose="02020404030301010803" pitchFamily="18" charset="0"/>
            </a:rPr>
            <a:t>Hide</a:t>
          </a:r>
          <a:r>
            <a:rPr lang="en-US" sz="1200" b="1" baseline="0">
              <a:latin typeface="Garamond" panose="02020404030301010803" pitchFamily="18" charset="0"/>
            </a:rPr>
            <a:t> blank lines</a:t>
          </a:r>
          <a:endParaRPr lang="en-US" sz="1200" b="1">
            <a:latin typeface="Garamond" panose="02020404030301010803" pitchFamily="18" charset="0"/>
          </a:endParaRPr>
        </a:p>
      </xdr:txBody>
    </xdr:sp>
    <xdr:clientData/>
  </xdr:twoCellAnchor>
  <xdr:twoCellAnchor>
    <xdr:from>
      <xdr:col>14</xdr:col>
      <xdr:colOff>0</xdr:colOff>
      <xdr:row>81</xdr:row>
      <xdr:rowOff>16565</xdr:rowOff>
    </xdr:from>
    <xdr:to>
      <xdr:col>15</xdr:col>
      <xdr:colOff>0</xdr:colOff>
      <xdr:row>83</xdr:row>
      <xdr:rowOff>0</xdr:rowOff>
    </xdr:to>
    <xdr:sp macro="[0]!Show_Zero_UW" textlink="">
      <xdr:nvSpPr>
        <xdr:cNvPr id="8" name="Rectangle: Rounded Corners 7">
          <a:extLst>
            <a:ext uri="{FF2B5EF4-FFF2-40B4-BE49-F238E27FC236}">
              <a16:creationId xmlns:a16="http://schemas.microsoft.com/office/drawing/2014/main" id="{00000000-0008-0000-1800-000008000000}"/>
            </a:ext>
          </a:extLst>
        </xdr:cNvPr>
        <xdr:cNvSpPr/>
      </xdr:nvSpPr>
      <xdr:spPr bwMode="auto">
        <a:xfrm>
          <a:off x="16730383" y="15032447"/>
          <a:ext cx="1613646" cy="364435"/>
        </a:xfrm>
        <a:prstGeom prst="roundRect">
          <a:avLst>
            <a:gd name="adj" fmla="val 50000"/>
          </a:avLst>
        </a:prstGeom>
        <a:solidFill>
          <a:schemeClr val="accent2">
            <a:lumMod val="75000"/>
          </a:schemeClr>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horzOverflow="clip" wrap="square" lIns="18288" tIns="0" rIns="0" bIns="0" rtlCol="0" anchor="ctr" upright="1"/>
        <a:lstStyle/>
        <a:p>
          <a:pPr algn="ctr"/>
          <a:r>
            <a:rPr lang="en-US" sz="1200" b="1">
              <a:latin typeface="Garamond" panose="02020404030301010803" pitchFamily="18" charset="0"/>
            </a:rPr>
            <a:t>Show</a:t>
          </a:r>
          <a:r>
            <a:rPr lang="en-US" sz="1200" b="1" baseline="0">
              <a:latin typeface="Garamond" panose="02020404030301010803" pitchFamily="18" charset="0"/>
            </a:rPr>
            <a:t> blank lines</a:t>
          </a:r>
          <a:endParaRPr lang="en-US" sz="1200" b="1">
            <a:latin typeface="Garamond" panose="02020404030301010803"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0</xdr:colOff>
      <xdr:row>2</xdr:row>
      <xdr:rowOff>285750</xdr:rowOff>
    </xdr:to>
    <xdr:sp macro="[0]!Show_Underwriting_All" textlink="">
      <xdr:nvSpPr>
        <xdr:cNvPr id="2" name="Rectangle: Rounded Corners 1">
          <a:extLst>
            <a:ext uri="{FF2B5EF4-FFF2-40B4-BE49-F238E27FC236}">
              <a16:creationId xmlns:a16="http://schemas.microsoft.com/office/drawing/2014/main" id="{00000000-0008-0000-1900-000002000000}"/>
            </a:ext>
          </a:extLst>
        </xdr:cNvPr>
        <xdr:cNvSpPr/>
      </xdr:nvSpPr>
      <xdr:spPr bwMode="auto">
        <a:xfrm>
          <a:off x="13370719" y="1017984"/>
          <a:ext cx="684609" cy="285750"/>
        </a:xfrm>
        <a:prstGeom prst="roundRect">
          <a:avLst>
            <a:gd name="adj" fmla="val 50000"/>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horzOverflow="clip" wrap="square" lIns="18288" tIns="0" rIns="0" bIns="0" rtlCol="0" anchor="ctr" upright="1"/>
        <a:lstStyle/>
        <a:p>
          <a:pPr algn="ctr"/>
          <a:r>
            <a:rPr lang="en-US" sz="1100"/>
            <a:t>All</a:t>
          </a:r>
        </a:p>
        <a:p>
          <a:pPr algn="ctr"/>
          <a:endParaRPr lang="en-US" sz="1100"/>
        </a:p>
      </xdr:txBody>
    </xdr:sp>
    <xdr:clientData/>
  </xdr:twoCellAnchor>
  <xdr:twoCellAnchor>
    <xdr:from>
      <xdr:col>9</xdr:col>
      <xdr:colOff>0</xdr:colOff>
      <xdr:row>2</xdr:row>
      <xdr:rowOff>285750</xdr:rowOff>
    </xdr:from>
    <xdr:to>
      <xdr:col>10</xdr:col>
      <xdr:colOff>0</xdr:colOff>
      <xdr:row>3</xdr:row>
      <xdr:rowOff>285750</xdr:rowOff>
    </xdr:to>
    <xdr:sp macro="[0]!Show_Underwriting_GU" textlink="">
      <xdr:nvSpPr>
        <xdr:cNvPr id="3" name="Rectangle: Rounded Corners 2">
          <a:extLst>
            <a:ext uri="{FF2B5EF4-FFF2-40B4-BE49-F238E27FC236}">
              <a16:creationId xmlns:a16="http://schemas.microsoft.com/office/drawing/2014/main" id="{00000000-0008-0000-1900-000003000000}"/>
            </a:ext>
          </a:extLst>
        </xdr:cNvPr>
        <xdr:cNvSpPr/>
      </xdr:nvSpPr>
      <xdr:spPr bwMode="auto">
        <a:xfrm>
          <a:off x="13370719" y="1303734"/>
          <a:ext cx="684609" cy="285750"/>
        </a:xfrm>
        <a:prstGeom prst="roundRect">
          <a:avLst>
            <a:gd name="adj" fmla="val 50000"/>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horzOverflow="clip" wrap="square" lIns="18288" tIns="0" rIns="0" bIns="0" rtlCol="0" anchor="ctr" upright="1"/>
        <a:lstStyle/>
        <a:p>
          <a:pPr algn="ctr"/>
          <a:r>
            <a:rPr lang="en-US" sz="1100"/>
            <a:t>GU</a:t>
          </a:r>
        </a:p>
      </xdr:txBody>
    </xdr:sp>
    <xdr:clientData/>
  </xdr:twoCellAnchor>
  <xdr:twoCellAnchor>
    <xdr:from>
      <xdr:col>9</xdr:col>
      <xdr:colOff>0</xdr:colOff>
      <xdr:row>3</xdr:row>
      <xdr:rowOff>285750</xdr:rowOff>
    </xdr:from>
    <xdr:to>
      <xdr:col>10</xdr:col>
      <xdr:colOff>0</xdr:colOff>
      <xdr:row>4</xdr:row>
      <xdr:rowOff>285750</xdr:rowOff>
    </xdr:to>
    <xdr:sp macro="[0]!Show_Underwriting_CC" textlink="">
      <xdr:nvSpPr>
        <xdr:cNvPr id="4" name="Rectangle: Rounded Corners 3">
          <a:extLst>
            <a:ext uri="{FF2B5EF4-FFF2-40B4-BE49-F238E27FC236}">
              <a16:creationId xmlns:a16="http://schemas.microsoft.com/office/drawing/2014/main" id="{00000000-0008-0000-1900-000004000000}"/>
            </a:ext>
          </a:extLst>
        </xdr:cNvPr>
        <xdr:cNvSpPr/>
      </xdr:nvSpPr>
      <xdr:spPr bwMode="auto">
        <a:xfrm>
          <a:off x="13370719" y="1589484"/>
          <a:ext cx="684609" cy="285750"/>
        </a:xfrm>
        <a:prstGeom prst="roundRect">
          <a:avLst>
            <a:gd name="adj" fmla="val 50000"/>
          </a:avLst>
        </a:prstGeom>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horzOverflow="clip" wrap="square" lIns="18288" tIns="0" rIns="0" bIns="0" rtlCol="0" anchor="ctr" upright="1"/>
        <a:lstStyle/>
        <a:p>
          <a:pPr algn="ctr"/>
          <a:r>
            <a:rPr lang="en-US" sz="1100"/>
            <a:t>CC</a:t>
          </a:r>
        </a:p>
        <a:p>
          <a:pPr algn="ct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3</xdr:row>
      <xdr:rowOff>0</xdr:rowOff>
    </xdr:from>
    <xdr:to>
      <xdr:col>30</xdr:col>
      <xdr:colOff>0</xdr:colOff>
      <xdr:row>113</xdr:row>
      <xdr:rowOff>11207</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14876318" y="813955"/>
          <a:ext cx="5368637" cy="21104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mn-lt"/>
              <a:ea typeface="+mn-ea"/>
              <a:cs typeface="+mn-cs"/>
            </a:rPr>
            <a:t>Standard Method Worksheet Instructions</a:t>
          </a:r>
        </a:p>
        <a:p>
          <a:r>
            <a:rPr lang="en-US" sz="1100">
              <a:solidFill>
                <a:schemeClr val="dk1"/>
              </a:solidFill>
              <a:effectLst/>
              <a:latin typeface="+mn-lt"/>
              <a:ea typeface="+mn-ea"/>
              <a:cs typeface="+mn-cs"/>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1. This line will initially show the total residential square footage of the project calculated on the Selection of Method worksheet.  That should include </a:t>
          </a:r>
          <a:r>
            <a:rPr lang="en-US" sz="1100" u="sng">
              <a:solidFill>
                <a:schemeClr val="dk1"/>
              </a:solidFill>
              <a:effectLst/>
              <a:latin typeface="+mn-lt"/>
              <a:ea typeface="+mn-ea"/>
              <a:cs typeface="+mn-cs"/>
            </a:rPr>
            <a:t>only</a:t>
          </a:r>
          <a:r>
            <a:rPr lang="en-US" sz="1100">
              <a:solidFill>
                <a:schemeClr val="dk1"/>
              </a:solidFill>
              <a:effectLst/>
              <a:latin typeface="+mn-lt"/>
              <a:ea typeface="+mn-ea"/>
              <a:cs typeface="+mn-cs"/>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 Enter the proposed HOME investment.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 Enter the project’s total development cost.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 Enter the portion of the total development cost that has been identified as ineligible for HOME funding.  This will include, but not be limited to, most capitalized reserves, any off-site infrastructure, any organizational and syndication costs, and the cost of free-standing accessory structures.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5. If the units in the project are not comparable and some units have upgraded finishes or amenities (e.g. some units have fireplaces, upgraded appliance packages, premium fixtures, etc.), enter the cost of these upgrades on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6. Enter costs associated with URA- or Section 104(d)-required relocation.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7. Using the dropdown selection, identity whether relocation costs will be assigned exclusively to HOME-assisted units (“Yes”) or will be treated as a common cost of the project (“No”).  PJs may choose either option.  The most common approach in practice is to treat relocation costs as common costs.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8. This line shows the “Base Project Cost.”  It is calculated by deducting HOME-ineligible costs (line 4), non-standard upgrade costs (line 5), and any URA costs that will be assigned exclusively to HOME units from the total development cost (line 3).</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9. This line calculates the “Base Cost Per Square Foot” by dividing the Base Project Cost (line 8) by the gross residential square footage (line 1).  For programming purposes, the result in this cell is rounded </a:t>
          </a:r>
          <a:r>
            <a:rPr lang="en-US" sz="1100" u="sng">
              <a:solidFill>
                <a:schemeClr val="dk1"/>
              </a:solidFill>
              <a:effectLst/>
              <a:latin typeface="+mn-lt"/>
              <a:ea typeface="+mn-ea"/>
              <a:cs typeface="+mn-cs"/>
            </a:rPr>
            <a:t>down</a:t>
          </a:r>
          <a:r>
            <a:rPr lang="en-US" sz="1100">
              <a:solidFill>
                <a:schemeClr val="dk1"/>
              </a:solidFill>
              <a:effectLst/>
              <a:latin typeface="+mn-lt"/>
              <a:ea typeface="+mn-ea"/>
              <a:cs typeface="+mn-cs"/>
            </a:rPr>
            <a:t> to the nearest cent.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10. Enter information on the specific units being designated as HOME-assisted units in the first four columns of this line.  This will include the specific unit number (e.g. 101, 3-A, etc.), a description of the unit (usually the number of bedrooms and bathrooms), the number of bedrooms, and the square footage of the specific unit.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fourth column of this line calculates the “Individual Unit Cost” by multiplying the unit’s square footage by the Base Cost Per Square Foot (line 9).  For programming purposes, the result on this line is rounded </a:t>
          </a:r>
          <a:r>
            <a:rPr lang="en-US" sz="1100" u="sng">
              <a:solidFill>
                <a:schemeClr val="dk1"/>
              </a:solidFill>
              <a:effectLst/>
              <a:latin typeface="+mn-lt"/>
              <a:ea typeface="+mn-ea"/>
              <a:cs typeface="+mn-cs"/>
            </a:rPr>
            <a:t>down</a:t>
          </a:r>
          <a:r>
            <a:rPr lang="en-US" sz="1100">
              <a:solidFill>
                <a:schemeClr val="dk1"/>
              </a:solidFill>
              <a:effectLst/>
              <a:latin typeface="+mn-lt"/>
              <a:ea typeface="+mn-ea"/>
              <a:cs typeface="+mn-cs"/>
            </a:rPr>
            <a:t> to the nearest dollar.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30. This line subtotals the individual unit cost from each designated HOME unit entered on lines 10-29 above.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32. This line calculates the “Actual Cost of HOME Units” by adding together the subtotal of individual unit costs (line 30) and any relocation costs assigned exclusively to the HOME-assisted units (line 31).</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34. Enter the maximum per-unit HOME subsidy for a 1-bedroom unit in the yellow input cell.  See the explanation for line 33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35. Enter the maximum per-unit HOME subsidy for a 2-bedroom unit in the yellow input cell.  See the explanation for line 33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36. Enter the maximum per-unit HOME subsidy for a 3-bedroom unit in the yellow input cell.  See the explanation for line 33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37. Enter the maximum per-unit HOME subsidy for a 4-bedroom unit in the yellow input cell.  See the explanation for line 33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40. This line shows the actual cost of the HOME units originally calculated on line 32 above.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41. This line shows the maximum project subsidy calculated on line 38 above.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42. This line shows the “Maximum HOME Investment” by calculating the lesser of the figures on lines 39-41 above. </a:t>
          </a:r>
        </a:p>
        <a:p>
          <a:endParaRPr lang="en-US" sz="1100"/>
        </a:p>
        <a:p>
          <a:r>
            <a:rPr lang="en-US" sz="1100" i="1"/>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13</xdr:row>
      <xdr:rowOff>163663</xdr:rowOff>
    </xdr:from>
    <xdr:to>
      <xdr:col>17</xdr:col>
      <xdr:colOff>0</xdr:colOff>
      <xdr:row>26</xdr:row>
      <xdr:rowOff>173934</xdr:rowOff>
    </xdr:to>
    <xdr:sp macro="" textlink="" fLocksText="0">
      <xdr:nvSpPr>
        <xdr:cNvPr id="23556" name="Text Box 4">
          <a:extLst>
            <a:ext uri="{FF2B5EF4-FFF2-40B4-BE49-F238E27FC236}">
              <a16:creationId xmlns:a16="http://schemas.microsoft.com/office/drawing/2014/main" id="{00000000-0008-0000-0100-0000045C0000}"/>
            </a:ext>
          </a:extLst>
        </xdr:cNvPr>
        <xdr:cNvSpPr txBox="1">
          <a:spLocks noChangeArrowheads="1"/>
        </xdr:cNvSpPr>
      </xdr:nvSpPr>
      <xdr:spPr bwMode="auto">
        <a:xfrm>
          <a:off x="6891130" y="2756120"/>
          <a:ext cx="6162261" cy="2172031"/>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50" b="1" i="0" baseline="0">
              <a:solidFill>
                <a:srgbClr val="0000E1"/>
              </a:solidFill>
              <a:effectLst/>
              <a:latin typeface="+mn-lt"/>
              <a:ea typeface="+mn-ea"/>
              <a:cs typeface="+mn-cs"/>
            </a:rPr>
            <a:t>Comments</a:t>
          </a:r>
          <a:r>
            <a:rPr lang="en-US" sz="1000" b="1" i="0" baseline="0">
              <a:solidFill>
                <a:schemeClr val="dk1"/>
              </a:solidFill>
              <a:effectLst/>
              <a:latin typeface="+mn-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sz="1000" b="1" i="0" baseline="0">
            <a:solidFill>
              <a:srgbClr val="FF0000"/>
            </a:solidFill>
            <a:effectLst/>
            <a:latin typeface="+mn-lt"/>
            <a:ea typeface="+mn-ea"/>
            <a:cs typeface="+mn-cs"/>
          </a:endParaRPr>
        </a:p>
      </xdr:txBody>
    </xdr:sp>
    <xdr:clientData fLocksWithSheet="0"/>
  </xdr:twoCellAnchor>
  <xdr:twoCellAnchor>
    <xdr:from>
      <xdr:col>5</xdr:col>
      <xdr:colOff>0</xdr:colOff>
      <xdr:row>1</xdr:row>
      <xdr:rowOff>0</xdr:rowOff>
    </xdr:from>
    <xdr:to>
      <xdr:col>9</xdr:col>
      <xdr:colOff>0</xdr:colOff>
      <xdr:row>4</xdr:row>
      <xdr:rowOff>0</xdr:rowOff>
    </xdr:to>
    <xdr:sp macro="[0]!Print_Credit_Committee" textlink="">
      <xdr:nvSpPr>
        <xdr:cNvPr id="2" name="Rectangle: Rounded Corners 1">
          <a:extLst>
            <a:ext uri="{FF2B5EF4-FFF2-40B4-BE49-F238E27FC236}">
              <a16:creationId xmlns:a16="http://schemas.microsoft.com/office/drawing/2014/main" id="{00000000-0008-0000-0100-000002000000}"/>
            </a:ext>
          </a:extLst>
        </xdr:cNvPr>
        <xdr:cNvSpPr/>
      </xdr:nvSpPr>
      <xdr:spPr bwMode="auto">
        <a:xfrm>
          <a:off x="6891130" y="173935"/>
          <a:ext cx="2054087" cy="621195"/>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Print committee worksheets</a:t>
          </a:r>
        </a:p>
      </xdr:txBody>
    </xdr:sp>
    <xdr:clientData/>
  </xdr:twoCellAnchor>
  <xdr:twoCellAnchor>
    <xdr:from>
      <xdr:col>5</xdr:col>
      <xdr:colOff>0</xdr:colOff>
      <xdr:row>4</xdr:row>
      <xdr:rowOff>190499</xdr:rowOff>
    </xdr:from>
    <xdr:to>
      <xdr:col>9</xdr:col>
      <xdr:colOff>0</xdr:colOff>
      <xdr:row>7</xdr:row>
      <xdr:rowOff>0</xdr:rowOff>
    </xdr:to>
    <xdr:sp macro="[0]!Print_All_Sheets" textlink="">
      <xdr:nvSpPr>
        <xdr:cNvPr id="4" name="Rectangle: Rounded Corners 3">
          <a:extLst>
            <a:ext uri="{FF2B5EF4-FFF2-40B4-BE49-F238E27FC236}">
              <a16:creationId xmlns:a16="http://schemas.microsoft.com/office/drawing/2014/main" id="{00000000-0008-0000-0100-000004000000}"/>
            </a:ext>
          </a:extLst>
        </xdr:cNvPr>
        <xdr:cNvSpPr/>
      </xdr:nvSpPr>
      <xdr:spPr bwMode="auto">
        <a:xfrm>
          <a:off x="8079441" y="974911"/>
          <a:ext cx="2061883" cy="616324"/>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Print all worksheets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240927</xdr:colOff>
      <xdr:row>3</xdr:row>
      <xdr:rowOff>0</xdr:rowOff>
    </xdr:from>
    <xdr:to>
      <xdr:col>7</xdr:col>
      <xdr:colOff>0</xdr:colOff>
      <xdr:row>5</xdr:row>
      <xdr:rowOff>0</xdr:rowOff>
    </xdr:to>
    <xdr:sp macro="[0]!wst00_2_MasterDataField.SaveFile" textlink="">
      <xdr:nvSpPr>
        <xdr:cNvPr id="2" name="Rectangle: Rounded Corners 1">
          <a:extLst>
            <a:ext uri="{FF2B5EF4-FFF2-40B4-BE49-F238E27FC236}">
              <a16:creationId xmlns:a16="http://schemas.microsoft.com/office/drawing/2014/main" id="{00000000-0008-0000-0200-000002000000}"/>
            </a:ext>
          </a:extLst>
        </xdr:cNvPr>
        <xdr:cNvSpPr/>
      </xdr:nvSpPr>
      <xdr:spPr bwMode="auto">
        <a:xfrm flipH="1">
          <a:off x="8908677" y="800100"/>
          <a:ext cx="1187823" cy="381000"/>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Save</a:t>
          </a:r>
          <a:r>
            <a:rPr lang="en-US" sz="1400" baseline="0">
              <a:latin typeface="Garamond" panose="02020404030301010803" pitchFamily="18" charset="0"/>
            </a:rPr>
            <a:t> Info</a:t>
          </a:r>
          <a:endParaRPr lang="en-US" sz="1400">
            <a:latin typeface="Garamond" panose="02020404030301010803"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276225</xdr:colOff>
      <xdr:row>6</xdr:row>
      <xdr:rowOff>200025</xdr:rowOff>
    </xdr:from>
    <xdr:to>
      <xdr:col>5</xdr:col>
      <xdr:colOff>0</xdr:colOff>
      <xdr:row>8</xdr:row>
      <xdr:rowOff>0</xdr:rowOff>
    </xdr:to>
    <xdr:sp macro="[0]!wst00_3_DropDown.Navigate_Dropdown" textlink="">
      <xdr:nvSpPr>
        <xdr:cNvPr id="2" name="Rectangle 1">
          <a:extLst>
            <a:ext uri="{FF2B5EF4-FFF2-40B4-BE49-F238E27FC236}">
              <a16:creationId xmlns:a16="http://schemas.microsoft.com/office/drawing/2014/main" id="{00000000-0008-0000-0300-000002000000}"/>
            </a:ext>
          </a:extLst>
        </xdr:cNvPr>
        <xdr:cNvSpPr/>
      </xdr:nvSpPr>
      <xdr:spPr bwMode="auto">
        <a:xfrm>
          <a:off x="5514975" y="1466850"/>
          <a:ext cx="1181100" cy="219075"/>
        </a:xfrm>
        <a:prstGeom prst="rect">
          <a:avLst/>
        </a:prstGeom>
        <a:solidFill>
          <a:schemeClr val="accent2">
            <a:lumMod val="50000"/>
          </a:schemeClr>
        </a:solidFill>
        <a:ln>
          <a:headEnd type="none" w="med" len="med"/>
          <a:tailEnd type="none" w="med" len="med"/>
        </a:ln>
      </xdr:spPr>
      <xdr:style>
        <a:lnRef idx="3">
          <a:schemeClr val="lt1"/>
        </a:lnRef>
        <a:fillRef idx="1">
          <a:schemeClr val="accent5"/>
        </a:fillRef>
        <a:effectRef idx="1">
          <a:schemeClr val="accent5"/>
        </a:effectRef>
        <a:fontRef idx="minor">
          <a:schemeClr val="lt1"/>
        </a:fontRef>
      </xdr:style>
      <xdr:txBody>
        <a:bodyPr vertOverflow="clip" horzOverflow="clip" wrap="square" lIns="18288" tIns="0" rIns="0" bIns="0" rtlCol="0" anchor="ctr" upright="1"/>
        <a:lstStyle/>
        <a:p>
          <a:pPr algn="ctr"/>
          <a:r>
            <a:rPr lang="en-US" sz="1100"/>
            <a:t>Go to Drop down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107</xdr:row>
      <xdr:rowOff>67234</xdr:rowOff>
    </xdr:from>
    <xdr:to>
      <xdr:col>7</xdr:col>
      <xdr:colOff>0</xdr:colOff>
      <xdr:row>109</xdr:row>
      <xdr:rowOff>53227</xdr:rowOff>
    </xdr:to>
    <xdr:sp macro="[0]!dev_ModifyAssumption" textlink="">
      <xdr:nvSpPr>
        <xdr:cNvPr id="4" name="cmd_ModifyAssumption">
          <a:extLst>
            <a:ext uri="{FF2B5EF4-FFF2-40B4-BE49-F238E27FC236}">
              <a16:creationId xmlns:a16="http://schemas.microsoft.com/office/drawing/2014/main" id="{00000000-0008-0000-0A00-000004000000}"/>
            </a:ext>
          </a:extLst>
        </xdr:cNvPr>
        <xdr:cNvSpPr/>
      </xdr:nvSpPr>
      <xdr:spPr bwMode="auto">
        <a:xfrm>
          <a:off x="7154333" y="22323984"/>
          <a:ext cx="2391834" cy="377576"/>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200">
              <a:latin typeface="Garamond" panose="02020404030301010803" pitchFamily="18" charset="0"/>
            </a:rPr>
            <a:t>Modify Yearly</a:t>
          </a:r>
          <a:r>
            <a:rPr lang="en-US" sz="1200" baseline="0">
              <a:latin typeface="Garamond" panose="02020404030301010803" pitchFamily="18" charset="0"/>
            </a:rPr>
            <a:t> Trending Assumption</a:t>
          </a:r>
        </a:p>
      </xdr:txBody>
    </xdr:sp>
    <xdr:clientData/>
  </xdr:twoCellAnchor>
  <xdr:twoCellAnchor>
    <xdr:from>
      <xdr:col>7</xdr:col>
      <xdr:colOff>0</xdr:colOff>
      <xdr:row>107</xdr:row>
      <xdr:rowOff>67234</xdr:rowOff>
    </xdr:from>
    <xdr:to>
      <xdr:col>9</xdr:col>
      <xdr:colOff>0</xdr:colOff>
      <xdr:row>109</xdr:row>
      <xdr:rowOff>53227</xdr:rowOff>
    </xdr:to>
    <xdr:sp macro="[0]!dev_ModifyAssumption_Lock" textlink="">
      <xdr:nvSpPr>
        <xdr:cNvPr id="6" name="cmd_LockAssumption">
          <a:extLst>
            <a:ext uri="{FF2B5EF4-FFF2-40B4-BE49-F238E27FC236}">
              <a16:creationId xmlns:a16="http://schemas.microsoft.com/office/drawing/2014/main" id="{00000000-0008-0000-0A00-000006000000}"/>
            </a:ext>
          </a:extLst>
        </xdr:cNvPr>
        <xdr:cNvSpPr/>
      </xdr:nvSpPr>
      <xdr:spPr bwMode="auto">
        <a:xfrm>
          <a:off x="9546167" y="22323984"/>
          <a:ext cx="2391833" cy="377576"/>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200">
              <a:latin typeface="Garamond" panose="02020404030301010803" pitchFamily="18" charset="0"/>
            </a:rPr>
            <a:t>Lock Yearly</a:t>
          </a:r>
          <a:r>
            <a:rPr lang="en-US" sz="1200" baseline="0">
              <a:latin typeface="Garamond" panose="02020404030301010803" pitchFamily="18" charset="0"/>
            </a:rPr>
            <a:t> Trending Assumption</a:t>
          </a:r>
        </a:p>
      </xdr:txBody>
    </xdr:sp>
    <xdr:clientData/>
  </xdr:twoCellAnchor>
  <xdr:twoCellAnchor>
    <xdr:from>
      <xdr:col>2</xdr:col>
      <xdr:colOff>0</xdr:colOff>
      <xdr:row>2</xdr:row>
      <xdr:rowOff>161924</xdr:rowOff>
    </xdr:from>
    <xdr:to>
      <xdr:col>3</xdr:col>
      <xdr:colOff>0</xdr:colOff>
      <xdr:row>5</xdr:row>
      <xdr:rowOff>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bwMode="auto">
        <a:xfrm flipH="1">
          <a:off x="3571875" y="771524"/>
          <a:ext cx="1257300" cy="571501"/>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General Data</a:t>
          </a:r>
        </a:p>
      </xdr:txBody>
    </xdr:sp>
    <xdr:clientData/>
  </xdr:twoCellAnchor>
  <xdr:twoCellAnchor>
    <xdr:from>
      <xdr:col>3</xdr:col>
      <xdr:colOff>1190623</xdr:colOff>
      <xdr:row>3</xdr:row>
      <xdr:rowOff>0</xdr:rowOff>
    </xdr:from>
    <xdr:to>
      <xdr:col>4</xdr:col>
      <xdr:colOff>1190623</xdr:colOff>
      <xdr:row>5</xdr:row>
      <xdr:rowOff>0</xdr:rowOff>
    </xdr:to>
    <xdr:sp macro="[0]!wst01_1_GeneralData.GoTo_Equity" textlink="">
      <xdr:nvSpPr>
        <xdr:cNvPr id="9" name="Rectangle: Rounded Corners 8">
          <a:extLst>
            <a:ext uri="{FF2B5EF4-FFF2-40B4-BE49-F238E27FC236}">
              <a16:creationId xmlns:a16="http://schemas.microsoft.com/office/drawing/2014/main" id="{00000000-0008-0000-0A00-000009000000}"/>
            </a:ext>
          </a:extLst>
        </xdr:cNvPr>
        <xdr:cNvSpPr/>
      </xdr:nvSpPr>
      <xdr:spPr bwMode="auto">
        <a:xfrm flipH="1">
          <a:off x="5953123" y="800100"/>
          <a:ext cx="1190625" cy="590550"/>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Equity Pay-in</a:t>
          </a:r>
        </a:p>
      </xdr:txBody>
    </xdr:sp>
    <xdr:clientData/>
  </xdr:twoCellAnchor>
  <xdr:twoCellAnchor>
    <xdr:from>
      <xdr:col>3</xdr:col>
      <xdr:colOff>0</xdr:colOff>
      <xdr:row>2</xdr:row>
      <xdr:rowOff>161924</xdr:rowOff>
    </xdr:from>
    <xdr:to>
      <xdr:col>3</xdr:col>
      <xdr:colOff>1186388</xdr:colOff>
      <xdr:row>5</xdr:row>
      <xdr:rowOff>0</xdr:rowOff>
    </xdr:to>
    <xdr:sp macro="[0]!Navigation_Building" textlink="">
      <xdr:nvSpPr>
        <xdr:cNvPr id="10" name="Rectangle: Rounded Corners 9">
          <a:hlinkClick xmlns:r="http://schemas.openxmlformats.org/officeDocument/2006/relationships" r:id="rId2"/>
          <a:extLst>
            <a:ext uri="{FF2B5EF4-FFF2-40B4-BE49-F238E27FC236}">
              <a16:creationId xmlns:a16="http://schemas.microsoft.com/office/drawing/2014/main" id="{00000000-0008-0000-0A00-00000A000000}"/>
            </a:ext>
          </a:extLst>
        </xdr:cNvPr>
        <xdr:cNvSpPr/>
      </xdr:nvSpPr>
      <xdr:spPr bwMode="auto">
        <a:xfrm flipH="1">
          <a:off x="4829175" y="771524"/>
          <a:ext cx="1186388" cy="571501"/>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Building Configuration</a:t>
          </a:r>
        </a:p>
      </xdr:txBody>
    </xdr:sp>
    <xdr:clientData/>
  </xdr:twoCellAnchor>
  <xdr:twoCellAnchor>
    <xdr:from>
      <xdr:col>6</xdr:col>
      <xdr:colOff>1187822</xdr:colOff>
      <xdr:row>3</xdr:row>
      <xdr:rowOff>0</xdr:rowOff>
    </xdr:from>
    <xdr:to>
      <xdr:col>8</xdr:col>
      <xdr:colOff>0</xdr:colOff>
      <xdr:row>5</xdr:row>
      <xdr:rowOff>0</xdr:rowOff>
    </xdr:to>
    <xdr:sp macro="" textlink="">
      <xdr:nvSpPr>
        <xdr:cNvPr id="11" name="Rectangle: Rounded Corners 10">
          <a:hlinkClick xmlns:r="http://schemas.openxmlformats.org/officeDocument/2006/relationships" r:id="rId3"/>
          <a:extLst>
            <a:ext uri="{FF2B5EF4-FFF2-40B4-BE49-F238E27FC236}">
              <a16:creationId xmlns:a16="http://schemas.microsoft.com/office/drawing/2014/main" id="{00000000-0008-0000-0A00-00000B000000}"/>
            </a:ext>
          </a:extLst>
        </xdr:cNvPr>
        <xdr:cNvSpPr/>
      </xdr:nvSpPr>
      <xdr:spPr bwMode="auto">
        <a:xfrm flipH="1">
          <a:off x="9513793" y="773206"/>
          <a:ext cx="1187825" cy="582706"/>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Developer Team</a:t>
          </a:r>
        </a:p>
      </xdr:txBody>
    </xdr:sp>
    <xdr:clientData/>
  </xdr:twoCellAnchor>
  <xdr:twoCellAnchor>
    <xdr:from>
      <xdr:col>4</xdr:col>
      <xdr:colOff>1186389</xdr:colOff>
      <xdr:row>3</xdr:row>
      <xdr:rowOff>0</xdr:rowOff>
    </xdr:from>
    <xdr:to>
      <xdr:col>5</xdr:col>
      <xdr:colOff>1186389</xdr:colOff>
      <xdr:row>5</xdr:row>
      <xdr:rowOff>0</xdr:rowOff>
    </xdr:to>
    <xdr:sp macro="[0]!wst01_1_GeneralData.GoTo_Trending" textlink="">
      <xdr:nvSpPr>
        <xdr:cNvPr id="8" name="Rectangle: Rounded Corners 7">
          <a:extLst>
            <a:ext uri="{FF2B5EF4-FFF2-40B4-BE49-F238E27FC236}">
              <a16:creationId xmlns:a16="http://schemas.microsoft.com/office/drawing/2014/main" id="{00000000-0008-0000-0A00-000008000000}"/>
            </a:ext>
          </a:extLst>
        </xdr:cNvPr>
        <xdr:cNvSpPr/>
      </xdr:nvSpPr>
      <xdr:spPr bwMode="auto">
        <a:xfrm flipH="1">
          <a:off x="7139514" y="800100"/>
          <a:ext cx="1190625" cy="590550"/>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Trending</a:t>
          </a:r>
          <a:r>
            <a:rPr lang="en-US" sz="1400" baseline="0">
              <a:latin typeface="Garamond" panose="02020404030301010803" pitchFamily="18" charset="0"/>
            </a:rPr>
            <a:t> Assumption</a:t>
          </a:r>
          <a:endParaRPr lang="en-US" sz="1400">
            <a:latin typeface="Garamond" panose="02020404030301010803" pitchFamily="18" charset="0"/>
          </a:endParaRPr>
        </a:p>
      </xdr:txBody>
    </xdr:sp>
    <xdr:clientData/>
  </xdr:twoCellAnchor>
  <xdr:twoCellAnchor>
    <xdr:from>
      <xdr:col>8</xdr:col>
      <xdr:colOff>1432</xdr:colOff>
      <xdr:row>3</xdr:row>
      <xdr:rowOff>0</xdr:rowOff>
    </xdr:from>
    <xdr:to>
      <xdr:col>9</xdr:col>
      <xdr:colOff>1433</xdr:colOff>
      <xdr:row>5</xdr:row>
      <xdr:rowOff>0</xdr:rowOff>
    </xdr:to>
    <xdr:sp macro="" textlink="">
      <xdr:nvSpPr>
        <xdr:cNvPr id="12" name="Rectangle: Rounded Corners 11">
          <a:hlinkClick xmlns:r="http://schemas.openxmlformats.org/officeDocument/2006/relationships" r:id="rId4"/>
          <a:extLst>
            <a:ext uri="{FF2B5EF4-FFF2-40B4-BE49-F238E27FC236}">
              <a16:creationId xmlns:a16="http://schemas.microsoft.com/office/drawing/2014/main" id="{00000000-0008-0000-0A00-00000C000000}"/>
            </a:ext>
          </a:extLst>
        </xdr:cNvPr>
        <xdr:cNvSpPr/>
      </xdr:nvSpPr>
      <xdr:spPr bwMode="auto">
        <a:xfrm flipH="1">
          <a:off x="10703050" y="773206"/>
          <a:ext cx="1187824" cy="582706"/>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Acquisition</a:t>
          </a:r>
        </a:p>
      </xdr:txBody>
    </xdr:sp>
    <xdr:clientData/>
  </xdr:twoCellAnchor>
  <xdr:twoCellAnchor>
    <xdr:from>
      <xdr:col>6</xdr:col>
      <xdr:colOff>4233</xdr:colOff>
      <xdr:row>3</xdr:row>
      <xdr:rowOff>0</xdr:rowOff>
    </xdr:from>
    <xdr:to>
      <xdr:col>7</xdr:col>
      <xdr:colOff>4233</xdr:colOff>
      <xdr:row>5</xdr:row>
      <xdr:rowOff>0</xdr:rowOff>
    </xdr:to>
    <xdr:sp macro="" textlink="">
      <xdr:nvSpPr>
        <xdr:cNvPr id="13" name="Rectangle: Rounded Corners 12">
          <a:hlinkClick xmlns:r="http://schemas.openxmlformats.org/officeDocument/2006/relationships" r:id="rId5"/>
          <a:extLst>
            <a:ext uri="{FF2B5EF4-FFF2-40B4-BE49-F238E27FC236}">
              <a16:creationId xmlns:a16="http://schemas.microsoft.com/office/drawing/2014/main" id="{00000000-0008-0000-0A00-00000D000000}"/>
            </a:ext>
          </a:extLst>
        </xdr:cNvPr>
        <xdr:cNvSpPr/>
      </xdr:nvSpPr>
      <xdr:spPr bwMode="auto">
        <a:xfrm flipH="1">
          <a:off x="8330204" y="773206"/>
          <a:ext cx="1187823" cy="582706"/>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Absorption Schedule</a:t>
          </a:r>
        </a:p>
      </xdr:txBody>
    </xdr:sp>
    <xdr:clientData/>
  </xdr:twoCellAnchor>
  <xdr:twoCellAnchor>
    <xdr:from>
      <xdr:col>3</xdr:col>
      <xdr:colOff>66675</xdr:colOff>
      <xdr:row>218</xdr:row>
      <xdr:rowOff>171450</xdr:rowOff>
    </xdr:from>
    <xdr:to>
      <xdr:col>4</xdr:col>
      <xdr:colOff>66675</xdr:colOff>
      <xdr:row>220</xdr:row>
      <xdr:rowOff>0</xdr:rowOff>
    </xdr:to>
    <xdr:sp macro="[0]!wst01_1_GeneralData.Generate_AddressTable" textlink="">
      <xdr:nvSpPr>
        <xdr:cNvPr id="14" name="Rectangle: Rounded Corners 13">
          <a:extLst>
            <a:ext uri="{FF2B5EF4-FFF2-40B4-BE49-F238E27FC236}">
              <a16:creationId xmlns:a16="http://schemas.microsoft.com/office/drawing/2014/main" id="{00000000-0008-0000-0A00-00000E000000}"/>
            </a:ext>
          </a:extLst>
        </xdr:cNvPr>
        <xdr:cNvSpPr/>
      </xdr:nvSpPr>
      <xdr:spPr bwMode="auto">
        <a:xfrm flipH="1">
          <a:off x="4981575" y="45519975"/>
          <a:ext cx="1190625" cy="238125"/>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200">
              <a:latin typeface="Garamond" panose="02020404030301010803" pitchFamily="18" charset="0"/>
            </a:rPr>
            <a:t>Generate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123265</xdr:colOff>
      <xdr:row>2</xdr:row>
      <xdr:rowOff>190501</xdr:rowOff>
    </xdr:from>
    <xdr:to>
      <xdr:col>5</xdr:col>
      <xdr:colOff>125506</xdr:colOff>
      <xdr:row>3</xdr:row>
      <xdr:rowOff>229721</xdr:rowOff>
    </xdr:to>
    <xdr:sp macro="[0]!wst02_1_Income.Generate_RentTable" textlink="">
      <xdr:nvSpPr>
        <xdr:cNvPr id="2" name="Rectangle: Rounded Corners 1">
          <a:extLst>
            <a:ext uri="{FF2B5EF4-FFF2-40B4-BE49-F238E27FC236}">
              <a16:creationId xmlns:a16="http://schemas.microsoft.com/office/drawing/2014/main" id="{00000000-0008-0000-0B00-000002000000}"/>
            </a:ext>
          </a:extLst>
        </xdr:cNvPr>
        <xdr:cNvSpPr/>
      </xdr:nvSpPr>
      <xdr:spPr bwMode="auto">
        <a:xfrm flipH="1">
          <a:off x="4000500" y="818030"/>
          <a:ext cx="1257300" cy="285750"/>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200">
              <a:latin typeface="Garamond" panose="02020404030301010803" pitchFamily="18" charset="0"/>
            </a:rPr>
            <a:t>Hide / Show</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4803</xdr:colOff>
      <xdr:row>2</xdr:row>
      <xdr:rowOff>68836</xdr:rowOff>
    </xdr:from>
    <xdr:to>
      <xdr:col>17</xdr:col>
      <xdr:colOff>4802</xdr:colOff>
      <xdr:row>3</xdr:row>
      <xdr:rowOff>136071</xdr:rowOff>
    </xdr:to>
    <xdr:sp macro="[0]!wst02_2_EXPENSE.OtherProjection_Unhide" textlink="">
      <xdr:nvSpPr>
        <xdr:cNvPr id="2" name="Rectangle: Rounded Corners 1">
          <a:extLst>
            <a:ext uri="{FF2B5EF4-FFF2-40B4-BE49-F238E27FC236}">
              <a16:creationId xmlns:a16="http://schemas.microsoft.com/office/drawing/2014/main" id="{00000000-0008-0000-0C00-000002000000}"/>
            </a:ext>
          </a:extLst>
        </xdr:cNvPr>
        <xdr:cNvSpPr/>
      </xdr:nvSpPr>
      <xdr:spPr bwMode="auto">
        <a:xfrm>
          <a:off x="18673803" y="681157"/>
          <a:ext cx="1319892" cy="339378"/>
        </a:xfrm>
        <a:prstGeom prst="roundRect">
          <a:avLst>
            <a:gd name="adj" fmla="val 50000"/>
          </a:avLst>
        </a:prstGeom>
        <a:solidFill>
          <a:schemeClr val="accent2">
            <a:lumMod val="5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horzOverflow="clip" wrap="square" lIns="18288" tIns="0" rIns="0" bIns="0" rtlCol="0" anchor="ctr" upright="1"/>
        <a:lstStyle/>
        <a:p>
          <a:pPr algn="ctr"/>
          <a:r>
            <a:rPr lang="en-US" sz="1400">
              <a:latin typeface="Garamond" panose="02020404030301010803" pitchFamily="18" charset="0"/>
            </a:rPr>
            <a:t>Add a Projection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33618</xdr:colOff>
      <xdr:row>3</xdr:row>
      <xdr:rowOff>0</xdr:rowOff>
    </xdr:from>
    <xdr:to>
      <xdr:col>8</xdr:col>
      <xdr:colOff>33617</xdr:colOff>
      <xdr:row>3</xdr:row>
      <xdr:rowOff>313763</xdr:rowOff>
    </xdr:to>
    <xdr:sp macro="[0]!wst02_5_LIHTCProceeds.Show_OtherCredit" textlink="">
      <xdr:nvSpPr>
        <xdr:cNvPr id="2" name="Rectangle: Rounded Corners 1">
          <a:extLst>
            <a:ext uri="{FF2B5EF4-FFF2-40B4-BE49-F238E27FC236}">
              <a16:creationId xmlns:a16="http://schemas.microsoft.com/office/drawing/2014/main" id="{00000000-0008-0000-0F00-000002000000}"/>
            </a:ext>
          </a:extLst>
        </xdr:cNvPr>
        <xdr:cNvSpPr/>
      </xdr:nvSpPr>
      <xdr:spPr bwMode="auto">
        <a:xfrm>
          <a:off x="10320618" y="806824"/>
          <a:ext cx="1624852" cy="313763"/>
        </a:xfrm>
        <a:prstGeom prst="roundRect">
          <a:avLst>
            <a:gd name="adj" fmla="val 50000"/>
          </a:avLst>
        </a:prstGeom>
        <a:solidFill>
          <a:schemeClr val="accent2">
            <a:lumMod val="75000"/>
          </a:schemeClr>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horzOverflow="clip" wrap="square" lIns="18288" tIns="0" rIns="0" bIns="0" rtlCol="0" anchor="ctr" upright="1"/>
        <a:lstStyle/>
        <a:p>
          <a:pPr algn="ctr"/>
          <a:r>
            <a:rPr lang="en-US" sz="1100">
              <a:latin typeface="Garamond" panose="02020404030301010803" pitchFamily="18" charset="0"/>
            </a:rPr>
            <a:t>Show Other Credit column</a:t>
          </a:r>
        </a:p>
      </xdr:txBody>
    </xdr:sp>
    <xdr:clientData/>
  </xdr:twoCellAnchor>
  <xdr:twoCellAnchor>
    <xdr:from>
      <xdr:col>7</xdr:col>
      <xdr:colOff>33618</xdr:colOff>
      <xdr:row>4</xdr:row>
      <xdr:rowOff>0</xdr:rowOff>
    </xdr:from>
    <xdr:to>
      <xdr:col>8</xdr:col>
      <xdr:colOff>33618</xdr:colOff>
      <xdr:row>5</xdr:row>
      <xdr:rowOff>0</xdr:rowOff>
    </xdr:to>
    <xdr:sp macro="[0]!wst02_5_LIHTCProceeds.Hide_OtherCredit" textlink="">
      <xdr:nvSpPr>
        <xdr:cNvPr id="3" name="Rectangle: Rounded Corners 2">
          <a:extLst>
            <a:ext uri="{FF2B5EF4-FFF2-40B4-BE49-F238E27FC236}">
              <a16:creationId xmlns:a16="http://schemas.microsoft.com/office/drawing/2014/main" id="{00000000-0008-0000-0F00-000003000000}"/>
            </a:ext>
          </a:extLst>
        </xdr:cNvPr>
        <xdr:cNvSpPr/>
      </xdr:nvSpPr>
      <xdr:spPr bwMode="auto">
        <a:xfrm>
          <a:off x="10320618" y="1120588"/>
          <a:ext cx="1624853" cy="313765"/>
        </a:xfrm>
        <a:prstGeom prst="roundRect">
          <a:avLst>
            <a:gd name="adj" fmla="val 50000"/>
          </a:avLst>
        </a:prstGeom>
        <a:solidFill>
          <a:schemeClr val="accent3">
            <a:lumMod val="75000"/>
          </a:schemeClr>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horzOverflow="clip" wrap="square" lIns="18288" tIns="0" rIns="0" bIns="0" rtlCol="0" anchor="ctr" upright="1"/>
        <a:lstStyle/>
        <a:p>
          <a:pPr algn="ctr"/>
          <a:r>
            <a:rPr lang="en-US" sz="1100">
              <a:latin typeface="Garamond" panose="02020404030301010803" pitchFamily="18" charset="0"/>
            </a:rPr>
            <a:t>Hide Other Credit column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67235</xdr:colOff>
      <xdr:row>33</xdr:row>
      <xdr:rowOff>33617</xdr:rowOff>
    </xdr:from>
    <xdr:to>
      <xdr:col>1</xdr:col>
      <xdr:colOff>3294530</xdr:colOff>
      <xdr:row>40</xdr:row>
      <xdr:rowOff>33617</xdr:rowOff>
    </xdr:to>
    <xdr:sp macro="" textlink="">
      <xdr:nvSpPr>
        <xdr:cNvPr id="2" name="TextBox 1">
          <a:extLst>
            <a:ext uri="{FF2B5EF4-FFF2-40B4-BE49-F238E27FC236}">
              <a16:creationId xmlns:a16="http://schemas.microsoft.com/office/drawing/2014/main" id="{A882BC7A-CAA5-BFC0-E33F-C8D666CD2E3B}"/>
            </a:ext>
          </a:extLst>
        </xdr:cNvPr>
        <xdr:cNvSpPr txBox="1"/>
      </xdr:nvSpPr>
      <xdr:spPr>
        <a:xfrm>
          <a:off x="235323" y="6779558"/>
          <a:ext cx="3227295" cy="1333500"/>
        </a:xfrm>
        <a:prstGeom prst="rect">
          <a:avLst/>
        </a:prstGeom>
        <a:solidFill>
          <a:schemeClr val="lt1"/>
        </a:solidFill>
        <a:ln w="9525" cmpd="sng">
          <a:solidFill>
            <a:schemeClr val="tx1"/>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Garamond" panose="02020404030301010803" pitchFamily="18" charset="0"/>
            </a:rPr>
            <a:t>Permanent</a:t>
          </a:r>
          <a:r>
            <a:rPr lang="en-US" sz="1200" b="1" baseline="0">
              <a:latin typeface="Garamond" panose="02020404030301010803" pitchFamily="18" charset="0"/>
            </a:rPr>
            <a:t> Supportive Housing may be layered with other programs listed on the Income page. The Other PSH Unit Mix is kept independent of income sources because Permanent Supportive Housing programs do not always have an income layer.</a:t>
          </a:r>
        </a:p>
      </xdr:txBody>
    </xdr:sp>
    <xdr:clientData/>
  </xdr:twoCellAnchor>
</xdr:wsDr>
</file>

<file path=xl/persons/person.xml><?xml version="1.0" encoding="utf-8"?>
<personList xmlns="http://schemas.microsoft.com/office/spreadsheetml/2018/threadedcomments" xmlns:x="http://schemas.openxmlformats.org/spreadsheetml/2006/main">
  <person displayName="Mario Cartaya" id="{DC808F98-72E9-4400-A9C0-873471B9551C}" userId="S::mcartaya@prolinksolutions.com::66722e36-469d-48fe-abee-024c551edf2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bl00ModelProgress" displayName="tbl00ModelProgress" ref="B7:D33" totalsRowCount="1" headerRowDxfId="172" dataDxfId="170" totalsRowDxfId="168" headerRowBorderDxfId="171" tableBorderDxfId="169" totalsRowBorderDxfId="167">
  <autoFilter ref="B7:D32" xr:uid="{00000000-0009-0000-0100-000002000000}"/>
  <tableColumns count="3">
    <tableColumn id="1" xr3:uid="{00000000-0010-0000-0000-000001000000}" name="Stage of Progress (Describe Stage, e.g. Initial Submittal to Committee, etc.)" totalsRowLabel="Latest" dataDxfId="166" totalsRowDxfId="165"/>
    <tableColumn id="3" xr3:uid="{00000000-0010-0000-0000-000003000000}" name="Person Responsible" dataDxfId="164" totalsRowDxfId="163"/>
    <tableColumn id="2" xr3:uid="{00000000-0010-0000-0000-000002000000}" name="Date of Progress /_x000a_Last Edit" totalsRowFunction="max" dataDxfId="162" totalsRowDxfId="161"/>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bl01_BorrowEntity" displayName="tbl01_BorrowEntity" ref="H11:H20" totalsRowShown="0" headerRowDxfId="129" dataDxfId="128">
  <autoFilter ref="H11:H20" xr:uid="{00000000-0009-0000-0100-000009000000}"/>
  <tableColumns count="1">
    <tableColumn id="1" xr3:uid="{00000000-0010-0000-0900-000001000000}" name="Borrowing Entity" dataDxfId="127"/>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bl01_EnergyType" displayName="tbl01_EnergyType" ref="I11:I16" totalsRowShown="0" headerRowDxfId="126" dataDxfId="125">
  <autoFilter ref="I11:I16" xr:uid="{00000000-0009-0000-0100-00000A000000}"/>
  <tableColumns count="1">
    <tableColumn id="1" xr3:uid="{00000000-0010-0000-0A00-000001000000}" name="Energy Type" dataDxfId="124"/>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bl01_StructuralSystem" displayName="tbl01_StructuralSystem" ref="J11:J15" totalsRowShown="0" headerRowDxfId="123" dataDxfId="122">
  <autoFilter ref="J11:J15" xr:uid="{00000000-0009-0000-0100-00000B000000}"/>
  <tableColumns count="1">
    <tableColumn id="1" xr3:uid="{00000000-0010-0000-0B00-000001000000}" name="Structural System" dataDxfId="121"/>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bl01_BedroomType" displayName="tbl01_BedroomType" ref="K11:K18" totalsRowShown="0" headerRowDxfId="120" dataDxfId="119">
  <autoFilter ref="K11:K18" xr:uid="{00000000-0009-0000-0100-00000C000000}"/>
  <tableColumns count="1">
    <tableColumn id="1" xr3:uid="{00000000-0010-0000-0C00-000001000000}" name="Bedroom Type" dataDxfId="118"/>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bl01_AMI" displayName="tbl01_AMI" ref="L11:L22" totalsRowShown="0" headerRowDxfId="117" dataDxfId="116">
  <autoFilter ref="L11:L22" xr:uid="{00000000-0009-0000-0100-00000E000000}"/>
  <tableColumns count="1">
    <tableColumn id="1" xr3:uid="{00000000-0010-0000-0D00-000001000000}" name="AMI" dataDxfId="11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bl01_Month" displayName="tbl01_Month" ref="M11:M24" totalsRowShown="0" headerRowDxfId="114" dataDxfId="113">
  <autoFilter ref="M11:M24" xr:uid="{00000000-0009-0000-0100-00000D000000}"/>
  <tableColumns count="1">
    <tableColumn id="1" xr3:uid="{00000000-0010-0000-0E00-000001000000}" name="Month" dataDxfId="112"/>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e15" displayName="Table15" ref="N11:N13" totalsRowShown="0" headerRowDxfId="111" dataDxfId="110">
  <autoFilter ref="N11:N13" xr:uid="{00000000-0009-0000-0100-00000F000000}"/>
  <tableColumns count="1">
    <tableColumn id="1" xr3:uid="{00000000-0010-0000-0F00-000001000000}" name="Affordable/Market" dataDxfId="109"/>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bl01_Years" displayName="tbl01_Years" ref="O11:O41" totalsRowShown="0" headerRowDxfId="108" dataDxfId="107">
  <autoFilter ref="O11:O41" xr:uid="{00000000-0009-0000-0100-000010000000}"/>
  <tableColumns count="1">
    <tableColumn id="1" xr3:uid="{00000000-0010-0000-1000-000001000000}" name="Years" dataDxfId="106">
      <calculatedColumnFormula>O11+1</calculatedColumnFormula>
    </tableColumn>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bl01_MSA" displayName="tbl01_MSA" ref="P11:P14" totalsRowShown="0" headerRowDxfId="105" dataDxfId="104">
  <autoFilter ref="P11:P14" xr:uid="{00000000-0009-0000-0100-000011000000}"/>
  <tableColumns count="1">
    <tableColumn id="1" xr3:uid="{00000000-0010-0000-1100-000001000000}" name="MSA" dataDxfId="103"/>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2000000}" name="tbl01_CommercialType" displayName="tbl01_CommercialType" ref="Q11:Q15" totalsRowShown="0" headerRowDxfId="102" dataDxfId="101">
  <autoFilter ref="Q11:Q15" xr:uid="{00000000-0009-0000-0100-000012000000}"/>
  <tableColumns count="1">
    <tableColumn id="1" xr3:uid="{00000000-0010-0000-1200-000001000000}" name="Commercial Type" dataDxfId="10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1000000}" name="tblMasterDataFieldList" displayName="tblMasterDataFieldList" ref="B8:E104" totalsRowShown="0" headerRowDxfId="160" dataDxfId="159">
  <autoFilter ref="B8:E104" xr:uid="{00000000-0009-0000-0100-000014000000}"/>
  <tableColumns count="4">
    <tableColumn id="2" xr3:uid="{00000000-0010-0000-0100-000002000000}" name="Data Field Main Category" dataDxfId="158"/>
    <tableColumn id="4" xr3:uid="{00000000-0010-0000-0100-000004000000}" name="Data Field Description" dataDxfId="157" dataCellStyle="Normal 5"/>
    <tableColumn id="5" xr3:uid="{00000000-0010-0000-0100-000005000000}" name="Data Field Value" dataDxfId="156" dataCellStyle="Normal 5">
      <calculatedColumnFormula>rng01_ProjectName</calculatedColumnFormula>
    </tableColumn>
    <tableColumn id="6" xr3:uid="{00000000-0010-0000-0100-000006000000}" name="Data Field Name Range/Reference" dataDxfId="155"/>
  </tableColumns>
  <tableStyleInfo name="TableStyleLight8"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bl01_ConstructionType" displayName="tbl01_ConstructionType" ref="R11:R14" totalsRowShown="0" headerRowDxfId="99" dataDxfId="98">
  <autoFilter ref="R11:R14" xr:uid="{00000000-0009-0000-0100-000013000000}"/>
  <tableColumns count="1">
    <tableColumn id="1" xr3:uid="{00000000-0010-0000-1300-000001000000}" name="New/Rehab" dataDxfId="97"/>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bl01_OtherIncomeType" displayName="tbl01_OtherIncomeType" ref="S11:S14" totalsRowShown="0" headerRowDxfId="96" dataDxfId="95">
  <autoFilter ref="S11:S14" xr:uid="{00000000-0009-0000-0100-000015000000}"/>
  <tableColumns count="1">
    <tableColumn id="1" xr3:uid="{00000000-0010-0000-1400-000001000000}" name="Other Income Type" dataDxfId="94"/>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bl01_UtilitiesType" displayName="tbl01_UtilitiesType" ref="T11:T15" totalsRowShown="0" headerRowDxfId="93" dataDxfId="92">
  <autoFilter ref="T11:T15" xr:uid="{00000000-0009-0000-0100-000016000000}"/>
  <tableColumns count="1">
    <tableColumn id="1" xr3:uid="{00000000-0010-0000-1500-000001000000}" name="Utilities Type" dataDxfId="91"/>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bl01_OpEx" displayName="tbl01_OpEx" ref="U11:U13" totalsRowShown="0" headerRowDxfId="90" dataDxfId="89">
  <autoFilter ref="U11:U13" xr:uid="{00000000-0009-0000-0100-000017000000}"/>
  <tableColumns count="1">
    <tableColumn id="1" xr3:uid="{00000000-0010-0000-1600-000001000000}" name="Operating Expense" dataDxfId="88"/>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bl02_LoanType" displayName="tbl02_LoanType" ref="V11:V59" totalsRowShown="0" headerRowDxfId="87" dataDxfId="86" headerRowCellStyle="Percent 3" dataCellStyle="Percent 3">
  <autoFilter ref="V11:V59" xr:uid="{00000000-0009-0000-0100-000018000000}"/>
  <tableColumns count="1">
    <tableColumn id="1" xr3:uid="{00000000-0010-0000-1700-000001000000}" name="Loan Type" dataDxfId="85" dataCellStyle="Percent 3"/>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bl01_ProjectAmenities" displayName="tbl01_ProjectAmenities" ref="W11:W18" totalsRowShown="0" headerRowDxfId="84" dataDxfId="83">
  <autoFilter ref="W11:W18" xr:uid="{00000000-0009-0000-0100-000019000000}"/>
  <tableColumns count="1">
    <tableColumn id="1" xr3:uid="{00000000-0010-0000-1800-000001000000}" name="Project Amenities" dataDxfId="82"/>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bl01_DevelopmentType" displayName="tbl01_DevelopmentType" ref="X11:X14" totalsRowShown="0" headerRowDxfId="81" dataDxfId="80">
  <autoFilter ref="X11:X14" xr:uid="{00000000-0009-0000-0100-00001A000000}"/>
  <tableColumns count="1">
    <tableColumn id="1" xr3:uid="{00000000-0010-0000-1900-000001000000}" name="Development Type" dataDxfId="79"/>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bl01_HeatSystem" displayName="tbl01_HeatSystem" ref="Y11:Y20" totalsRowShown="0" headerRowDxfId="78" dataDxfId="77">
  <autoFilter ref="Y11:Y20" xr:uid="{00000000-0009-0000-0100-00001B000000}"/>
  <tableColumns count="1">
    <tableColumn id="1" xr3:uid="{00000000-0010-0000-1A00-000001000000}" name="Heat System" dataDxfId="76"/>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bl01_ExistingDebt" displayName="tbl01_ExistingDebt" ref="Z11:Z18" totalsRowShown="0" headerRowDxfId="75" dataDxfId="74">
  <autoFilter ref="Z11:Z18" xr:uid="{00000000-0009-0000-0100-00001C000000}"/>
  <tableColumns count="1">
    <tableColumn id="1" xr3:uid="{00000000-0010-0000-1B00-000001000000}" name="Existing Debt" dataDxfId="73"/>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bl01_TenancyType" displayName="tbl01_TenancyType" ref="AA11:AA17" totalsRowShown="0" headerRowDxfId="72" dataDxfId="71">
  <autoFilter ref="AA11:AA17" xr:uid="{00000000-0009-0000-0100-00001D000000}"/>
  <tableColumns count="1">
    <tableColumn id="1" xr3:uid="{00000000-0010-0000-1C00-000001000000}" name="Tenancy Type" dataDxfId="70"/>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B107:G187" totalsRowShown="0" headerRowDxfId="154">
  <autoFilter ref="B107:G187" xr:uid="{00000000-0009-0000-0100-000001000000}"/>
  <tableColumns count="6">
    <tableColumn id="1" xr3:uid="{00000000-0010-0000-0200-000001000000}" name="Project ID" dataDxfId="153" dataCellStyle="Normal 5">
      <calculatedColumnFormula>$D$11</calculatedColumnFormula>
    </tableColumn>
    <tableColumn id="3" xr3:uid="{00000000-0010-0000-0200-000003000000}" name="Address" dataDxfId="152">
      <calculatedColumnFormula>'01_1_General Data'!B224</calculatedColumnFormula>
    </tableColumn>
    <tableColumn id="4" xr3:uid="{00000000-0010-0000-0200-000004000000}" name="City" dataDxfId="151" dataCellStyle="Normal 5">
      <calculatedColumnFormula>'01_1_General Data'!E224</calculatedColumnFormula>
    </tableColumn>
    <tableColumn id="5" xr3:uid="{00000000-0010-0000-0200-000005000000}" name="Zip Code" dataDxfId="150" dataCellStyle="Normal 5">
      <calculatedColumnFormula>'01_1_General Data'!F224</calculatedColumnFormula>
    </tableColumn>
    <tableColumn id="6" xr3:uid="{00000000-0010-0000-0200-000006000000}" name="County" dataDxfId="149" dataCellStyle="Normal 5">
      <calculatedColumnFormula>VLOOKUP(D108,'00_4_Reference Tables'!$C$7:$AH$45,32,FALSE)</calculatedColumnFormula>
    </tableColumn>
    <tableColumn id="7" xr3:uid="{00000000-0010-0000-0200-000007000000}" name="Tract" dataDxfId="148" dataCellStyle="Normal 5">
      <calculatedColumnFormula>'01_1_General Data'!G224</calculatedColumnFormula>
    </tableColumn>
  </tableColumns>
  <tableStyleInfo name="TableStyleLight8"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bl01_CreditType" displayName="tbl01_CreditType" ref="AC11:AC17" totalsRowShown="0" headerRowDxfId="69" dataDxfId="68">
  <autoFilter ref="AC11:AC17" xr:uid="{00000000-0009-0000-0100-00001E000000}"/>
  <tableColumns count="1">
    <tableColumn id="1" xr3:uid="{00000000-0010-0000-1D00-000001000000}" name="Credit Type" dataDxfId="67"/>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bl01_ConstructionTypeScore" displayName="tbl01_ConstructionTypeScore" ref="AB11:AB18" totalsRowShown="0" headerRowDxfId="66" dataDxfId="65" tableBorderDxfId="64" dataCellStyle="Normal 10">
  <autoFilter ref="AB11:AB18" xr:uid="{00000000-0009-0000-0100-00001F000000}"/>
  <tableColumns count="1">
    <tableColumn id="1" xr3:uid="{00000000-0010-0000-1E00-000001000000}" name="Construction Type Details" dataDxfId="63" dataCellStyle="Normal 10"/>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bl01_CensusTract" displayName="tbl01_CensusTract" ref="AD11:AD13" totalsRowShown="0" headerRowDxfId="62" dataDxfId="61">
  <autoFilter ref="AD11:AD13" xr:uid="{00000000-0009-0000-0100-000020000000}"/>
  <tableColumns count="1">
    <tableColumn id="1" xr3:uid="{00000000-0010-0000-1F00-000001000000}" name="Census Tract Factor" dataDxfId="60"/>
  </tableColumns>
  <tableStyleInfo name="TableStyleLight8"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bl01_BuildingType" displayName="tbl01_BuildingType" ref="AE11:AE13" totalsRowShown="0" headerRowDxfId="59" dataDxfId="58">
  <autoFilter ref="AE11:AE13" xr:uid="{00000000-0009-0000-0100-000021000000}"/>
  <tableColumns count="1">
    <tableColumn id="1" xr3:uid="{00000000-0010-0000-2000-000001000000}" name="Building Type" dataDxfId="57"/>
  </tableColumns>
  <tableStyleInfo name="TableStyleLight8"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bl01_ProjectSubsidy" displayName="tbl01_ProjectSubsidy" ref="AF11:AF16" totalsRowShown="0" headerRowDxfId="56" dataDxfId="55">
  <autoFilter ref="AF11:AF16" xr:uid="{00000000-0009-0000-0100-000022000000}"/>
  <tableColumns count="1">
    <tableColumn id="1" xr3:uid="{00000000-0010-0000-2100-000001000000}" name="Project Based Subsidy" dataDxfId="54"/>
  </tableColumns>
  <tableStyleInfo name="TableStyleLight8"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bl01_ConstructionTypeInd" displayName="tbl01_ConstructionTypeInd" ref="AG11:AG13" totalsRowShown="0" headerRowDxfId="53" dataDxfId="52">
  <autoFilter ref="AG11:AG13" xr:uid="{00000000-0009-0000-0100-000023000000}"/>
  <tableColumns count="1">
    <tableColumn id="1" xr3:uid="{00000000-0010-0000-2200-000001000000}" name="Construction Type Individual" dataDxfId="51"/>
  </tableColumns>
  <tableStyleInfo name="TableStyleLight8"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E73E197-3B5D-4E87-A9D5-F138A53AF538}" name="tbl01_TenantStatus" displayName="tbl01_TenantStatus" ref="AH11:AH13" totalsRowShown="0" headerRowDxfId="50" dataDxfId="49">
  <autoFilter ref="AH11:AH13" xr:uid="{BE73E197-3B5D-4E87-A9D5-F138A53AF538}"/>
  <tableColumns count="1">
    <tableColumn id="1" xr3:uid="{C45CA92A-E207-4D3F-AB0B-06EF519DDD42}" name="Tenant Status" dataDxfId="48"/>
  </tableColumns>
  <tableStyleInfo name="TableStyleLight8"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52C7B77-2469-44F1-9590-81921BB31911}" name="tbl01_Boolean" displayName="tbl01_Boolean" ref="AI11:AI13" totalsRowShown="0" headerRowDxfId="47" dataDxfId="46">
  <autoFilter ref="AI11:AI13" xr:uid="{052C7B77-2469-44F1-9590-81921BB31911}"/>
  <tableColumns count="1">
    <tableColumn id="1" xr3:uid="{2AE99B2E-683B-4D4F-AE3B-BA9567765E7F}" name="Boolean" dataDxfId="45"/>
  </tableColumns>
  <tableStyleInfo name="TableStyleLight8"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31EBFD6-B967-4B79-BE99-E6E31B755551}" name="tbl01_DealStageStatus" displayName="tbl01_DealStageStatus" ref="AJ11:AJ27" totalsRowShown="0" headerRowDxfId="44">
  <autoFilter ref="AJ11:AJ27" xr:uid="{831EBFD6-B967-4B79-BE99-E6E31B755551}"/>
  <tableColumns count="1">
    <tableColumn id="1" xr3:uid="{3C2207DF-3528-48B2-9A11-90F2F2D9A219}" name="Deal Stage Status" dataDxfId="43"/>
  </tableColumns>
  <tableStyleInfo name="TableStyleLight8"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7BEEDC7-73B2-4EA6-B390-EEE7099F0A0D}" name="Table36" displayName="Table36" ref="A546:J570" totalsRowShown="0" headerRowDxfId="42" dataDxfId="41" headerRowCellStyle="Normal 15" dataCellStyle="Normal 15">
  <autoFilter ref="A546:J570" xr:uid="{E7BEEDC7-73B2-4EA6-B390-EEE7099F0A0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3CC894B-DD15-49F6-980C-B8F7F6E892A9}" name="Tab" dataDxfId="40" dataCellStyle="Normal 15"/>
    <tableColumn id="2" xr3:uid="{BBFEDF7E-88A9-4D47-9501-235623801350}" name="Cell" dataDxfId="39" dataCellStyle="Normal 15"/>
    <tableColumn id="3" xr3:uid="{1C9C9123-94BE-4E66-8586-BC224E8AA311}" name="Range Name" dataDxfId="38" dataCellStyle="Normal 15"/>
    <tableColumn id="4" xr3:uid="{2E03B286-22E4-4256-9F08-6675734383DA}" name="Source Type" dataDxfId="37" dataCellStyle="Normal 15"/>
    <tableColumn id="5" xr3:uid="{C131CA30-58C4-46DB-89E5-694510FE6D0E}" name="Source" dataDxfId="36" dataCellStyle="Normal 15"/>
    <tableColumn id="6" xr3:uid="{E84796FC-CCCC-4457-B270-A0C137E9790D}" name="Interest Rate" dataDxfId="35" dataCellStyle="Normal 15"/>
    <tableColumn id="7" xr3:uid="{9FA4CDC7-F935-4FAF-86F8-55C61FCC5683}" name="Term (Months)" dataDxfId="34" dataCellStyle="Normal 15"/>
    <tableColumn id="8" xr3:uid="{0FFBB982-A2CB-448B-9E61-7E43D50F952B}" name="Total" dataDxfId="33" dataCellStyle="Normal 15"/>
    <tableColumn id="9" xr3:uid="{AF37DC08-8F77-4F8F-9670-B745C85BFDA7}" name="Annual Debt Service" dataDxfId="32" dataCellStyle="Normal 15"/>
    <tableColumn id="10" xr3:uid="{13E07F17-D811-450E-9721-21041F80D41F}" name="Program Type" dataDxfId="31" dataCellStyle="Normal 15"/>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01_ProgramType" displayName="tbl01_ProgramType" ref="B11:B15" totalsRowShown="0" headerRowDxfId="147" dataDxfId="146">
  <autoFilter ref="B11:B15" xr:uid="{00000000-0009-0000-0100-000004000000}"/>
  <tableColumns count="1">
    <tableColumn id="1" xr3:uid="{00000000-0010-0000-0300-000001000000}" name="Program Type" dataDxfId="145"/>
  </tableColumns>
  <tableStyleInfo name="TableStyleLight8"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B25B9F4-C4CF-4294-B2E4-676A189AD0B7}" name="Table37" displayName="Table37" ref="M546:R570" totalsRowShown="0" headerRowDxfId="30" dataDxfId="29" headerRowCellStyle="Comma" dataCellStyle="Normal 15">
  <autoFilter ref="M546:R570" xr:uid="{BB25B9F4-C4CF-4294-B2E4-676A189AD0B7}">
    <filterColumn colId="0" hiddenButton="1"/>
    <filterColumn colId="1" hiddenButton="1"/>
    <filterColumn colId="2" hiddenButton="1"/>
    <filterColumn colId="3" hiddenButton="1"/>
    <filterColumn colId="4" hiddenButton="1"/>
    <filterColumn colId="5" hiddenButton="1"/>
  </autoFilter>
  <tableColumns count="6">
    <tableColumn id="1" xr3:uid="{4A3E6AC6-E5DD-41F8-9171-6AD35F60A783}" name="Funding Source" dataDxfId="28" dataCellStyle="Normal 15">
      <calculatedColumnFormula>IF(AND(Table36[[#This Row],[Total]]&gt;0, Table36[[#This Row],[Total]]&lt;&gt;""),Table36[[#This Row],[Source]],"")</calculatedColumnFormula>
    </tableColumn>
    <tableColumn id="2" xr3:uid="{23914D75-72A6-42E1-94D1-10E673CA69F4}" name="Interest Rate" dataDxfId="27" dataCellStyle="Percent">
      <calculatedColumnFormula>IF(Table36[[#This Row],[Source]]="","",Table36[[#This Row],[Interest Rate]])</calculatedColumnFormula>
    </tableColumn>
    <tableColumn id="3" xr3:uid="{701AF79D-011C-4705-8B8E-708B751AC2A1}" name="Term (Months)" dataDxfId="26" dataCellStyle="Normal 15">
      <calculatedColumnFormula>IF(Table36[[#This Row],[Source]]="","",Table36[[#This Row],[Term (Months)]])</calculatedColumnFormula>
    </tableColumn>
    <tableColumn id="4" xr3:uid="{21355564-E083-4666-B8C3-F9CD968111D2}" name="Amount" dataDxfId="25" dataCellStyle="Normal 15">
      <calculatedColumnFormula>IF(Table37[[#This Row],[Funding Source]]="","",Table36[[#This Row],[Total]])</calculatedColumnFormula>
    </tableColumn>
    <tableColumn id="5" xr3:uid="{27058EF4-A192-427C-805D-24A5B250007D}" name="Debt Service" dataDxfId="24" dataCellStyle="Normal 15">
      <calculatedColumnFormula>IF(Table36[[#This Row],[Source]]="","",Table36[[#This Row],[Annual Debt Service]])</calculatedColumnFormula>
    </tableColumn>
    <tableColumn id="6" xr3:uid="{56E389A2-D8EA-4B33-ACAB-69257B5F1B0F}" name="Program Type" dataDxfId="23" dataCellStyle="Normal 15">
      <calculatedColumnFormula>IF(Table36[[#This Row],[Source]]="","",Table36[[#This Row],[Program Type]])</calculatedColumnFormula>
    </tableColumn>
  </tableColumns>
  <tableStyleInfo name="TableStyleLight8"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DF9E0AB-205B-46D6-A3AF-D75150FE6F28}" name="Table38" displayName="Table38" ref="AM546:AR570" totalsRowShown="0" headerRowDxfId="22" dataDxfId="21" headerRowCellStyle="Comma">
  <autoFilter ref="AM546:AR570" xr:uid="{EDF9E0AB-205B-46D6-A3AF-D75150FE6F28}">
    <filterColumn colId="0" hiddenButton="1"/>
    <filterColumn colId="1" hiddenButton="1"/>
    <filterColumn colId="2" hiddenButton="1"/>
    <filterColumn colId="3" hiddenButton="1"/>
    <filterColumn colId="4" hiddenButton="1"/>
    <filterColumn colId="5" hiddenButton="1"/>
  </autoFilter>
  <tableColumns count="6">
    <tableColumn id="1" xr3:uid="{8AD78CE9-7D59-40B3-8A33-DA5F67768D0D}" name="DEBT" dataDxfId="20">
      <calculatedColumnFormula>IF(TCATrigger="No","",IF(Table36[[#This Row],[Total]]="","",Table36[[#This Row],[Source]]))</calculatedColumnFormula>
    </tableColumn>
    <tableColumn id="2" xr3:uid="{D4DDAE08-AB0C-443F-AF14-F4055EC5858D}" name="Financing Type" dataDxfId="19">
      <calculatedColumnFormula>IF(TCATrigger="No","",IF(Table38[[#This Row],[DEBT]]="","","Permanent"))</calculatedColumnFormula>
    </tableColumn>
    <tableColumn id="3" xr3:uid="{0A7146E0-7395-425E-8AE5-020E76ECACC1}" name="Interest Rate" dataDxfId="18">
      <calculatedColumnFormula>IF(TCATrigger="No","",IF(Table36[[#This Row],[Source]]="","",Table36[[#This Row],[Interest Rate]]))</calculatedColumnFormula>
    </tableColumn>
    <tableColumn id="4" xr3:uid="{B2318FB3-094A-445F-944A-95A63FCBF443}" name="Loan Term (Months)" dataDxfId="17"/>
    <tableColumn id="6" xr3:uid="{6B6DD608-D77A-47FB-B8D0-5D45145A2C12}" name="Amount" dataDxfId="16">
      <calculatedColumnFormula>IF(TCATrigger="No","",IF(Table38[[#This Row],[DEBT]]="","",Table36[[#This Row],[Total]]))</calculatedColumnFormula>
    </tableColumn>
    <tableColumn id="7" xr3:uid="{78330040-4722-4366-889C-0918DE55D5E5}" name="Annual Debt Service Payment" dataDxfId="15">
      <calculatedColumnFormula>IF(TCATrigger="No","",IF(Table36[[#This Row],[Source]]="","",Table36[[#This Row],[Annual Debt Service]]))</calculatedColumnFormula>
    </tableColum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01_PropertyType" displayName="tbl01_PropertyType" ref="C11:C18" totalsRowShown="0" headerRowDxfId="144" dataDxfId="143">
  <autoFilter ref="C11:C18" xr:uid="{00000000-0009-0000-0100-000005000000}"/>
  <tableColumns count="1">
    <tableColumn id="1" xr3:uid="{00000000-0010-0000-0400-000001000000}" name="Property Type" dataDxfId="142"/>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bl01_OtherAssistance" displayName="tbl01_OtherAssistance" ref="D11:D16" totalsRowShown="0" headerRowDxfId="141" dataDxfId="140">
  <autoFilter ref="D11:D16" xr:uid="{00000000-0009-0000-0100-000003000000}"/>
  <tableColumns count="1">
    <tableColumn id="1" xr3:uid="{00000000-0010-0000-0500-000001000000}" name="Other Assistance Type" dataDxfId="139"/>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bl01_SetAside" displayName="tbl01_SetAside" ref="E11:E16" totalsRowShown="0" headerRowDxfId="138" dataDxfId="137">
  <autoFilter ref="E11:E16" xr:uid="{00000000-0009-0000-0100-000006000000}"/>
  <tableColumns count="1">
    <tableColumn id="1" xr3:uid="{00000000-0010-0000-0600-000001000000}" name="Low Income Set Aside" dataDxfId="136"/>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bl01_ZoningStatus" displayName="tbl01_ZoningStatus" ref="F11:F14" totalsRowShown="0" headerRowDxfId="135" dataDxfId="134">
  <autoFilter ref="F11:F14" xr:uid="{00000000-0009-0000-0100-000007000000}"/>
  <tableColumns count="1">
    <tableColumn id="1" xr3:uid="{00000000-0010-0000-0700-000001000000}" name="Zoning Status" dataDxfId="133"/>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bl01_ProjectType" displayName="tbl01_ProjectType" ref="G11:G14" totalsRowShown="0" headerRowDxfId="132" dataDxfId="131">
  <autoFilter ref="G11:G14" xr:uid="{00000000-0009-0000-0100-000008000000}"/>
  <tableColumns count="1">
    <tableColumn id="1" xr3:uid="{00000000-0010-0000-0800-000001000000}" name="Project Type" dataDxfId="13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73" dT="2022-07-01T19:24:41.91" personId="{DC808F98-72E9-4400-A9C0-873471B9551C}" id="{28A2EBE7-8806-43F8-91BF-532865000787}">
    <text>Could also be Property Entities - Accounts Tab</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9.xml"/><Relationship Id="rId7" Type="http://schemas.microsoft.com/office/2017/10/relationships/threadedComment" Target="../threadedComments/threadedComment1.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table" Target="../tables/table41.xml"/><Relationship Id="rId4" Type="http://schemas.openxmlformats.org/officeDocument/2006/relationships/table" Target="../tables/table4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3" Type="http://schemas.openxmlformats.org/officeDocument/2006/relationships/table" Target="../tables/table14.xml"/><Relationship Id="rId18" Type="http://schemas.openxmlformats.org/officeDocument/2006/relationships/table" Target="../tables/table19.xml"/><Relationship Id="rId26" Type="http://schemas.openxmlformats.org/officeDocument/2006/relationships/table" Target="../tables/table27.xml"/><Relationship Id="rId21" Type="http://schemas.openxmlformats.org/officeDocument/2006/relationships/table" Target="../tables/table22.xml"/><Relationship Id="rId34" Type="http://schemas.openxmlformats.org/officeDocument/2006/relationships/table" Target="../tables/table35.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2" Type="http://schemas.openxmlformats.org/officeDocument/2006/relationships/drawing" Target="../drawings/drawing4.xml"/><Relationship Id="rId16" Type="http://schemas.openxmlformats.org/officeDocument/2006/relationships/table" Target="../tables/table17.xml"/><Relationship Id="rId20" Type="http://schemas.openxmlformats.org/officeDocument/2006/relationships/table" Target="../tables/table21.xml"/><Relationship Id="rId29" Type="http://schemas.openxmlformats.org/officeDocument/2006/relationships/table" Target="../tables/table30.xml"/><Relationship Id="rId1" Type="http://schemas.openxmlformats.org/officeDocument/2006/relationships/printerSettings" Target="../printerSettings/printerSettings4.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10" Type="http://schemas.openxmlformats.org/officeDocument/2006/relationships/table" Target="../tables/table11.xml"/><Relationship Id="rId19" Type="http://schemas.openxmlformats.org/officeDocument/2006/relationships/table" Target="../tables/table20.xml"/><Relationship Id="rId31" Type="http://schemas.openxmlformats.org/officeDocument/2006/relationships/table" Target="../tables/table32.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 Id="rId8" Type="http://schemas.openxmlformats.org/officeDocument/2006/relationships/table" Target="../tables/table9.xml"/><Relationship Id="rId3"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st00_0_LogIn">
    <tabColor theme="0" tint="-0.34998626667073579"/>
  </sheetPr>
  <dimension ref="A1:O200"/>
  <sheetViews>
    <sheetView tabSelected="1" zoomScale="85" zoomScaleNormal="85" workbookViewId="0"/>
  </sheetViews>
  <sheetFormatPr defaultColWidth="0" defaultRowHeight="15" customHeight="1" zeroHeight="1"/>
  <cols>
    <col min="1" max="5" width="10.5" style="80" customWidth="1"/>
    <col min="6" max="15" width="10.5" style="654" customWidth="1"/>
    <col min="16" max="19" width="10.5" style="654" hidden="1" customWidth="1"/>
    <col min="20" max="16384" width="10.5" style="654" hidden="1"/>
  </cols>
  <sheetData>
    <row r="1" spans="1:13">
      <c r="A1" s="115"/>
      <c r="B1" s="115"/>
      <c r="C1" s="115"/>
      <c r="D1" s="115"/>
      <c r="E1" s="115"/>
    </row>
    <row r="2" spans="1:13">
      <c r="A2" s="115"/>
      <c r="B2" s="115"/>
      <c r="C2" s="115"/>
      <c r="D2" s="115"/>
      <c r="E2" s="115"/>
    </row>
    <row r="3" spans="1:13">
      <c r="A3" s="115"/>
      <c r="B3" s="115"/>
      <c r="C3" s="115"/>
      <c r="D3" s="115"/>
      <c r="E3" s="115"/>
    </row>
    <row r="4" spans="1:13">
      <c r="A4" s="115"/>
      <c r="B4" s="115"/>
      <c r="C4" s="115"/>
      <c r="D4" s="115"/>
      <c r="E4" s="115"/>
    </row>
    <row r="5" spans="1:13">
      <c r="A5" s="115"/>
      <c r="B5" s="115"/>
      <c r="C5" s="115"/>
      <c r="D5" s="115"/>
      <c r="E5" s="115"/>
    </row>
    <row r="6" spans="1:13">
      <c r="A6" s="115"/>
      <c r="B6" s="115"/>
      <c r="C6" s="115"/>
      <c r="D6" s="115"/>
      <c r="E6" s="115"/>
    </row>
    <row r="7" spans="1:13">
      <c r="A7" s="115"/>
      <c r="B7" s="115"/>
      <c r="C7" s="115"/>
      <c r="D7" s="115"/>
      <c r="E7" s="115"/>
    </row>
    <row r="8" spans="1:13">
      <c r="A8" s="115"/>
      <c r="B8" s="115"/>
      <c r="C8" s="115"/>
      <c r="D8" s="115"/>
      <c r="E8" s="115"/>
    </row>
    <row r="9" spans="1:13" ht="18.75">
      <c r="A9" s="115"/>
      <c r="B9" s="115"/>
      <c r="C9" s="115"/>
      <c r="D9" s="115"/>
      <c r="E9" s="115"/>
      <c r="H9" s="2124"/>
      <c r="I9" s="2124"/>
      <c r="J9" s="2124"/>
      <c r="K9" s="2124"/>
      <c r="L9" s="2124"/>
    </row>
    <row r="10" spans="1:13" ht="21">
      <c r="A10" s="657" t="s">
        <v>0</v>
      </c>
      <c r="B10" s="116"/>
      <c r="C10" s="116"/>
      <c r="D10" s="115"/>
      <c r="E10" s="115"/>
    </row>
    <row r="11" spans="1:13" ht="21">
      <c r="A11" s="657" t="s">
        <v>1</v>
      </c>
      <c r="B11" s="116"/>
      <c r="C11" s="116"/>
      <c r="D11" s="115"/>
      <c r="E11" s="115"/>
    </row>
    <row r="12" spans="1:13">
      <c r="A12" s="115"/>
      <c r="B12" s="115"/>
      <c r="C12" s="115"/>
      <c r="D12" s="115"/>
      <c r="E12" s="115"/>
    </row>
    <row r="13" spans="1:13" ht="23.25">
      <c r="A13" s="117" t="s">
        <v>2</v>
      </c>
      <c r="B13" s="115"/>
      <c r="C13" s="115"/>
      <c r="D13" s="115"/>
      <c r="E13" s="115"/>
      <c r="F13" s="656" t="s">
        <v>3</v>
      </c>
      <c r="H13" s="2125"/>
      <c r="I13" s="2125"/>
      <c r="J13" s="655"/>
      <c r="K13" s="655"/>
      <c r="L13" s="655"/>
      <c r="M13" s="655"/>
    </row>
    <row r="14" spans="1:13">
      <c r="A14" s="115"/>
      <c r="B14" s="115"/>
      <c r="C14" s="115"/>
      <c r="D14" s="115"/>
      <c r="E14" s="115"/>
    </row>
    <row r="15" spans="1:13">
      <c r="A15" s="115"/>
      <c r="B15" s="115"/>
      <c r="C15" s="115"/>
      <c r="D15" s="115"/>
      <c r="E15" s="115"/>
    </row>
    <row r="16" spans="1:13">
      <c r="A16" s="115"/>
      <c r="B16" s="115"/>
      <c r="C16" s="115"/>
      <c r="D16" s="115"/>
      <c r="E16" s="115"/>
    </row>
    <row r="17" spans="1:5">
      <c r="A17" s="115"/>
      <c r="B17" s="115"/>
      <c r="C17" s="115"/>
      <c r="D17" s="115"/>
      <c r="E17" s="115"/>
    </row>
    <row r="18" spans="1:5">
      <c r="A18" s="115"/>
      <c r="B18" s="115"/>
      <c r="C18" s="115"/>
      <c r="D18" s="115"/>
      <c r="E18" s="115"/>
    </row>
    <row r="19" spans="1:5">
      <c r="A19" s="115"/>
      <c r="B19" s="115"/>
      <c r="C19" s="115"/>
      <c r="D19" s="115"/>
      <c r="E19" s="115"/>
    </row>
    <row r="20" spans="1:5">
      <c r="A20" s="115"/>
      <c r="B20" s="115"/>
      <c r="C20" s="115"/>
      <c r="D20" s="115"/>
      <c r="E20" s="115"/>
    </row>
    <row r="21" spans="1:5">
      <c r="A21" s="115"/>
      <c r="B21" s="115"/>
      <c r="C21" s="115"/>
      <c r="D21" s="115"/>
      <c r="E21" s="115"/>
    </row>
    <row r="22" spans="1:5" ht="13.5" customHeight="1">
      <c r="A22" s="115"/>
      <c r="B22" s="115"/>
      <c r="C22" s="115"/>
      <c r="D22" s="115"/>
      <c r="E22" s="115"/>
    </row>
    <row r="23" spans="1:5">
      <c r="A23" s="115"/>
      <c r="B23" s="115"/>
      <c r="C23" s="115"/>
      <c r="D23" s="115"/>
      <c r="E23" s="115"/>
    </row>
    <row r="24" spans="1:5">
      <c r="A24" s="115"/>
      <c r="B24" s="115"/>
      <c r="C24" s="115"/>
      <c r="D24" s="115"/>
      <c r="E24" s="115"/>
    </row>
    <row r="25" spans="1:5">
      <c r="A25" s="115"/>
      <c r="B25" s="115"/>
      <c r="C25" s="115"/>
      <c r="D25" s="115"/>
      <c r="E25" s="115"/>
    </row>
    <row r="26" spans="1:5">
      <c r="A26" s="115"/>
      <c r="B26" s="115"/>
      <c r="C26" s="115"/>
      <c r="D26" s="115"/>
      <c r="E26" s="115"/>
    </row>
    <row r="27" spans="1:5">
      <c r="A27" s="115"/>
      <c r="B27" s="115"/>
      <c r="C27" s="115"/>
      <c r="D27" s="115"/>
      <c r="E27" s="115"/>
    </row>
    <row r="28" spans="1:5">
      <c r="A28" s="115"/>
      <c r="B28" s="115"/>
      <c r="C28" s="115"/>
      <c r="D28" s="115"/>
      <c r="E28" s="115"/>
    </row>
    <row r="29" spans="1:5">
      <c r="A29" s="115"/>
      <c r="B29" s="115"/>
      <c r="C29" s="115"/>
      <c r="D29" s="115"/>
      <c r="E29" s="115"/>
    </row>
    <row r="30" spans="1:5">
      <c r="A30" s="115"/>
      <c r="B30" s="115"/>
      <c r="C30" s="115"/>
      <c r="D30" s="115"/>
      <c r="E30" s="115"/>
    </row>
    <row r="31" spans="1:5">
      <c r="A31" s="115"/>
      <c r="B31" s="115"/>
      <c r="C31" s="115"/>
      <c r="D31" s="115"/>
      <c r="E31" s="115"/>
    </row>
    <row r="32" spans="1:5">
      <c r="A32" s="115"/>
      <c r="B32" s="115"/>
      <c r="C32" s="115"/>
      <c r="D32" s="115"/>
      <c r="E32" s="115"/>
    </row>
    <row r="33" spans="1:5">
      <c r="A33" s="115"/>
      <c r="B33" s="115"/>
      <c r="C33" s="115"/>
      <c r="D33" s="115"/>
      <c r="E33" s="115"/>
    </row>
    <row r="34" spans="1:5">
      <c r="A34" s="115"/>
      <c r="B34" s="115"/>
      <c r="C34" s="115"/>
      <c r="D34" s="115"/>
      <c r="E34" s="115"/>
    </row>
    <row r="35" spans="1:5">
      <c r="A35" s="115"/>
      <c r="B35" s="115"/>
      <c r="C35" s="115"/>
      <c r="D35" s="115"/>
      <c r="E35" s="115"/>
    </row>
    <row r="36" spans="1:5" ht="15" hidden="1" customHeight="1">
      <c r="A36" s="115"/>
      <c r="B36" s="115"/>
      <c r="C36" s="115"/>
      <c r="D36" s="115"/>
      <c r="E36" s="115"/>
    </row>
    <row r="37" spans="1:5" ht="15" hidden="1" customHeight="1">
      <c r="A37" s="115"/>
      <c r="B37" s="115"/>
      <c r="C37" s="115"/>
      <c r="D37" s="115"/>
      <c r="E37" s="115"/>
    </row>
    <row r="38" spans="1:5" ht="15" hidden="1" customHeight="1">
      <c r="A38" s="115"/>
      <c r="B38" s="115"/>
      <c r="C38" s="115"/>
      <c r="D38" s="115"/>
      <c r="E38" s="115"/>
    </row>
    <row r="39" spans="1:5" ht="15" hidden="1" customHeight="1">
      <c r="A39" s="115"/>
      <c r="B39" s="115"/>
      <c r="C39" s="115"/>
      <c r="D39" s="115"/>
      <c r="E39" s="115"/>
    </row>
    <row r="40" spans="1:5" ht="15" hidden="1" customHeight="1">
      <c r="A40" s="115"/>
      <c r="B40" s="115"/>
      <c r="C40" s="115"/>
      <c r="D40" s="115"/>
      <c r="E40" s="115"/>
    </row>
    <row r="41" spans="1:5" ht="15" hidden="1" customHeight="1">
      <c r="A41" s="115"/>
      <c r="B41" s="115"/>
      <c r="C41" s="115"/>
      <c r="D41" s="115"/>
      <c r="E41" s="115"/>
    </row>
    <row r="42" spans="1:5" ht="15" hidden="1" customHeight="1">
      <c r="A42" s="115"/>
      <c r="B42" s="115"/>
      <c r="C42" s="115"/>
      <c r="D42" s="115"/>
      <c r="E42" s="115"/>
    </row>
    <row r="43" spans="1:5" ht="15" hidden="1" customHeight="1">
      <c r="A43" s="115"/>
      <c r="B43" s="115"/>
      <c r="C43" s="115"/>
      <c r="D43" s="115"/>
      <c r="E43" s="115"/>
    </row>
    <row r="44" spans="1:5" ht="15" hidden="1" customHeight="1">
      <c r="A44" s="115"/>
      <c r="B44" s="115"/>
      <c r="C44" s="115"/>
      <c r="D44" s="115"/>
      <c r="E44" s="115"/>
    </row>
    <row r="45" spans="1:5" ht="15" hidden="1" customHeight="1">
      <c r="A45" s="115"/>
      <c r="B45" s="115"/>
      <c r="C45" s="115"/>
      <c r="D45" s="115"/>
      <c r="E45" s="115"/>
    </row>
    <row r="46" spans="1:5" ht="15" hidden="1" customHeight="1">
      <c r="A46" s="115"/>
      <c r="B46" s="115"/>
      <c r="C46" s="115"/>
      <c r="D46" s="115"/>
      <c r="E46" s="115"/>
    </row>
    <row r="47" spans="1:5" ht="15" hidden="1" customHeight="1">
      <c r="A47" s="115"/>
      <c r="B47" s="115"/>
      <c r="C47" s="115"/>
      <c r="D47" s="115"/>
      <c r="E47" s="115"/>
    </row>
    <row r="48" spans="1:5" ht="15" hidden="1" customHeight="1">
      <c r="A48" s="115"/>
      <c r="B48" s="115"/>
      <c r="C48" s="115"/>
      <c r="D48" s="115"/>
      <c r="E48" s="115"/>
    </row>
    <row r="49" spans="1:5" ht="15" hidden="1" customHeight="1">
      <c r="A49" s="115"/>
      <c r="B49" s="115"/>
      <c r="C49" s="115"/>
      <c r="D49" s="115"/>
      <c r="E49" s="115"/>
    </row>
    <row r="50" spans="1:5" ht="15" hidden="1" customHeight="1">
      <c r="A50" s="115"/>
      <c r="B50" s="115"/>
      <c r="C50" s="115"/>
      <c r="D50" s="115"/>
      <c r="E50" s="115"/>
    </row>
    <row r="51" spans="1:5" ht="15" hidden="1" customHeight="1">
      <c r="A51" s="115"/>
      <c r="B51" s="115"/>
      <c r="C51" s="115"/>
      <c r="D51" s="115"/>
      <c r="E51" s="115"/>
    </row>
    <row r="52" spans="1:5" ht="15" hidden="1" customHeight="1">
      <c r="A52" s="115"/>
      <c r="B52" s="115"/>
      <c r="C52" s="115"/>
      <c r="D52" s="115"/>
      <c r="E52" s="115"/>
    </row>
    <row r="53" spans="1:5" ht="15" hidden="1" customHeight="1">
      <c r="A53" s="115"/>
      <c r="B53" s="115"/>
      <c r="C53" s="115"/>
      <c r="D53" s="115"/>
      <c r="E53" s="115"/>
    </row>
    <row r="54" spans="1:5" ht="15" hidden="1" customHeight="1">
      <c r="A54" s="115"/>
      <c r="B54" s="115"/>
      <c r="C54" s="115"/>
      <c r="D54" s="115"/>
      <c r="E54" s="115"/>
    </row>
    <row r="55" spans="1:5" ht="15" hidden="1" customHeight="1">
      <c r="A55" s="115"/>
      <c r="B55" s="115"/>
      <c r="C55" s="115"/>
      <c r="D55" s="115"/>
      <c r="E55" s="115"/>
    </row>
    <row r="56" spans="1:5" ht="15" hidden="1" customHeight="1">
      <c r="A56" s="115"/>
      <c r="B56" s="115"/>
      <c r="C56" s="115"/>
      <c r="D56" s="115"/>
      <c r="E56" s="115"/>
    </row>
    <row r="57" spans="1:5" ht="15" hidden="1" customHeight="1">
      <c r="A57" s="115"/>
      <c r="B57" s="115"/>
      <c r="C57" s="115"/>
      <c r="D57" s="115"/>
      <c r="E57" s="115"/>
    </row>
    <row r="58" spans="1:5" ht="15" hidden="1" customHeight="1">
      <c r="A58" s="115"/>
      <c r="B58" s="115"/>
      <c r="C58" s="115"/>
      <c r="D58" s="115"/>
      <c r="E58" s="115"/>
    </row>
    <row r="59" spans="1:5" ht="15" hidden="1" customHeight="1">
      <c r="A59" s="115"/>
      <c r="B59" s="115"/>
      <c r="C59" s="115"/>
      <c r="D59" s="115"/>
      <c r="E59" s="115"/>
    </row>
    <row r="60" spans="1:5" ht="15" hidden="1" customHeight="1">
      <c r="A60" s="115"/>
      <c r="B60" s="115"/>
      <c r="C60" s="115"/>
      <c r="D60" s="115"/>
      <c r="E60" s="115"/>
    </row>
    <row r="61" spans="1:5" ht="15" hidden="1" customHeight="1">
      <c r="A61" s="115"/>
      <c r="B61" s="115"/>
      <c r="C61" s="115"/>
      <c r="D61" s="115"/>
      <c r="E61" s="115"/>
    </row>
    <row r="62" spans="1:5" ht="15" hidden="1" customHeight="1">
      <c r="A62" s="115"/>
      <c r="B62" s="115"/>
      <c r="C62" s="115"/>
      <c r="D62" s="115"/>
      <c r="E62" s="115"/>
    </row>
    <row r="63" spans="1:5" ht="15" hidden="1" customHeight="1">
      <c r="A63" s="115"/>
      <c r="B63" s="115"/>
      <c r="C63" s="115"/>
      <c r="D63" s="115"/>
      <c r="E63" s="115"/>
    </row>
    <row r="64" spans="1:5" ht="15" hidden="1" customHeight="1">
      <c r="A64" s="115"/>
      <c r="B64" s="115"/>
      <c r="C64" s="115"/>
      <c r="D64" s="115"/>
      <c r="E64" s="115"/>
    </row>
    <row r="65" spans="1:5" ht="15" hidden="1" customHeight="1">
      <c r="A65" s="115"/>
      <c r="B65" s="115"/>
      <c r="C65" s="115"/>
      <c r="D65" s="115"/>
      <c r="E65" s="115"/>
    </row>
    <row r="66" spans="1:5" ht="15" hidden="1" customHeight="1">
      <c r="A66" s="115"/>
      <c r="B66" s="115"/>
      <c r="C66" s="115"/>
      <c r="D66" s="115"/>
      <c r="E66" s="115"/>
    </row>
    <row r="67" spans="1:5" ht="15" hidden="1" customHeight="1">
      <c r="A67" s="115"/>
      <c r="B67" s="115"/>
      <c r="C67" s="115"/>
      <c r="D67" s="115"/>
      <c r="E67" s="115"/>
    </row>
    <row r="68" spans="1:5" ht="15" hidden="1" customHeight="1">
      <c r="A68" s="115"/>
      <c r="B68" s="115"/>
      <c r="C68" s="115"/>
      <c r="D68" s="115"/>
      <c r="E68" s="115"/>
    </row>
    <row r="69" spans="1:5" ht="15" hidden="1" customHeight="1">
      <c r="A69" s="115"/>
      <c r="B69" s="115"/>
      <c r="C69" s="115"/>
      <c r="D69" s="115"/>
      <c r="E69" s="115"/>
    </row>
    <row r="70" spans="1:5" ht="15" hidden="1" customHeight="1">
      <c r="A70" s="115"/>
      <c r="B70" s="115"/>
      <c r="C70" s="115"/>
      <c r="D70" s="115"/>
      <c r="E70" s="115"/>
    </row>
    <row r="71" spans="1:5" ht="15" hidden="1" customHeight="1">
      <c r="A71" s="115"/>
      <c r="B71" s="115"/>
      <c r="C71" s="115"/>
      <c r="D71" s="115"/>
      <c r="E71" s="115"/>
    </row>
    <row r="72" spans="1:5" ht="15" hidden="1" customHeight="1">
      <c r="A72" s="115"/>
      <c r="B72" s="115"/>
      <c r="C72" s="115"/>
      <c r="D72" s="115"/>
      <c r="E72" s="115"/>
    </row>
    <row r="73" spans="1:5" ht="15" hidden="1" customHeight="1">
      <c r="A73" s="115"/>
      <c r="B73" s="115"/>
      <c r="C73" s="115"/>
      <c r="D73" s="115"/>
      <c r="E73" s="115"/>
    </row>
    <row r="74" spans="1:5" ht="15" hidden="1" customHeight="1">
      <c r="A74" s="115"/>
      <c r="B74" s="115"/>
      <c r="C74" s="115"/>
      <c r="D74" s="115"/>
      <c r="E74" s="115"/>
    </row>
    <row r="75" spans="1:5" ht="15" hidden="1" customHeight="1">
      <c r="A75" s="115"/>
      <c r="B75" s="115"/>
      <c r="C75" s="115"/>
      <c r="D75" s="115"/>
      <c r="E75" s="115"/>
    </row>
    <row r="76" spans="1:5" ht="15" hidden="1" customHeight="1">
      <c r="A76" s="115"/>
      <c r="B76" s="115"/>
      <c r="C76" s="115"/>
      <c r="D76" s="115"/>
      <c r="E76" s="115"/>
    </row>
    <row r="77" spans="1:5" ht="15" hidden="1" customHeight="1">
      <c r="A77" s="115"/>
      <c r="B77" s="115"/>
      <c r="C77" s="115"/>
      <c r="D77" s="115"/>
      <c r="E77" s="115"/>
    </row>
    <row r="78" spans="1:5" ht="15" hidden="1" customHeight="1">
      <c r="A78" s="115"/>
      <c r="B78" s="115"/>
      <c r="C78" s="115"/>
      <c r="D78" s="115"/>
      <c r="E78" s="115"/>
    </row>
    <row r="79" spans="1:5" ht="15" hidden="1" customHeight="1">
      <c r="A79" s="115"/>
      <c r="B79" s="115"/>
      <c r="C79" s="115"/>
      <c r="D79" s="115"/>
      <c r="E79" s="115"/>
    </row>
    <row r="80" spans="1:5" ht="15" hidden="1" customHeight="1">
      <c r="A80" s="115"/>
      <c r="B80" s="115"/>
      <c r="C80" s="115"/>
      <c r="D80" s="115"/>
      <c r="E80" s="115"/>
    </row>
    <row r="81" spans="1:5" ht="15" hidden="1" customHeight="1">
      <c r="A81" s="115"/>
      <c r="B81" s="115"/>
      <c r="C81" s="115"/>
      <c r="D81" s="115"/>
      <c r="E81" s="115"/>
    </row>
    <row r="82" spans="1:5" ht="15" hidden="1" customHeight="1">
      <c r="A82" s="115"/>
      <c r="B82" s="115"/>
      <c r="C82" s="115"/>
      <c r="D82" s="115"/>
      <c r="E82" s="115"/>
    </row>
    <row r="83" spans="1:5" ht="15" hidden="1" customHeight="1">
      <c r="A83" s="115"/>
      <c r="B83" s="115"/>
      <c r="C83" s="115"/>
      <c r="D83" s="115"/>
      <c r="E83" s="115"/>
    </row>
    <row r="84" spans="1:5" ht="15" hidden="1" customHeight="1">
      <c r="A84" s="115"/>
      <c r="B84" s="115"/>
      <c r="C84" s="115"/>
      <c r="D84" s="115"/>
      <c r="E84" s="115"/>
    </row>
    <row r="85" spans="1:5" ht="15" hidden="1" customHeight="1">
      <c r="A85" s="115"/>
      <c r="B85" s="115"/>
      <c r="C85" s="115"/>
      <c r="D85" s="115"/>
      <c r="E85" s="115"/>
    </row>
    <row r="86" spans="1:5" ht="15" hidden="1" customHeight="1">
      <c r="A86" s="115"/>
      <c r="B86" s="115"/>
      <c r="C86" s="115"/>
      <c r="D86" s="115"/>
      <c r="E86" s="115"/>
    </row>
    <row r="87" spans="1:5" ht="15" hidden="1" customHeight="1">
      <c r="A87" s="115"/>
      <c r="B87" s="115"/>
      <c r="C87" s="115"/>
      <c r="D87" s="115"/>
      <c r="E87" s="115"/>
    </row>
    <row r="88" spans="1:5" ht="15" hidden="1" customHeight="1">
      <c r="A88" s="115"/>
      <c r="B88" s="115"/>
      <c r="C88" s="115"/>
      <c r="D88" s="115"/>
      <c r="E88" s="115"/>
    </row>
    <row r="89" spans="1:5" ht="15" hidden="1" customHeight="1">
      <c r="A89" s="115"/>
      <c r="B89" s="115"/>
      <c r="C89" s="115"/>
      <c r="D89" s="115"/>
      <c r="E89" s="115"/>
    </row>
    <row r="90" spans="1:5" ht="15" hidden="1" customHeight="1">
      <c r="A90" s="115"/>
      <c r="B90" s="115"/>
      <c r="C90" s="115"/>
      <c r="D90" s="115"/>
      <c r="E90" s="115"/>
    </row>
    <row r="91" spans="1:5" ht="15" hidden="1" customHeight="1">
      <c r="A91" s="115"/>
      <c r="B91" s="115"/>
      <c r="C91" s="115"/>
      <c r="D91" s="115"/>
      <c r="E91" s="115"/>
    </row>
    <row r="92" spans="1:5" ht="15" hidden="1" customHeight="1">
      <c r="A92" s="115"/>
      <c r="B92" s="115"/>
      <c r="C92" s="115"/>
      <c r="D92" s="115"/>
      <c r="E92" s="115"/>
    </row>
    <row r="93" spans="1:5" ht="15" hidden="1" customHeight="1">
      <c r="A93" s="115"/>
      <c r="B93" s="115"/>
      <c r="C93" s="115"/>
      <c r="D93" s="115"/>
      <c r="E93" s="115"/>
    </row>
    <row r="94" spans="1:5" ht="15" hidden="1" customHeight="1">
      <c r="A94" s="115"/>
      <c r="B94" s="115"/>
      <c r="C94" s="115"/>
      <c r="D94" s="115"/>
      <c r="E94" s="115"/>
    </row>
    <row r="95" spans="1:5" ht="15" hidden="1" customHeight="1">
      <c r="A95" s="115"/>
      <c r="B95" s="115"/>
      <c r="C95" s="115"/>
      <c r="D95" s="115"/>
      <c r="E95" s="115"/>
    </row>
    <row r="96" spans="1:5" ht="15" hidden="1" customHeight="1">
      <c r="A96" s="115"/>
      <c r="B96" s="115"/>
      <c r="C96" s="115"/>
      <c r="D96" s="115"/>
      <c r="E96" s="115"/>
    </row>
    <row r="97" spans="1:5" ht="15" hidden="1" customHeight="1">
      <c r="A97" s="115"/>
      <c r="B97" s="115"/>
      <c r="C97" s="115"/>
      <c r="D97" s="115"/>
      <c r="E97" s="115"/>
    </row>
    <row r="98" spans="1:5" ht="15" hidden="1" customHeight="1">
      <c r="A98" s="115"/>
      <c r="B98" s="115"/>
      <c r="C98" s="115"/>
      <c r="D98" s="115"/>
      <c r="E98" s="115"/>
    </row>
    <row r="99" spans="1:5" ht="15" hidden="1" customHeight="1">
      <c r="A99" s="115"/>
      <c r="B99" s="115"/>
      <c r="C99" s="115"/>
      <c r="D99" s="115"/>
      <c r="E99" s="115"/>
    </row>
    <row r="100" spans="1:5" ht="15" hidden="1" customHeight="1">
      <c r="A100" s="115"/>
      <c r="B100" s="115"/>
      <c r="C100" s="115"/>
      <c r="D100" s="115"/>
      <c r="E100" s="115"/>
    </row>
    <row r="101" spans="1:5" ht="15" hidden="1" customHeight="1">
      <c r="A101" s="115"/>
      <c r="B101" s="115"/>
      <c r="C101" s="115"/>
      <c r="D101" s="115"/>
      <c r="E101" s="115"/>
    </row>
    <row r="102" spans="1:5" ht="15" hidden="1" customHeight="1">
      <c r="A102" s="115"/>
      <c r="B102" s="115"/>
      <c r="C102" s="115"/>
      <c r="D102" s="115"/>
      <c r="E102" s="115"/>
    </row>
    <row r="103" spans="1:5" ht="15" hidden="1" customHeight="1">
      <c r="A103" s="115"/>
      <c r="B103" s="115"/>
      <c r="C103" s="115"/>
      <c r="D103" s="115"/>
      <c r="E103" s="115"/>
    </row>
    <row r="104" spans="1:5" ht="15" hidden="1" customHeight="1">
      <c r="A104" s="115"/>
      <c r="B104" s="115"/>
      <c r="C104" s="115"/>
      <c r="D104" s="115"/>
      <c r="E104" s="115"/>
    </row>
    <row r="105" spans="1:5" ht="15" hidden="1" customHeight="1">
      <c r="A105" s="115"/>
      <c r="B105" s="115"/>
      <c r="C105" s="115"/>
      <c r="D105" s="115"/>
      <c r="E105" s="115"/>
    </row>
    <row r="106" spans="1:5" ht="15" hidden="1" customHeight="1">
      <c r="A106" s="115"/>
      <c r="B106" s="115"/>
      <c r="C106" s="115"/>
      <c r="D106" s="115"/>
      <c r="E106" s="115"/>
    </row>
    <row r="107" spans="1:5" ht="15" hidden="1" customHeight="1">
      <c r="A107" s="115"/>
      <c r="B107" s="115"/>
      <c r="C107" s="115"/>
      <c r="D107" s="115"/>
      <c r="E107" s="115"/>
    </row>
    <row r="108" spans="1:5" ht="15" hidden="1" customHeight="1">
      <c r="A108" s="115"/>
      <c r="B108" s="115"/>
      <c r="C108" s="115"/>
      <c r="D108" s="115"/>
      <c r="E108" s="115"/>
    </row>
    <row r="109" spans="1:5" ht="15" hidden="1" customHeight="1">
      <c r="A109" s="115"/>
      <c r="B109" s="115"/>
      <c r="C109" s="115"/>
      <c r="D109" s="115"/>
      <c r="E109" s="115"/>
    </row>
    <row r="110" spans="1:5" ht="15" hidden="1" customHeight="1">
      <c r="A110" s="115"/>
      <c r="B110" s="115"/>
      <c r="C110" s="115"/>
      <c r="D110" s="115"/>
      <c r="E110" s="115"/>
    </row>
    <row r="111" spans="1:5" ht="15" hidden="1" customHeight="1">
      <c r="A111" s="115"/>
      <c r="B111" s="115"/>
      <c r="C111" s="115"/>
      <c r="D111" s="115"/>
      <c r="E111" s="115"/>
    </row>
    <row r="112" spans="1:5" ht="15" hidden="1" customHeight="1">
      <c r="A112" s="115"/>
      <c r="B112" s="115"/>
      <c r="C112" s="115"/>
      <c r="D112" s="115"/>
      <c r="E112" s="115"/>
    </row>
    <row r="113" spans="1:5" ht="15" hidden="1" customHeight="1">
      <c r="A113" s="115"/>
      <c r="B113" s="115"/>
      <c r="C113" s="115"/>
      <c r="D113" s="115"/>
      <c r="E113" s="115"/>
    </row>
    <row r="114" spans="1:5" ht="15" hidden="1" customHeight="1">
      <c r="A114" s="115"/>
      <c r="B114" s="115"/>
      <c r="C114" s="115"/>
      <c r="D114" s="115"/>
      <c r="E114" s="115"/>
    </row>
    <row r="115" spans="1:5" ht="15" hidden="1" customHeight="1">
      <c r="A115" s="115"/>
      <c r="B115" s="115"/>
      <c r="C115" s="115"/>
      <c r="D115" s="115"/>
      <c r="E115" s="115"/>
    </row>
    <row r="116" spans="1:5" ht="15" hidden="1" customHeight="1">
      <c r="A116" s="115"/>
      <c r="B116" s="115"/>
      <c r="C116" s="115"/>
      <c r="D116" s="115"/>
      <c r="E116" s="115"/>
    </row>
    <row r="117" spans="1:5" ht="15" hidden="1" customHeight="1">
      <c r="A117" s="115"/>
      <c r="B117" s="115"/>
      <c r="C117" s="115"/>
      <c r="D117" s="115"/>
      <c r="E117" s="115"/>
    </row>
    <row r="118" spans="1:5" ht="15" hidden="1" customHeight="1">
      <c r="A118" s="115"/>
      <c r="B118" s="115"/>
      <c r="C118" s="115"/>
      <c r="D118" s="115"/>
      <c r="E118" s="115"/>
    </row>
    <row r="119" spans="1:5" ht="15" hidden="1" customHeight="1">
      <c r="A119" s="115"/>
      <c r="B119" s="115"/>
      <c r="C119" s="115"/>
      <c r="D119" s="115"/>
      <c r="E119" s="115"/>
    </row>
    <row r="120" spans="1:5" ht="15" hidden="1" customHeight="1">
      <c r="A120" s="115"/>
      <c r="B120" s="115"/>
      <c r="C120" s="115"/>
      <c r="D120" s="115"/>
      <c r="E120" s="115"/>
    </row>
    <row r="121" spans="1:5" ht="15" hidden="1" customHeight="1">
      <c r="A121" s="115"/>
      <c r="B121" s="115"/>
      <c r="C121" s="115"/>
      <c r="D121" s="115"/>
      <c r="E121" s="115"/>
    </row>
    <row r="122" spans="1:5" ht="15" hidden="1" customHeight="1">
      <c r="A122" s="115"/>
      <c r="B122" s="115"/>
      <c r="C122" s="115"/>
      <c r="D122" s="115"/>
      <c r="E122" s="115"/>
    </row>
    <row r="123" spans="1:5" ht="15" hidden="1" customHeight="1">
      <c r="A123" s="115"/>
      <c r="B123" s="115"/>
      <c r="C123" s="115"/>
      <c r="D123" s="115"/>
      <c r="E123" s="115"/>
    </row>
    <row r="124" spans="1:5" ht="15" hidden="1" customHeight="1">
      <c r="A124" s="115"/>
      <c r="B124" s="115"/>
      <c r="C124" s="115"/>
      <c r="D124" s="115"/>
      <c r="E124" s="115"/>
    </row>
    <row r="125" spans="1:5" ht="15" hidden="1" customHeight="1">
      <c r="A125" s="115"/>
      <c r="B125" s="115"/>
      <c r="C125" s="115"/>
      <c r="D125" s="115"/>
      <c r="E125" s="115"/>
    </row>
    <row r="126" spans="1:5" ht="15" hidden="1" customHeight="1">
      <c r="A126" s="115"/>
      <c r="B126" s="115"/>
      <c r="C126" s="115"/>
      <c r="D126" s="115"/>
      <c r="E126" s="115"/>
    </row>
    <row r="127" spans="1:5" ht="15" hidden="1" customHeight="1">
      <c r="A127" s="115"/>
      <c r="B127" s="115"/>
      <c r="C127" s="115"/>
      <c r="D127" s="115"/>
      <c r="E127" s="115"/>
    </row>
    <row r="128" spans="1:5" ht="15" hidden="1" customHeight="1">
      <c r="A128" s="115"/>
      <c r="B128" s="115"/>
      <c r="C128" s="115"/>
      <c r="D128" s="115"/>
      <c r="E128" s="115"/>
    </row>
    <row r="129" spans="1:5" ht="15" hidden="1" customHeight="1">
      <c r="A129" s="115"/>
      <c r="B129" s="115"/>
      <c r="C129" s="115"/>
      <c r="D129" s="115"/>
      <c r="E129" s="115"/>
    </row>
    <row r="130" spans="1:5" ht="15" hidden="1" customHeight="1">
      <c r="A130" s="115"/>
      <c r="B130" s="115"/>
      <c r="C130" s="115"/>
      <c r="D130" s="115"/>
      <c r="E130" s="115"/>
    </row>
    <row r="131" spans="1:5" ht="15" hidden="1" customHeight="1">
      <c r="A131" s="115"/>
      <c r="B131" s="115"/>
      <c r="C131" s="115"/>
      <c r="D131" s="115"/>
      <c r="E131" s="115"/>
    </row>
    <row r="132" spans="1:5" ht="15" hidden="1" customHeight="1">
      <c r="A132" s="115"/>
      <c r="B132" s="115"/>
      <c r="C132" s="115"/>
      <c r="D132" s="115"/>
      <c r="E132" s="115"/>
    </row>
    <row r="133" spans="1:5" ht="15" hidden="1" customHeight="1">
      <c r="A133" s="115"/>
      <c r="B133" s="115"/>
      <c r="C133" s="115"/>
      <c r="D133" s="115"/>
      <c r="E133" s="115"/>
    </row>
    <row r="134" spans="1:5" ht="15" hidden="1" customHeight="1">
      <c r="A134" s="115"/>
      <c r="B134" s="115"/>
      <c r="C134" s="115"/>
      <c r="D134" s="115"/>
      <c r="E134" s="115"/>
    </row>
    <row r="135" spans="1:5" ht="15" hidden="1" customHeight="1">
      <c r="A135" s="115"/>
      <c r="B135" s="115"/>
      <c r="C135" s="115"/>
      <c r="D135" s="115"/>
      <c r="E135" s="115"/>
    </row>
    <row r="136" spans="1:5" ht="15" hidden="1" customHeight="1">
      <c r="A136" s="115"/>
      <c r="B136" s="115"/>
      <c r="C136" s="115"/>
      <c r="D136" s="115"/>
      <c r="E136" s="115"/>
    </row>
    <row r="137" spans="1:5" ht="15" hidden="1" customHeight="1">
      <c r="A137" s="115"/>
      <c r="B137" s="115"/>
      <c r="C137" s="115"/>
      <c r="D137" s="115"/>
      <c r="E137" s="115"/>
    </row>
    <row r="138" spans="1:5" ht="15" hidden="1" customHeight="1">
      <c r="A138" s="115"/>
      <c r="B138" s="115"/>
      <c r="C138" s="115"/>
      <c r="D138" s="115"/>
      <c r="E138" s="115"/>
    </row>
    <row r="139" spans="1:5" ht="15" hidden="1" customHeight="1">
      <c r="A139" s="115"/>
      <c r="B139" s="115"/>
      <c r="C139" s="115"/>
      <c r="D139" s="115"/>
      <c r="E139" s="115"/>
    </row>
    <row r="140" spans="1:5" ht="15" hidden="1" customHeight="1">
      <c r="A140" s="115"/>
      <c r="B140" s="115"/>
      <c r="C140" s="115"/>
      <c r="D140" s="115"/>
      <c r="E140" s="115"/>
    </row>
    <row r="141" spans="1:5" ht="15" hidden="1" customHeight="1">
      <c r="A141" s="115"/>
      <c r="B141" s="115"/>
      <c r="C141" s="115"/>
      <c r="D141" s="115"/>
      <c r="E141" s="115"/>
    </row>
    <row r="142" spans="1:5" ht="15" hidden="1" customHeight="1">
      <c r="A142" s="115"/>
      <c r="B142" s="115"/>
      <c r="C142" s="115"/>
      <c r="D142" s="115"/>
      <c r="E142" s="115"/>
    </row>
    <row r="143" spans="1:5" ht="15" hidden="1" customHeight="1">
      <c r="A143" s="115"/>
      <c r="B143" s="115"/>
      <c r="C143" s="115"/>
      <c r="D143" s="115"/>
      <c r="E143" s="115"/>
    </row>
    <row r="144" spans="1:5" ht="15" hidden="1" customHeight="1">
      <c r="A144" s="115"/>
      <c r="B144" s="115"/>
      <c r="C144" s="115"/>
      <c r="D144" s="115"/>
      <c r="E144" s="115"/>
    </row>
    <row r="145" spans="1:5" ht="15" hidden="1" customHeight="1">
      <c r="A145" s="115"/>
      <c r="B145" s="115"/>
      <c r="C145" s="115"/>
      <c r="D145" s="115"/>
      <c r="E145" s="115"/>
    </row>
    <row r="146" spans="1:5" ht="15" hidden="1" customHeight="1">
      <c r="A146" s="115"/>
      <c r="B146" s="115"/>
      <c r="C146" s="115"/>
      <c r="D146" s="115"/>
      <c r="E146" s="115"/>
    </row>
    <row r="147" spans="1:5" ht="15" hidden="1" customHeight="1">
      <c r="A147" s="115"/>
      <c r="B147" s="115"/>
      <c r="C147" s="115"/>
      <c r="D147" s="115"/>
      <c r="E147" s="115"/>
    </row>
    <row r="148" spans="1:5" ht="15" hidden="1" customHeight="1">
      <c r="A148" s="115"/>
      <c r="B148" s="115"/>
      <c r="C148" s="115"/>
      <c r="D148" s="115"/>
      <c r="E148" s="115"/>
    </row>
    <row r="149" spans="1:5" ht="15" hidden="1" customHeight="1">
      <c r="A149" s="115"/>
      <c r="B149" s="115"/>
      <c r="C149" s="115"/>
      <c r="D149" s="115"/>
      <c r="E149" s="115"/>
    </row>
    <row r="150" spans="1:5" ht="15" hidden="1" customHeight="1">
      <c r="A150" s="115"/>
      <c r="B150" s="115"/>
      <c r="C150" s="115"/>
      <c r="D150" s="115"/>
      <c r="E150" s="115"/>
    </row>
    <row r="151" spans="1:5" ht="15" hidden="1" customHeight="1">
      <c r="A151" s="115"/>
      <c r="B151" s="115"/>
      <c r="C151" s="115"/>
      <c r="D151" s="115"/>
      <c r="E151" s="115"/>
    </row>
    <row r="152" spans="1:5" ht="15" hidden="1" customHeight="1">
      <c r="A152" s="115"/>
      <c r="B152" s="115"/>
      <c r="C152" s="115"/>
      <c r="D152" s="115"/>
      <c r="E152" s="115"/>
    </row>
    <row r="153" spans="1:5" ht="15" hidden="1" customHeight="1">
      <c r="A153" s="115"/>
      <c r="B153" s="115"/>
      <c r="C153" s="115"/>
      <c r="D153" s="115"/>
      <c r="E153" s="115"/>
    </row>
    <row r="154" spans="1:5" ht="15" hidden="1" customHeight="1">
      <c r="A154" s="115"/>
      <c r="B154" s="115"/>
      <c r="C154" s="115"/>
      <c r="D154" s="115"/>
      <c r="E154" s="115"/>
    </row>
    <row r="155" spans="1:5" ht="15" hidden="1" customHeight="1">
      <c r="A155" s="115"/>
      <c r="B155" s="115"/>
      <c r="C155" s="115"/>
      <c r="D155" s="115"/>
      <c r="E155" s="115"/>
    </row>
    <row r="156" spans="1:5" ht="15" hidden="1" customHeight="1">
      <c r="A156" s="115"/>
      <c r="B156" s="115"/>
      <c r="C156" s="115"/>
      <c r="D156" s="115"/>
      <c r="E156" s="115"/>
    </row>
    <row r="157" spans="1:5" ht="15" hidden="1" customHeight="1">
      <c r="A157" s="115"/>
      <c r="B157" s="115"/>
      <c r="C157" s="115"/>
      <c r="D157" s="115"/>
      <c r="E157" s="115"/>
    </row>
    <row r="158" spans="1:5" ht="15" hidden="1" customHeight="1">
      <c r="A158" s="115"/>
      <c r="B158" s="115"/>
      <c r="C158" s="115"/>
      <c r="D158" s="115"/>
      <c r="E158" s="115"/>
    </row>
    <row r="159" spans="1:5" ht="15" hidden="1" customHeight="1">
      <c r="A159" s="115"/>
      <c r="B159" s="115"/>
      <c r="C159" s="115"/>
      <c r="D159" s="115"/>
      <c r="E159" s="115"/>
    </row>
    <row r="160" spans="1:5" ht="15" hidden="1" customHeight="1">
      <c r="A160" s="115"/>
      <c r="B160" s="115"/>
      <c r="C160" s="115"/>
      <c r="D160" s="115"/>
      <c r="E160" s="115"/>
    </row>
    <row r="161" spans="1:5" ht="15" hidden="1" customHeight="1">
      <c r="A161" s="115"/>
      <c r="B161" s="115"/>
      <c r="C161" s="115"/>
      <c r="D161" s="115"/>
      <c r="E161" s="115"/>
    </row>
    <row r="162" spans="1:5" ht="15" hidden="1" customHeight="1">
      <c r="A162" s="115"/>
      <c r="B162" s="115"/>
      <c r="C162" s="115"/>
      <c r="D162" s="115"/>
      <c r="E162" s="115"/>
    </row>
    <row r="163" spans="1:5" ht="15" hidden="1" customHeight="1">
      <c r="A163" s="115"/>
      <c r="B163" s="115"/>
      <c r="C163" s="115"/>
      <c r="D163" s="115"/>
      <c r="E163" s="115"/>
    </row>
    <row r="164" spans="1:5" ht="15" hidden="1" customHeight="1">
      <c r="A164" s="115"/>
      <c r="B164" s="115"/>
      <c r="C164" s="115"/>
      <c r="D164" s="115"/>
      <c r="E164" s="115"/>
    </row>
    <row r="165" spans="1:5" ht="15" hidden="1" customHeight="1">
      <c r="A165" s="115"/>
      <c r="B165" s="115"/>
      <c r="C165" s="115"/>
      <c r="D165" s="115"/>
      <c r="E165" s="115"/>
    </row>
    <row r="166" spans="1:5" ht="15" hidden="1" customHeight="1">
      <c r="A166" s="115"/>
      <c r="B166" s="115"/>
      <c r="C166" s="115"/>
      <c r="D166" s="115"/>
      <c r="E166" s="115"/>
    </row>
    <row r="167" spans="1:5" ht="15" hidden="1" customHeight="1">
      <c r="A167" s="115"/>
      <c r="B167" s="115"/>
      <c r="C167" s="115"/>
      <c r="D167" s="115"/>
      <c r="E167" s="115"/>
    </row>
    <row r="168" spans="1:5" ht="15" hidden="1" customHeight="1">
      <c r="A168" s="115"/>
      <c r="B168" s="115"/>
      <c r="C168" s="115"/>
      <c r="D168" s="115"/>
      <c r="E168" s="115"/>
    </row>
    <row r="169" spans="1:5" ht="15" hidden="1" customHeight="1">
      <c r="A169" s="115"/>
      <c r="B169" s="115"/>
      <c r="C169" s="115"/>
      <c r="D169" s="115"/>
      <c r="E169" s="115"/>
    </row>
    <row r="170" spans="1:5" ht="15" hidden="1" customHeight="1">
      <c r="A170" s="115"/>
      <c r="B170" s="115"/>
      <c r="C170" s="115"/>
      <c r="D170" s="115"/>
      <c r="E170" s="115"/>
    </row>
    <row r="171" spans="1:5" ht="15" hidden="1" customHeight="1">
      <c r="A171" s="115"/>
      <c r="B171" s="115"/>
      <c r="C171" s="115"/>
      <c r="D171" s="115"/>
      <c r="E171" s="115"/>
    </row>
    <row r="172" spans="1:5" ht="15" hidden="1" customHeight="1">
      <c r="A172" s="115"/>
      <c r="B172" s="115"/>
      <c r="C172" s="115"/>
      <c r="D172" s="115"/>
      <c r="E172" s="115"/>
    </row>
    <row r="173" spans="1:5" ht="15" hidden="1" customHeight="1">
      <c r="A173" s="115"/>
      <c r="B173" s="115"/>
      <c r="C173" s="115"/>
      <c r="D173" s="115"/>
      <c r="E173" s="115"/>
    </row>
    <row r="174" spans="1:5" ht="15" hidden="1" customHeight="1">
      <c r="A174" s="115"/>
      <c r="B174" s="115"/>
      <c r="C174" s="115"/>
      <c r="D174" s="115"/>
      <c r="E174" s="115"/>
    </row>
    <row r="175" spans="1:5" ht="15" hidden="1" customHeight="1">
      <c r="A175" s="115"/>
      <c r="B175" s="115"/>
      <c r="C175" s="115"/>
      <c r="D175" s="115"/>
      <c r="E175" s="115"/>
    </row>
    <row r="176" spans="1:5" ht="15" hidden="1" customHeight="1">
      <c r="A176" s="115"/>
      <c r="B176" s="115"/>
      <c r="C176" s="115"/>
      <c r="D176" s="115"/>
      <c r="E176" s="115"/>
    </row>
    <row r="177" spans="1:5" ht="15" hidden="1" customHeight="1">
      <c r="A177" s="115"/>
      <c r="B177" s="115"/>
      <c r="C177" s="115"/>
      <c r="D177" s="115"/>
      <c r="E177" s="115"/>
    </row>
    <row r="178" spans="1:5" ht="15" hidden="1" customHeight="1">
      <c r="A178" s="115"/>
      <c r="B178" s="115"/>
      <c r="C178" s="115"/>
      <c r="D178" s="115"/>
      <c r="E178" s="115"/>
    </row>
    <row r="179" spans="1:5" ht="15" hidden="1" customHeight="1">
      <c r="A179" s="115"/>
      <c r="B179" s="115"/>
      <c r="C179" s="115"/>
      <c r="D179" s="115"/>
      <c r="E179" s="115"/>
    </row>
    <row r="180" spans="1:5" ht="15" hidden="1" customHeight="1">
      <c r="A180" s="115"/>
      <c r="B180" s="115"/>
      <c r="C180" s="115"/>
      <c r="D180" s="115"/>
      <c r="E180" s="115"/>
    </row>
    <row r="181" spans="1:5" ht="15" hidden="1" customHeight="1">
      <c r="A181" s="115"/>
      <c r="B181" s="115"/>
      <c r="C181" s="115"/>
      <c r="D181" s="115"/>
      <c r="E181" s="115"/>
    </row>
    <row r="182" spans="1:5" ht="15" hidden="1" customHeight="1">
      <c r="A182" s="115"/>
      <c r="B182" s="115"/>
      <c r="C182" s="115"/>
      <c r="D182" s="115"/>
      <c r="E182" s="115"/>
    </row>
    <row r="183" spans="1:5" ht="15" hidden="1" customHeight="1">
      <c r="A183" s="115"/>
      <c r="B183" s="115"/>
      <c r="C183" s="115"/>
      <c r="D183" s="115"/>
      <c r="E183" s="115"/>
    </row>
    <row r="184" spans="1:5" ht="15" hidden="1" customHeight="1">
      <c r="A184" s="115"/>
      <c r="B184" s="115"/>
      <c r="C184" s="115"/>
      <c r="D184" s="115"/>
      <c r="E184" s="115"/>
    </row>
    <row r="185" spans="1:5" ht="15" hidden="1" customHeight="1">
      <c r="A185" s="115"/>
      <c r="B185" s="115"/>
      <c r="C185" s="115"/>
      <c r="D185" s="115"/>
      <c r="E185" s="115"/>
    </row>
    <row r="186" spans="1:5" ht="15" hidden="1" customHeight="1">
      <c r="A186" s="115"/>
      <c r="B186" s="115"/>
      <c r="C186" s="115"/>
      <c r="D186" s="115"/>
      <c r="E186" s="115"/>
    </row>
    <row r="187" spans="1:5" ht="15" hidden="1" customHeight="1">
      <c r="A187" s="115"/>
      <c r="B187" s="115"/>
      <c r="C187" s="115"/>
      <c r="D187" s="115"/>
      <c r="E187" s="115"/>
    </row>
    <row r="188" spans="1:5" ht="15" hidden="1" customHeight="1">
      <c r="A188" s="115"/>
      <c r="B188" s="115"/>
      <c r="C188" s="115"/>
      <c r="D188" s="115"/>
      <c r="E188" s="115"/>
    </row>
    <row r="189" spans="1:5" ht="15" hidden="1" customHeight="1">
      <c r="A189" s="115"/>
      <c r="B189" s="115"/>
      <c r="C189" s="115"/>
      <c r="D189" s="115"/>
      <c r="E189" s="115"/>
    </row>
    <row r="190" spans="1:5" ht="15" hidden="1" customHeight="1">
      <c r="A190" s="115"/>
      <c r="B190" s="115"/>
      <c r="C190" s="115"/>
      <c r="D190" s="115"/>
      <c r="E190" s="115"/>
    </row>
    <row r="191" spans="1:5" ht="15" hidden="1" customHeight="1">
      <c r="A191" s="115"/>
      <c r="B191" s="115"/>
      <c r="C191" s="115"/>
      <c r="D191" s="115"/>
      <c r="E191" s="115"/>
    </row>
    <row r="192" spans="1:5" ht="15" hidden="1" customHeight="1">
      <c r="A192" s="115"/>
      <c r="B192" s="115"/>
      <c r="C192" s="115"/>
      <c r="D192" s="115"/>
      <c r="E192" s="115"/>
    </row>
    <row r="193" spans="1:5" ht="15" hidden="1" customHeight="1">
      <c r="A193" s="115"/>
      <c r="B193" s="115"/>
      <c r="C193" s="115"/>
      <c r="D193" s="115"/>
      <c r="E193" s="115"/>
    </row>
    <row r="194" spans="1:5" ht="15" hidden="1" customHeight="1">
      <c r="A194" s="115"/>
      <c r="B194" s="115"/>
      <c r="C194" s="115"/>
      <c r="D194" s="115"/>
      <c r="E194" s="115"/>
    </row>
    <row r="195" spans="1:5" ht="15" hidden="1" customHeight="1">
      <c r="A195" s="115"/>
      <c r="B195" s="115"/>
      <c r="C195" s="115"/>
      <c r="D195" s="115"/>
      <c r="E195" s="115"/>
    </row>
    <row r="196" spans="1:5" ht="15" hidden="1" customHeight="1">
      <c r="A196" s="115"/>
      <c r="B196" s="115"/>
      <c r="C196" s="115"/>
      <c r="D196" s="115"/>
      <c r="E196" s="115"/>
    </row>
    <row r="197" spans="1:5" ht="15" hidden="1" customHeight="1">
      <c r="A197" s="115"/>
      <c r="B197" s="115"/>
      <c r="C197" s="115"/>
      <c r="D197" s="115"/>
      <c r="E197" s="115"/>
    </row>
    <row r="198" spans="1:5" ht="15" hidden="1" customHeight="1">
      <c r="A198" s="115"/>
      <c r="B198" s="115"/>
      <c r="C198" s="115"/>
      <c r="D198" s="115"/>
      <c r="E198" s="115"/>
    </row>
    <row r="199" spans="1:5" ht="15" hidden="1" customHeight="1">
      <c r="A199" s="115"/>
      <c r="B199" s="115"/>
      <c r="C199" s="115"/>
      <c r="D199" s="115"/>
      <c r="E199" s="115"/>
    </row>
    <row r="200" spans="1:5" ht="15" hidden="1" customHeight="1">
      <c r="A200" s="115"/>
      <c r="B200" s="115"/>
      <c r="C200" s="115"/>
      <c r="D200" s="115"/>
      <c r="E200" s="115"/>
    </row>
  </sheetData>
  <sheetProtection selectLockedCells="1"/>
  <mergeCells count="2">
    <mergeCell ref="H9:L9"/>
    <mergeCell ref="H13:I13"/>
  </mergeCell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rng_BoxPassword">
          <controlPr locked="0" defaultSize="0" autoLine="0" autoPict="0" r:id="rId5">
            <anchor>
              <from>
                <xdr:col>6</xdr:col>
                <xdr:colOff>428625</xdr:colOff>
                <xdr:row>11</xdr:row>
                <xdr:rowOff>171450</xdr:rowOff>
              </from>
              <to>
                <xdr:col>9</xdr:col>
                <xdr:colOff>171450</xdr:colOff>
                <xdr:row>13</xdr:row>
                <xdr:rowOff>9525</xdr:rowOff>
              </to>
            </anchor>
          </controlPr>
        </control>
      </mc:Choice>
      <mc:Fallback>
        <control shapeId="1025" r:id="rId4" name="rng_BoxPassword"/>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B651C-D25E-4740-8CA4-D4671052671C}">
  <sheetPr codeName="wst00_Mapping">
    <tabColor theme="0" tint="-0.34998626667073579"/>
  </sheetPr>
  <dimension ref="A1:DT823"/>
  <sheetViews>
    <sheetView zoomScale="85" zoomScaleNormal="85" workbookViewId="0"/>
  </sheetViews>
  <sheetFormatPr defaultColWidth="9.33203125" defaultRowHeight="12.75"/>
  <cols>
    <col min="1" max="1" width="32.83203125" style="1677" customWidth="1"/>
    <col min="2" max="2" width="20.83203125" style="1677" customWidth="1"/>
    <col min="3" max="3" width="23.6640625" style="1677" customWidth="1"/>
    <col min="4" max="4" width="20.83203125" style="1677" customWidth="1"/>
    <col min="5" max="5" width="49.6640625" style="1677" customWidth="1"/>
    <col min="6" max="6" width="27.83203125" style="1677" customWidth="1"/>
    <col min="7" max="7" width="36.1640625" style="1677" customWidth="1"/>
    <col min="8" max="9" width="26.6640625" style="1677" customWidth="1"/>
    <col min="10" max="10" width="20" style="1677" customWidth="1"/>
    <col min="11" max="12" width="14.83203125" style="1677" customWidth="1"/>
    <col min="13" max="13" width="24.6640625" style="1677" customWidth="1"/>
    <col min="14" max="14" width="18.33203125" style="1677" customWidth="1"/>
    <col min="15" max="15" width="14.83203125" style="1677" customWidth="1"/>
    <col min="16" max="16" width="15.1640625" style="1677" customWidth="1"/>
    <col min="17" max="17" width="15.83203125" style="1677" customWidth="1"/>
    <col min="18" max="18" width="42.5" style="1677" bestFit="1" customWidth="1"/>
    <col min="19" max="28" width="14.83203125" style="1677" customWidth="1"/>
    <col min="29" max="29" width="9.33203125" style="1677" customWidth="1"/>
    <col min="30" max="30" width="4.83203125" style="2071" customWidth="1"/>
    <col min="31" max="31" width="4.83203125" style="2075" customWidth="1"/>
    <col min="32" max="32" width="9.33203125" style="1677"/>
    <col min="33" max="36" width="20.83203125" style="1677" customWidth="1"/>
    <col min="37" max="38" width="9.33203125" style="1677"/>
    <col min="39" max="39" width="52.83203125" style="1677" customWidth="1"/>
    <col min="40" max="40" width="25.1640625" style="1677" bestFit="1" customWidth="1"/>
    <col min="41" max="41" width="16.6640625" style="1677" customWidth="1"/>
    <col min="42" max="42" width="20.5" style="1677" customWidth="1"/>
    <col min="43" max="43" width="32.33203125" style="1677" customWidth="1"/>
    <col min="44" max="44" width="25.83203125" style="1677" customWidth="1"/>
    <col min="45" max="45" width="29.33203125" style="1677" customWidth="1"/>
    <col min="46" max="46" width="25.83203125" style="1677" customWidth="1"/>
    <col min="47" max="47" width="21.1640625" style="1677" customWidth="1"/>
    <col min="48" max="48" width="9.83203125" style="1677" customWidth="1"/>
    <col min="49" max="49" width="30.83203125" style="1677" customWidth="1"/>
    <col min="50" max="50" width="9.33203125" style="1677"/>
    <col min="51" max="51" width="12" style="1677" customWidth="1"/>
    <col min="52" max="52" width="20.5" style="1677" customWidth="1"/>
    <col min="53" max="54" width="9.33203125" style="1677"/>
    <col min="55" max="55" width="37.5" style="1677" customWidth="1"/>
    <col min="56" max="56" width="21.6640625" style="1677" customWidth="1"/>
    <col min="57" max="65" width="9.33203125" style="1677"/>
    <col min="66" max="66" width="3.83203125" style="2075" customWidth="1"/>
    <col min="67" max="67" width="3.83203125" style="2079" customWidth="1"/>
    <col min="68" max="68" width="9.33203125" style="1677"/>
    <col min="69" max="72" width="20.83203125" style="1677" customWidth="1"/>
    <col min="73" max="74" width="9.33203125" style="1677"/>
    <col min="75" max="75" width="52.83203125" style="1677" customWidth="1"/>
    <col min="76" max="76" width="25.1640625" style="1677" bestFit="1" customWidth="1"/>
    <col min="77" max="77" width="16.6640625" style="1677" customWidth="1"/>
    <col min="78" max="78" width="20.5" style="1677" customWidth="1"/>
    <col min="79" max="79" width="32.33203125" style="1677" customWidth="1"/>
    <col min="80" max="80" width="25.83203125" style="1677" customWidth="1"/>
    <col min="81" max="81" width="29.33203125" style="1677" customWidth="1"/>
    <col min="82" max="82" width="25.83203125" style="1677" customWidth="1"/>
    <col min="83" max="83" width="21.1640625" style="1677" customWidth="1"/>
    <col min="84" max="84" width="9.83203125" style="1677" customWidth="1"/>
    <col min="85" max="16384" width="9.33203125" style="1677"/>
  </cols>
  <sheetData>
    <row r="1" spans="1:84" ht="26.25">
      <c r="A1" s="1796" t="s">
        <v>2328</v>
      </c>
      <c r="F1" s="2138" t="s">
        <v>2477</v>
      </c>
      <c r="AD1" s="2137" t="s">
        <v>2476</v>
      </c>
      <c r="AE1" s="2137"/>
      <c r="BN1" s="2139" t="s">
        <v>2478</v>
      </c>
      <c r="BO1" s="2139"/>
    </row>
    <row r="2" spans="1:84" ht="15">
      <c r="A2" s="1797" t="s">
        <v>2329</v>
      </c>
      <c r="C2" s="1683" t="s">
        <v>2232</v>
      </c>
      <c r="D2" s="1677" t="str">
        <f>IF(rng01_CreditType="","No","Yes")</f>
        <v>No</v>
      </c>
      <c r="F2" s="2138"/>
      <c r="AD2" s="2137"/>
      <c r="AE2" s="2137"/>
      <c r="BN2" s="2139"/>
      <c r="BO2" s="2139"/>
    </row>
    <row r="3" spans="1:84" ht="15">
      <c r="A3" s="1797" t="s">
        <v>2331</v>
      </c>
      <c r="F3" s="2138"/>
      <c r="AD3" s="2137"/>
      <c r="AE3" s="2137"/>
      <c r="BN3" s="2139"/>
      <c r="BO3" s="2139"/>
    </row>
    <row r="4" spans="1:84" ht="15">
      <c r="A4" s="1797" t="s">
        <v>2330</v>
      </c>
      <c r="F4" s="2138"/>
      <c r="AD4" s="2137"/>
      <c r="AE4" s="2137"/>
      <c r="BN4" s="2139"/>
      <c r="BO4" s="2139"/>
    </row>
    <row r="5" spans="1:84" ht="15">
      <c r="A5" s="1797" t="s">
        <v>2334</v>
      </c>
      <c r="F5" s="2138"/>
      <c r="AD5" s="2137"/>
      <c r="AE5" s="2137"/>
      <c r="BN5" s="2139"/>
      <c r="BO5" s="2139"/>
    </row>
    <row r="6" spans="1:84">
      <c r="F6" s="2138"/>
      <c r="J6" s="1691"/>
      <c r="N6" s="1691"/>
      <c r="AD6" s="2137"/>
      <c r="AE6" s="2137"/>
      <c r="BN6" s="2139"/>
      <c r="BO6" s="2139"/>
    </row>
    <row r="7" spans="1:84" ht="15">
      <c r="A7" s="1685" t="s">
        <v>840</v>
      </c>
      <c r="B7" s="1685" t="s">
        <v>841</v>
      </c>
      <c r="C7" s="1685" t="s">
        <v>842</v>
      </c>
      <c r="D7" s="1685" t="s">
        <v>842</v>
      </c>
      <c r="E7" s="1686" t="s">
        <v>843</v>
      </c>
      <c r="F7" s="1685" t="s">
        <v>844</v>
      </c>
      <c r="G7" s="2016" t="s">
        <v>845</v>
      </c>
      <c r="H7" s="2016" t="s">
        <v>846</v>
      </c>
      <c r="I7" s="2016"/>
      <c r="J7" s="2016" t="s">
        <v>846</v>
      </c>
      <c r="K7" s="2016" t="s">
        <v>846</v>
      </c>
      <c r="L7" s="2016" t="s">
        <v>846</v>
      </c>
      <c r="M7" s="2016" t="s">
        <v>846</v>
      </c>
      <c r="N7" s="2016" t="s">
        <v>846</v>
      </c>
      <c r="O7" s="2016" t="s">
        <v>846</v>
      </c>
      <c r="P7" s="2016" t="s">
        <v>846</v>
      </c>
      <c r="Q7" s="2016" t="s">
        <v>846</v>
      </c>
      <c r="R7" s="2016" t="s">
        <v>846</v>
      </c>
      <c r="S7" s="2016" t="s">
        <v>846</v>
      </c>
      <c r="T7" s="2016" t="s">
        <v>846</v>
      </c>
      <c r="U7" s="2016" t="s">
        <v>846</v>
      </c>
      <c r="V7" s="2016" t="s">
        <v>846</v>
      </c>
      <c r="W7" s="2016" t="s">
        <v>846</v>
      </c>
      <c r="X7" s="2016" t="s">
        <v>846</v>
      </c>
      <c r="Y7" s="2016" t="s">
        <v>846</v>
      </c>
      <c r="Z7" s="2016" t="s">
        <v>846</v>
      </c>
      <c r="AA7" s="2016" t="s">
        <v>846</v>
      </c>
      <c r="AB7" s="2016" t="s">
        <v>846</v>
      </c>
      <c r="AD7" s="2069"/>
      <c r="AE7" s="2073"/>
      <c r="AF7" s="1685"/>
      <c r="AG7" s="2015" t="s">
        <v>840</v>
      </c>
      <c r="AH7" s="2015" t="s">
        <v>841</v>
      </c>
      <c r="AI7" s="2015" t="s">
        <v>842</v>
      </c>
      <c r="AJ7" s="2015" t="s">
        <v>842</v>
      </c>
      <c r="AK7" s="2015" t="s">
        <v>843</v>
      </c>
      <c r="AL7" s="2015" t="s">
        <v>844</v>
      </c>
      <c r="AM7" s="2015" t="s">
        <v>845</v>
      </c>
      <c r="AN7" s="2015" t="s">
        <v>846</v>
      </c>
      <c r="AO7" s="2015" t="s">
        <v>846</v>
      </c>
      <c r="AP7" s="2015" t="s">
        <v>846</v>
      </c>
      <c r="AQ7" s="2015" t="s">
        <v>846</v>
      </c>
      <c r="AR7" s="2015" t="s">
        <v>846</v>
      </c>
      <c r="AS7" s="2015" t="s">
        <v>846</v>
      </c>
      <c r="AT7" s="2015" t="s">
        <v>846</v>
      </c>
      <c r="AU7" s="2015" t="s">
        <v>846</v>
      </c>
      <c r="AV7" s="2015" t="s">
        <v>846</v>
      </c>
      <c r="AW7" s="2015" t="s">
        <v>846</v>
      </c>
      <c r="AX7" s="2015" t="s">
        <v>846</v>
      </c>
      <c r="AY7" s="2015" t="s">
        <v>846</v>
      </c>
      <c r="AZ7" s="2015" t="s">
        <v>846</v>
      </c>
      <c r="BA7" s="2015" t="s">
        <v>846</v>
      </c>
      <c r="BB7" s="2015" t="s">
        <v>846</v>
      </c>
      <c r="BC7" s="2015" t="s">
        <v>846</v>
      </c>
      <c r="BD7" s="2015" t="s">
        <v>846</v>
      </c>
      <c r="BE7" s="2015" t="s">
        <v>846</v>
      </c>
      <c r="BF7" s="2015" t="s">
        <v>846</v>
      </c>
      <c r="BQ7" s="2017" t="s">
        <v>840</v>
      </c>
      <c r="BR7" s="2017" t="s">
        <v>841</v>
      </c>
      <c r="BS7" s="2017" t="s">
        <v>842</v>
      </c>
      <c r="BT7" s="2017" t="s">
        <v>842</v>
      </c>
      <c r="BU7" s="2017" t="s">
        <v>843</v>
      </c>
      <c r="BV7" s="2017" t="s">
        <v>844</v>
      </c>
      <c r="BW7" s="2017" t="s">
        <v>845</v>
      </c>
      <c r="BX7" s="2017" t="s">
        <v>846</v>
      </c>
      <c r="BY7" s="2017" t="s">
        <v>846</v>
      </c>
      <c r="BZ7" s="2017" t="s">
        <v>846</v>
      </c>
      <c r="CA7" s="2017" t="s">
        <v>846</v>
      </c>
      <c r="CB7" s="2017" t="s">
        <v>846</v>
      </c>
      <c r="CC7" s="2017" t="s">
        <v>846</v>
      </c>
      <c r="CD7" s="2017" t="s">
        <v>846</v>
      </c>
      <c r="CE7" s="2017" t="s">
        <v>846</v>
      </c>
      <c r="CF7" s="2017" t="s">
        <v>846</v>
      </c>
    </row>
    <row r="8" spans="1:84" ht="15">
      <c r="A8" s="1685" t="s">
        <v>847</v>
      </c>
      <c r="B8" s="1685" t="s">
        <v>848</v>
      </c>
      <c r="C8" s="1685" t="s">
        <v>36</v>
      </c>
      <c r="D8" s="1685"/>
      <c r="E8" s="1685"/>
      <c r="F8" s="1685"/>
      <c r="G8" s="1685" t="s">
        <v>849</v>
      </c>
      <c r="H8" s="1685" t="str">
        <f>IF(rng01_ProjectName="","",rng01_ProjectName)</f>
        <v/>
      </c>
      <c r="I8" s="1685" t="str">
        <f>IF(rng01_ProjectName="","",rng01_ProjectName)</f>
        <v/>
      </c>
      <c r="J8" s="1685"/>
      <c r="K8" s="1685"/>
      <c r="L8" s="1685"/>
      <c r="M8" s="1685"/>
      <c r="N8" s="1685"/>
      <c r="O8" s="1685"/>
      <c r="P8" s="1685"/>
      <c r="Q8" s="1685"/>
      <c r="R8" s="1685"/>
      <c r="S8" s="1685"/>
      <c r="T8" s="1685"/>
      <c r="U8" s="1685"/>
      <c r="V8" s="1685"/>
      <c r="W8" s="1685"/>
      <c r="X8" s="1685"/>
      <c r="Y8" s="1685"/>
      <c r="Z8" s="1685"/>
      <c r="AA8" s="1685"/>
      <c r="AB8" s="1685"/>
      <c r="AC8" s="1685"/>
      <c r="AD8" s="2069"/>
      <c r="AE8" s="2073"/>
      <c r="AF8" s="1685"/>
      <c r="AG8" s="1685" t="s">
        <v>847</v>
      </c>
      <c r="AH8" s="1677" t="s">
        <v>848</v>
      </c>
      <c r="AI8" s="1677" t="s">
        <v>36</v>
      </c>
      <c r="AM8" s="1677" t="s">
        <v>849</v>
      </c>
      <c r="AN8" s="1687" t="str">
        <f>IF(TCATrigger="No","",IF(rng01_ProjectName="","",rng01_ProjectName))</f>
        <v/>
      </c>
      <c r="AO8" s="1677" t="s">
        <v>2270</v>
      </c>
      <c r="BQ8" s="1685" t="s">
        <v>847</v>
      </c>
      <c r="BR8" s="1677" t="s">
        <v>848</v>
      </c>
      <c r="BS8" s="1677" t="s">
        <v>36</v>
      </c>
      <c r="BW8" s="1677" t="s">
        <v>849</v>
      </c>
    </row>
    <row r="9" spans="1:84" ht="15">
      <c r="A9" s="1685"/>
      <c r="B9" s="1685"/>
      <c r="C9" s="1685"/>
      <c r="D9" s="1685"/>
      <c r="E9" s="1685"/>
      <c r="F9" s="1685"/>
      <c r="G9" s="1686" t="s">
        <v>245</v>
      </c>
      <c r="H9" s="1877">
        <f>IF(rng01_ProjectCurrModProgressDate="","",rng01_ProjectCurrModProgressDate)</f>
        <v>0</v>
      </c>
      <c r="I9" s="1685"/>
      <c r="J9" s="1685"/>
      <c r="K9" s="1685"/>
      <c r="L9" s="1685"/>
      <c r="M9" s="1685"/>
      <c r="N9" s="1685"/>
      <c r="O9" s="1685"/>
      <c r="P9" s="1685"/>
      <c r="Q9" s="1685"/>
      <c r="R9" s="1685"/>
      <c r="S9" s="1685"/>
      <c r="T9" s="1685"/>
      <c r="U9" s="1685"/>
      <c r="V9" s="1685"/>
      <c r="W9" s="1685"/>
      <c r="X9" s="1685"/>
      <c r="Y9" s="1685"/>
      <c r="Z9" s="1685"/>
      <c r="AA9" s="1685"/>
      <c r="AB9" s="1685"/>
      <c r="AC9" s="1685"/>
      <c r="AD9" s="2069"/>
      <c r="AE9" s="2073"/>
      <c r="AF9" s="1685"/>
      <c r="AG9" s="1685"/>
      <c r="AM9" s="1677" t="s">
        <v>850</v>
      </c>
      <c r="AN9" s="2020" t="str">
        <f>IF(TCATrigger="No","",IF(rng01_ProjectCurrModProgressDate="","",rng01_ProjectCurrModProgressDate))</f>
        <v/>
      </c>
      <c r="BQ9" s="1685"/>
      <c r="BW9" s="1677" t="s">
        <v>850</v>
      </c>
    </row>
    <row r="10" spans="1:84" ht="15">
      <c r="A10" s="1685"/>
      <c r="B10" s="1685"/>
      <c r="C10" s="1685"/>
      <c r="D10" s="1685"/>
      <c r="E10" s="1686"/>
      <c r="F10" s="1685"/>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D10" s="2069"/>
      <c r="AE10" s="2073"/>
      <c r="AF10" s="1685"/>
      <c r="AG10" s="1685"/>
      <c r="BQ10" s="1685"/>
    </row>
    <row r="11" spans="1:84" ht="15">
      <c r="A11" s="1685"/>
      <c r="B11" s="1685"/>
      <c r="C11" s="1685"/>
      <c r="D11" s="1685"/>
      <c r="E11" s="1686"/>
      <c r="F11" s="1685"/>
      <c r="G11" s="1685"/>
      <c r="H11" s="1685"/>
      <c r="I11" s="1685"/>
      <c r="J11" s="1685"/>
      <c r="K11" s="1685"/>
      <c r="L11" s="1685"/>
      <c r="M11" s="1685"/>
      <c r="N11" s="1685"/>
      <c r="O11" s="1685"/>
      <c r="P11" s="1685"/>
      <c r="Q11" s="1685"/>
      <c r="R11" s="1685"/>
      <c r="S11" s="1685"/>
      <c r="T11" s="1685"/>
      <c r="U11" s="1685"/>
      <c r="V11" s="1685"/>
      <c r="W11" s="1685"/>
      <c r="X11" s="1685"/>
      <c r="Y11" s="1685"/>
      <c r="Z11" s="1685"/>
      <c r="AA11" s="1685"/>
      <c r="AB11" s="1685"/>
      <c r="AD11" s="2069"/>
      <c r="AE11" s="2073"/>
      <c r="AF11" s="1685"/>
      <c r="AG11" s="1685"/>
      <c r="BQ11" s="1685"/>
    </row>
    <row r="12" spans="1:84" ht="15">
      <c r="A12" s="1685" t="s">
        <v>847</v>
      </c>
      <c r="B12" s="1685" t="s">
        <v>848</v>
      </c>
      <c r="C12" s="1685" t="s">
        <v>36</v>
      </c>
      <c r="D12" s="1685"/>
      <c r="E12" s="1685"/>
      <c r="F12" s="1685"/>
      <c r="G12" s="1685" t="s">
        <v>37</v>
      </c>
      <c r="H12" s="1685" t="str">
        <f>IF(rng01_ProjectName="","",rng01_ProjectName)</f>
        <v/>
      </c>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2069"/>
      <c r="AE12" s="2073"/>
      <c r="AF12" s="1685"/>
      <c r="AG12" s="1685" t="s">
        <v>847</v>
      </c>
      <c r="AH12" s="1677" t="s">
        <v>848</v>
      </c>
      <c r="AI12" s="1677" t="s">
        <v>36</v>
      </c>
      <c r="AM12" s="1677" t="s">
        <v>37</v>
      </c>
      <c r="AN12" s="1677" t="str">
        <f>IF(TCATrigger="No","",IF(rng01_ProjectName="","",rng01_ProjectName))</f>
        <v/>
      </c>
      <c r="BQ12" s="1685" t="s">
        <v>847</v>
      </c>
      <c r="BR12" s="1677" t="s">
        <v>848</v>
      </c>
      <c r="BS12" s="1677" t="s">
        <v>36</v>
      </c>
      <c r="BW12" s="1677" t="s">
        <v>37</v>
      </c>
    </row>
    <row r="13" spans="1:84" ht="15">
      <c r="A13" s="1685"/>
      <c r="B13" s="1685"/>
      <c r="C13" s="1685"/>
      <c r="D13" s="1685"/>
      <c r="E13" s="1685"/>
      <c r="F13" s="1685"/>
      <c r="G13" s="1685" t="s">
        <v>851</v>
      </c>
      <c r="H13" s="1685" t="str">
        <f>IF(rng01_Address1="","",rng01_Address1)</f>
        <v/>
      </c>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2069"/>
      <c r="AE13" s="2073"/>
      <c r="AF13" s="1685"/>
      <c r="AG13" s="1685"/>
      <c r="AM13" s="1677" t="s">
        <v>851</v>
      </c>
      <c r="AN13" s="1677" t="str">
        <f>IF(TCATrigger="No","",IF(rng01_Address1="","",rng01_Address1))</f>
        <v/>
      </c>
      <c r="BQ13" s="1685"/>
      <c r="BW13" s="1677" t="s">
        <v>851</v>
      </c>
    </row>
    <row r="14" spans="1:84" ht="15">
      <c r="A14" s="1685"/>
      <c r="B14" s="1685"/>
      <c r="C14" s="1685"/>
      <c r="D14" s="1685"/>
      <c r="E14" s="1685"/>
      <c r="F14" s="1685"/>
      <c r="G14" s="1685" t="s">
        <v>852</v>
      </c>
      <c r="H14" s="1685" t="str">
        <f>IF(rng01_City1="","",rng01_City1)</f>
        <v/>
      </c>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2069"/>
      <c r="AE14" s="2073"/>
      <c r="AF14" s="1685"/>
      <c r="AG14" s="1685"/>
      <c r="AH14" s="1677" t="s">
        <v>853</v>
      </c>
      <c r="AM14" s="1677" t="s">
        <v>852</v>
      </c>
      <c r="AN14" s="1677" t="str">
        <f>IF(TCATrigger="No","",IF(rng01_City1="","",rng01_City1))</f>
        <v/>
      </c>
      <c r="BQ14" s="1685"/>
      <c r="BW14" s="1677" t="s">
        <v>852</v>
      </c>
    </row>
    <row r="15" spans="1:84" ht="15">
      <c r="A15" s="1685"/>
      <c r="B15" s="1685"/>
      <c r="C15" s="1685"/>
      <c r="D15" s="1685"/>
      <c r="E15" s="1685"/>
      <c r="F15" s="1685"/>
      <c r="G15" s="1879" t="s">
        <v>99</v>
      </c>
      <c r="H15" s="1688" t="str">
        <f>IF(OR(rng01_City1="Barrington",rng01_City1="Bristol",rng01_City1="Warren"),"Bristol County",IF(OR(rng01_City1="Coventry",rng01_City1="East Greenwich",rng01_City1="Warwick",rng01_City1="West Greenwich",rng01_City1="West Warwick"),"Kent County", IF(OR(rng01_City1="Jamestown", rng01_City1="Little Compton", rng01_City1="Middletown", rng01_City1="Newport", rng01_City1="Portsmouth", rng01_City1="Tiverton"), "Newport County", IF(OR(rng01_City1="Burrillville", rng01_City1="Central Falls",rng01_City1="Cranston", rng01_City1="Cumberland", rng01_City1="East Providence", rng01_City1="Foster", rng01_City1="Glocester", rng01_City1="Johnston", rng01_City1="Lincoln", rng01_City1="North Providence", rng01_City1="North Smithfield", rng01_City1="Pawtucket",rng01_City1="Providence", rng01_City1="Scituate", rng01_City1="Smithfield", rng01_City1="Woonsocket"), "Providence County", IF(OR(rng01_City1="Charlestown", rng01_City1="Exeter", rng01_City1="Hopkinton", rng01_City1="Narragansett", rng01_City1="New Shoreham", rng01_City1="North Kingstown", rng01_City1="Richmond", rng01_City1="South Kingstown", rng01_City1="Westerly"), "Washington County","")))))</f>
        <v/>
      </c>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2069"/>
      <c r="AE15" s="2073"/>
      <c r="AF15" s="1685"/>
      <c r="AG15" s="1685"/>
      <c r="AM15" s="1683" t="s">
        <v>99</v>
      </c>
      <c r="AN15" s="1677" t="str">
        <f>H15</f>
        <v/>
      </c>
      <c r="BQ15" s="1685"/>
      <c r="BW15" s="1683" t="s">
        <v>99</v>
      </c>
    </row>
    <row r="16" spans="1:84" ht="15">
      <c r="A16" s="1685"/>
      <c r="B16" s="1685"/>
      <c r="C16" s="1685"/>
      <c r="D16" s="1685"/>
      <c r="E16" s="1685"/>
      <c r="F16" s="1685"/>
      <c r="G16" s="1685" t="s">
        <v>592</v>
      </c>
      <c r="H16" s="1688" t="s">
        <v>686</v>
      </c>
      <c r="I16" s="1688"/>
      <c r="J16" s="1685"/>
      <c r="K16" s="1689"/>
      <c r="L16" s="1690"/>
      <c r="M16" s="1685"/>
      <c r="N16" s="1685"/>
      <c r="O16" s="1685"/>
      <c r="P16" s="1685"/>
      <c r="Q16" s="1685"/>
      <c r="R16" s="1685"/>
      <c r="S16" s="1685"/>
      <c r="T16" s="1685"/>
      <c r="U16" s="1685"/>
      <c r="V16" s="1685"/>
      <c r="W16" s="1685"/>
      <c r="X16" s="1685"/>
      <c r="Y16" s="1685"/>
      <c r="Z16" s="1685"/>
      <c r="AA16" s="1685"/>
      <c r="AB16" s="1685"/>
      <c r="AC16" s="1685"/>
      <c r="AD16" s="2069"/>
      <c r="AE16" s="2073"/>
      <c r="AF16" s="1685"/>
      <c r="AG16" s="1685"/>
      <c r="AM16" s="1677" t="s">
        <v>592</v>
      </c>
      <c r="AN16" s="1691" t="str">
        <f>IF(TCATrigger="No","",IF(rng01_State="","",rng01_State))</f>
        <v/>
      </c>
      <c r="BQ16" s="1685"/>
      <c r="BW16" s="1677" t="s">
        <v>592</v>
      </c>
    </row>
    <row r="17" spans="1:76" ht="15">
      <c r="A17" s="1685"/>
      <c r="B17" s="1685"/>
      <c r="C17" s="1685"/>
      <c r="D17" s="1685"/>
      <c r="E17" s="1685"/>
      <c r="F17" s="1685"/>
      <c r="G17" s="1685" t="s">
        <v>41</v>
      </c>
      <c r="H17" s="1688" t="str">
        <f>IF(rng01_Zip1="","",rng01_Zip1)</f>
        <v/>
      </c>
      <c r="I17" s="1685"/>
      <c r="J17" s="1685"/>
      <c r="K17" s="1685"/>
      <c r="L17" s="1689"/>
      <c r="M17" s="1685"/>
      <c r="N17" s="1685"/>
      <c r="O17" s="1685"/>
      <c r="P17" s="1685"/>
      <c r="Q17" s="1685"/>
      <c r="R17" s="1685"/>
      <c r="S17" s="1685"/>
      <c r="T17" s="1685"/>
      <c r="U17" s="1685"/>
      <c r="V17" s="1685"/>
      <c r="W17" s="1685"/>
      <c r="X17" s="1685"/>
      <c r="Y17" s="1685"/>
      <c r="Z17" s="1685"/>
      <c r="AA17" s="1685"/>
      <c r="AB17" s="1685"/>
      <c r="AC17" s="1685"/>
      <c r="AD17" s="2069"/>
      <c r="AE17" s="2073"/>
      <c r="AF17" s="1685"/>
      <c r="AG17" s="1685"/>
      <c r="AM17" s="1677" t="s">
        <v>41</v>
      </c>
      <c r="AN17" s="1691" t="str">
        <f>IF(TCATrigger="No","",IF(rng01_Zip1="","",rng01_Zip1))</f>
        <v/>
      </c>
      <c r="BQ17" s="1685"/>
      <c r="BW17" s="1677" t="s">
        <v>41</v>
      </c>
    </row>
    <row r="18" spans="1:76" ht="15">
      <c r="A18" s="1685"/>
      <c r="B18" s="1685"/>
      <c r="C18" s="1685"/>
      <c r="D18" s="1685"/>
      <c r="E18" s="1685"/>
      <c r="F18" s="1685"/>
      <c r="G18" s="1685" t="s">
        <v>343</v>
      </c>
      <c r="H18" s="1685" t="str">
        <f>IF(ISBLANK(rng01_CensusTract),"",rng01_CensusTract)</f>
        <v/>
      </c>
      <c r="I18" s="1685"/>
      <c r="J18" s="1685"/>
      <c r="K18" s="1685"/>
      <c r="L18" s="1690"/>
      <c r="M18" s="1685"/>
      <c r="N18" s="1685"/>
      <c r="O18" s="1685"/>
      <c r="P18" s="1685"/>
      <c r="Q18" s="1685"/>
      <c r="R18" s="1685"/>
      <c r="S18" s="1685"/>
      <c r="T18" s="1685"/>
      <c r="U18" s="1685"/>
      <c r="V18" s="1685"/>
      <c r="W18" s="1685"/>
      <c r="X18" s="1685"/>
      <c r="Y18" s="1685"/>
      <c r="Z18" s="1685"/>
      <c r="AA18" s="1685"/>
      <c r="AB18" s="1685"/>
      <c r="AC18" s="1685"/>
      <c r="AD18" s="2069"/>
      <c r="AE18" s="2073"/>
      <c r="AF18" s="1685"/>
      <c r="AG18" s="1685"/>
      <c r="AM18" s="1677" t="s">
        <v>343</v>
      </c>
      <c r="AN18" s="1677" t="str">
        <f>IF(ISBLANK(rng01_CensusTract),"",rng01_CensusTract)</f>
        <v/>
      </c>
      <c r="AP18" s="1677" t="s">
        <v>2246</v>
      </c>
      <c r="BQ18" s="1685"/>
      <c r="BW18" s="1677" t="s">
        <v>343</v>
      </c>
      <c r="BX18" s="1677" t="str">
        <f>IF(ISBLANK(rng01_CensusTract),"",rng01_CensusTract)</f>
        <v/>
      </c>
    </row>
    <row r="19" spans="1:76" ht="15">
      <c r="A19" s="1685"/>
      <c r="B19" s="1685"/>
      <c r="C19" s="1685"/>
      <c r="D19" s="1685"/>
      <c r="E19" s="1685"/>
      <c r="F19" s="1686" t="s">
        <v>854</v>
      </c>
      <c r="G19" s="1686" t="s">
        <v>42</v>
      </c>
      <c r="H19" s="1692" t="str">
        <f>IF(rng01_PropertyType="","",rng01_PropertyType)</f>
        <v/>
      </c>
      <c r="I19" s="1688"/>
      <c r="J19" s="1685"/>
      <c r="K19" s="1685"/>
      <c r="L19" s="1689"/>
      <c r="M19" s="1685"/>
      <c r="N19" s="1685"/>
      <c r="O19" s="1685"/>
      <c r="P19" s="1685"/>
      <c r="Q19" s="1685"/>
      <c r="R19" s="1685"/>
      <c r="S19" s="1685"/>
      <c r="T19" s="1685"/>
      <c r="U19" s="1685"/>
      <c r="V19" s="1685"/>
      <c r="W19" s="1685"/>
      <c r="X19" s="1685"/>
      <c r="Y19" s="1685"/>
      <c r="Z19" s="1685"/>
      <c r="AA19" s="1685"/>
      <c r="AB19" s="1685"/>
      <c r="AC19" s="1685"/>
      <c r="AD19" s="2069"/>
      <c r="AE19" s="2073"/>
      <c r="AF19" s="1685"/>
      <c r="AG19" s="1685"/>
      <c r="AL19" s="1677" t="s">
        <v>854</v>
      </c>
      <c r="AM19" s="1684" t="s">
        <v>42</v>
      </c>
      <c r="AN19" s="1684" t="str">
        <f>IF(TCATrigger="No","",IF(rng01_PropertyType="","",rng01_PropertyType))</f>
        <v/>
      </c>
      <c r="BQ19" s="1685"/>
      <c r="BW19" s="1684" t="s">
        <v>42</v>
      </c>
    </row>
    <row r="20" spans="1:76" ht="15">
      <c r="A20" s="1685"/>
      <c r="B20" s="1685"/>
      <c r="C20" s="1685"/>
      <c r="D20" s="1685"/>
      <c r="E20" s="1685"/>
      <c r="F20" s="1685"/>
      <c r="G20" s="1685" t="s">
        <v>45</v>
      </c>
      <c r="H20" s="1688" t="str">
        <f>IF(rng01_DevelopmentType="","",rng01_DevelopmentType)</f>
        <v/>
      </c>
      <c r="I20" s="1688"/>
      <c r="J20" s="1685"/>
      <c r="K20" s="1685"/>
      <c r="L20" s="1689"/>
      <c r="M20" s="1685"/>
      <c r="N20" s="1685"/>
      <c r="O20" s="1685"/>
      <c r="P20" s="1685"/>
      <c r="Q20" s="1685"/>
      <c r="R20" s="1685"/>
      <c r="S20" s="1685"/>
      <c r="T20" s="1685"/>
      <c r="U20" s="1685"/>
      <c r="V20" s="1685"/>
      <c r="W20" s="1685"/>
      <c r="X20" s="1685"/>
      <c r="Y20" s="1685"/>
      <c r="Z20" s="1685"/>
      <c r="AA20" s="1685"/>
      <c r="AB20" s="1685"/>
      <c r="AC20" s="1685"/>
      <c r="AD20" s="2069"/>
      <c r="AE20" s="2073"/>
      <c r="AF20" s="1685"/>
      <c r="AG20" s="1685"/>
      <c r="AM20" s="1677" t="s">
        <v>45</v>
      </c>
      <c r="AN20" s="1691" t="str">
        <f>IF(TCATrigger="No","",IF(rng01_DevelopmentType="","",rng01_DevelopmentType))</f>
        <v/>
      </c>
      <c r="AP20" s="1677" t="s">
        <v>2244</v>
      </c>
      <c r="BQ20" s="1685"/>
      <c r="BW20" s="1677" t="s">
        <v>45</v>
      </c>
    </row>
    <row r="21" spans="1:76" ht="15">
      <c r="A21" s="1685"/>
      <c r="B21" s="1685"/>
      <c r="C21" s="1685"/>
      <c r="D21" s="1685"/>
      <c r="E21" s="1685"/>
      <c r="F21" s="1685"/>
      <c r="G21" s="1685" t="s">
        <v>46</v>
      </c>
      <c r="H21" s="1685" t="str">
        <f>IF(rng01_TenancyType="","",rng01_TenancyType)</f>
        <v/>
      </c>
      <c r="I21" s="1685"/>
      <c r="J21" s="1685"/>
      <c r="K21" s="1685"/>
      <c r="L21" s="1689"/>
      <c r="M21" s="1685"/>
      <c r="N21" s="1685"/>
      <c r="O21" s="1685"/>
      <c r="P21" s="1685"/>
      <c r="Q21" s="1685"/>
      <c r="R21" s="1685"/>
      <c r="S21" s="1685"/>
      <c r="T21" s="1685"/>
      <c r="U21" s="1685"/>
      <c r="V21" s="1685"/>
      <c r="W21" s="1685"/>
      <c r="X21" s="1685"/>
      <c r="Y21" s="1685"/>
      <c r="Z21" s="1685"/>
      <c r="AA21" s="1685"/>
      <c r="AB21" s="1685"/>
      <c r="AC21" s="1685"/>
      <c r="AD21" s="2069"/>
      <c r="AE21" s="2073"/>
      <c r="AF21" s="1685"/>
      <c r="AG21" s="1685"/>
      <c r="AM21" s="1677" t="s">
        <v>46</v>
      </c>
      <c r="AN21" s="1691" t="str">
        <f>IF(TCATrigger="No","",IF(rng01_TenancyType="","",rng01_TenancyType))</f>
        <v/>
      </c>
      <c r="AP21" s="1677" t="s">
        <v>2243</v>
      </c>
      <c r="BQ21" s="1685"/>
      <c r="BW21" s="1677" t="s">
        <v>46</v>
      </c>
    </row>
    <row r="22" spans="1:76" ht="15">
      <c r="A22" s="1685"/>
      <c r="B22" s="1685"/>
      <c r="C22" s="1685"/>
      <c r="D22" s="1685"/>
      <c r="E22" s="1685"/>
      <c r="F22" s="1685"/>
      <c r="G22" s="1879" t="s">
        <v>2444</v>
      </c>
      <c r="H22" s="1884" t="str">
        <f>IF(ISBLANK(rng01_TenantStatus), "", rng01_TenantStatus)</f>
        <v/>
      </c>
      <c r="I22" s="1685"/>
      <c r="J22" s="1685"/>
      <c r="K22" s="1685"/>
      <c r="L22" s="1689"/>
      <c r="M22" s="1685"/>
      <c r="N22" s="1685"/>
      <c r="O22" s="1685"/>
      <c r="P22" s="1685"/>
      <c r="Q22" s="1685"/>
      <c r="R22" s="1685"/>
      <c r="S22" s="1685"/>
      <c r="T22" s="1685"/>
      <c r="U22" s="1685"/>
      <c r="V22" s="1685"/>
      <c r="W22" s="1685"/>
      <c r="X22" s="1685"/>
      <c r="Y22" s="1685"/>
      <c r="Z22" s="1685"/>
      <c r="AA22" s="1685"/>
      <c r="AB22" s="1685"/>
      <c r="AC22" s="1685"/>
      <c r="AD22" s="2069"/>
      <c r="AE22" s="2073"/>
      <c r="AF22" s="1685"/>
      <c r="AG22" s="1685"/>
      <c r="AM22" s="1683" t="s">
        <v>2444</v>
      </c>
      <c r="AN22" s="1691"/>
      <c r="BQ22" s="1685"/>
      <c r="BW22" s="1683" t="s">
        <v>2444</v>
      </c>
    </row>
    <row r="23" spans="1:76" ht="15">
      <c r="A23" s="1685"/>
      <c r="B23" s="1685"/>
      <c r="C23" s="1685"/>
      <c r="D23" s="1685"/>
      <c r="E23" s="1685"/>
      <c r="F23" s="1685"/>
      <c r="G23" s="1685" t="s">
        <v>47</v>
      </c>
      <c r="H23" s="1693" t="str">
        <f>IF(rng01_CreditType="","",rng01_CreditType)</f>
        <v/>
      </c>
      <c r="I23" s="1688"/>
      <c r="J23" s="1685"/>
      <c r="K23" s="1685"/>
      <c r="L23" s="1685"/>
      <c r="M23" s="1685"/>
      <c r="N23" s="1685"/>
      <c r="O23" s="1685"/>
      <c r="P23" s="1685"/>
      <c r="Q23" s="1685"/>
      <c r="R23" s="1685"/>
      <c r="S23" s="1685"/>
      <c r="T23" s="1685"/>
      <c r="U23" s="1685"/>
      <c r="V23" s="1685"/>
      <c r="W23" s="1685"/>
      <c r="X23" s="1685"/>
      <c r="Y23" s="1685"/>
      <c r="Z23" s="1685"/>
      <c r="AA23" s="1685"/>
      <c r="AB23" s="1685"/>
      <c r="AC23" s="1685"/>
      <c r="AD23" s="2069"/>
      <c r="AE23" s="2073"/>
      <c r="AF23" s="1685"/>
      <c r="AG23" s="1685"/>
      <c r="AM23" s="1677" t="s">
        <v>47</v>
      </c>
      <c r="AN23" s="1677" t="str">
        <f>IF(TCATrigger="No","",IF(rng01_CreditType="","",rng01_CreditType))</f>
        <v/>
      </c>
      <c r="BQ23" s="1685"/>
      <c r="BW23" s="1677" t="s">
        <v>47</v>
      </c>
    </row>
    <row r="24" spans="1:76" ht="15">
      <c r="A24" s="1685"/>
      <c r="B24" s="1685"/>
      <c r="C24" s="1685"/>
      <c r="D24" s="1685"/>
      <c r="E24" s="1685"/>
      <c r="F24" s="1685"/>
      <c r="G24" s="1685" t="s">
        <v>51</v>
      </c>
      <c r="H24" s="1688" t="str">
        <f>IF(rng01_ConstructionType="","",rng01_ConstructionType)</f>
        <v/>
      </c>
      <c r="I24" s="1685"/>
      <c r="J24" s="1694"/>
      <c r="K24" s="1685"/>
      <c r="L24" s="1685"/>
      <c r="M24" s="1685"/>
      <c r="N24" s="1685"/>
      <c r="O24" s="1685"/>
      <c r="P24" s="1685"/>
      <c r="Q24" s="1685"/>
      <c r="R24" s="1685"/>
      <c r="S24" s="1685"/>
      <c r="T24" s="1685"/>
      <c r="U24" s="1685"/>
      <c r="V24" s="1685"/>
      <c r="W24" s="1685"/>
      <c r="X24" s="1685"/>
      <c r="Y24" s="1685"/>
      <c r="Z24" s="1685"/>
      <c r="AA24" s="1685"/>
      <c r="AB24" s="1685"/>
      <c r="AC24" s="1685"/>
      <c r="AD24" s="2069"/>
      <c r="AE24" s="2073"/>
      <c r="AF24" s="1685"/>
      <c r="AG24" s="1685"/>
      <c r="AM24" s="1677" t="s">
        <v>51</v>
      </c>
      <c r="AN24" s="1691" t="str">
        <f>IF(TCATrigger="No","",IF(rng01_ConstructionType="","",rng01_ConstructionType))</f>
        <v/>
      </c>
      <c r="AS24" s="1677" t="s">
        <v>2245</v>
      </c>
      <c r="BQ24" s="1685"/>
      <c r="BW24" s="1677" t="s">
        <v>51</v>
      </c>
    </row>
    <row r="25" spans="1:76" ht="15">
      <c r="A25" s="1685"/>
      <c r="B25" s="1685"/>
      <c r="C25" s="1685"/>
      <c r="D25" s="1685"/>
      <c r="E25" s="1685"/>
      <c r="F25" s="1685"/>
      <c r="G25" s="1685" t="s">
        <v>855</v>
      </c>
      <c r="H25" s="1685" t="str">
        <f>IF(rng01_RIH_Underwriter="","",rng01_RIH_Underwriter)</f>
        <v/>
      </c>
      <c r="I25" s="1685"/>
      <c r="J25" s="1685"/>
      <c r="K25" s="1685"/>
      <c r="L25" s="1685"/>
      <c r="M25" s="1685"/>
      <c r="N25" s="1685"/>
      <c r="O25" s="1685"/>
      <c r="P25" s="1685"/>
      <c r="Q25" s="1685"/>
      <c r="R25" s="1685"/>
      <c r="S25" s="1685"/>
      <c r="T25" s="1685"/>
      <c r="U25" s="1685"/>
      <c r="V25" s="1685"/>
      <c r="W25" s="1685"/>
      <c r="X25" s="1685"/>
      <c r="Y25" s="1685"/>
      <c r="Z25" s="1685"/>
      <c r="AA25" s="1685"/>
      <c r="AB25" s="1685"/>
      <c r="AC25" s="1685"/>
      <c r="AD25" s="2069"/>
      <c r="AE25" s="2073"/>
      <c r="AF25" s="1685"/>
      <c r="AG25" s="1685"/>
      <c r="AM25" s="1677" t="s">
        <v>855</v>
      </c>
      <c r="AN25" s="1677" t="str">
        <f>IF(TCATrigger="No","",IF(rng01_RIH_Underwriter="","",rng01_RIH_Underwriter))</f>
        <v/>
      </c>
      <c r="BQ25" s="1685"/>
      <c r="BW25" s="1677" t="s">
        <v>855</v>
      </c>
    </row>
    <row r="26" spans="1:76" ht="15">
      <c r="A26" s="1685"/>
      <c r="B26" s="1685"/>
      <c r="C26" s="1685"/>
      <c r="D26" s="1685"/>
      <c r="E26" s="1685"/>
      <c r="F26" s="1685"/>
      <c r="G26" s="1685" t="s">
        <v>2481</v>
      </c>
      <c r="H26" s="2113" t="str">
        <f>IF(ISBLANK(rng01_DealStageStatus),"",rng01_DealStageStatus)</f>
        <v/>
      </c>
      <c r="I26" s="1685"/>
      <c r="J26" s="1881"/>
      <c r="K26" s="2031" t="s">
        <v>2525</v>
      </c>
      <c r="L26" s="1685" t="str">
        <f>IF(ISBLANK(rng01_DealStageStatus),"TRUE",IF(rng01_DealStageStatus="Preliminary Commitment - Dead","FALSE",IF(rng01_DealStageStatus="Closed - Active", "FALSE", IF(rng01_DealStageStatus="Firm Commitment - Dead", "FALSE", IF(rng01_DealStageStatus="Closed - Dead", "FALSE","TRUE")))))</f>
        <v>TRUE</v>
      </c>
      <c r="M26" s="1685"/>
      <c r="N26" s="1685"/>
      <c r="O26" s="1685"/>
      <c r="P26" s="1685"/>
      <c r="Q26" s="1685"/>
      <c r="R26" s="1685"/>
      <c r="S26" s="1685"/>
      <c r="T26" s="1685"/>
      <c r="U26" s="1685"/>
      <c r="V26" s="1685"/>
      <c r="W26" s="1685"/>
      <c r="X26" s="1685"/>
      <c r="Y26" s="1685"/>
      <c r="Z26" s="1685"/>
      <c r="AA26" s="1685"/>
      <c r="AB26" s="1685"/>
      <c r="AC26" s="1685"/>
      <c r="AD26" s="2069"/>
      <c r="AE26" s="2073"/>
      <c r="AF26" s="1685"/>
      <c r="AG26" s="1685"/>
      <c r="AM26" s="1685" t="s">
        <v>2481</v>
      </c>
      <c r="AN26" s="1685"/>
      <c r="AO26" s="1685"/>
      <c r="AP26" s="1881"/>
      <c r="AQ26" s="2031" t="s">
        <v>2525</v>
      </c>
      <c r="AR26" s="1677" t="str">
        <f>L26</f>
        <v>TRUE</v>
      </c>
      <c r="BQ26" s="1685"/>
      <c r="BW26" s="1685" t="s">
        <v>2481</v>
      </c>
    </row>
    <row r="27" spans="1:76" ht="15">
      <c r="A27" s="1685"/>
      <c r="B27" s="1685"/>
      <c r="C27" s="1685"/>
      <c r="D27" s="1685"/>
      <c r="E27" s="1685"/>
      <c r="F27" s="1685"/>
      <c r="G27" s="1685" t="s">
        <v>856</v>
      </c>
      <c r="H27" s="1695">
        <f>IF(rng01_Mod_Rev_Date="","",rng01_Mod_Rev_Date)</f>
        <v>45951</v>
      </c>
      <c r="I27" s="1696"/>
      <c r="J27" s="1685"/>
      <c r="K27" s="1685"/>
      <c r="L27" s="1685"/>
      <c r="M27" s="1685"/>
      <c r="N27" s="1685"/>
      <c r="O27" s="1685"/>
      <c r="P27" s="1685"/>
      <c r="Q27" s="1685"/>
      <c r="R27" s="1685"/>
      <c r="S27" s="1685"/>
      <c r="T27" s="1685"/>
      <c r="U27" s="1685"/>
      <c r="V27" s="1685"/>
      <c r="W27" s="1685"/>
      <c r="X27" s="1685"/>
      <c r="Y27" s="1685"/>
      <c r="Z27" s="1685"/>
      <c r="AA27" s="1685"/>
      <c r="AB27" s="1685"/>
      <c r="AC27" s="1685"/>
      <c r="AD27" s="2069"/>
      <c r="AE27" s="2073"/>
      <c r="AF27" s="1685"/>
      <c r="AG27" s="1685"/>
      <c r="AM27" s="1677" t="s">
        <v>856</v>
      </c>
      <c r="AN27" s="1697" t="str">
        <f>IF(TCATrigger="No","",IF(rng01_Mod_Rev_Date="","",rng01_Mod_Rev_Date))</f>
        <v/>
      </c>
      <c r="BQ27" s="1685"/>
      <c r="BW27" s="1677" t="s">
        <v>856</v>
      </c>
    </row>
    <row r="28" spans="1:76" ht="15">
      <c r="A28" s="1685"/>
      <c r="B28" s="1685"/>
      <c r="C28" s="1685"/>
      <c r="D28" s="1685"/>
      <c r="E28" s="1685"/>
      <c r="F28" s="1685"/>
      <c r="G28" s="1685" t="s">
        <v>857</v>
      </c>
      <c r="H28" s="1685" t="str">
        <f>IF(rng01_Mod_Ver_Num="","",rng01_Mod_Ver_Num)</f>
        <v>v13.1h_Small Non-LIHTC</v>
      </c>
      <c r="I28" s="1685"/>
      <c r="J28" s="1685"/>
      <c r="K28" s="1685"/>
      <c r="L28" s="1685"/>
      <c r="M28" s="1685"/>
      <c r="N28" s="1685"/>
      <c r="O28" s="1685"/>
      <c r="P28" s="1685"/>
      <c r="Q28" s="1685"/>
      <c r="R28" s="1685"/>
      <c r="S28" s="1685"/>
      <c r="T28" s="1685"/>
      <c r="U28" s="1685"/>
      <c r="V28" s="1685"/>
      <c r="W28" s="1685"/>
      <c r="X28" s="1685"/>
      <c r="Y28" s="1685"/>
      <c r="Z28" s="1685"/>
      <c r="AA28" s="1685"/>
      <c r="AB28" s="1685"/>
      <c r="AC28" s="1685"/>
      <c r="AD28" s="2069"/>
      <c r="AE28" s="2073"/>
      <c r="AF28" s="1685"/>
      <c r="AG28" s="1685"/>
      <c r="AM28" s="1677" t="s">
        <v>857</v>
      </c>
      <c r="AN28" s="1677" t="str">
        <f>IF(TCATrigger="No","",IF(rng01_Mod_Ver_Num="","",rng01_Mod_Ver_Num))</f>
        <v/>
      </c>
      <c r="BQ28" s="1685"/>
      <c r="BW28" s="1677" t="s">
        <v>857</v>
      </c>
    </row>
    <row r="29" spans="1:76" ht="15">
      <c r="A29" s="1685"/>
      <c r="B29" s="1685"/>
      <c r="C29" s="1685"/>
      <c r="D29" s="1685"/>
      <c r="E29" s="1685"/>
      <c r="F29" s="1685"/>
      <c r="G29" s="1685"/>
      <c r="H29" s="1685"/>
      <c r="I29" s="1685"/>
      <c r="J29" s="1685"/>
      <c r="K29" s="1685"/>
      <c r="L29" s="1685"/>
      <c r="M29" s="1685"/>
      <c r="N29" s="1685"/>
      <c r="O29" s="1685"/>
      <c r="P29" s="1685"/>
      <c r="Q29" s="1685"/>
      <c r="R29" s="1685"/>
      <c r="S29" s="1685"/>
      <c r="T29" s="1685"/>
      <c r="U29" s="1685"/>
      <c r="V29" s="1685"/>
      <c r="W29" s="1685"/>
      <c r="X29" s="1685"/>
      <c r="Y29" s="1685"/>
      <c r="Z29" s="1685"/>
      <c r="AA29" s="1685"/>
      <c r="AB29" s="1685"/>
      <c r="AC29" s="1685"/>
      <c r="AD29" s="2069"/>
      <c r="AE29" s="2073"/>
      <c r="AF29" s="1685"/>
      <c r="AG29" s="1685"/>
      <c r="BQ29" s="1685"/>
    </row>
    <row r="30" spans="1:76" ht="15">
      <c r="A30" s="1685"/>
      <c r="B30" s="1685"/>
      <c r="C30" s="1685"/>
      <c r="D30" s="1685"/>
      <c r="E30" s="1685"/>
      <c r="F30" s="1685"/>
      <c r="G30" s="1685"/>
      <c r="H30" s="1685"/>
      <c r="I30" s="1685"/>
      <c r="J30" s="1685"/>
      <c r="K30" s="1685"/>
      <c r="L30" s="1685"/>
      <c r="M30" s="1685"/>
      <c r="N30" s="1685"/>
      <c r="O30" s="1685"/>
      <c r="P30" s="1685"/>
      <c r="Q30" s="1685"/>
      <c r="R30" s="1685"/>
      <c r="S30" s="1685"/>
      <c r="T30" s="1685"/>
      <c r="U30" s="1685"/>
      <c r="V30" s="1685"/>
      <c r="W30" s="1685"/>
      <c r="X30" s="1685"/>
      <c r="Y30" s="1685"/>
      <c r="Z30" s="1685"/>
      <c r="AA30" s="1685"/>
      <c r="AB30" s="1685"/>
      <c r="AC30" s="1685"/>
      <c r="AD30" s="2069"/>
      <c r="AE30" s="2073"/>
      <c r="AF30" s="1685"/>
      <c r="AG30" s="1685"/>
      <c r="BQ30" s="1685"/>
    </row>
    <row r="31" spans="1:76" ht="15">
      <c r="A31" s="1685" t="s">
        <v>847</v>
      </c>
      <c r="B31" s="1685" t="s">
        <v>848</v>
      </c>
      <c r="C31" s="1685" t="s">
        <v>858</v>
      </c>
      <c r="D31" s="1685"/>
      <c r="E31" s="1685"/>
      <c r="F31" s="1685"/>
      <c r="G31" s="1685" t="s">
        <v>859</v>
      </c>
      <c r="H31" s="1696" t="str">
        <f>IF(rng01_Date_Acquired="","",rng01_Date_Acquired)</f>
        <v/>
      </c>
      <c r="I31" s="1696"/>
      <c r="J31" s="1685"/>
      <c r="K31" s="1685"/>
      <c r="L31" s="1685"/>
      <c r="M31" s="1685"/>
      <c r="N31" s="1685"/>
      <c r="O31" s="1685"/>
      <c r="P31" s="1685"/>
      <c r="Q31" s="1685"/>
      <c r="R31" s="1685"/>
      <c r="S31" s="1685"/>
      <c r="T31" s="1685"/>
      <c r="U31" s="1685"/>
      <c r="V31" s="1685"/>
      <c r="W31" s="1685"/>
      <c r="X31" s="1685"/>
      <c r="Y31" s="1685"/>
      <c r="Z31" s="1685"/>
      <c r="AA31" s="1685"/>
      <c r="AB31" s="1685"/>
      <c r="AC31" s="1685"/>
      <c r="AD31" s="2069"/>
      <c r="AE31" s="2073"/>
      <c r="AF31" s="1685"/>
      <c r="AG31" s="1685" t="s">
        <v>847</v>
      </c>
      <c r="AH31" s="1677" t="s">
        <v>848</v>
      </c>
      <c r="AI31" s="1677" t="s">
        <v>858</v>
      </c>
      <c r="AM31" s="1677" t="s">
        <v>859</v>
      </c>
      <c r="AN31" s="1677" t="str">
        <f>IF(TCATrigger="No","",IF(rng01_Date_Acquired="","",rng01_Date_Acquired))</f>
        <v/>
      </c>
      <c r="BQ31" s="1685" t="s">
        <v>847</v>
      </c>
      <c r="BR31" s="1677" t="s">
        <v>848</v>
      </c>
      <c r="BS31" s="1677" t="s">
        <v>858</v>
      </c>
      <c r="BW31" s="1677" t="s">
        <v>859</v>
      </c>
    </row>
    <row r="32" spans="1:76" ht="15">
      <c r="A32" s="1685"/>
      <c r="B32" s="1685"/>
      <c r="C32" s="1685"/>
      <c r="D32" s="1685"/>
      <c r="E32" s="1685"/>
      <c r="F32" s="1685"/>
      <c r="G32" s="1685" t="s">
        <v>860</v>
      </c>
      <c r="H32" s="1685" t="str">
        <f>IF(rng01_TLA_sf="","",rng01_TLA_sf)</f>
        <v/>
      </c>
      <c r="I32" s="1685"/>
      <c r="J32" s="1685"/>
      <c r="K32" s="1685"/>
      <c r="L32" s="1685"/>
      <c r="M32" s="1685"/>
      <c r="N32" s="1685"/>
      <c r="O32" s="1685"/>
      <c r="P32" s="1685"/>
      <c r="Q32" s="1685"/>
      <c r="R32" s="1685"/>
      <c r="S32" s="1685"/>
      <c r="T32" s="1685"/>
      <c r="U32" s="1685"/>
      <c r="V32" s="1685"/>
      <c r="W32" s="1685"/>
      <c r="X32" s="1685"/>
      <c r="Y32" s="1685"/>
      <c r="Z32" s="1685"/>
      <c r="AA32" s="1685"/>
      <c r="AB32" s="1685"/>
      <c r="AC32" s="1685"/>
      <c r="AD32" s="2069"/>
      <c r="AE32" s="2073"/>
      <c r="AF32" s="1685"/>
      <c r="AG32" s="1685"/>
      <c r="AM32" s="1677" t="s">
        <v>860</v>
      </c>
      <c r="AN32" s="1677" t="str">
        <f>IF(TCATrigger="No","",IF(rng01_TLA_sf="","",rng01_TLA_sf))</f>
        <v/>
      </c>
      <c r="BQ32" s="1685"/>
      <c r="BW32" s="1677" t="s">
        <v>860</v>
      </c>
    </row>
    <row r="33" spans="1:76" ht="15">
      <c r="A33" s="1685"/>
      <c r="B33" s="1685"/>
      <c r="C33" s="1685"/>
      <c r="D33" s="1685"/>
      <c r="E33" s="1685"/>
      <c r="F33" s="1685"/>
      <c r="G33" s="1685" t="s">
        <v>109</v>
      </c>
      <c r="H33" s="1685" t="str">
        <f>IF(rng01_Zoning_Status="","",rng01_Zoning_Status)</f>
        <v/>
      </c>
      <c r="I33" s="1685"/>
      <c r="J33" s="1685"/>
      <c r="K33" s="1685"/>
      <c r="L33" s="1685"/>
      <c r="M33" s="1685"/>
      <c r="N33" s="1685"/>
      <c r="O33" s="1685"/>
      <c r="P33" s="1685"/>
      <c r="Q33" s="1685"/>
      <c r="R33" s="1685"/>
      <c r="S33" s="1685"/>
      <c r="T33" s="1685"/>
      <c r="U33" s="1685"/>
      <c r="V33" s="1685"/>
      <c r="W33" s="1685"/>
      <c r="X33" s="1685"/>
      <c r="Y33" s="1685"/>
      <c r="Z33" s="1685"/>
      <c r="AA33" s="1685"/>
      <c r="AB33" s="1685"/>
      <c r="AC33" s="1685"/>
      <c r="AD33" s="2069"/>
      <c r="AE33" s="2073"/>
      <c r="AF33" s="1685"/>
      <c r="AG33" s="1685"/>
      <c r="AM33" s="1677" t="s">
        <v>109</v>
      </c>
      <c r="AN33" s="1677" t="str">
        <f>IF(TCATrigger="No","",IF(rng01_Zoning_Status="","",rng01_Zoning_Status))</f>
        <v/>
      </c>
      <c r="BQ33" s="1685"/>
      <c r="BW33" s="1677" t="s">
        <v>109</v>
      </c>
    </row>
    <row r="34" spans="1:76" ht="15">
      <c r="A34" s="1685"/>
      <c r="B34" s="1685"/>
      <c r="C34" s="1685"/>
      <c r="D34" s="1685"/>
      <c r="E34" s="1685"/>
      <c r="F34" s="1685"/>
      <c r="G34" s="1685" t="s">
        <v>861</v>
      </c>
      <c r="H34" s="1685" t="str">
        <f>IF(rng01_Ground_Lease_Fee_Other="","",rng01_Ground_Lease_Fee_Other)</f>
        <v/>
      </c>
      <c r="I34" s="1685"/>
      <c r="J34" s="1685"/>
      <c r="K34" s="1685"/>
      <c r="L34" s="1685"/>
      <c r="M34" s="1685"/>
      <c r="N34" s="1685"/>
      <c r="O34" s="1685"/>
      <c r="P34" s="1685"/>
      <c r="Q34" s="1685"/>
      <c r="R34" s="1685"/>
      <c r="S34" s="1685"/>
      <c r="T34" s="1685"/>
      <c r="U34" s="1685"/>
      <c r="V34" s="1685"/>
      <c r="W34" s="1685"/>
      <c r="X34" s="1685"/>
      <c r="Y34" s="1685"/>
      <c r="Z34" s="1685"/>
      <c r="AA34" s="1685"/>
      <c r="AB34" s="1685"/>
      <c r="AC34" s="1685"/>
      <c r="AD34" s="2069"/>
      <c r="AE34" s="2073"/>
      <c r="AF34" s="1685"/>
      <c r="AG34" s="1685"/>
      <c r="AM34" s="1677" t="s">
        <v>861</v>
      </c>
      <c r="AN34" s="1677" t="str">
        <f>IF(TCATrigger="No","",IF(rng01_Ground_Lease_Fee_Other="","",rng01_Ground_Lease_Fee_Other))</f>
        <v/>
      </c>
      <c r="BQ34" s="1685"/>
      <c r="BW34" s="1677" t="s">
        <v>861</v>
      </c>
    </row>
    <row r="35" spans="1:76" ht="15">
      <c r="A35" s="1685"/>
      <c r="B35" s="1685"/>
      <c r="C35" s="1685"/>
      <c r="D35" s="1685"/>
      <c r="E35" s="1685"/>
      <c r="F35" s="1685"/>
      <c r="G35" s="1685" t="s">
        <v>862</v>
      </c>
      <c r="H35" s="1685" t="str">
        <f>IF(rng01_Brownfield_Site="","",rng01_Brownfield_Site)</f>
        <v/>
      </c>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D35" s="2069"/>
      <c r="AE35" s="2073"/>
      <c r="AF35" s="1685"/>
      <c r="AG35" s="1685"/>
      <c r="AM35" s="1677" t="s">
        <v>862</v>
      </c>
      <c r="AN35" s="1677" t="str">
        <f>IF(TCATrigger="No","",IF(rng01_Brownfield_Site="","",rng01_Brownfield_Site))</f>
        <v/>
      </c>
      <c r="BQ35" s="1685"/>
      <c r="BW35" s="1677" t="s">
        <v>862</v>
      </c>
    </row>
    <row r="36" spans="1:76" ht="15">
      <c r="A36" s="1685"/>
      <c r="B36" s="1685"/>
      <c r="C36" s="1685"/>
      <c r="D36" s="1685"/>
      <c r="E36" s="1685"/>
      <c r="F36" s="1685"/>
      <c r="G36" s="1685" t="s">
        <v>863</v>
      </c>
      <c r="H36" s="1685" t="str">
        <f>IF(rng01_Historic_Credit="","",rng01_Historic_Credit)</f>
        <v/>
      </c>
      <c r="I36" s="1685"/>
      <c r="J36" s="1685"/>
      <c r="K36" s="1685"/>
      <c r="L36" s="1685"/>
      <c r="M36" s="1685"/>
      <c r="N36" s="1685"/>
      <c r="O36" s="1685"/>
      <c r="P36" s="1685"/>
      <c r="Q36" s="1685"/>
      <c r="R36" s="1685"/>
      <c r="S36" s="1685"/>
      <c r="T36" s="1685"/>
      <c r="U36" s="1685"/>
      <c r="V36" s="1685"/>
      <c r="W36" s="1685"/>
      <c r="X36" s="1685"/>
      <c r="Y36" s="1685"/>
      <c r="Z36" s="1685"/>
      <c r="AA36" s="1685"/>
      <c r="AB36" s="1685"/>
      <c r="AC36" s="1685"/>
      <c r="AD36" s="2069"/>
      <c r="AE36" s="2073"/>
      <c r="AF36" s="1685"/>
      <c r="AG36" s="1685"/>
      <c r="AM36" s="1677" t="s">
        <v>863</v>
      </c>
      <c r="AN36" s="1677" t="str">
        <f>IF(TCATrigger="No","",IF(rng01_Historic_Credit="","",rng01_Historic_Credit))</f>
        <v/>
      </c>
      <c r="BQ36" s="1685"/>
      <c r="BW36" s="1677" t="s">
        <v>863</v>
      </c>
    </row>
    <row r="37" spans="1:76" ht="15">
      <c r="A37" s="1685"/>
      <c r="B37" s="1685"/>
      <c r="C37" s="1685"/>
      <c r="D37" s="1685"/>
      <c r="E37" s="1685"/>
      <c r="F37" s="1685"/>
      <c r="G37" s="1685" t="s">
        <v>864</v>
      </c>
      <c r="H37" s="1685" t="str">
        <f>IF(rng01_Public_Water="","",rng01_Public_Water)</f>
        <v/>
      </c>
      <c r="I37" s="1685"/>
      <c r="J37" s="1685"/>
      <c r="K37" s="1685"/>
      <c r="L37" s="1685"/>
      <c r="M37" s="1685"/>
      <c r="N37" s="1685"/>
      <c r="O37" s="1685"/>
      <c r="P37" s="1685"/>
      <c r="Q37" s="1685"/>
      <c r="R37" s="1685"/>
      <c r="S37" s="1685"/>
      <c r="T37" s="1685"/>
      <c r="U37" s="1685"/>
      <c r="V37" s="1685"/>
      <c r="W37" s="1685"/>
      <c r="X37" s="1685"/>
      <c r="Y37" s="1685"/>
      <c r="Z37" s="1685"/>
      <c r="AA37" s="1685"/>
      <c r="AB37" s="1685"/>
      <c r="AC37" s="1685"/>
      <c r="AD37" s="2069"/>
      <c r="AE37" s="2073"/>
      <c r="AF37" s="1685"/>
      <c r="AG37" s="1685"/>
      <c r="AM37" s="1677" t="s">
        <v>864</v>
      </c>
      <c r="AN37" s="1677" t="str">
        <f>IF(TCATrigger="No","",IF(rng01_Public_Water="","",rng01_Public_Water))</f>
        <v/>
      </c>
      <c r="BQ37" s="1685"/>
      <c r="BW37" s="1677" t="s">
        <v>864</v>
      </c>
    </row>
    <row r="38" spans="1:76" ht="15">
      <c r="A38" s="1685"/>
      <c r="B38" s="1685"/>
      <c r="C38" s="1685"/>
      <c r="D38" s="1685"/>
      <c r="E38" s="1685"/>
      <c r="F38" s="1685"/>
      <c r="G38" s="1685" t="s">
        <v>865</v>
      </c>
      <c r="H38" s="1685" t="str">
        <f>IF(rng01_Public_Sewer="","",rng01_Public_Sewer)</f>
        <v/>
      </c>
      <c r="I38" s="1685"/>
      <c r="J38" s="1685"/>
      <c r="K38" s="1685"/>
      <c r="L38" s="1685"/>
      <c r="M38" s="1685"/>
      <c r="N38" s="1685"/>
      <c r="O38" s="1685"/>
      <c r="P38" s="1685"/>
      <c r="Q38" s="1685"/>
      <c r="R38" s="1685"/>
      <c r="S38" s="1685"/>
      <c r="T38" s="1685"/>
      <c r="U38" s="1685"/>
      <c r="V38" s="1685"/>
      <c r="W38" s="1685"/>
      <c r="X38" s="1685"/>
      <c r="Y38" s="1685"/>
      <c r="Z38" s="1685"/>
      <c r="AA38" s="1685"/>
      <c r="AB38" s="1685"/>
      <c r="AC38" s="1685"/>
      <c r="AD38" s="2069"/>
      <c r="AE38" s="2073"/>
      <c r="AF38" s="1685"/>
      <c r="AG38" s="1685"/>
      <c r="AM38" s="1677" t="s">
        <v>865</v>
      </c>
      <c r="AN38" s="1677" t="str">
        <f>IF(TCATrigger="No","",IF(rng01_Public_Sewer="","",rng01_Public_Sewer))</f>
        <v/>
      </c>
      <c r="BQ38" s="1685"/>
      <c r="BW38" s="1677" t="s">
        <v>865</v>
      </c>
    </row>
    <row r="39" spans="1:76" ht="15">
      <c r="A39" s="1685"/>
      <c r="B39" s="1685"/>
      <c r="C39" s="1685"/>
      <c r="D39" s="1685"/>
      <c r="E39" s="1685"/>
      <c r="F39" s="1685"/>
      <c r="G39" s="1685" t="s">
        <v>866</v>
      </c>
      <c r="H39" s="1685" t="str">
        <f>IF(rng01_Yr_Built="","",rng01_Yr_Built)</f>
        <v/>
      </c>
      <c r="I39" s="1685"/>
      <c r="J39" s="1685"/>
      <c r="K39" s="1685"/>
      <c r="L39" s="1685"/>
      <c r="M39" s="1685"/>
      <c r="N39" s="1685"/>
      <c r="O39" s="1685"/>
      <c r="P39" s="1685"/>
      <c r="Q39" s="1685"/>
      <c r="R39" s="1685"/>
      <c r="S39" s="1685"/>
      <c r="T39" s="1685"/>
      <c r="U39" s="1685"/>
      <c r="V39" s="1685"/>
      <c r="W39" s="1685"/>
      <c r="X39" s="1685"/>
      <c r="Y39" s="1685"/>
      <c r="Z39" s="1685"/>
      <c r="AA39" s="1685"/>
      <c r="AB39" s="1685"/>
      <c r="AC39" s="1685"/>
      <c r="AD39" s="2069"/>
      <c r="AE39" s="2073"/>
      <c r="AF39" s="1685"/>
      <c r="AG39" s="1685"/>
      <c r="AM39" s="1677" t="s">
        <v>866</v>
      </c>
      <c r="AN39" s="1677" t="str">
        <f>IF(TCATrigger="No","",IF(rng01_Yr_Built="","",rng01_Yr_Built))</f>
        <v/>
      </c>
      <c r="BQ39" s="1685"/>
      <c r="BW39" s="1677" t="s">
        <v>866</v>
      </c>
    </row>
    <row r="40" spans="1:76" ht="60">
      <c r="A40" s="1685"/>
      <c r="B40" s="1685"/>
      <c r="C40" s="1685"/>
      <c r="D40" s="1685"/>
      <c r="E40" s="1694" t="s">
        <v>867</v>
      </c>
      <c r="F40" s="1685"/>
      <c r="G40" s="1685" t="s">
        <v>868</v>
      </c>
      <c r="H40" s="1685" t="str">
        <f>IF(rng01_ProjectType="","",rng01_ProjectType)</f>
        <v/>
      </c>
      <c r="I40" s="1685"/>
      <c r="K40" s="1685"/>
      <c r="L40" s="1685"/>
      <c r="M40" s="1685"/>
      <c r="N40" s="1685"/>
      <c r="O40" s="1685"/>
      <c r="P40" s="1685"/>
      <c r="Q40" s="1685"/>
      <c r="R40" s="1685"/>
      <c r="S40" s="1685"/>
      <c r="T40" s="1685"/>
      <c r="U40" s="1685"/>
      <c r="V40" s="1685"/>
      <c r="W40" s="1685"/>
      <c r="X40" s="1685"/>
      <c r="Y40" s="1685"/>
      <c r="Z40" s="1685"/>
      <c r="AA40" s="1685"/>
      <c r="AB40" s="1685"/>
      <c r="AC40" s="1685"/>
      <c r="AD40" s="2069"/>
      <c r="AE40" s="2073"/>
      <c r="AF40" s="1685"/>
      <c r="AG40" s="1685"/>
      <c r="AM40" s="1677" t="s">
        <v>868</v>
      </c>
      <c r="AN40" s="1691" t="str">
        <f>IF(TCATrigger="No","",IF(rng01_ProjectType="","",rng01_ProjectType))</f>
        <v/>
      </c>
      <c r="AO40" s="1677" t="s">
        <v>867</v>
      </c>
      <c r="AR40" s="1677" t="s">
        <v>2247</v>
      </c>
      <c r="BQ40" s="1685"/>
      <c r="BW40" s="1677" t="s">
        <v>868</v>
      </c>
    </row>
    <row r="41" spans="1:76" ht="15">
      <c r="A41" s="1685"/>
      <c r="B41" s="1685"/>
      <c r="C41" s="1685"/>
      <c r="D41" s="1685"/>
      <c r="E41" s="1686" t="s">
        <v>869</v>
      </c>
      <c r="F41" s="1685"/>
      <c r="G41" s="1685" t="s">
        <v>870</v>
      </c>
      <c r="H41" s="1685" t="str">
        <f>IF(rng01_NumOfBuildings=0,"",rng01_NumOfBuildings)</f>
        <v/>
      </c>
      <c r="I41" s="1685"/>
      <c r="K41" s="1685"/>
      <c r="L41" s="1685"/>
      <c r="M41" s="1685"/>
      <c r="N41" s="1685"/>
      <c r="O41" s="1685"/>
      <c r="P41" s="1685"/>
      <c r="Q41" s="1685"/>
      <c r="R41" s="1685"/>
      <c r="S41" s="1685"/>
      <c r="T41" s="1685"/>
      <c r="U41" s="1685"/>
      <c r="V41" s="1685"/>
      <c r="W41" s="1685"/>
      <c r="X41" s="1685"/>
      <c r="Y41" s="1685"/>
      <c r="Z41" s="1685"/>
      <c r="AA41" s="1685"/>
      <c r="AB41" s="1685"/>
      <c r="AC41" s="1685"/>
      <c r="AD41" s="2069"/>
      <c r="AE41" s="2073"/>
      <c r="AF41" s="1685"/>
      <c r="AG41" s="1685"/>
      <c r="AM41" s="1677" t="s">
        <v>870</v>
      </c>
      <c r="AN41" s="1677" t="str">
        <f>IF(OR(TCATrigger="No",rng01_NumOfBuildings="",rng01_NumOfBuildings=0),"",rng01_NumOfBuildings)</f>
        <v/>
      </c>
      <c r="AO41" s="1677" t="s">
        <v>869</v>
      </c>
      <c r="AR41" s="1677" t="s">
        <v>2248</v>
      </c>
      <c r="BQ41" s="1685"/>
      <c r="BW41" s="1677" t="s">
        <v>870</v>
      </c>
    </row>
    <row r="42" spans="1:76" ht="15">
      <c r="A42" s="1685"/>
      <c r="B42" s="1685"/>
      <c r="C42" s="1685"/>
      <c r="D42" s="1685"/>
      <c r="E42" s="1685"/>
      <c r="F42" s="1685"/>
      <c r="G42" s="1685" t="s">
        <v>871</v>
      </c>
      <c r="H42" s="1685" t="str">
        <f>IF(rng01_Num_Elevators="","",rng01_Num_Elevators)</f>
        <v/>
      </c>
      <c r="I42" s="1685"/>
      <c r="J42" s="1685"/>
      <c r="K42" s="1685"/>
      <c r="L42" s="1685"/>
      <c r="M42" s="1685"/>
      <c r="N42" s="1685"/>
      <c r="O42" s="1685"/>
      <c r="P42" s="1685"/>
      <c r="Q42" s="1685"/>
      <c r="R42" s="1685"/>
      <c r="S42" s="1685"/>
      <c r="T42" s="1685"/>
      <c r="U42" s="1685"/>
      <c r="V42" s="1685"/>
      <c r="W42" s="1685"/>
      <c r="X42" s="1685"/>
      <c r="Y42" s="1685"/>
      <c r="Z42" s="1685"/>
      <c r="AA42" s="1685"/>
      <c r="AB42" s="1685"/>
      <c r="AC42" s="1685"/>
      <c r="AD42" s="2069"/>
      <c r="AE42" s="2073"/>
      <c r="AF42" s="1685"/>
      <c r="AG42" s="1685"/>
      <c r="AM42" s="1677" t="s">
        <v>871</v>
      </c>
      <c r="AN42" s="1698" t="str">
        <f>IF(TCATrigger="No","",IF(rng01_Num_Elevators="","",rng01_Num_Elevators))</f>
        <v/>
      </c>
      <c r="BQ42" s="1685"/>
      <c r="BW42" s="1677" t="s">
        <v>871</v>
      </c>
    </row>
    <row r="43" spans="1:76" ht="15">
      <c r="A43" s="1685"/>
      <c r="B43" s="1685"/>
      <c r="C43" s="1685"/>
      <c r="D43" s="1685"/>
      <c r="E43" s="1685"/>
      <c r="F43" s="1685"/>
      <c r="G43" s="1685" t="s">
        <v>872</v>
      </c>
      <c r="H43" s="1685" t="str">
        <f>IF(rng01_Sprinklers="","",rng01_Sprinklers)</f>
        <v/>
      </c>
      <c r="I43" s="1685"/>
      <c r="J43" s="1685"/>
      <c r="K43" s="1685"/>
      <c r="L43" s="1685"/>
      <c r="M43" s="1685"/>
      <c r="N43" s="1685"/>
      <c r="O43" s="1685"/>
      <c r="P43" s="1685"/>
      <c r="Q43" s="1685"/>
      <c r="R43" s="1685"/>
      <c r="S43" s="1685"/>
      <c r="T43" s="1685"/>
      <c r="U43" s="1685"/>
      <c r="V43" s="1685"/>
      <c r="W43" s="1685"/>
      <c r="X43" s="1685"/>
      <c r="Y43" s="1685"/>
      <c r="Z43" s="1685"/>
      <c r="AA43" s="1685"/>
      <c r="AB43" s="1685"/>
      <c r="AC43" s="1685"/>
      <c r="AD43" s="2069"/>
      <c r="AE43" s="2073"/>
      <c r="AF43" s="1685"/>
      <c r="AG43" s="1685"/>
      <c r="AM43" s="1677" t="s">
        <v>872</v>
      </c>
      <c r="AN43" s="1677" t="str">
        <f>IF(TCATrigger="No","",IF(rng01_Sprinklers="","",rng01_Sprinklers))</f>
        <v/>
      </c>
      <c r="BQ43" s="1685"/>
      <c r="BW43" s="1677" t="s">
        <v>872</v>
      </c>
    </row>
    <row r="44" spans="1:76" ht="15">
      <c r="A44" s="1685"/>
      <c r="B44" s="1685"/>
      <c r="C44" s="1685"/>
      <c r="D44" s="1685"/>
      <c r="E44" s="1685"/>
      <c r="F44" s="1685"/>
      <c r="G44" s="1685" t="s">
        <v>873</v>
      </c>
      <c r="H44" s="1685" t="str">
        <f>IF(rng01_Num_ParkingSpaces="","",rng01_Num_ParkingSpaces)</f>
        <v/>
      </c>
      <c r="I44" s="1685"/>
      <c r="J44" s="1685"/>
      <c r="K44" s="1685"/>
      <c r="L44" s="1685"/>
      <c r="M44" s="1685"/>
      <c r="N44" s="1685"/>
      <c r="O44" s="1685"/>
      <c r="P44" s="1685"/>
      <c r="Q44" s="1685"/>
      <c r="R44" s="1685"/>
      <c r="S44" s="1685"/>
      <c r="T44" s="1685"/>
      <c r="U44" s="1685"/>
      <c r="V44" s="1685"/>
      <c r="W44" s="1685"/>
      <c r="X44" s="1685"/>
      <c r="Y44" s="1685"/>
      <c r="Z44" s="1685"/>
      <c r="AA44" s="1685"/>
      <c r="AB44" s="1685"/>
      <c r="AC44" s="1685"/>
      <c r="AD44" s="2069"/>
      <c r="AE44" s="2073"/>
      <c r="AF44" s="1685"/>
      <c r="AG44" s="1685"/>
      <c r="AM44" s="1677" t="s">
        <v>873</v>
      </c>
      <c r="AN44" s="1677" t="str">
        <f>IF(TCATrigger="No","",IF(rng01_Num_ParkingSpaces="","",rng01_Num_ParkingSpaces))</f>
        <v/>
      </c>
      <c r="AR44" s="1677" t="s">
        <v>2249</v>
      </c>
      <c r="BQ44" s="1685"/>
      <c r="BW44" s="1677" t="s">
        <v>873</v>
      </c>
    </row>
    <row r="45" spans="1:76" ht="15">
      <c r="A45" s="1685"/>
      <c r="B45" s="1685"/>
      <c r="C45" s="1685"/>
      <c r="D45" s="1685"/>
      <c r="E45" s="1685"/>
      <c r="F45" s="1685"/>
      <c r="G45" s="1685"/>
      <c r="H45" s="1685"/>
      <c r="I45" s="1685"/>
      <c r="J45" s="1685"/>
      <c r="K45" s="1685"/>
      <c r="L45" s="1685"/>
      <c r="M45" s="1685"/>
      <c r="N45" s="1685"/>
      <c r="O45" s="1685"/>
      <c r="P45" s="1685"/>
      <c r="Q45" s="1685"/>
      <c r="R45" s="1685"/>
      <c r="S45" s="1685"/>
      <c r="T45" s="1685"/>
      <c r="U45" s="1685"/>
      <c r="V45" s="1685"/>
      <c r="W45" s="1685"/>
      <c r="X45" s="1685"/>
      <c r="Y45" s="1685"/>
      <c r="Z45" s="1685"/>
      <c r="AA45" s="1685"/>
      <c r="AB45" s="1685"/>
      <c r="AC45" s="1685"/>
      <c r="AD45" s="2069"/>
      <c r="AE45" s="2073"/>
      <c r="AF45" s="1685"/>
      <c r="AG45" s="1685"/>
      <c r="BQ45" s="1685"/>
    </row>
    <row r="46" spans="1:76" ht="15">
      <c r="A46" s="1685"/>
      <c r="B46" s="1685"/>
      <c r="C46" s="1685"/>
      <c r="D46" s="1685"/>
      <c r="E46" s="1685"/>
      <c r="F46" s="1685"/>
      <c r="G46" s="1685"/>
      <c r="H46" s="1685"/>
      <c r="I46" s="1685"/>
      <c r="J46" s="1685"/>
      <c r="K46" s="1685"/>
      <c r="L46" s="1685"/>
      <c r="M46" s="1685"/>
      <c r="N46" s="1685"/>
      <c r="O46" s="1685"/>
      <c r="P46" s="1685"/>
      <c r="Q46" s="1685"/>
      <c r="R46" s="1685"/>
      <c r="S46" s="1685"/>
      <c r="T46" s="1685"/>
      <c r="U46" s="1685"/>
      <c r="V46" s="1685"/>
      <c r="W46" s="1685"/>
      <c r="X46" s="1685"/>
      <c r="Y46" s="1685"/>
      <c r="Z46" s="1685"/>
      <c r="AA46" s="1685"/>
      <c r="AB46" s="1685"/>
      <c r="AC46" s="1685"/>
      <c r="AD46" s="2069"/>
      <c r="AE46" s="2073"/>
      <c r="AF46" s="1685"/>
      <c r="AG46" s="1685"/>
      <c r="BQ46" s="1685"/>
    </row>
    <row r="47" spans="1:76" ht="15">
      <c r="A47" s="1685" t="s">
        <v>847</v>
      </c>
      <c r="B47" s="1685" t="s">
        <v>848</v>
      </c>
      <c r="C47" s="1685" t="s">
        <v>874</v>
      </c>
      <c r="D47" s="1685"/>
      <c r="E47" s="1685"/>
      <c r="F47" s="1685"/>
      <c r="G47" s="1685" t="s">
        <v>875</v>
      </c>
      <c r="H47" s="1685" t="str">
        <f>IF(rng01_ProgramType="","",rng01_ProgramType)</f>
        <v/>
      </c>
      <c r="I47" s="1685"/>
      <c r="J47" s="1694"/>
      <c r="K47" s="1685"/>
      <c r="L47" s="1685"/>
      <c r="M47" s="1685"/>
      <c r="N47" s="1685"/>
      <c r="O47" s="1685"/>
      <c r="P47" s="1685"/>
      <c r="Q47" s="1685"/>
      <c r="R47" s="1685"/>
      <c r="S47" s="1685"/>
      <c r="T47" s="1685"/>
      <c r="U47" s="1685"/>
      <c r="V47" s="1685"/>
      <c r="W47" s="1685"/>
      <c r="X47" s="1685"/>
      <c r="Y47" s="1685"/>
      <c r="Z47" s="1685"/>
      <c r="AA47" s="1685"/>
      <c r="AB47" s="1685"/>
      <c r="AC47" s="1685"/>
      <c r="AD47" s="2069"/>
      <c r="AE47" s="2073"/>
      <c r="AF47" s="1685"/>
      <c r="AG47" s="1685" t="s">
        <v>847</v>
      </c>
      <c r="AH47" s="1677" t="s">
        <v>848</v>
      </c>
      <c r="AI47" s="1677" t="s">
        <v>874</v>
      </c>
      <c r="AM47" s="1677" t="s">
        <v>875</v>
      </c>
      <c r="AN47" s="1677" t="str">
        <f>IF(TCATrigger="No","",IF(rng01_ProgramType="","",rng01_ProgramType))</f>
        <v/>
      </c>
      <c r="BQ47" s="1685" t="s">
        <v>847</v>
      </c>
      <c r="BR47" s="1677" t="s">
        <v>848</v>
      </c>
      <c r="BS47" s="1677" t="s">
        <v>874</v>
      </c>
      <c r="BW47" s="1677" t="s">
        <v>875</v>
      </c>
    </row>
    <row r="48" spans="1:76" ht="15">
      <c r="A48" s="1685"/>
      <c r="B48" s="1685"/>
      <c r="C48" s="1685"/>
      <c r="D48" s="1685"/>
      <c r="E48" s="1685"/>
      <c r="F48" s="1685"/>
      <c r="G48" s="1685" t="s">
        <v>876</v>
      </c>
      <c r="H48" s="1685" t="str">
        <f>IF(rng01_Section_8="","",rng01_Section_8)</f>
        <v/>
      </c>
      <c r="I48" s="1685"/>
      <c r="J48" s="1685"/>
      <c r="K48" s="1685"/>
      <c r="L48" s="1685"/>
      <c r="M48" s="1685"/>
      <c r="N48" s="1685"/>
      <c r="O48" s="1685"/>
      <c r="P48" s="1685"/>
      <c r="Q48" s="1685"/>
      <c r="R48" s="1685"/>
      <c r="S48" s="1685"/>
      <c r="T48" s="1685"/>
      <c r="U48" s="1685"/>
      <c r="V48" s="1685"/>
      <c r="W48" s="1685"/>
      <c r="X48" s="1685"/>
      <c r="Y48" s="1685"/>
      <c r="Z48" s="1685"/>
      <c r="AA48" s="1685"/>
      <c r="AB48" s="1685"/>
      <c r="AC48" s="1685"/>
      <c r="AD48" s="2069"/>
      <c r="AE48" s="2073"/>
      <c r="AF48" s="1685"/>
      <c r="AG48" s="1685"/>
      <c r="AM48" s="1677" t="s">
        <v>876</v>
      </c>
      <c r="AN48" s="1677" t="str">
        <f>IF(TCATrigger="No","",IF(rng01_Section_8="","",rng01_Section_8))</f>
        <v/>
      </c>
      <c r="BQ48" s="1685"/>
      <c r="BW48" s="1677" t="s">
        <v>876</v>
      </c>
    </row>
    <row r="49" spans="1:76" ht="15">
      <c r="A49" s="1685"/>
      <c r="B49" s="1685"/>
      <c r="C49" s="1685"/>
      <c r="D49" s="1685"/>
      <c r="E49" s="1685"/>
      <c r="F49" s="1685"/>
      <c r="G49" s="1685" t="s">
        <v>877</v>
      </c>
      <c r="H49" s="1685" t="str">
        <f>IF(rng01_Other_Assistance="","",rng01_Other_Assistance)</f>
        <v/>
      </c>
      <c r="I49" s="1685" t="b">
        <f>IF(H49="Yes","True")</f>
        <v>0</v>
      </c>
      <c r="J49" s="1685"/>
      <c r="K49" s="1685"/>
      <c r="L49" s="1685"/>
      <c r="M49" s="1685"/>
      <c r="N49" s="1685"/>
      <c r="O49" s="1685"/>
      <c r="P49" s="1685"/>
      <c r="Q49" s="1685"/>
      <c r="R49" s="1685"/>
      <c r="S49" s="1685"/>
      <c r="T49" s="1685"/>
      <c r="U49" s="1685"/>
      <c r="V49" s="1685"/>
      <c r="W49" s="1685"/>
      <c r="X49" s="1685"/>
      <c r="Y49" s="1685"/>
      <c r="Z49" s="1685"/>
      <c r="AA49" s="1685"/>
      <c r="AB49" s="1685"/>
      <c r="AC49" s="1685"/>
      <c r="AD49" s="2069"/>
      <c r="AE49" s="2073"/>
      <c r="AF49" s="1685"/>
      <c r="AG49" s="1685"/>
      <c r="AM49" s="1677" t="s">
        <v>877</v>
      </c>
      <c r="AN49" s="1677" t="str">
        <f>IF(TCATrigger="No","",IF(rng01_Other_Assistance="","",I49))</f>
        <v/>
      </c>
      <c r="AO49" s="1687" t="s">
        <v>2277</v>
      </c>
      <c r="AR49" s="1677" t="s">
        <v>2250</v>
      </c>
      <c r="BQ49" s="1685"/>
      <c r="BW49" s="1677" t="s">
        <v>877</v>
      </c>
    </row>
    <row r="50" spans="1:76" ht="15">
      <c r="A50" s="1685"/>
      <c r="B50" s="1685"/>
      <c r="C50" s="1685"/>
      <c r="D50" s="1685"/>
      <c r="E50" s="1685"/>
      <c r="F50" s="1685"/>
      <c r="G50" s="1685" t="s">
        <v>878</v>
      </c>
      <c r="H50" s="1685" t="str">
        <f>IF(rng01_Other_Assistance_Type="","",rng01_Other_Assistance_Type)</f>
        <v/>
      </c>
      <c r="I50" s="1685"/>
      <c r="J50" s="1685"/>
      <c r="K50" s="1685"/>
      <c r="L50" s="1685"/>
      <c r="M50" s="1685"/>
      <c r="N50" s="1685"/>
      <c r="O50" s="1685"/>
      <c r="P50" s="1685"/>
      <c r="Q50" s="1685"/>
      <c r="R50" s="1685"/>
      <c r="S50" s="1685"/>
      <c r="T50" s="1685"/>
      <c r="U50" s="1685"/>
      <c r="V50" s="1685"/>
      <c r="W50" s="1685"/>
      <c r="X50" s="1685"/>
      <c r="Y50" s="1685"/>
      <c r="Z50" s="1685"/>
      <c r="AA50" s="1685"/>
      <c r="AB50" s="1685"/>
      <c r="AC50" s="1685"/>
      <c r="AD50" s="2069"/>
      <c r="AE50" s="2073"/>
      <c r="AF50" s="1685"/>
      <c r="AG50" s="1685"/>
      <c r="AM50" s="1677" t="s">
        <v>878</v>
      </c>
      <c r="AN50" s="1677" t="str">
        <f>IF(TCATrigger="No","",IF(rng01_Other_Assistance_Type="","",rng01_Other_Assistance_Type))</f>
        <v/>
      </c>
      <c r="BQ50" s="1685"/>
      <c r="BW50" s="1677" t="s">
        <v>878</v>
      </c>
    </row>
    <row r="51" spans="1:76" ht="15">
      <c r="A51" s="1685"/>
      <c r="B51" s="1685"/>
      <c r="C51" s="1685"/>
      <c r="D51" s="1685"/>
      <c r="E51" s="1685"/>
      <c r="F51" s="1685"/>
      <c r="G51" s="1685" t="s">
        <v>879</v>
      </c>
      <c r="H51" s="1685" t="str">
        <f>IF(rng01_SetAside="","",rng01_SetAside)</f>
        <v/>
      </c>
      <c r="I51" s="1685"/>
      <c r="J51" s="1685"/>
      <c r="K51" s="1685"/>
      <c r="L51" s="1685"/>
      <c r="M51" s="1685"/>
      <c r="N51" s="1685"/>
      <c r="O51" s="1685"/>
      <c r="P51" s="1685"/>
      <c r="Q51" s="1685"/>
      <c r="R51" s="1685"/>
      <c r="S51" s="1685"/>
      <c r="T51" s="1685"/>
      <c r="U51" s="1685"/>
      <c r="V51" s="1685"/>
      <c r="W51" s="1685"/>
      <c r="X51" s="1685"/>
      <c r="Y51" s="1685"/>
      <c r="Z51" s="1685"/>
      <c r="AA51" s="1685"/>
      <c r="AB51" s="1685"/>
      <c r="AC51" s="1685"/>
      <c r="AD51" s="2069"/>
      <c r="AE51" s="2073"/>
      <c r="AF51" s="1685"/>
      <c r="AG51" s="1685"/>
      <c r="AM51" s="1677" t="s">
        <v>879</v>
      </c>
      <c r="AN51" s="1677" t="str">
        <f>IF(TCATrigger="No","",IF(rng01_SetAside="","",rng01_SetAside))</f>
        <v/>
      </c>
      <c r="BQ51" s="1685"/>
      <c r="BW51" s="1677" t="s">
        <v>879</v>
      </c>
    </row>
    <row r="52" spans="1:76" ht="15">
      <c r="A52" s="1685"/>
      <c r="B52" s="1685"/>
      <c r="C52" s="1685"/>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1685"/>
      <c r="AB52" s="1685"/>
      <c r="AC52" s="1685"/>
      <c r="AD52" s="2069"/>
      <c r="AE52" s="2073"/>
      <c r="AF52" s="1685"/>
      <c r="AG52" s="1685"/>
      <c r="BQ52" s="1685"/>
    </row>
    <row r="53" spans="1:76" ht="15">
      <c r="A53" s="1685"/>
      <c r="B53" s="1685"/>
      <c r="C53" s="1685"/>
      <c r="D53" s="1685"/>
      <c r="E53" s="1699" t="s">
        <v>880</v>
      </c>
      <c r="F53" s="1685"/>
      <c r="G53" s="1685"/>
      <c r="H53" s="1685"/>
      <c r="I53" s="1685"/>
      <c r="J53" s="1685"/>
      <c r="K53" s="1685"/>
      <c r="L53" s="1685"/>
      <c r="M53" s="1685"/>
      <c r="N53" s="1685"/>
      <c r="O53" s="1685"/>
      <c r="P53" s="1685"/>
      <c r="Q53" s="1685"/>
      <c r="R53" s="1685"/>
      <c r="S53" s="1685"/>
      <c r="T53" s="1685"/>
      <c r="U53" s="1685"/>
      <c r="V53" s="1685"/>
      <c r="W53" s="1685"/>
      <c r="X53" s="1685"/>
      <c r="Y53" s="1685"/>
      <c r="Z53" s="1685"/>
      <c r="AA53" s="1685"/>
      <c r="AB53" s="1685"/>
      <c r="AC53" s="1685"/>
      <c r="AD53" s="2069"/>
      <c r="AE53" s="2073"/>
      <c r="AF53" s="1685"/>
      <c r="AG53" s="1685"/>
      <c r="BQ53" s="1685"/>
    </row>
    <row r="54" spans="1:76" ht="15">
      <c r="A54" s="1685" t="s">
        <v>847</v>
      </c>
      <c r="B54" s="1685" t="s">
        <v>848</v>
      </c>
      <c r="C54" s="1685" t="s">
        <v>881</v>
      </c>
      <c r="D54" s="1685"/>
      <c r="E54" s="1686" t="s">
        <v>882</v>
      </c>
      <c r="F54" s="1686" t="s">
        <v>662</v>
      </c>
      <c r="G54" s="1685" t="s">
        <v>883</v>
      </c>
      <c r="H54" s="1685" t="str">
        <f>IF(rng01_RIH_Mortgage="","",rng01_RIH_Mortgage)</f>
        <v/>
      </c>
      <c r="I54" s="1685"/>
      <c r="J54" s="1685"/>
      <c r="K54" s="1685"/>
      <c r="L54" s="1685"/>
      <c r="M54" s="1685"/>
      <c r="N54" s="1685"/>
      <c r="O54" s="1685"/>
      <c r="P54" s="1685"/>
      <c r="Q54" s="1685"/>
      <c r="R54" s="1685"/>
      <c r="S54" s="1685"/>
      <c r="T54" s="1685"/>
      <c r="U54" s="1685"/>
      <c r="V54" s="1685"/>
      <c r="W54" s="1685"/>
      <c r="X54" s="1685"/>
      <c r="Y54" s="1685"/>
      <c r="Z54" s="1685"/>
      <c r="AA54" s="1685"/>
      <c r="AB54" s="1685"/>
      <c r="AC54" s="1685"/>
      <c r="AD54" s="2069"/>
      <c r="AE54" s="2073"/>
      <c r="AF54" s="1685"/>
      <c r="AG54" s="1685" t="s">
        <v>847</v>
      </c>
      <c r="AH54" s="1677" t="s">
        <v>848</v>
      </c>
      <c r="AI54" s="1677" t="s">
        <v>881</v>
      </c>
      <c r="AM54" s="1677" t="s">
        <v>883</v>
      </c>
      <c r="AN54" s="1677" t="str">
        <f>IF(TCATrigger="No","",IF(rng01_RIH_Mortgage="","",rng01_RIH_Mortgage))</f>
        <v/>
      </c>
      <c r="BQ54" s="1685" t="s">
        <v>847</v>
      </c>
      <c r="BR54" s="1677" t="s">
        <v>848</v>
      </c>
      <c r="BS54" s="1677" t="s">
        <v>881</v>
      </c>
      <c r="BW54" s="1677" t="s">
        <v>883</v>
      </c>
      <c r="BX54" s="1691"/>
    </row>
    <row r="55" spans="1:76" ht="15">
      <c r="A55" s="1685"/>
      <c r="B55" s="1685"/>
      <c r="C55" s="1685"/>
      <c r="D55" s="1685"/>
      <c r="E55" s="1685"/>
      <c r="F55" s="1685"/>
      <c r="G55" s="1685" t="s">
        <v>884</v>
      </c>
      <c r="H55" s="1685" t="str">
        <f>IF(rng01_Risk_Sharing="","",IF(rng01_Risk_Sharing="Yes","TRUE",IF(rng01_Risk_Sharing="No", "False")))</f>
        <v/>
      </c>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2069"/>
      <c r="AE55" s="2073"/>
      <c r="AF55" s="1685"/>
      <c r="AG55" s="1685"/>
      <c r="AM55" s="1677" t="s">
        <v>884</v>
      </c>
      <c r="AN55" s="1677" t="str">
        <f>IF(TCATrigger="No","",IF(rng01_Risk_Sharing="","",rng01_Risk_Sharing))</f>
        <v/>
      </c>
      <c r="BQ55" s="1685"/>
      <c r="BW55" s="1677" t="s">
        <v>884</v>
      </c>
    </row>
    <row r="56" spans="1:76" ht="15">
      <c r="A56" s="1685"/>
      <c r="B56" s="1685"/>
      <c r="C56" s="1685"/>
      <c r="D56" s="1685"/>
      <c r="E56" s="1685"/>
      <c r="F56" s="1686" t="s">
        <v>885</v>
      </c>
      <c r="G56" s="1685" t="s">
        <v>886</v>
      </c>
      <c r="H56" s="1685" t="str">
        <f>IF(rng01_RIH_Mort_Int_Rate="","",rng01_RIH_Mort_Int_Rate)</f>
        <v/>
      </c>
      <c r="I56" s="1685"/>
      <c r="J56" s="1685"/>
      <c r="K56" s="1685"/>
      <c r="L56" s="1685"/>
      <c r="M56" s="1685"/>
      <c r="N56" s="1685"/>
      <c r="O56" s="1685"/>
      <c r="P56" s="1685"/>
      <c r="Q56" s="1685"/>
      <c r="R56" s="1685"/>
      <c r="S56" s="1685"/>
      <c r="T56" s="1685"/>
      <c r="U56" s="1685"/>
      <c r="V56" s="1685"/>
      <c r="W56" s="1685"/>
      <c r="X56" s="1685"/>
      <c r="Y56" s="1685"/>
      <c r="Z56" s="1685"/>
      <c r="AA56" s="1685"/>
      <c r="AB56" s="1685"/>
      <c r="AC56" s="1685"/>
      <c r="AD56" s="2069"/>
      <c r="AE56" s="2073"/>
      <c r="AF56" s="1685"/>
      <c r="AG56" s="1685"/>
      <c r="AM56" s="1677" t="s">
        <v>886</v>
      </c>
      <c r="AN56" s="1677" t="str">
        <f>IF(TCATrigger="No","",IF(rng01_RIH_Mort_Int_Rate="","",rng01_RIH_Mort_Int_Rate))</f>
        <v/>
      </c>
      <c r="BQ56" s="1685"/>
      <c r="BW56" s="1677" t="s">
        <v>886</v>
      </c>
    </row>
    <row r="57" spans="1:76" ht="15">
      <c r="A57" s="1685"/>
      <c r="B57" s="1685"/>
      <c r="C57" s="1685"/>
      <c r="D57" s="1685"/>
      <c r="E57" s="1686" t="s">
        <v>887</v>
      </c>
      <c r="F57" s="1686" t="s">
        <v>888</v>
      </c>
      <c r="G57" s="1685" t="s">
        <v>889</v>
      </c>
      <c r="H57" s="1685" t="str">
        <f>IF(rng01_DSCR="","",rng01_DSCR)</f>
        <v/>
      </c>
      <c r="I57" s="1685"/>
      <c r="J57" s="1685"/>
      <c r="K57" s="1685"/>
      <c r="L57" s="1685"/>
      <c r="M57" s="1685"/>
      <c r="N57" s="1685"/>
      <c r="O57" s="1685"/>
      <c r="P57" s="1685"/>
      <c r="Q57" s="1685"/>
      <c r="R57" s="1685"/>
      <c r="S57" s="1685"/>
      <c r="T57" s="1685"/>
      <c r="U57" s="1685"/>
      <c r="V57" s="1685"/>
      <c r="W57" s="1685"/>
      <c r="X57" s="1685"/>
      <c r="Y57" s="1685"/>
      <c r="Z57" s="1685"/>
      <c r="AA57" s="1685"/>
      <c r="AB57" s="1685"/>
      <c r="AC57" s="1685"/>
      <c r="AD57" s="2069"/>
      <c r="AE57" s="2073"/>
      <c r="AF57" s="1685"/>
      <c r="AG57" s="1685"/>
      <c r="AM57" s="1677" t="s">
        <v>889</v>
      </c>
      <c r="AN57" s="1677" t="str">
        <f>IF(TCATrigger="No","",IF(rng01_DSCR="","",rng01_DSCR))</f>
        <v/>
      </c>
      <c r="AR57" s="1677" t="s">
        <v>2251</v>
      </c>
      <c r="BQ57" s="1685"/>
      <c r="BW57" s="1677" t="s">
        <v>889</v>
      </c>
    </row>
    <row r="58" spans="1:76" ht="15">
      <c r="A58" s="1685"/>
      <c r="B58" s="1685"/>
      <c r="C58" s="1685"/>
      <c r="D58" s="1685"/>
      <c r="E58" s="1685"/>
      <c r="F58" s="1686" t="s">
        <v>890</v>
      </c>
      <c r="G58" s="1685" t="s">
        <v>891</v>
      </c>
      <c r="H58" s="1685" t="str">
        <f>IF(rng01_RIH_Mort_Term_Ys="","",rng01_RIH_Mort_Term_Ys)</f>
        <v/>
      </c>
      <c r="I58" s="1685"/>
      <c r="J58" s="1685"/>
      <c r="K58" s="1685"/>
      <c r="L58" s="1685"/>
      <c r="M58" s="1685"/>
      <c r="N58" s="1685"/>
      <c r="O58" s="1685"/>
      <c r="P58" s="1685"/>
      <c r="Q58" s="1685"/>
      <c r="R58" s="1685"/>
      <c r="S58" s="1685"/>
      <c r="T58" s="1685"/>
      <c r="U58" s="1685"/>
      <c r="V58" s="1685"/>
      <c r="W58" s="1685"/>
      <c r="X58" s="1685"/>
      <c r="Y58" s="1685"/>
      <c r="Z58" s="1685"/>
      <c r="AA58" s="1685"/>
      <c r="AB58" s="1685"/>
      <c r="AC58" s="1685"/>
      <c r="AD58" s="2069"/>
      <c r="AE58" s="2073"/>
      <c r="AF58" s="1685"/>
      <c r="AG58" s="1685"/>
      <c r="AM58" s="1677" t="s">
        <v>891</v>
      </c>
      <c r="AN58" s="1677" t="str">
        <f>IF(TCATrigger="No","",IF(rng01_RIH_Mort_Term_Ys="","",rng01_RIH_Mort_Term_Ys))</f>
        <v/>
      </c>
      <c r="BQ58" s="1685"/>
      <c r="BW58" s="1677" t="s">
        <v>891</v>
      </c>
    </row>
    <row r="59" spans="1:76" ht="15">
      <c r="A59" s="1685"/>
      <c r="B59" s="1685"/>
      <c r="C59" s="1685"/>
      <c r="D59" s="1685"/>
      <c r="E59" s="1685"/>
      <c r="F59" s="1686" t="s">
        <v>52</v>
      </c>
      <c r="G59" s="1685" t="s">
        <v>892</v>
      </c>
      <c r="H59" s="1685" t="str">
        <f>IF(rng01_FinancingType="","",rng01_FinancingType)</f>
        <v/>
      </c>
      <c r="I59" s="1685"/>
      <c r="J59" s="1685"/>
      <c r="K59" s="1685"/>
      <c r="L59" s="1685"/>
      <c r="M59" s="1685"/>
      <c r="N59" s="1685"/>
      <c r="O59" s="1685"/>
      <c r="P59" s="1685"/>
      <c r="Q59" s="1685"/>
      <c r="R59" s="1685"/>
      <c r="S59" s="1685"/>
      <c r="T59" s="1685"/>
      <c r="U59" s="1685"/>
      <c r="V59" s="1685"/>
      <c r="W59" s="1685"/>
      <c r="X59" s="1685"/>
      <c r="Y59" s="1685"/>
      <c r="Z59" s="1685"/>
      <c r="AA59" s="1685"/>
      <c r="AB59" s="1685"/>
      <c r="AC59" s="1685"/>
      <c r="AD59" s="2069"/>
      <c r="AE59" s="2073"/>
      <c r="AF59" s="1685"/>
      <c r="AG59" s="1685"/>
      <c r="AM59" s="1677" t="s">
        <v>892</v>
      </c>
      <c r="AN59" s="1677" t="str">
        <f>IF(TCATrigger="No","",IF(rng01_FinancingType="","",rng01_FinancingType))</f>
        <v/>
      </c>
      <c r="BQ59" s="1685"/>
      <c r="BW59" s="1677" t="s">
        <v>892</v>
      </c>
    </row>
    <row r="60" spans="1:76" ht="15">
      <c r="A60" s="1685"/>
      <c r="B60" s="1685"/>
      <c r="C60" s="1685"/>
      <c r="D60" s="1685"/>
      <c r="E60" s="1685"/>
      <c r="F60" s="1686"/>
      <c r="G60" s="1685" t="s">
        <v>893</v>
      </c>
      <c r="H60" s="1685" t="str">
        <f>IF(rng01_MortgageInsurangePremium="","",rng01_MortgageInsurangePremium)</f>
        <v/>
      </c>
      <c r="I60" s="1685"/>
      <c r="J60" s="1685"/>
      <c r="K60" s="1685"/>
      <c r="L60" s="1685"/>
      <c r="M60" s="1685"/>
      <c r="N60" s="1685"/>
      <c r="O60" s="1685"/>
      <c r="P60" s="1685"/>
      <c r="Q60" s="1685"/>
      <c r="R60" s="1685"/>
      <c r="S60" s="1685"/>
      <c r="T60" s="1685"/>
      <c r="U60" s="1685"/>
      <c r="V60" s="1685"/>
      <c r="W60" s="1685"/>
      <c r="X60" s="1685"/>
      <c r="Y60" s="1685"/>
      <c r="Z60" s="1685"/>
      <c r="AA60" s="1685"/>
      <c r="AB60" s="1685"/>
      <c r="AC60" s="1685"/>
      <c r="AD60" s="2069"/>
      <c r="AE60" s="2073"/>
      <c r="AF60" s="1685"/>
      <c r="AG60" s="1685"/>
      <c r="AM60" s="1677" t="s">
        <v>893</v>
      </c>
      <c r="AN60" s="1677" t="str">
        <f>IF(TCATrigger="No","",IF(rng01_MortgageInsurangePremium="","",rng01_MortgageInsurangePremium))</f>
        <v/>
      </c>
      <c r="BQ60" s="1685"/>
      <c r="BW60" s="1677" t="s">
        <v>893</v>
      </c>
    </row>
    <row r="61" spans="1:76" ht="15">
      <c r="A61" s="1685"/>
      <c r="B61" s="1685"/>
      <c r="C61" s="1685"/>
      <c r="D61" s="1685"/>
      <c r="E61" s="1686" t="s">
        <v>894</v>
      </c>
      <c r="F61" s="1686" t="s">
        <v>43</v>
      </c>
      <c r="G61" s="1685" t="s">
        <v>895</v>
      </c>
      <c r="H61" s="1685" t="str">
        <f>IF(rng01_Mort_Prog_Type="","",rng01_Mort_Prog_Type)</f>
        <v/>
      </c>
      <c r="I61" s="1685"/>
      <c r="J61" s="1685"/>
      <c r="K61" s="1685"/>
      <c r="L61" s="1685"/>
      <c r="M61" s="1685"/>
      <c r="N61" s="1685"/>
      <c r="O61" s="1685"/>
      <c r="P61" s="1685"/>
      <c r="Q61" s="1685"/>
      <c r="R61" s="1685"/>
      <c r="S61" s="1685"/>
      <c r="T61" s="1685"/>
      <c r="U61" s="1685"/>
      <c r="V61" s="1685"/>
      <c r="W61" s="1685"/>
      <c r="X61" s="1685"/>
      <c r="Y61" s="1685"/>
      <c r="Z61" s="1685"/>
      <c r="AA61" s="1685"/>
      <c r="AB61" s="1685"/>
      <c r="AC61" s="1685"/>
      <c r="AD61" s="2069"/>
      <c r="AE61" s="2073"/>
      <c r="AF61" s="1685"/>
      <c r="AG61" s="1685"/>
      <c r="AM61" s="1677" t="s">
        <v>895</v>
      </c>
      <c r="AN61" s="1677" t="str">
        <f>IF(TCATrigger="No","",IF(rng01_Mort_Prog_Type="","",rng01_Mort_Prog_Type))</f>
        <v/>
      </c>
      <c r="BQ61" s="1685"/>
      <c r="BW61" s="1677" t="s">
        <v>895</v>
      </c>
    </row>
    <row r="62" spans="1:76" ht="15">
      <c r="A62" s="1685"/>
      <c r="B62" s="1685"/>
      <c r="C62" s="1685"/>
      <c r="D62" s="1685"/>
      <c r="E62" s="1685"/>
      <c r="F62" s="1685"/>
      <c r="G62" s="1685"/>
      <c r="H62" s="1685"/>
      <c r="I62" s="1685"/>
      <c r="J62" s="1685"/>
      <c r="K62" s="1685"/>
      <c r="L62" s="1685"/>
      <c r="M62" s="1685"/>
      <c r="N62" s="1685"/>
      <c r="O62" s="1685"/>
      <c r="P62" s="1685"/>
      <c r="Q62" s="1685"/>
      <c r="R62" s="1685"/>
      <c r="S62" s="1685"/>
      <c r="T62" s="1685"/>
      <c r="U62" s="1685"/>
      <c r="V62" s="1685"/>
      <c r="W62" s="1685"/>
      <c r="X62" s="1685"/>
      <c r="Y62" s="1685"/>
      <c r="Z62" s="1685"/>
      <c r="AA62" s="1685"/>
      <c r="AB62" s="1685"/>
      <c r="AC62" s="1685"/>
      <c r="AD62" s="2069"/>
      <c r="AE62" s="2073"/>
      <c r="AF62" s="1685"/>
      <c r="AG62" s="1685"/>
      <c r="BQ62" s="1685"/>
    </row>
    <row r="63" spans="1:76" ht="15">
      <c r="A63" s="1685"/>
      <c r="B63" s="1685"/>
      <c r="C63" s="1685"/>
      <c r="D63" s="1685"/>
      <c r="E63" s="1685"/>
      <c r="F63" s="1685"/>
      <c r="G63" s="1685"/>
      <c r="H63" s="1685"/>
      <c r="I63" s="1685"/>
      <c r="J63" s="1685"/>
      <c r="K63" s="1685"/>
      <c r="L63" s="1685"/>
      <c r="M63" s="1685"/>
      <c r="N63" s="1685"/>
      <c r="O63" s="1685"/>
      <c r="P63" s="1685"/>
      <c r="Q63" s="1685"/>
      <c r="R63" s="1685"/>
      <c r="S63" s="1685"/>
      <c r="T63" s="1685"/>
      <c r="U63" s="1685"/>
      <c r="V63" s="1685"/>
      <c r="W63" s="1685"/>
      <c r="X63" s="1685"/>
      <c r="Y63" s="1685"/>
      <c r="Z63" s="1685"/>
      <c r="AA63" s="1685"/>
      <c r="AB63" s="1685"/>
      <c r="AC63" s="1685"/>
      <c r="AD63" s="2069"/>
      <c r="AE63" s="2073"/>
      <c r="AF63" s="1685"/>
      <c r="AG63" s="1685"/>
      <c r="BQ63" s="1685"/>
    </row>
    <row r="64" spans="1:76" ht="15">
      <c r="A64" s="1685" t="s">
        <v>847</v>
      </c>
      <c r="B64" s="1685" t="s">
        <v>848</v>
      </c>
      <c r="C64" s="1685" t="s">
        <v>896</v>
      </c>
      <c r="D64" s="1685"/>
      <c r="E64" s="1685"/>
      <c r="F64" s="1685"/>
      <c r="G64" s="1685" t="s">
        <v>897</v>
      </c>
      <c r="H64" s="1685" t="str">
        <f>IF(rng01_ConstructionLoanLender="","",rng01_ConstructionLoanLender)</f>
        <v/>
      </c>
      <c r="I64" s="1685"/>
      <c r="J64" s="1685"/>
      <c r="K64" s="1685"/>
      <c r="L64" s="1685"/>
      <c r="M64" s="1685"/>
      <c r="N64" s="1685"/>
      <c r="O64" s="1685"/>
      <c r="P64" s="1685"/>
      <c r="Q64" s="1685"/>
      <c r="R64" s="1685"/>
      <c r="S64" s="1685"/>
      <c r="T64" s="1685"/>
      <c r="U64" s="1685"/>
      <c r="V64" s="1685"/>
      <c r="W64" s="1685"/>
      <c r="X64" s="1685"/>
      <c r="Y64" s="1685"/>
      <c r="Z64" s="1685"/>
      <c r="AA64" s="1685"/>
      <c r="AB64" s="1685"/>
      <c r="AC64" s="1685"/>
      <c r="AD64" s="2069"/>
      <c r="AE64" s="2073"/>
      <c r="AF64" s="1685"/>
      <c r="AG64" s="1685" t="s">
        <v>847</v>
      </c>
      <c r="AH64" s="1677" t="s">
        <v>848</v>
      </c>
      <c r="AI64" s="1677" t="s">
        <v>896</v>
      </c>
      <c r="AM64" s="1677" t="s">
        <v>897</v>
      </c>
      <c r="AN64" s="1677" t="str">
        <f>IF(TCATrigger="No","",IF(rng01_ConstructionLoanLender="","",rng01_ConstructionLoanLender))</f>
        <v/>
      </c>
      <c r="BQ64" s="1685" t="s">
        <v>847</v>
      </c>
      <c r="BR64" s="1677" t="s">
        <v>848</v>
      </c>
      <c r="BS64" s="1677" t="s">
        <v>896</v>
      </c>
      <c r="BW64" s="1677" t="s">
        <v>897</v>
      </c>
    </row>
    <row r="65" spans="1:75" ht="15">
      <c r="A65" s="1685"/>
      <c r="B65" s="1685"/>
      <c r="C65" s="1685"/>
      <c r="D65" s="1685"/>
      <c r="E65" s="1685"/>
      <c r="F65" s="1685"/>
      <c r="G65" s="1685" t="s">
        <v>898</v>
      </c>
      <c r="H65" s="1685" t="str">
        <f>IF(rng01_ConstructionLoan="","",rng01_ConstructionLoan)</f>
        <v/>
      </c>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2069"/>
      <c r="AE65" s="2073"/>
      <c r="AF65" s="1685"/>
      <c r="AG65" s="1685"/>
      <c r="AM65" s="1677" t="s">
        <v>898</v>
      </c>
      <c r="AN65" s="1677" t="str">
        <f>IF(TCATrigger="No","",IF(rng01_ConstructionLoan="","",rng01_ConstructionLoan))</f>
        <v/>
      </c>
      <c r="BQ65" s="1685"/>
      <c r="BW65" s="1677" t="s">
        <v>898</v>
      </c>
    </row>
    <row r="66" spans="1:75" ht="15">
      <c r="A66" s="1685"/>
      <c r="B66" s="1685"/>
      <c r="C66" s="1685"/>
      <c r="D66" s="1685"/>
      <c r="E66" s="1685"/>
      <c r="F66" s="1685"/>
      <c r="G66" s="1685" t="s">
        <v>49</v>
      </c>
      <c r="H66" s="1685" t="str">
        <f>IF(rng01_ConstructionLoanInterest="","",rng01_ConstructionLoanInterest)</f>
        <v/>
      </c>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2069"/>
      <c r="AE66" s="2073"/>
      <c r="AF66" s="1685"/>
      <c r="AG66" s="1685"/>
      <c r="AM66" s="1677" t="s">
        <v>49</v>
      </c>
      <c r="AN66" s="1677" t="str">
        <f>IF(TCATrigger="No","",IF(rng01_ConstructionLoanInterest="","",rng01_ConstructionLoanInterest))</f>
        <v/>
      </c>
      <c r="BQ66" s="1685"/>
      <c r="BW66" s="1677" t="s">
        <v>49</v>
      </c>
    </row>
    <row r="67" spans="1:75" ht="15">
      <c r="A67" s="1685"/>
      <c r="B67" s="1685"/>
      <c r="C67" s="1685"/>
      <c r="D67" s="1685"/>
      <c r="E67" s="1685"/>
      <c r="F67" s="1685"/>
      <c r="G67" s="1685"/>
      <c r="H67" s="1685"/>
      <c r="I67" s="1685"/>
      <c r="J67" s="1685"/>
      <c r="K67" s="1685"/>
      <c r="L67" s="1685"/>
      <c r="M67" s="1685"/>
      <c r="N67" s="1685"/>
      <c r="O67" s="1685"/>
      <c r="P67" s="1685"/>
      <c r="Q67" s="1685"/>
      <c r="R67" s="1685"/>
      <c r="S67" s="1685"/>
      <c r="T67" s="1685"/>
      <c r="U67" s="1685"/>
      <c r="V67" s="1685"/>
      <c r="W67" s="1685"/>
      <c r="X67" s="1685"/>
      <c r="Y67" s="1685"/>
      <c r="Z67" s="1685"/>
      <c r="AA67" s="1685"/>
      <c r="AB67" s="1685"/>
      <c r="AC67" s="1685"/>
      <c r="AD67" s="2069"/>
      <c r="AE67" s="2073"/>
      <c r="AF67" s="1685"/>
      <c r="AG67" s="1685"/>
      <c r="BQ67" s="1685"/>
    </row>
    <row r="68" spans="1:75" ht="15">
      <c r="A68" s="1685"/>
      <c r="B68" s="1685"/>
      <c r="C68" s="1685"/>
      <c r="D68" s="1685"/>
      <c r="E68" s="1685"/>
      <c r="F68" s="1685"/>
      <c r="G68" s="1685"/>
      <c r="H68" s="1685"/>
      <c r="I68" s="1685"/>
      <c r="J68" s="1685"/>
      <c r="K68" s="1685"/>
      <c r="L68" s="1685"/>
      <c r="M68" s="1685"/>
      <c r="N68" s="1685"/>
      <c r="O68" s="1685"/>
      <c r="P68" s="1685"/>
      <c r="Q68" s="1685"/>
      <c r="R68" s="1685"/>
      <c r="S68" s="1685"/>
      <c r="T68" s="1685"/>
      <c r="U68" s="1685"/>
      <c r="V68" s="1685"/>
      <c r="W68" s="1685"/>
      <c r="X68" s="1685"/>
      <c r="Y68" s="1685"/>
      <c r="Z68" s="1685"/>
      <c r="AA68" s="1685"/>
      <c r="AB68" s="1685"/>
      <c r="AC68" s="1685"/>
      <c r="AD68" s="2069"/>
      <c r="AE68" s="2073"/>
      <c r="AF68" s="1685"/>
      <c r="AG68" s="1685"/>
      <c r="BQ68" s="1685"/>
    </row>
    <row r="69" spans="1:75" ht="15">
      <c r="A69" s="1685" t="s">
        <v>847</v>
      </c>
      <c r="B69" s="1685" t="s">
        <v>848</v>
      </c>
      <c r="C69" s="1700" t="s">
        <v>899</v>
      </c>
      <c r="D69" s="1685"/>
      <c r="E69" s="1685"/>
      <c r="F69" s="1685"/>
      <c r="G69" s="1685" t="s">
        <v>900</v>
      </c>
      <c r="H69" s="1685" t="str">
        <f>IF(rng01_Borrower_Name="","",rng01_Borrower_Name)</f>
        <v/>
      </c>
      <c r="I69" s="1685"/>
      <c r="J69" s="1685"/>
      <c r="K69" s="1685"/>
      <c r="L69" s="1685"/>
      <c r="M69" s="1685"/>
      <c r="N69" s="1685"/>
      <c r="O69" s="1685"/>
      <c r="P69" s="1685"/>
      <c r="Q69" s="1685"/>
      <c r="R69" s="1685"/>
      <c r="S69" s="1685"/>
      <c r="T69" s="1685"/>
      <c r="U69" s="1685"/>
      <c r="V69" s="1685"/>
      <c r="W69" s="1685"/>
      <c r="X69" s="1685"/>
      <c r="Y69" s="1685"/>
      <c r="Z69" s="1685"/>
      <c r="AA69" s="1685"/>
      <c r="AB69" s="1685"/>
      <c r="AC69" s="1685"/>
      <c r="AD69" s="2069"/>
      <c r="AE69" s="2073"/>
      <c r="AF69" s="1685"/>
      <c r="AG69" s="1685" t="s">
        <v>847</v>
      </c>
      <c r="AH69" s="1677" t="s">
        <v>848</v>
      </c>
      <c r="AI69" s="1677" t="s">
        <v>899</v>
      </c>
      <c r="AM69" s="1677" t="s">
        <v>900</v>
      </c>
      <c r="AN69" s="1677" t="str">
        <f>IF(TCATrigger="No","",IF(rng01_Borrower_Name="","",rng01_Borrower_Name))</f>
        <v/>
      </c>
      <c r="BQ69" s="1685" t="s">
        <v>847</v>
      </c>
      <c r="BR69" s="1677" t="s">
        <v>848</v>
      </c>
      <c r="BS69" s="1677" t="s">
        <v>899</v>
      </c>
      <c r="BW69" s="1677" t="s">
        <v>900</v>
      </c>
    </row>
    <row r="70" spans="1:75" ht="15">
      <c r="A70" s="1685"/>
      <c r="B70" s="1685"/>
      <c r="C70" s="1685"/>
      <c r="D70" s="1685"/>
      <c r="E70" s="1686" t="s">
        <v>901</v>
      </c>
      <c r="F70" s="1686" t="s">
        <v>902</v>
      </c>
      <c r="G70" s="1685" t="s">
        <v>97</v>
      </c>
      <c r="H70" s="1685" t="str">
        <f>IF(rng01_Borrower_Address="","",rng01_Borrower_Address)</f>
        <v/>
      </c>
      <c r="I70" s="1685"/>
      <c r="J70" s="1685"/>
      <c r="K70" s="1685"/>
      <c r="L70" s="1685"/>
      <c r="M70" s="1685"/>
      <c r="N70" s="1685"/>
      <c r="O70" s="1685"/>
      <c r="P70" s="1685"/>
      <c r="Q70" s="1685"/>
      <c r="R70" s="1685"/>
      <c r="S70" s="1685"/>
      <c r="T70" s="1685"/>
      <c r="U70" s="1685"/>
      <c r="V70" s="1685"/>
      <c r="W70" s="1685"/>
      <c r="X70" s="1685"/>
      <c r="Y70" s="1685"/>
      <c r="Z70" s="1685"/>
      <c r="AA70" s="1685"/>
      <c r="AB70" s="1685"/>
      <c r="AC70" s="1685"/>
      <c r="AD70" s="2069"/>
      <c r="AE70" s="2073"/>
      <c r="AF70" s="1685"/>
      <c r="AG70" s="1685"/>
      <c r="AM70" s="1677" t="s">
        <v>97</v>
      </c>
      <c r="AN70" s="1677" t="str">
        <f>IF(TCATrigger="No","",IF(rng01_Borrower_Address="","",rng01_Borrower_Address))</f>
        <v/>
      </c>
      <c r="BQ70" s="1685"/>
      <c r="BW70" s="1677" t="s">
        <v>97</v>
      </c>
    </row>
    <row r="71" spans="1:75" ht="15">
      <c r="A71" s="1685"/>
      <c r="B71" s="1685"/>
      <c r="C71" s="1685"/>
      <c r="D71" s="1685"/>
      <c r="E71" s="1686" t="s">
        <v>901</v>
      </c>
      <c r="F71" s="1686" t="s">
        <v>98</v>
      </c>
      <c r="G71" s="1685" t="s">
        <v>852</v>
      </c>
      <c r="H71" s="1685" t="str">
        <f>IF(rng01_Borrower_City="","",rng01_Borrower_City)</f>
        <v/>
      </c>
      <c r="I71" s="1685"/>
      <c r="J71" s="1685"/>
      <c r="K71" s="1685"/>
      <c r="L71" s="1685"/>
      <c r="M71" s="1685"/>
      <c r="N71" s="1685"/>
      <c r="O71" s="1685"/>
      <c r="P71" s="1685"/>
      <c r="Q71" s="1685"/>
      <c r="R71" s="1685"/>
      <c r="S71" s="1685"/>
      <c r="T71" s="1685"/>
      <c r="U71" s="1685"/>
      <c r="V71" s="1685"/>
      <c r="W71" s="1685"/>
      <c r="X71" s="1685"/>
      <c r="Y71" s="1685"/>
      <c r="Z71" s="1685"/>
      <c r="AA71" s="1685"/>
      <c r="AB71" s="1685"/>
      <c r="AC71" s="1685"/>
      <c r="AD71" s="2069"/>
      <c r="AE71" s="2073"/>
      <c r="AF71" s="1685"/>
      <c r="AG71" s="1685"/>
      <c r="AM71" s="1677" t="s">
        <v>852</v>
      </c>
      <c r="AN71" s="1677" t="str">
        <f>IF(TCATrigger="No","",IF(rng01_Borrower_City="","",rng01_Borrower_City))</f>
        <v/>
      </c>
      <c r="BQ71" s="1685"/>
      <c r="BW71" s="1677" t="s">
        <v>852</v>
      </c>
    </row>
    <row r="72" spans="1:75" ht="15">
      <c r="A72" s="1685"/>
      <c r="B72" s="1685"/>
      <c r="C72" s="1685"/>
      <c r="D72" s="1685"/>
      <c r="E72" s="1686" t="s">
        <v>901</v>
      </c>
      <c r="F72" s="1686" t="s">
        <v>903</v>
      </c>
      <c r="G72" s="1685" t="s">
        <v>592</v>
      </c>
      <c r="H72" s="1685" t="str">
        <f>IF(rng01_Borrower_State="","",rng01_Borrower_State)</f>
        <v/>
      </c>
      <c r="I72" s="1685"/>
      <c r="J72" s="1685"/>
      <c r="K72" s="1685"/>
      <c r="L72" s="1685"/>
      <c r="M72" s="1685"/>
      <c r="N72" s="1685"/>
      <c r="O72" s="1685"/>
      <c r="P72" s="1685"/>
      <c r="Q72" s="1685"/>
      <c r="R72" s="1685"/>
      <c r="S72" s="1685"/>
      <c r="T72" s="1685"/>
      <c r="U72" s="1685"/>
      <c r="V72" s="1685"/>
      <c r="W72" s="1685"/>
      <c r="X72" s="1685"/>
      <c r="Y72" s="1685"/>
      <c r="Z72" s="1685"/>
      <c r="AA72" s="1685"/>
      <c r="AB72" s="1685"/>
      <c r="AC72" s="1685"/>
      <c r="AD72" s="2069"/>
      <c r="AE72" s="2073"/>
      <c r="AF72" s="1685"/>
      <c r="AG72" s="1685"/>
      <c r="AM72" s="1677" t="s">
        <v>592</v>
      </c>
      <c r="AN72" s="1691" t="str">
        <f>IF(TCATrigger="No","",IF(rng01_Borrower_State="","",rng01_Borrower_State))</f>
        <v/>
      </c>
      <c r="BQ72" s="1685"/>
      <c r="BW72" s="1677" t="s">
        <v>592</v>
      </c>
    </row>
    <row r="73" spans="1:75" ht="15">
      <c r="A73" s="1685"/>
      <c r="B73" s="1685"/>
      <c r="C73" s="1685"/>
      <c r="D73" s="1685"/>
      <c r="E73" s="1686" t="s">
        <v>901</v>
      </c>
      <c r="F73" s="1686" t="s">
        <v>903</v>
      </c>
      <c r="G73" s="1685" t="s">
        <v>41</v>
      </c>
      <c r="H73" s="1688" t="str">
        <f>IF(rng01_Borrower_Zip="","",rng01_Borrower_Zip)</f>
        <v/>
      </c>
      <c r="I73" s="1685"/>
      <c r="J73" s="1685"/>
      <c r="K73" s="1685"/>
      <c r="L73" s="1685"/>
      <c r="M73" s="1685"/>
      <c r="N73" s="1685"/>
      <c r="O73" s="1685"/>
      <c r="P73" s="1685"/>
      <c r="Q73" s="1685"/>
      <c r="R73" s="1685"/>
      <c r="S73" s="1685"/>
      <c r="T73" s="1685"/>
      <c r="U73" s="1685"/>
      <c r="V73" s="1685"/>
      <c r="W73" s="1685"/>
      <c r="X73" s="1685"/>
      <c r="Y73" s="1685"/>
      <c r="Z73" s="1685"/>
      <c r="AA73" s="1685"/>
      <c r="AB73" s="1685"/>
      <c r="AC73" s="1685"/>
      <c r="AD73" s="2069"/>
      <c r="AE73" s="2073"/>
      <c r="AF73" s="1685"/>
      <c r="AG73" s="1685"/>
      <c r="AM73" s="1677" t="s">
        <v>41</v>
      </c>
      <c r="AN73" s="1677" t="str">
        <f>IF(TCATrigger="No","",IF(rng01_Borrower_Zip="","",rng01_Borrower_Zip))</f>
        <v/>
      </c>
      <c r="BQ73" s="1685"/>
      <c r="BW73" s="1677" t="s">
        <v>41</v>
      </c>
    </row>
    <row r="74" spans="1:75" ht="15">
      <c r="A74" s="1685"/>
      <c r="B74" s="1685"/>
      <c r="C74" s="1685"/>
      <c r="D74" s="1685"/>
      <c r="E74" s="1685"/>
      <c r="F74" s="1686" t="s">
        <v>904</v>
      </c>
      <c r="G74" s="1685" t="s">
        <v>905</v>
      </c>
      <c r="H74" s="1685" t="str">
        <f>IF(rng01_Borrower_Tele_Num="","",rng01_Borrower_Tele_Num)</f>
        <v/>
      </c>
      <c r="I74" s="1685"/>
      <c r="J74" s="1685"/>
      <c r="K74" s="1685"/>
      <c r="L74" s="1685"/>
      <c r="M74" s="1685"/>
      <c r="N74" s="1685"/>
      <c r="O74" s="1685"/>
      <c r="P74" s="1685"/>
      <c r="Q74" s="1685"/>
      <c r="R74" s="1685"/>
      <c r="S74" s="1685"/>
      <c r="T74" s="1685"/>
      <c r="U74" s="1685"/>
      <c r="V74" s="1685"/>
      <c r="W74" s="1685"/>
      <c r="X74" s="1685"/>
      <c r="Y74" s="1685"/>
      <c r="Z74" s="1685"/>
      <c r="AA74" s="1685"/>
      <c r="AB74" s="1685"/>
      <c r="AC74" s="1685"/>
      <c r="AD74" s="2069"/>
      <c r="AE74" s="2073"/>
      <c r="AF74" s="1685"/>
      <c r="AG74" s="1685"/>
      <c r="AM74" s="1677" t="s">
        <v>905</v>
      </c>
      <c r="AN74" s="1677" t="str">
        <f>IF(TCATrigger="No","",IF(rng01_Borrower_Tele_Num="","",rng01_Borrower_Tele_Num))</f>
        <v/>
      </c>
      <c r="BQ74" s="1685"/>
      <c r="BW74" s="1677" t="s">
        <v>905</v>
      </c>
    </row>
    <row r="75" spans="1:75" ht="15">
      <c r="A75" s="1685"/>
      <c r="B75" s="1685"/>
      <c r="C75" s="1685"/>
      <c r="D75" s="1685"/>
      <c r="E75" s="1685"/>
      <c r="F75" s="1685"/>
      <c r="G75" s="1685" t="s">
        <v>906</v>
      </c>
      <c r="H75" s="1685"/>
      <c r="I75" s="1685"/>
      <c r="J75" s="1685"/>
      <c r="K75" s="1685"/>
      <c r="L75" s="1685"/>
      <c r="M75" s="1685"/>
      <c r="N75" s="1685"/>
      <c r="O75" s="1685"/>
      <c r="P75" s="1685"/>
      <c r="Q75" s="1685"/>
      <c r="R75" s="1685"/>
      <c r="S75" s="1685"/>
      <c r="T75" s="1685"/>
      <c r="U75" s="1685"/>
      <c r="V75" s="1685"/>
      <c r="W75" s="1685"/>
      <c r="X75" s="1685"/>
      <c r="Y75" s="1685"/>
      <c r="Z75" s="1685"/>
      <c r="AA75" s="1685"/>
      <c r="AB75" s="1685"/>
      <c r="AC75" s="1685"/>
      <c r="AD75" s="2069"/>
      <c r="AE75" s="2073"/>
      <c r="AF75" s="1685"/>
      <c r="AG75" s="1685"/>
      <c r="AM75" s="1677" t="s">
        <v>906</v>
      </c>
      <c r="BQ75" s="1685"/>
      <c r="BW75" s="1677" t="s">
        <v>906</v>
      </c>
    </row>
    <row r="76" spans="1:75" ht="15">
      <c r="A76" s="1685"/>
      <c r="B76" s="1685"/>
      <c r="C76" s="1685"/>
      <c r="D76" s="1685"/>
      <c r="E76" s="1685"/>
      <c r="F76" s="1685"/>
      <c r="G76" s="1685" t="s">
        <v>907</v>
      </c>
      <c r="H76" s="1685" t="str">
        <f>IF(rng01_Borrower_Maj_Prin_1="","",rng01_Borrower_Maj_Prin_1)</f>
        <v/>
      </c>
      <c r="I76" s="1685"/>
      <c r="J76" s="1685"/>
      <c r="K76" s="1685"/>
      <c r="L76" s="1685"/>
      <c r="M76" s="1685"/>
      <c r="N76" s="1685"/>
      <c r="O76" s="1685"/>
      <c r="P76" s="1685"/>
      <c r="Q76" s="1685"/>
      <c r="R76" s="1685"/>
      <c r="S76" s="1685"/>
      <c r="T76" s="1685"/>
      <c r="U76" s="1685"/>
      <c r="V76" s="1685"/>
      <c r="W76" s="1685"/>
      <c r="X76" s="1685"/>
      <c r="Y76" s="1685"/>
      <c r="Z76" s="1685"/>
      <c r="AA76" s="1685"/>
      <c r="AB76" s="1685"/>
      <c r="AC76" s="1685"/>
      <c r="AD76" s="2069"/>
      <c r="AE76" s="2073"/>
      <c r="AF76" s="1685"/>
      <c r="AG76" s="1685"/>
      <c r="AM76" s="1677" t="s">
        <v>907</v>
      </c>
      <c r="AN76" s="1677" t="str">
        <f>IF(TCATrigger="No","",IF(rng01_Borrower_Maj_Prin_1="","",rng01_Borrower_Maj_Prin_1))</f>
        <v/>
      </c>
      <c r="BQ76" s="1685"/>
      <c r="BW76" s="1677" t="s">
        <v>907</v>
      </c>
    </row>
    <row r="77" spans="1:75" ht="15">
      <c r="A77" s="1685"/>
      <c r="B77" s="1685"/>
      <c r="C77" s="1685"/>
      <c r="D77" s="1685"/>
      <c r="E77" s="1685"/>
      <c r="F77" s="1685"/>
      <c r="G77" s="1685" t="s">
        <v>908</v>
      </c>
      <c r="H77" s="1685" t="str">
        <f>IF(rng01_Borrower_Maj_Prin_2="","",rng01_Borrower_Maj_Prin_2)</f>
        <v/>
      </c>
      <c r="I77" s="1685"/>
      <c r="J77" s="1685"/>
      <c r="K77" s="1685"/>
      <c r="L77" s="1685"/>
      <c r="M77" s="1685"/>
      <c r="N77" s="1685"/>
      <c r="O77" s="1685"/>
      <c r="P77" s="1685"/>
      <c r="Q77" s="1685"/>
      <c r="R77" s="1685"/>
      <c r="S77" s="1685"/>
      <c r="T77" s="1685"/>
      <c r="U77" s="1685"/>
      <c r="V77" s="1685"/>
      <c r="W77" s="1685"/>
      <c r="X77" s="1685"/>
      <c r="Y77" s="1685"/>
      <c r="Z77" s="1685"/>
      <c r="AA77" s="1685"/>
      <c r="AB77" s="1685"/>
      <c r="AC77" s="1685"/>
      <c r="AD77" s="2069"/>
      <c r="AE77" s="2073"/>
      <c r="AF77" s="1685"/>
      <c r="AG77" s="1685"/>
      <c r="AM77" s="1677" t="s">
        <v>908</v>
      </c>
      <c r="AN77" s="1677" t="str">
        <f>IF(TCATrigger="No","",IF(rng01_Borrower_Maj_Prin_2="","",rng01_Borrower_Maj_Prin_2))</f>
        <v/>
      </c>
      <c r="BQ77" s="1685"/>
      <c r="BW77" s="1677" t="s">
        <v>908</v>
      </c>
    </row>
    <row r="78" spans="1:75" ht="15">
      <c r="A78" s="1685"/>
      <c r="B78" s="1685"/>
      <c r="C78" s="1685"/>
      <c r="D78" s="1685"/>
      <c r="E78" s="1685"/>
      <c r="F78" s="1685"/>
      <c r="G78" s="1685" t="s">
        <v>909</v>
      </c>
      <c r="H78" s="1685" t="str">
        <f>IF(rng01_Borrower_Maj_Prin_3="","",rng01_Borrower_Maj_Prin_3)</f>
        <v/>
      </c>
      <c r="I78" s="1685"/>
      <c r="J78" s="1685"/>
      <c r="K78" s="1685"/>
      <c r="L78" s="1685"/>
      <c r="M78" s="1685"/>
      <c r="N78" s="1685"/>
      <c r="O78" s="1685"/>
      <c r="P78" s="1685"/>
      <c r="Q78" s="1685"/>
      <c r="R78" s="1685"/>
      <c r="S78" s="1685"/>
      <c r="T78" s="1685"/>
      <c r="U78" s="1685"/>
      <c r="V78" s="1685"/>
      <c r="W78" s="1685"/>
      <c r="X78" s="1685"/>
      <c r="Y78" s="1685"/>
      <c r="Z78" s="1685"/>
      <c r="AA78" s="1685"/>
      <c r="AB78" s="1685"/>
      <c r="AC78" s="1685"/>
      <c r="AD78" s="2069"/>
      <c r="AE78" s="2073"/>
      <c r="AF78" s="1685"/>
      <c r="AG78" s="1685"/>
      <c r="AM78" s="1677" t="s">
        <v>909</v>
      </c>
      <c r="AN78" s="1677" t="str">
        <f>IF(TCATrigger="No","",IF(rng01_Borrower_Maj_Prin_3="","",rng01_Borrower_Maj_Prin_3))</f>
        <v/>
      </c>
      <c r="BQ78" s="1685"/>
      <c r="BW78" s="1677" t="s">
        <v>909</v>
      </c>
    </row>
    <row r="79" spans="1:75" ht="15">
      <c r="A79" s="1685"/>
      <c r="B79" s="1685"/>
      <c r="C79" s="1685"/>
      <c r="D79" s="1685"/>
      <c r="E79" s="1685"/>
      <c r="F79" s="1685"/>
      <c r="G79" s="1685" t="s">
        <v>910</v>
      </c>
      <c r="H79" s="1685" t="str">
        <f>IF(rng01_Borrower_Maj_Prin_4="","",rng01_Borrower_Maj_Prin_4)</f>
        <v/>
      </c>
      <c r="I79" s="1685"/>
      <c r="J79" s="1685"/>
      <c r="K79" s="1685"/>
      <c r="L79" s="1685"/>
      <c r="M79" s="1685"/>
      <c r="N79" s="1685"/>
      <c r="O79" s="1685"/>
      <c r="P79" s="1685"/>
      <c r="Q79" s="1685"/>
      <c r="R79" s="1685"/>
      <c r="S79" s="1685"/>
      <c r="T79" s="1685"/>
      <c r="U79" s="1685"/>
      <c r="V79" s="1685"/>
      <c r="W79" s="1685"/>
      <c r="X79" s="1685"/>
      <c r="Y79" s="1685"/>
      <c r="Z79" s="1685"/>
      <c r="AA79" s="1685"/>
      <c r="AB79" s="1685"/>
      <c r="AC79" s="1685"/>
      <c r="AD79" s="2069"/>
      <c r="AE79" s="2073"/>
      <c r="AF79" s="1685"/>
      <c r="AG79" s="1685"/>
      <c r="AM79" s="1677" t="s">
        <v>910</v>
      </c>
      <c r="AN79" s="1677" t="str">
        <f>IF(TCATrigger="No","",IF(rng01_Borrower_Maj_Prin_4="","",rng01_Borrower_Maj_Prin_4))</f>
        <v/>
      </c>
      <c r="BQ79" s="1685"/>
      <c r="BW79" s="1677" t="s">
        <v>910</v>
      </c>
    </row>
    <row r="80" spans="1:75" ht="15">
      <c r="A80" s="1685"/>
      <c r="B80" s="1685"/>
      <c r="C80" s="1685"/>
      <c r="D80" s="1685"/>
      <c r="E80" s="1685"/>
      <c r="F80" s="1685"/>
      <c r="G80" s="1685" t="s">
        <v>911</v>
      </c>
      <c r="H80" s="1685" t="str">
        <f>IF(rng01_NonProfit="","",rng01_NonProfit)</f>
        <v/>
      </c>
      <c r="I80" s="1685"/>
      <c r="J80" s="1685"/>
      <c r="K80" s="1685"/>
      <c r="L80" s="1685"/>
      <c r="M80" s="1685"/>
      <c r="N80" s="1685"/>
      <c r="O80" s="1685"/>
      <c r="P80" s="1685"/>
      <c r="Q80" s="1685"/>
      <c r="R80" s="1685"/>
      <c r="S80" s="1685"/>
      <c r="T80" s="1685"/>
      <c r="U80" s="1685"/>
      <c r="V80" s="1685"/>
      <c r="W80" s="1685"/>
      <c r="X80" s="1685"/>
      <c r="Y80" s="1685"/>
      <c r="Z80" s="1685"/>
      <c r="AA80" s="1685"/>
      <c r="AB80" s="1685"/>
      <c r="AC80" s="1685"/>
      <c r="AD80" s="2069"/>
      <c r="AE80" s="2073"/>
      <c r="AF80" s="1685"/>
      <c r="AG80" s="1685"/>
      <c r="AM80" s="1677" t="s">
        <v>911</v>
      </c>
      <c r="AN80" s="1677" t="str">
        <f>IF(TCATrigger="No","",IF(rng01_NonProfit="","",rng01_NonProfit))</f>
        <v/>
      </c>
      <c r="BQ80" s="1685"/>
      <c r="BW80" s="1677" t="s">
        <v>911</v>
      </c>
    </row>
    <row r="81" spans="1:75" ht="15">
      <c r="A81" s="1685"/>
      <c r="B81" s="1685"/>
      <c r="C81" s="1685"/>
      <c r="D81" s="1685"/>
      <c r="E81" s="1685"/>
      <c r="F81" s="1686" t="s">
        <v>912</v>
      </c>
      <c r="G81" s="1685" t="s">
        <v>110</v>
      </c>
      <c r="H81" s="1685" t="str">
        <f>IF(rng01_Borrowing_Entity="","",rng01_Borrowing_Entity)</f>
        <v/>
      </c>
      <c r="I81" s="1685"/>
      <c r="J81" s="1685"/>
      <c r="K81" s="1685"/>
      <c r="L81" s="1685"/>
      <c r="M81" s="1685"/>
      <c r="N81" s="1685"/>
      <c r="O81" s="1685"/>
      <c r="P81" s="1685"/>
      <c r="Q81" s="1685"/>
      <c r="R81" s="1685"/>
      <c r="S81" s="1685"/>
      <c r="T81" s="1685"/>
      <c r="U81" s="1685"/>
      <c r="V81" s="1685"/>
      <c r="W81" s="1685"/>
      <c r="X81" s="1685"/>
      <c r="Y81" s="1685"/>
      <c r="Z81" s="1685"/>
      <c r="AA81" s="1685"/>
      <c r="AB81" s="1685"/>
      <c r="AC81" s="1685"/>
      <c r="AD81" s="2069"/>
      <c r="AE81" s="2073"/>
      <c r="AF81" s="1685"/>
      <c r="AG81" s="1685"/>
      <c r="AM81" s="1677" t="s">
        <v>110</v>
      </c>
      <c r="AN81" s="1677" t="str">
        <f>IF(TCATrigger="No","",IF(rng01_Borrowing_Entity="","",rng01_Borrowing_Entity))</f>
        <v/>
      </c>
      <c r="BQ81" s="1685"/>
      <c r="BW81" s="1677" t="s">
        <v>110</v>
      </c>
    </row>
    <row r="82" spans="1:75" ht="15">
      <c r="A82" s="1685"/>
      <c r="B82" s="1685"/>
      <c r="C82" s="1685"/>
      <c r="D82" s="1685"/>
      <c r="E82" s="1685"/>
      <c r="F82" s="1685"/>
      <c r="G82" s="1685" t="s">
        <v>913</v>
      </c>
      <c r="H82" s="1685" t="str">
        <f>IF(rng01_Single_Asset_Entity="","",rng01_Single_Asset_Entity)</f>
        <v/>
      </c>
      <c r="I82" s="1685"/>
      <c r="J82" s="1685"/>
      <c r="K82" s="1685"/>
      <c r="L82" s="1685"/>
      <c r="M82" s="1685"/>
      <c r="N82" s="1685"/>
      <c r="O82" s="1685"/>
      <c r="P82" s="1685"/>
      <c r="Q82" s="1685"/>
      <c r="R82" s="1685"/>
      <c r="S82" s="1685"/>
      <c r="T82" s="1685"/>
      <c r="U82" s="1685"/>
      <c r="V82" s="1685"/>
      <c r="W82" s="1685"/>
      <c r="X82" s="1685"/>
      <c r="Y82" s="1685"/>
      <c r="Z82" s="1685"/>
      <c r="AA82" s="1685"/>
      <c r="AB82" s="1685"/>
      <c r="AC82" s="1685"/>
      <c r="AD82" s="2069"/>
      <c r="AE82" s="2073"/>
      <c r="AF82" s="1685"/>
      <c r="AG82" s="1685"/>
      <c r="AM82" s="1677" t="s">
        <v>913</v>
      </c>
      <c r="AN82" s="1677" t="str">
        <f>IF(TCATrigger="No","",IF(rng01_Single_Asset_Entity="","",rng01_Single_Asset_Entity))</f>
        <v/>
      </c>
      <c r="BQ82" s="1685"/>
      <c r="BW82" s="1677" t="s">
        <v>913</v>
      </c>
    </row>
    <row r="83" spans="1:75" ht="15">
      <c r="A83" s="1685"/>
      <c r="B83" s="1685"/>
      <c r="C83" s="1685"/>
      <c r="D83" s="1685"/>
      <c r="E83" s="1685"/>
      <c r="F83" s="1685"/>
      <c r="G83" s="1685"/>
      <c r="H83" s="1686" t="s">
        <v>914</v>
      </c>
      <c r="I83" s="1686"/>
      <c r="J83" s="1685"/>
      <c r="K83" s="1685"/>
      <c r="L83" s="1685"/>
      <c r="M83" s="1685"/>
      <c r="N83" s="1685"/>
      <c r="O83" s="1685"/>
      <c r="P83" s="1685"/>
      <c r="Q83" s="1685"/>
      <c r="R83" s="1685"/>
      <c r="S83" s="1685"/>
      <c r="T83" s="1685"/>
      <c r="U83" s="1685"/>
      <c r="V83" s="1685"/>
      <c r="W83" s="1685"/>
      <c r="X83" s="1685"/>
      <c r="Y83" s="1685"/>
      <c r="Z83" s="1685"/>
      <c r="AA83" s="1685"/>
      <c r="AB83" s="1685"/>
      <c r="AC83" s="1685"/>
      <c r="AD83" s="2069"/>
      <c r="AE83" s="2073"/>
      <c r="AF83" s="1685"/>
      <c r="AG83" s="1685"/>
      <c r="AN83" s="1677" t="s">
        <v>914</v>
      </c>
      <c r="BQ83" s="1685"/>
    </row>
    <row r="84" spans="1:75" ht="15">
      <c r="A84" s="1685"/>
      <c r="B84" s="1685"/>
      <c r="C84" s="1685"/>
      <c r="D84" s="1685"/>
      <c r="E84" s="1685"/>
      <c r="F84" s="1685"/>
      <c r="G84" s="1685"/>
      <c r="H84" s="1685"/>
      <c r="I84" s="1685"/>
      <c r="J84" s="1685"/>
      <c r="K84" s="1685"/>
      <c r="L84" s="1685"/>
      <c r="M84" s="1685"/>
      <c r="N84" s="1685"/>
      <c r="O84" s="1685"/>
      <c r="P84" s="1685"/>
      <c r="Q84" s="1685"/>
      <c r="R84" s="1685"/>
      <c r="S84" s="1685"/>
      <c r="T84" s="1685"/>
      <c r="U84" s="1685"/>
      <c r="V84" s="1685"/>
      <c r="W84" s="1685"/>
      <c r="X84" s="1685"/>
      <c r="Y84" s="1685"/>
      <c r="Z84" s="1685"/>
      <c r="AA84" s="1685"/>
      <c r="AB84" s="1685"/>
      <c r="AC84" s="1685"/>
      <c r="AD84" s="2069"/>
      <c r="AE84" s="2073"/>
      <c r="AF84" s="1685"/>
      <c r="AG84" s="1685"/>
      <c r="BQ84" s="1685"/>
    </row>
    <row r="85" spans="1:75" ht="15">
      <c r="A85" s="1685" t="s">
        <v>847</v>
      </c>
      <c r="B85" s="1685" t="s">
        <v>848</v>
      </c>
      <c r="C85" s="1685" t="s">
        <v>915</v>
      </c>
      <c r="D85" s="1685"/>
      <c r="E85" s="1685"/>
      <c r="F85" s="1685"/>
      <c r="G85" s="1685" t="s">
        <v>916</v>
      </c>
      <c r="H85" s="1685">
        <f>IF('02_3_SOURCES'!F44="","",'02_3_SOURCES'!F44)</f>
        <v>0</v>
      </c>
      <c r="I85" s="1685"/>
      <c r="J85" s="1685"/>
      <c r="K85" s="1685"/>
      <c r="L85" s="1685"/>
      <c r="M85" s="1685"/>
      <c r="N85" s="1685"/>
      <c r="O85" s="1685"/>
      <c r="P85" s="1685"/>
      <c r="Q85" s="1685"/>
      <c r="R85" s="1685"/>
      <c r="S85" s="1685"/>
      <c r="T85" s="1685"/>
      <c r="U85" s="1685"/>
      <c r="V85" s="1685"/>
      <c r="W85" s="1685"/>
      <c r="X85" s="1685"/>
      <c r="Y85" s="1685"/>
      <c r="Z85" s="1685"/>
      <c r="AA85" s="1685"/>
      <c r="AB85" s="1685"/>
      <c r="AC85" s="1685"/>
      <c r="AD85" s="2069"/>
      <c r="AE85" s="2073"/>
      <c r="AF85" s="1685"/>
      <c r="AG85" s="1685" t="s">
        <v>847</v>
      </c>
      <c r="AH85" s="1677" t="s">
        <v>848</v>
      </c>
      <c r="AI85" s="1677" t="s">
        <v>915</v>
      </c>
      <c r="AM85" s="1677" t="s">
        <v>916</v>
      </c>
      <c r="AN85" s="1677">
        <v>0</v>
      </c>
      <c r="BQ85" s="1685" t="s">
        <v>847</v>
      </c>
      <c r="BR85" s="1677" t="s">
        <v>848</v>
      </c>
      <c r="BS85" s="1677" t="s">
        <v>915</v>
      </c>
      <c r="BW85" s="1677" t="s">
        <v>916</v>
      </c>
    </row>
    <row r="86" spans="1:75" ht="15">
      <c r="A86" s="1685"/>
      <c r="B86" s="1685"/>
      <c r="C86" s="1685"/>
      <c r="D86" s="1685"/>
      <c r="E86" s="1685"/>
      <c r="F86" s="1685"/>
      <c r="G86" s="1685" t="s">
        <v>917</v>
      </c>
      <c r="H86" s="1685">
        <f>IF('02_4_USES'!N90="","",'02_4_USES'!N90)</f>
        <v>0</v>
      </c>
      <c r="I86" s="1685"/>
      <c r="J86" s="1685"/>
      <c r="K86" s="1685"/>
      <c r="L86" s="1685"/>
      <c r="M86" s="1685"/>
      <c r="N86" s="1685"/>
      <c r="O86" s="1685"/>
      <c r="P86" s="1685"/>
      <c r="Q86" s="1685"/>
      <c r="R86" s="1685"/>
      <c r="S86" s="1685"/>
      <c r="T86" s="1685"/>
      <c r="U86" s="1685"/>
      <c r="V86" s="1685"/>
      <c r="W86" s="1685"/>
      <c r="X86" s="1685"/>
      <c r="Y86" s="1685"/>
      <c r="Z86" s="1685"/>
      <c r="AA86" s="1685"/>
      <c r="AB86" s="1685"/>
      <c r="AC86" s="1685"/>
      <c r="AD86" s="2069"/>
      <c r="AE86" s="2073"/>
      <c r="AF86" s="1685"/>
      <c r="AG86" s="1685"/>
      <c r="AM86" s="1677" t="s">
        <v>917</v>
      </c>
      <c r="AN86" s="1677">
        <v>0</v>
      </c>
      <c r="BQ86" s="1685"/>
      <c r="BW86" s="1677" t="s">
        <v>917</v>
      </c>
    </row>
    <row r="87" spans="1:75" ht="15">
      <c r="A87" s="1685"/>
      <c r="B87" s="1685"/>
      <c r="C87" s="1685"/>
      <c r="D87" s="1685"/>
      <c r="E87" s="1685"/>
      <c r="F87" s="1685"/>
      <c r="G87" s="1685" t="s">
        <v>918</v>
      </c>
      <c r="H87" s="1685" t="str">
        <f>IF(N28="Tax Exempt",IF(N56=0,0,N55/N56),"Not Applicable")</f>
        <v>Not Applicable</v>
      </c>
      <c r="I87" s="1685"/>
      <c r="J87" s="1685"/>
      <c r="K87" s="1685"/>
      <c r="L87" s="1685"/>
      <c r="M87" s="1685"/>
      <c r="N87" s="1685"/>
      <c r="O87" s="1685"/>
      <c r="P87" s="1685"/>
      <c r="Q87" s="1685"/>
      <c r="R87" s="1685"/>
      <c r="S87" s="1685"/>
      <c r="T87" s="1685"/>
      <c r="U87" s="1685"/>
      <c r="V87" s="1685"/>
      <c r="W87" s="1685"/>
      <c r="X87" s="1685"/>
      <c r="Y87" s="1685"/>
      <c r="Z87" s="1685"/>
      <c r="AA87" s="1685"/>
      <c r="AB87" s="1685"/>
      <c r="AC87" s="1685"/>
      <c r="AD87" s="2069"/>
      <c r="AE87" s="2073"/>
      <c r="AF87" s="1685"/>
      <c r="AG87" s="1685"/>
      <c r="AM87" s="1677" t="s">
        <v>918</v>
      </c>
      <c r="AN87" s="1677" t="s">
        <v>919</v>
      </c>
      <c r="BQ87" s="1685"/>
      <c r="BW87" s="1677" t="s">
        <v>918</v>
      </c>
    </row>
    <row r="88" spans="1:75" ht="15">
      <c r="A88" s="1685"/>
      <c r="B88" s="1685"/>
      <c r="C88" s="1685"/>
      <c r="D88" s="1685"/>
      <c r="E88" s="1685"/>
      <c r="F88" s="1685"/>
      <c r="G88" s="1685"/>
      <c r="H88" s="1685"/>
      <c r="I88" s="1685"/>
      <c r="J88" s="1685"/>
      <c r="K88" s="1685"/>
      <c r="L88" s="1685"/>
      <c r="M88" s="1685"/>
      <c r="N88" s="1685"/>
      <c r="O88" s="1685"/>
      <c r="P88" s="1685"/>
      <c r="Q88" s="1685"/>
      <c r="R88" s="1685"/>
      <c r="S88" s="1685"/>
      <c r="T88" s="1685"/>
      <c r="U88" s="1685"/>
      <c r="V88" s="1685"/>
      <c r="W88" s="1685"/>
      <c r="X88" s="1685"/>
      <c r="Y88" s="1685"/>
      <c r="Z88" s="1685"/>
      <c r="AA88" s="1685"/>
      <c r="AB88" s="1685"/>
      <c r="AC88" s="1685"/>
      <c r="AD88" s="2069"/>
      <c r="AE88" s="2073"/>
      <c r="AF88" s="1685"/>
      <c r="AG88" s="1685"/>
      <c r="BQ88" s="1685"/>
    </row>
    <row r="89" spans="1:75" ht="15">
      <c r="A89" s="1685"/>
      <c r="B89" s="1685"/>
      <c r="C89" s="1685"/>
      <c r="D89" s="1685"/>
      <c r="E89" s="1685"/>
      <c r="F89" s="1699" t="s">
        <v>920</v>
      </c>
      <c r="G89" s="1685"/>
      <c r="H89" s="1685"/>
      <c r="I89" s="1685"/>
      <c r="J89" s="1685"/>
      <c r="K89" s="1685"/>
      <c r="L89" s="1685"/>
      <c r="M89" s="1685"/>
      <c r="N89" s="1685"/>
      <c r="O89" s="1685"/>
      <c r="P89" s="1685"/>
      <c r="Q89" s="1685"/>
      <c r="R89" s="1685"/>
      <c r="S89" s="1685"/>
      <c r="T89" s="1685"/>
      <c r="U89" s="1685"/>
      <c r="V89" s="1685"/>
      <c r="W89" s="1685"/>
      <c r="X89" s="1685"/>
      <c r="Y89" s="1685"/>
      <c r="Z89" s="1685"/>
      <c r="AA89" s="1685"/>
      <c r="AB89" s="1685"/>
      <c r="AC89" s="1685"/>
      <c r="AD89" s="2069"/>
      <c r="AE89" s="2073"/>
      <c r="AF89" s="1685"/>
      <c r="AG89" s="1685"/>
      <c r="BQ89" s="1685"/>
    </row>
    <row r="90" spans="1:75" ht="15">
      <c r="A90" s="1685"/>
      <c r="B90" s="1685"/>
      <c r="C90" s="1685"/>
      <c r="D90" s="1685"/>
      <c r="E90" s="1686" t="s">
        <v>921</v>
      </c>
      <c r="F90" s="1685"/>
      <c r="G90" s="1686" t="s">
        <v>922</v>
      </c>
      <c r="H90" s="1685"/>
      <c r="I90" s="1686" t="s">
        <v>923</v>
      </c>
      <c r="J90" s="1686" t="s">
        <v>51</v>
      </c>
      <c r="K90" s="1686" t="s">
        <v>924</v>
      </c>
      <c r="L90" s="1686" t="s">
        <v>925</v>
      </c>
      <c r="M90" s="1686" t="s">
        <v>926</v>
      </c>
      <c r="N90" s="1685"/>
      <c r="O90" s="1685"/>
      <c r="P90" s="1685"/>
      <c r="Q90" s="1685"/>
      <c r="R90" s="1685"/>
      <c r="S90" s="1685"/>
      <c r="T90" s="1685"/>
      <c r="U90" s="1685"/>
      <c r="V90" s="1685"/>
      <c r="W90" s="1685"/>
      <c r="X90" s="1685"/>
      <c r="Y90" s="1685"/>
      <c r="Z90" s="1685"/>
      <c r="AA90" s="1685"/>
      <c r="AB90" s="1685"/>
      <c r="AC90" s="1685"/>
      <c r="AD90" s="2069"/>
      <c r="AE90" s="2073"/>
      <c r="AF90" s="1685"/>
      <c r="AG90" s="1685"/>
      <c r="BQ90" s="1685"/>
    </row>
    <row r="91" spans="1:75" ht="15">
      <c r="A91" s="1685" t="s">
        <v>847</v>
      </c>
      <c r="B91" s="1685" t="s">
        <v>927</v>
      </c>
      <c r="C91" s="1685" t="s">
        <v>928</v>
      </c>
      <c r="D91" s="1685"/>
      <c r="E91" s="1685"/>
      <c r="F91" s="1686"/>
      <c r="G91" s="1701" t="s">
        <v>928</v>
      </c>
      <c r="H91" s="1701" t="s">
        <v>870</v>
      </c>
      <c r="I91" s="1701" t="s">
        <v>923</v>
      </c>
      <c r="J91" s="1701" t="s">
        <v>112</v>
      </c>
      <c r="K91" s="1701" t="s">
        <v>929</v>
      </c>
      <c r="L91" s="1701" t="s">
        <v>130</v>
      </c>
      <c r="M91" s="1701" t="s">
        <v>930</v>
      </c>
      <c r="N91" s="1685"/>
      <c r="O91" s="1685"/>
      <c r="P91" s="1685"/>
      <c r="Q91" s="1685"/>
      <c r="R91" s="1685"/>
      <c r="S91" s="1685"/>
      <c r="T91" s="1685"/>
      <c r="U91" s="1685"/>
      <c r="V91" s="1685"/>
      <c r="W91" s="1685"/>
      <c r="X91" s="1685"/>
      <c r="Y91" s="1685"/>
      <c r="Z91" s="1685"/>
      <c r="AA91" s="1685"/>
      <c r="AB91" s="1685"/>
      <c r="AC91" s="1685"/>
      <c r="AD91" s="2069"/>
      <c r="AE91" s="2073"/>
      <c r="AF91" s="1685"/>
      <c r="AG91" s="1685" t="s">
        <v>847</v>
      </c>
      <c r="AH91" s="1677" t="s">
        <v>927</v>
      </c>
      <c r="AI91" s="1677" t="s">
        <v>928</v>
      </c>
      <c r="AM91" s="1702" t="s">
        <v>928</v>
      </c>
      <c r="AN91" s="1702" t="s">
        <v>870</v>
      </c>
      <c r="AO91" s="1702" t="s">
        <v>923</v>
      </c>
      <c r="AP91" s="1702" t="s">
        <v>112</v>
      </c>
      <c r="AQ91" s="1702" t="s">
        <v>929</v>
      </c>
      <c r="AR91" s="1702" t="s">
        <v>130</v>
      </c>
      <c r="AS91" s="1702" t="s">
        <v>930</v>
      </c>
      <c r="AT91" s="1702"/>
      <c r="BQ91" s="1685" t="s">
        <v>847</v>
      </c>
      <c r="BR91" s="1677" t="s">
        <v>927</v>
      </c>
      <c r="BS91" s="1677" t="s">
        <v>928</v>
      </c>
      <c r="BW91" s="1702" t="s">
        <v>928</v>
      </c>
    </row>
    <row r="92" spans="1:75" ht="15">
      <c r="A92" s="1685"/>
      <c r="B92" s="1685"/>
      <c r="C92" s="1685"/>
      <c r="D92" s="1685"/>
      <c r="E92" s="1685"/>
      <c r="F92" s="1685"/>
      <c r="G92" s="1701" t="s">
        <v>931</v>
      </c>
      <c r="H92" s="1701"/>
      <c r="I92" s="1701"/>
      <c r="J92" s="1701"/>
      <c r="K92" s="1701"/>
      <c r="L92" s="1701"/>
      <c r="M92" s="1701"/>
      <c r="N92" s="1685"/>
      <c r="O92" s="1685"/>
      <c r="P92" s="1685"/>
      <c r="Q92" s="1685"/>
      <c r="R92" s="1685"/>
      <c r="S92" s="1685"/>
      <c r="T92" s="1685"/>
      <c r="U92" s="1685"/>
      <c r="V92" s="1685"/>
      <c r="W92" s="1685"/>
      <c r="X92" s="1685"/>
      <c r="Y92" s="1685"/>
      <c r="Z92" s="1685"/>
      <c r="AA92" s="1685"/>
      <c r="AB92" s="1685"/>
      <c r="AC92" s="1685"/>
      <c r="AD92" s="2069"/>
      <c r="AE92" s="2073"/>
      <c r="AF92" s="1685"/>
      <c r="AG92" s="1685"/>
      <c r="AM92" s="1702" t="s">
        <v>931</v>
      </c>
      <c r="AN92" s="1702"/>
      <c r="AO92" s="1702"/>
      <c r="AP92" s="1702"/>
      <c r="AQ92" s="1702"/>
      <c r="AR92" s="1702"/>
      <c r="AS92" s="1702"/>
      <c r="AT92" s="1702"/>
      <c r="BQ92" s="1685"/>
      <c r="BW92" s="1702" t="s">
        <v>931</v>
      </c>
    </row>
    <row r="93" spans="1:75" ht="15">
      <c r="A93" s="1685"/>
      <c r="B93" s="1685"/>
      <c r="C93" s="1685"/>
      <c r="D93" s="1685"/>
      <c r="E93" s="1685"/>
      <c r="F93" s="1686"/>
      <c r="G93" s="1701" t="s">
        <v>931</v>
      </c>
      <c r="H93" s="1701"/>
      <c r="I93" s="1701"/>
      <c r="J93" s="1701"/>
      <c r="K93" s="1701"/>
      <c r="L93" s="1701"/>
      <c r="M93" s="1701"/>
      <c r="N93" s="1685"/>
      <c r="O93" s="1685"/>
      <c r="P93" s="1685"/>
      <c r="Q93" s="1685"/>
      <c r="R93" s="1685"/>
      <c r="S93" s="1685"/>
      <c r="T93" s="1685"/>
      <c r="U93" s="1685"/>
      <c r="V93" s="1685"/>
      <c r="W93" s="1685"/>
      <c r="X93" s="1685"/>
      <c r="Y93" s="1685"/>
      <c r="Z93" s="1685"/>
      <c r="AA93" s="1685"/>
      <c r="AB93" s="1685"/>
      <c r="AC93" s="1685"/>
      <c r="AD93" s="2069"/>
      <c r="AE93" s="2073"/>
      <c r="AF93" s="1685"/>
      <c r="AG93" s="1685"/>
      <c r="AM93" s="1702" t="s">
        <v>931</v>
      </c>
      <c r="AN93" s="1702"/>
      <c r="AO93" s="1702"/>
      <c r="AP93" s="1702"/>
      <c r="AQ93" s="1702"/>
      <c r="AR93" s="1702"/>
      <c r="AS93" s="1702"/>
      <c r="AT93" s="1702"/>
      <c r="BQ93" s="1685"/>
      <c r="BW93" s="1702" t="s">
        <v>931</v>
      </c>
    </row>
    <row r="94" spans="1:75" ht="15">
      <c r="A94" s="1685"/>
      <c r="B94" s="1685"/>
      <c r="C94" s="1685"/>
      <c r="D94" s="1685"/>
      <c r="E94" s="1685"/>
      <c r="F94" s="1686"/>
      <c r="G94" s="1701" t="s">
        <v>199</v>
      </c>
      <c r="H94" s="1701"/>
      <c r="I94" s="1701"/>
      <c r="J94" s="1701"/>
      <c r="K94" s="1701"/>
      <c r="L94" s="1701"/>
      <c r="M94" s="1701"/>
      <c r="N94" s="1685"/>
      <c r="O94" s="1685"/>
      <c r="P94" s="1685"/>
      <c r="Q94" s="1685"/>
      <c r="R94" s="1685"/>
      <c r="S94" s="1685"/>
      <c r="T94" s="1685"/>
      <c r="U94" s="1685"/>
      <c r="V94" s="1685"/>
      <c r="W94" s="1685"/>
      <c r="X94" s="1685"/>
      <c r="Y94" s="1685"/>
      <c r="Z94" s="1685"/>
      <c r="AA94" s="1685"/>
      <c r="AB94" s="1685"/>
      <c r="AC94" s="1685"/>
      <c r="AD94" s="2069"/>
      <c r="AE94" s="2073"/>
      <c r="AF94" s="1685"/>
      <c r="AG94" s="1685"/>
      <c r="AM94" s="1702" t="s">
        <v>199</v>
      </c>
      <c r="AN94" s="1702"/>
      <c r="AO94" s="1702"/>
      <c r="AP94" s="1702"/>
      <c r="AQ94" s="1702"/>
      <c r="AR94" s="1702"/>
      <c r="AS94" s="1702"/>
      <c r="AT94" s="1702"/>
      <c r="BQ94" s="1685"/>
      <c r="BW94" s="1702" t="s">
        <v>199</v>
      </c>
    </row>
    <row r="95" spans="1:75" ht="15">
      <c r="A95" s="1685"/>
      <c r="B95" s="1685"/>
      <c r="C95" s="1685"/>
      <c r="D95" s="1685"/>
      <c r="E95" s="1685"/>
      <c r="F95" s="1685"/>
      <c r="G95" s="1701" t="s">
        <v>932</v>
      </c>
      <c r="H95" s="1701"/>
      <c r="I95" s="1701"/>
      <c r="J95" s="1701"/>
      <c r="K95" s="1701"/>
      <c r="L95" s="1701"/>
      <c r="M95" s="1701"/>
      <c r="N95" s="1685"/>
      <c r="O95" s="1685"/>
      <c r="P95" s="1685"/>
      <c r="Q95" s="1685"/>
      <c r="R95" s="1685"/>
      <c r="S95" s="1685"/>
      <c r="T95" s="1685"/>
      <c r="U95" s="1685"/>
      <c r="V95" s="1685"/>
      <c r="W95" s="1685"/>
      <c r="X95" s="1685"/>
      <c r="Y95" s="1685"/>
      <c r="Z95" s="1685"/>
      <c r="AA95" s="1685"/>
      <c r="AB95" s="1685"/>
      <c r="AC95" s="1685"/>
      <c r="AD95" s="2069"/>
      <c r="AE95" s="2073"/>
      <c r="AF95" s="1685"/>
      <c r="AG95" s="1685"/>
      <c r="AM95" s="1702" t="s">
        <v>932</v>
      </c>
      <c r="AN95" s="1702"/>
      <c r="AO95" s="1702"/>
      <c r="AP95" s="1702"/>
      <c r="AQ95" s="1702"/>
      <c r="AR95" s="1702"/>
      <c r="AS95" s="1702"/>
      <c r="AT95" s="1702"/>
      <c r="BQ95" s="1685"/>
      <c r="BW95" s="1702" t="s">
        <v>932</v>
      </c>
    </row>
    <row r="96" spans="1:75" ht="15">
      <c r="A96" s="1685"/>
      <c r="B96" s="1685"/>
      <c r="C96" s="1685"/>
      <c r="D96" s="1685"/>
      <c r="E96" s="1685"/>
      <c r="F96" s="1685"/>
      <c r="G96" s="1701" t="s">
        <v>96</v>
      </c>
      <c r="H96" s="1701"/>
      <c r="I96" s="1701"/>
      <c r="J96" s="1701"/>
      <c r="K96" s="1701"/>
      <c r="L96" s="1701"/>
      <c r="M96" s="1701"/>
      <c r="N96" s="1685"/>
      <c r="O96" s="1685"/>
      <c r="P96" s="1685"/>
      <c r="Q96" s="1685"/>
      <c r="R96" s="1685"/>
      <c r="S96" s="1685"/>
      <c r="T96" s="1685"/>
      <c r="U96" s="1685"/>
      <c r="V96" s="1685"/>
      <c r="W96" s="1685"/>
      <c r="X96" s="1685"/>
      <c r="Y96" s="1685"/>
      <c r="Z96" s="1685"/>
      <c r="AA96" s="1685"/>
      <c r="AB96" s="1685"/>
      <c r="AC96" s="1685"/>
      <c r="AD96" s="2069"/>
      <c r="AE96" s="2073"/>
      <c r="AF96" s="1685"/>
      <c r="AG96" s="1685"/>
      <c r="AM96" s="1702" t="s">
        <v>96</v>
      </c>
      <c r="AN96" s="1702"/>
      <c r="AO96" s="1702"/>
      <c r="AP96" s="1702"/>
      <c r="AQ96" s="1702"/>
      <c r="AR96" s="1702"/>
      <c r="AS96" s="1702"/>
      <c r="AT96" s="1702"/>
      <c r="BQ96" s="1685"/>
      <c r="BW96" s="1702" t="s">
        <v>96</v>
      </c>
    </row>
    <row r="97" spans="1:75" ht="15">
      <c r="A97" s="1685"/>
      <c r="B97" s="1685"/>
      <c r="C97" s="1685"/>
      <c r="D97" s="1685"/>
      <c r="E97" s="1685"/>
      <c r="F97" s="1685"/>
      <c r="G97" s="1701" t="s">
        <v>933</v>
      </c>
      <c r="H97" s="1701"/>
      <c r="I97" s="1685"/>
      <c r="J97" s="1685"/>
      <c r="K97" s="1685"/>
      <c r="L97" s="1685"/>
      <c r="M97" s="1685"/>
      <c r="N97" s="1685"/>
      <c r="O97" s="1685"/>
      <c r="P97" s="1685"/>
      <c r="Q97" s="1685"/>
      <c r="R97" s="1685"/>
      <c r="S97" s="1685"/>
      <c r="T97" s="1685"/>
      <c r="U97" s="1685"/>
      <c r="V97" s="1685"/>
      <c r="W97" s="1685"/>
      <c r="X97" s="1685"/>
      <c r="Y97" s="1685"/>
      <c r="Z97" s="1685"/>
      <c r="AA97" s="1685"/>
      <c r="AB97" s="1685"/>
      <c r="AC97" s="1685"/>
      <c r="AD97" s="2069"/>
      <c r="AE97" s="2073"/>
      <c r="AF97" s="1685"/>
      <c r="AG97" s="1685"/>
      <c r="AM97" s="1702" t="s">
        <v>933</v>
      </c>
      <c r="AN97" s="1702"/>
      <c r="BQ97" s="1685"/>
      <c r="BW97" s="1702" t="s">
        <v>933</v>
      </c>
    </row>
    <row r="98" spans="1:75" ht="15">
      <c r="A98" s="1685"/>
      <c r="B98" s="1685"/>
      <c r="C98" s="1685"/>
      <c r="D98" s="1685"/>
      <c r="E98" s="1685"/>
      <c r="F98" s="1685"/>
      <c r="G98" s="1685"/>
      <c r="H98" s="1685"/>
      <c r="I98" s="1685"/>
      <c r="J98" s="1685"/>
      <c r="K98" s="1685"/>
      <c r="L98" s="1685"/>
      <c r="M98" s="1685"/>
      <c r="N98" s="1685"/>
      <c r="O98" s="1685"/>
      <c r="P98" s="1685"/>
      <c r="Q98" s="1685"/>
      <c r="R98" s="1685"/>
      <c r="S98" s="1685"/>
      <c r="T98" s="1685"/>
      <c r="U98" s="1685"/>
      <c r="V98" s="1685"/>
      <c r="W98" s="1685"/>
      <c r="X98" s="1685"/>
      <c r="Y98" s="1685"/>
      <c r="Z98" s="1685"/>
      <c r="AA98" s="1685"/>
      <c r="AB98" s="1685"/>
      <c r="AC98" s="1685"/>
      <c r="AD98" s="2069"/>
      <c r="AE98" s="2073"/>
      <c r="AF98" s="1685"/>
      <c r="AG98" s="1685"/>
      <c r="BQ98" s="1685"/>
    </row>
    <row r="99" spans="1:75" ht="15">
      <c r="A99" s="1685" t="s">
        <v>847</v>
      </c>
      <c r="B99" s="1685" t="s">
        <v>927</v>
      </c>
      <c r="C99" s="1881" t="s">
        <v>2453</v>
      </c>
      <c r="D99" s="1685"/>
      <c r="E99" s="1685"/>
      <c r="F99" s="1685"/>
      <c r="G99" s="1701" t="s">
        <v>2452</v>
      </c>
      <c r="H99" s="1701">
        <f>rng01_AccessibleUnits</f>
        <v>0</v>
      </c>
      <c r="I99" s="1685"/>
      <c r="J99" s="1685"/>
      <c r="K99" s="1685"/>
      <c r="L99" s="1685"/>
      <c r="M99" s="1685"/>
      <c r="N99" s="1685"/>
      <c r="O99" s="1685"/>
      <c r="P99" s="1685"/>
      <c r="Q99" s="1685"/>
      <c r="R99" s="1685"/>
      <c r="S99" s="1685"/>
      <c r="T99" s="1685"/>
      <c r="U99" s="1685"/>
      <c r="V99" s="1685"/>
      <c r="W99" s="1685"/>
      <c r="X99" s="1685"/>
      <c r="Y99" s="1685"/>
      <c r="Z99" s="1685"/>
      <c r="AA99" s="1685"/>
      <c r="AB99" s="1685"/>
      <c r="AC99" s="1685"/>
      <c r="AD99" s="2069"/>
      <c r="AE99" s="2073"/>
      <c r="AF99" s="1685"/>
      <c r="AG99" s="1685"/>
      <c r="BQ99" s="1685"/>
    </row>
    <row r="100" spans="1:75" ht="15">
      <c r="A100" s="1685"/>
      <c r="B100" s="1685"/>
      <c r="C100" s="1685"/>
      <c r="D100" s="1685"/>
      <c r="E100" s="1685"/>
      <c r="F100" s="1685"/>
      <c r="G100" s="1701" t="s">
        <v>2451</v>
      </c>
      <c r="H100" s="1701">
        <f>rng01_AdaptableUnits</f>
        <v>0</v>
      </c>
      <c r="I100" s="1685"/>
      <c r="J100" s="1685"/>
      <c r="K100" s="1685"/>
      <c r="L100" s="1685"/>
      <c r="M100" s="1685"/>
      <c r="N100" s="1685"/>
      <c r="O100" s="1685"/>
      <c r="P100" s="1685"/>
      <c r="Q100" s="1685"/>
      <c r="R100" s="1685"/>
      <c r="S100" s="1685"/>
      <c r="T100" s="1685"/>
      <c r="U100" s="1685"/>
      <c r="V100" s="1685"/>
      <c r="W100" s="1685"/>
      <c r="X100" s="1685"/>
      <c r="Y100" s="1685"/>
      <c r="Z100" s="1685"/>
      <c r="AA100" s="1685"/>
      <c r="AB100" s="1685"/>
      <c r="AC100" s="1685"/>
      <c r="AD100" s="2069"/>
      <c r="AE100" s="2073"/>
      <c r="AF100" s="1685"/>
      <c r="AG100" s="1685"/>
      <c r="BQ100" s="1685"/>
    </row>
    <row r="101" spans="1:75" ht="15">
      <c r="A101" s="1685"/>
      <c r="B101" s="1685"/>
      <c r="C101" s="1685"/>
      <c r="D101" s="1685"/>
      <c r="E101" s="1685"/>
      <c r="F101" s="1685"/>
      <c r="G101" s="1685"/>
      <c r="H101" s="1685"/>
      <c r="I101" s="1685"/>
      <c r="J101" s="1685"/>
      <c r="K101" s="1685"/>
      <c r="L101" s="1685"/>
      <c r="M101" s="1685"/>
      <c r="N101" s="1685"/>
      <c r="O101" s="1685"/>
      <c r="P101" s="1685"/>
      <c r="Q101" s="1685"/>
      <c r="R101" s="1685"/>
      <c r="S101" s="1685"/>
      <c r="T101" s="1685"/>
      <c r="U101" s="1685"/>
      <c r="V101" s="1685"/>
      <c r="W101" s="1685"/>
      <c r="X101" s="1685"/>
      <c r="Y101" s="1685"/>
      <c r="Z101" s="1685"/>
      <c r="AA101" s="1685"/>
      <c r="AB101" s="1685"/>
      <c r="AC101" s="1685"/>
      <c r="AD101" s="2069"/>
      <c r="AE101" s="2073"/>
      <c r="AF101" s="1685"/>
      <c r="AG101" s="1685"/>
      <c r="BQ101" s="1685"/>
    </row>
    <row r="102" spans="1:75" ht="15">
      <c r="A102" s="1685"/>
      <c r="B102" s="1685"/>
      <c r="C102" s="1685"/>
      <c r="D102" s="1685"/>
      <c r="E102" s="1685"/>
      <c r="F102" s="1685"/>
      <c r="G102" s="1685"/>
      <c r="H102" s="1686" t="s">
        <v>934</v>
      </c>
      <c r="I102" s="1685"/>
      <c r="J102" s="1685"/>
      <c r="K102" s="1685"/>
      <c r="L102" s="1685"/>
      <c r="M102" s="1685"/>
      <c r="N102" s="1685"/>
      <c r="O102" s="1685"/>
      <c r="P102" s="1685"/>
      <c r="Q102" s="1685"/>
      <c r="R102" s="1685"/>
      <c r="S102" s="1685"/>
      <c r="T102" s="1685"/>
      <c r="U102" s="1685"/>
      <c r="V102" s="1685"/>
      <c r="W102" s="1685"/>
      <c r="X102" s="1685"/>
      <c r="Y102" s="1685"/>
      <c r="Z102" s="1685"/>
      <c r="AA102" s="1685"/>
      <c r="AB102" s="1685"/>
      <c r="AC102" s="1685"/>
      <c r="AD102" s="2069"/>
      <c r="AE102" s="2073"/>
      <c r="AF102" s="1685"/>
      <c r="AG102" s="1685"/>
      <c r="BQ102" s="1685"/>
    </row>
    <row r="103" spans="1:75" ht="15">
      <c r="A103" s="1685"/>
      <c r="B103" s="1685"/>
      <c r="C103" s="1685"/>
      <c r="D103" s="1685"/>
      <c r="E103" s="1686" t="s">
        <v>935</v>
      </c>
      <c r="F103" s="1685"/>
      <c r="G103" s="1685"/>
      <c r="H103" s="1685"/>
      <c r="I103" s="1685"/>
      <c r="J103" s="1685"/>
      <c r="K103" s="1685"/>
      <c r="L103" s="1685"/>
      <c r="M103" s="1685"/>
      <c r="N103" s="1685"/>
      <c r="O103" s="1685"/>
      <c r="P103" s="1685"/>
      <c r="Q103" s="1685"/>
      <c r="R103" s="1685"/>
      <c r="S103" s="1685"/>
      <c r="T103" s="1685"/>
      <c r="U103" s="1685"/>
      <c r="V103" s="1685"/>
      <c r="W103" s="1685"/>
      <c r="X103" s="1685"/>
      <c r="Y103" s="1685"/>
      <c r="Z103" s="1685"/>
      <c r="AA103" s="1685"/>
      <c r="AB103" s="1685"/>
      <c r="AC103" s="1685"/>
      <c r="AD103" s="2069"/>
      <c r="AE103" s="2073"/>
      <c r="AF103" s="1685"/>
      <c r="AG103" s="1685"/>
      <c r="BQ103" s="1685"/>
    </row>
    <row r="104" spans="1:75" ht="15">
      <c r="A104" s="1685"/>
      <c r="B104" s="1685"/>
      <c r="C104" s="1685"/>
      <c r="D104" s="1685"/>
      <c r="E104" s="1685"/>
      <c r="F104" s="1685"/>
      <c r="G104" s="1685"/>
      <c r="H104" s="1685"/>
      <c r="I104" s="1685"/>
      <c r="J104" s="1685"/>
      <c r="K104" s="1685"/>
      <c r="L104" s="1685"/>
      <c r="M104" s="1685"/>
      <c r="N104" s="1685"/>
      <c r="O104" s="1685"/>
      <c r="P104" s="1685"/>
      <c r="Q104" s="1685"/>
      <c r="R104" s="1685"/>
      <c r="S104" s="1685"/>
      <c r="T104" s="1685"/>
      <c r="U104" s="1685"/>
      <c r="V104" s="1685"/>
      <c r="W104" s="1685"/>
      <c r="X104" s="1685"/>
      <c r="Y104" s="1685"/>
      <c r="Z104" s="1685"/>
      <c r="AA104" s="1685"/>
      <c r="AB104" s="1685"/>
      <c r="AC104" s="1685"/>
      <c r="AD104" s="2069"/>
      <c r="AE104" s="2073"/>
      <c r="AF104" s="1685"/>
      <c r="AG104" s="1685"/>
      <c r="AM104" s="1677" t="s">
        <v>1346</v>
      </c>
      <c r="AN104" s="1703" t="str">
        <f>IFERROR(IF(TCATrigger="No","",rng01_Annual_Tax_Credit_Amount),"")</f>
        <v/>
      </c>
      <c r="BQ104" s="1685"/>
      <c r="BW104" s="1677" t="s">
        <v>1346</v>
      </c>
    </row>
    <row r="105" spans="1:75" ht="15">
      <c r="A105" s="1685"/>
      <c r="B105" s="1685"/>
      <c r="C105" s="1685"/>
      <c r="D105" s="1685"/>
      <c r="E105" s="1685"/>
      <c r="F105" s="1685"/>
      <c r="G105" s="1685"/>
      <c r="H105" s="1685"/>
      <c r="I105" s="1685"/>
      <c r="J105" s="1685"/>
      <c r="K105" s="1685"/>
      <c r="L105" s="1685"/>
      <c r="M105" s="1685"/>
      <c r="N105" s="1685"/>
      <c r="O105" s="1685"/>
      <c r="P105" s="1685"/>
      <c r="Q105" s="1685"/>
      <c r="R105" s="1685"/>
      <c r="S105" s="1685"/>
      <c r="T105" s="1685"/>
      <c r="U105" s="1685"/>
      <c r="V105" s="1685"/>
      <c r="W105" s="1685"/>
      <c r="X105" s="1685"/>
      <c r="Y105" s="1685"/>
      <c r="Z105" s="1685"/>
      <c r="AA105" s="1685"/>
      <c r="AB105" s="1685"/>
      <c r="AC105" s="1685"/>
      <c r="AD105" s="2069"/>
      <c r="AE105" s="2073"/>
      <c r="AF105" s="1685"/>
      <c r="AG105" s="1685"/>
      <c r="BQ105" s="1685"/>
    </row>
    <row r="106" spans="1:75" ht="15">
      <c r="A106" s="1685"/>
      <c r="B106" s="1685"/>
      <c r="C106" s="1685"/>
      <c r="D106" s="1685"/>
      <c r="E106" s="1685"/>
      <c r="F106" s="1685"/>
      <c r="G106" s="1685"/>
      <c r="H106" s="1685"/>
      <c r="I106" s="1685"/>
      <c r="J106" s="1685"/>
      <c r="K106" s="1685"/>
      <c r="L106" s="1685"/>
      <c r="M106" s="1685"/>
      <c r="N106" s="1685"/>
      <c r="O106" s="1685"/>
      <c r="P106" s="1685"/>
      <c r="Q106" s="1685"/>
      <c r="R106" s="1685"/>
      <c r="S106" s="1685"/>
      <c r="T106" s="1685"/>
      <c r="U106" s="1685"/>
      <c r="V106" s="1685"/>
      <c r="W106" s="1685"/>
      <c r="X106" s="1685"/>
      <c r="Y106" s="1685"/>
      <c r="Z106" s="1685"/>
      <c r="AA106" s="1685"/>
      <c r="AB106" s="1685"/>
      <c r="AC106" s="1685"/>
      <c r="AD106" s="2069"/>
      <c r="AE106" s="2073"/>
      <c r="AF106" s="1685"/>
      <c r="AG106" s="1685"/>
      <c r="BQ106" s="1685"/>
    </row>
    <row r="107" spans="1:75" ht="15">
      <c r="A107" s="1685"/>
      <c r="B107" s="1685"/>
      <c r="C107" s="1685"/>
      <c r="D107" s="1685"/>
      <c r="E107" s="1685"/>
      <c r="F107" s="1685"/>
      <c r="G107" s="1685"/>
      <c r="H107" s="1685"/>
      <c r="I107" s="1685"/>
      <c r="J107" s="1685"/>
      <c r="K107" s="1685"/>
      <c r="L107" s="1685"/>
      <c r="M107" s="1685"/>
      <c r="N107" s="1685"/>
      <c r="O107" s="1685"/>
      <c r="P107" s="1685"/>
      <c r="Q107" s="1685"/>
      <c r="R107" s="1685"/>
      <c r="S107" s="1685"/>
      <c r="T107" s="1685"/>
      <c r="U107" s="1685"/>
      <c r="V107" s="1685"/>
      <c r="W107" s="1685"/>
      <c r="X107" s="1685"/>
      <c r="Y107" s="1685"/>
      <c r="Z107" s="1685"/>
      <c r="AA107" s="1685"/>
      <c r="AB107" s="1685"/>
      <c r="AC107" s="1685"/>
      <c r="AD107" s="2069"/>
      <c r="AE107" s="2073"/>
      <c r="AF107" s="1685"/>
      <c r="AG107" s="1685"/>
      <c r="BQ107" s="1685"/>
    </row>
    <row r="108" spans="1:75" ht="15">
      <c r="A108" s="1685"/>
      <c r="B108" s="1685"/>
      <c r="C108" s="1685"/>
      <c r="D108" s="1685"/>
      <c r="E108" s="1685"/>
      <c r="F108" s="1685"/>
      <c r="G108" s="1685"/>
      <c r="H108" s="1685"/>
      <c r="I108" s="1685"/>
      <c r="J108" s="1685"/>
      <c r="K108" s="1685"/>
      <c r="L108" s="1685"/>
      <c r="M108" s="1685"/>
      <c r="N108" s="1685"/>
      <c r="O108" s="1685"/>
      <c r="P108" s="1685"/>
      <c r="Q108" s="1685"/>
      <c r="R108" s="1685"/>
      <c r="S108" s="1685"/>
      <c r="T108" s="1685"/>
      <c r="U108" s="1685"/>
      <c r="V108" s="1685"/>
      <c r="W108" s="1685"/>
      <c r="X108" s="1685"/>
      <c r="Y108" s="1685"/>
      <c r="Z108" s="1685"/>
      <c r="AA108" s="1685"/>
      <c r="AB108" s="1685"/>
      <c r="AC108" s="1685"/>
      <c r="AD108" s="2069"/>
      <c r="AE108" s="2073"/>
      <c r="AF108" s="1685"/>
      <c r="AG108" s="1685"/>
      <c r="AM108" s="1677" t="s">
        <v>2291</v>
      </c>
      <c r="AN108" s="1677" t="str">
        <f>IF(TCATrigger="No","",IF(rng01_Other_Assistance="Yes","True","False"))</f>
        <v/>
      </c>
      <c r="BQ108" s="1685"/>
      <c r="BW108" s="1677" t="s">
        <v>2291</v>
      </c>
    </row>
    <row r="109" spans="1:75" ht="15">
      <c r="A109" s="1685"/>
      <c r="B109" s="1685"/>
      <c r="C109" s="1685"/>
      <c r="D109" s="1685"/>
      <c r="E109" s="1685"/>
      <c r="F109" s="1685"/>
      <c r="G109" s="1685"/>
      <c r="H109" s="1685"/>
      <c r="I109" s="1685"/>
      <c r="J109" s="1685"/>
      <c r="K109" s="1685"/>
      <c r="L109" s="1685"/>
      <c r="M109" s="1685"/>
      <c r="N109" s="1685"/>
      <c r="O109" s="1685"/>
      <c r="P109" s="1685"/>
      <c r="Q109" s="1685"/>
      <c r="R109" s="1685"/>
      <c r="S109" s="1685"/>
      <c r="T109" s="1685"/>
      <c r="U109" s="1685"/>
      <c r="V109" s="1685"/>
      <c r="W109" s="1685"/>
      <c r="X109" s="1685"/>
      <c r="Y109" s="1685"/>
      <c r="Z109" s="1685"/>
      <c r="AA109" s="1685"/>
      <c r="AB109" s="1685"/>
      <c r="AC109" s="1685"/>
      <c r="AD109" s="2069"/>
      <c r="AE109" s="2073"/>
      <c r="AF109" s="1685"/>
      <c r="AG109" s="1685"/>
      <c r="BQ109" s="1685"/>
    </row>
    <row r="110" spans="1:75" ht="15">
      <c r="A110" s="1685"/>
      <c r="B110" s="1685"/>
      <c r="C110" s="1685"/>
      <c r="D110" s="1685"/>
      <c r="E110" s="1685"/>
      <c r="F110" s="1685"/>
      <c r="G110" s="1685"/>
      <c r="H110" s="1685"/>
      <c r="I110" s="1685"/>
      <c r="J110" s="1685"/>
      <c r="K110" s="1685"/>
      <c r="L110" s="1685"/>
      <c r="M110" s="1685"/>
      <c r="N110" s="1685"/>
      <c r="O110" s="1685"/>
      <c r="P110" s="1685"/>
      <c r="Q110" s="1685"/>
      <c r="R110" s="1685"/>
      <c r="S110" s="1685"/>
      <c r="T110" s="1685"/>
      <c r="U110" s="1685"/>
      <c r="V110" s="1685"/>
      <c r="W110" s="1685"/>
      <c r="X110" s="1685"/>
      <c r="Y110" s="1685"/>
      <c r="Z110" s="1685"/>
      <c r="AA110" s="1685"/>
      <c r="AB110" s="1685"/>
      <c r="AC110" s="1685"/>
      <c r="AD110" s="2069"/>
      <c r="AE110" s="2073"/>
      <c r="AF110" s="1685"/>
      <c r="AG110" s="1685"/>
      <c r="BQ110" s="1685"/>
    </row>
    <row r="111" spans="1:75" ht="15">
      <c r="A111" s="1685"/>
      <c r="B111" s="1685"/>
      <c r="C111" s="1685"/>
      <c r="D111" s="1685"/>
      <c r="E111" s="1685"/>
      <c r="F111" s="1685"/>
      <c r="G111" s="1685"/>
      <c r="H111" s="1685"/>
      <c r="I111" s="1685"/>
      <c r="J111" s="1685"/>
      <c r="K111" s="1685"/>
      <c r="L111" s="1685"/>
      <c r="M111" s="1685"/>
      <c r="N111" s="1685"/>
      <c r="O111" s="1685"/>
      <c r="P111" s="1685"/>
      <c r="Q111" s="1685"/>
      <c r="R111" s="1685"/>
      <c r="S111" s="1685"/>
      <c r="T111" s="1685"/>
      <c r="U111" s="1685"/>
      <c r="V111" s="1685"/>
      <c r="W111" s="1685"/>
      <c r="X111" s="1685"/>
      <c r="Y111" s="1685"/>
      <c r="Z111" s="1685"/>
      <c r="AA111" s="1685"/>
      <c r="AB111" s="1685"/>
      <c r="AC111" s="1685"/>
      <c r="AD111" s="2069"/>
      <c r="AE111" s="2073"/>
      <c r="AF111" s="1685"/>
      <c r="AG111" s="1685"/>
      <c r="BQ111" s="1685"/>
    </row>
    <row r="112" spans="1:75" ht="15">
      <c r="A112" s="1685"/>
      <c r="B112" s="1685"/>
      <c r="C112" s="1685"/>
      <c r="D112" s="1685"/>
      <c r="E112" s="1685"/>
      <c r="F112" s="1685"/>
      <c r="G112" s="1685"/>
      <c r="H112" s="1685"/>
      <c r="I112" s="1685"/>
      <c r="J112" s="1685"/>
      <c r="K112" s="1685"/>
      <c r="L112" s="1685"/>
      <c r="M112" s="1685"/>
      <c r="N112" s="1685"/>
      <c r="O112" s="1685"/>
      <c r="P112" s="1685"/>
      <c r="Q112" s="1685"/>
      <c r="R112" s="1685"/>
      <c r="S112" s="1685"/>
      <c r="T112" s="1685"/>
      <c r="U112" s="1685"/>
      <c r="V112" s="1685"/>
      <c r="W112" s="1685"/>
      <c r="X112" s="1685"/>
      <c r="Y112" s="1685"/>
      <c r="Z112" s="1685"/>
      <c r="AA112" s="1685"/>
      <c r="AB112" s="1685"/>
      <c r="AC112" s="1685"/>
      <c r="AD112" s="2069"/>
      <c r="AE112" s="2073"/>
      <c r="AF112" s="1685"/>
      <c r="AG112" s="1685"/>
      <c r="BQ112" s="1685"/>
    </row>
    <row r="113" spans="1:75" ht="15">
      <c r="A113" s="1685"/>
      <c r="B113" s="1685"/>
      <c r="C113" s="1685"/>
      <c r="D113" s="1685"/>
      <c r="E113" s="1685"/>
      <c r="F113" s="1685"/>
      <c r="G113" s="1685" t="s">
        <v>936</v>
      </c>
      <c r="H113" s="1685" t="str">
        <f>IF(OR(rng01_Gr_Sq_Ft_Res="",rng01_Gr_Sq_Ft_Res=0),"",rng01_Gr_Sq_Ft_Res)</f>
        <v/>
      </c>
      <c r="I113" s="1685"/>
      <c r="J113" s="1685"/>
      <c r="K113" s="1685"/>
      <c r="L113" s="1685"/>
      <c r="M113" s="1685"/>
      <c r="N113" s="1685"/>
      <c r="O113" s="1685"/>
      <c r="P113" s="1685"/>
      <c r="Q113" s="1685"/>
      <c r="R113" s="1685"/>
      <c r="S113" s="1685"/>
      <c r="T113" s="1685"/>
      <c r="U113" s="1685"/>
      <c r="V113" s="1685"/>
      <c r="W113" s="1685"/>
      <c r="X113" s="1685"/>
      <c r="Y113" s="1685"/>
      <c r="Z113" s="1685"/>
      <c r="AA113" s="1685"/>
      <c r="AB113" s="1685"/>
      <c r="AC113" s="1685"/>
      <c r="AD113" s="2069"/>
      <c r="AE113" s="2073"/>
      <c r="AF113" s="1685"/>
      <c r="AG113" s="1685"/>
      <c r="AM113" s="1677" t="s">
        <v>936</v>
      </c>
      <c r="AN113" s="1677" t="str">
        <f>IF(OR(TCATrigger="No",rng01_Gr_Sq_Ft_Res=0),"",IF(rng01_Gr_Sq_Ft_Res="","",rng01_Gr_Sq_Ft_Res))</f>
        <v/>
      </c>
      <c r="AP113" s="1677" t="s">
        <v>2253</v>
      </c>
      <c r="BQ113" s="1685"/>
      <c r="BW113" s="1677" t="s">
        <v>936</v>
      </c>
    </row>
    <row r="114" spans="1:75" ht="15">
      <c r="A114" s="1685"/>
      <c r="B114" s="1685"/>
      <c r="C114" s="1685"/>
      <c r="D114" s="1685"/>
      <c r="E114" s="1685"/>
      <c r="F114" s="1685"/>
      <c r="G114" s="1685" t="s">
        <v>937</v>
      </c>
      <c r="H114" s="1685" t="str">
        <f>IF(OR(rng01_Gr_Sq_Ft_Comcl="",rng01_Gr_Sq_Ft_Comcl=0),"",rng01_Gr_Sq_Ft_Comcl)</f>
        <v/>
      </c>
      <c r="I114" s="1685"/>
      <c r="J114" s="1685"/>
      <c r="K114" s="1685"/>
      <c r="L114" s="1685"/>
      <c r="M114" s="1685"/>
      <c r="N114" s="1685"/>
      <c r="O114" s="1685"/>
      <c r="P114" s="1685"/>
      <c r="Q114" s="1685"/>
      <c r="R114" s="1685"/>
      <c r="S114" s="1685"/>
      <c r="T114" s="1685"/>
      <c r="U114" s="1685"/>
      <c r="V114" s="1685"/>
      <c r="W114" s="1685"/>
      <c r="X114" s="1685"/>
      <c r="Y114" s="1685"/>
      <c r="Z114" s="1685"/>
      <c r="AA114" s="1685"/>
      <c r="AB114" s="1685"/>
      <c r="AC114" s="1685"/>
      <c r="AD114" s="2069"/>
      <c r="AE114" s="2073"/>
      <c r="AF114" s="1685"/>
      <c r="AG114" s="1685"/>
      <c r="AM114" s="1677" t="s">
        <v>937</v>
      </c>
      <c r="AN114" s="1677" t="str">
        <f>IF(OR(TCATrigger="No",rng01_Gr_Sq_Ft_Comcl=0),"",IF(rng01_Gr_Sq_Ft_Comcl="","",rng01_Gr_Sq_Ft_Comcl))</f>
        <v/>
      </c>
      <c r="AP114" s="1677" t="s">
        <v>2252</v>
      </c>
      <c r="BQ114" s="1685"/>
      <c r="BW114" s="1677" t="s">
        <v>937</v>
      </c>
    </row>
    <row r="115" spans="1:75" ht="15">
      <c r="A115" s="1685"/>
      <c r="B115" s="1685"/>
      <c r="C115" s="1685"/>
      <c r="D115" s="1685"/>
      <c r="E115" s="1685"/>
      <c r="F115" s="1685"/>
      <c r="G115" s="1685" t="s">
        <v>938</v>
      </c>
      <c r="H115" s="1685" t="str">
        <f>IF(OR(rng01_Gr_Sq_Ft_Community="",rng01_Gr_Sq_Ft_Community=0),"",rng01_Gr_Sq_Ft_Community)</f>
        <v/>
      </c>
      <c r="I115" s="1685"/>
      <c r="J115" s="1685"/>
      <c r="K115" s="1685"/>
      <c r="L115" s="1685"/>
      <c r="M115" s="1685"/>
      <c r="N115" s="1685"/>
      <c r="O115" s="1685"/>
      <c r="P115" s="1685"/>
      <c r="Q115" s="1685"/>
      <c r="R115" s="1685"/>
      <c r="S115" s="1685"/>
      <c r="T115" s="1685"/>
      <c r="U115" s="1685"/>
      <c r="V115" s="1685"/>
      <c r="W115" s="1685"/>
      <c r="X115" s="1685"/>
      <c r="Y115" s="1685"/>
      <c r="Z115" s="1685"/>
      <c r="AA115" s="1685"/>
      <c r="AB115" s="1685"/>
      <c r="AC115" s="1685"/>
      <c r="AD115" s="2069"/>
      <c r="AE115" s="2073"/>
      <c r="AF115" s="1685"/>
      <c r="AG115" s="1685"/>
      <c r="AM115" s="1677" t="s">
        <v>938</v>
      </c>
      <c r="AN115" s="1677" t="str">
        <f>IF(OR(TCATrigger="No",rng01_Gr_Sq_Ft_Community=0),"",IF(rng01_Gr_Sq_Ft_Community="","",rng01_Gr_Sq_Ft_Community))</f>
        <v/>
      </c>
      <c r="AP115" s="1677" t="s">
        <v>2254</v>
      </c>
      <c r="BQ115" s="1685"/>
      <c r="BW115" s="1677" t="s">
        <v>938</v>
      </c>
    </row>
    <row r="116" spans="1:75" ht="15">
      <c r="A116" s="1685"/>
      <c r="B116" s="1685"/>
      <c r="C116" s="1685"/>
      <c r="D116" s="1685"/>
      <c r="E116" s="1685"/>
      <c r="F116" s="1685"/>
      <c r="G116" s="1685" t="s">
        <v>939</v>
      </c>
      <c r="H116" s="1685" t="str">
        <f>IF(OR(rng01_Gr_Sq_Ft_Unfinished="",rng01_Gr_Sq_Ft_Unfinished=0),"",rng01_Gr_Sq_Ft_Unfinished)</f>
        <v/>
      </c>
      <c r="I116" s="1685"/>
      <c r="J116" s="1685"/>
      <c r="K116" s="1685"/>
      <c r="L116" s="1685"/>
      <c r="M116" s="1685"/>
      <c r="N116" s="1685"/>
      <c r="O116" s="1685"/>
      <c r="P116" s="1685"/>
      <c r="Q116" s="1685"/>
      <c r="R116" s="1685"/>
      <c r="S116" s="1685"/>
      <c r="T116" s="1685"/>
      <c r="U116" s="1685"/>
      <c r="V116" s="1685"/>
      <c r="W116" s="1685"/>
      <c r="X116" s="1685"/>
      <c r="Y116" s="1685"/>
      <c r="Z116" s="1685"/>
      <c r="AA116" s="1685"/>
      <c r="AB116" s="1685"/>
      <c r="AC116" s="1685"/>
      <c r="AD116" s="2069"/>
      <c r="AE116" s="2073"/>
      <c r="AF116" s="1685"/>
      <c r="AG116" s="1685"/>
      <c r="AM116" s="1677" t="s">
        <v>939</v>
      </c>
      <c r="AN116" s="1677" t="str">
        <f>IF(OR(TCATrigger="No",rng01_Gr_Sq_Ft_Unfinished=0),"",IF(rng01_Gr_Sq_Ft_Unfinished="","",rng01_Gr_Sq_Ft_Unfinished))</f>
        <v/>
      </c>
      <c r="BQ116" s="1685"/>
      <c r="BW116" s="1677" t="s">
        <v>939</v>
      </c>
    </row>
    <row r="117" spans="1:75" ht="15">
      <c r="A117" s="1685"/>
      <c r="B117" s="1685"/>
      <c r="C117" s="1685"/>
      <c r="D117" s="1685"/>
      <c r="E117" s="1685"/>
      <c r="F117" s="1685"/>
      <c r="G117" s="1685" t="s">
        <v>940</v>
      </c>
      <c r="H117" s="1685" t="str">
        <f>IF(OR(rng01_Total_Gr_Sq_Ft="",rng01_Total_Gr_Sq_Ft=0),"",rng01_Total_Gr_Sq_Ft)</f>
        <v/>
      </c>
      <c r="I117" s="1685"/>
      <c r="J117" s="1685"/>
      <c r="K117" s="1685"/>
      <c r="L117" s="1685"/>
      <c r="M117" s="1685"/>
      <c r="N117" s="1685"/>
      <c r="O117" s="1685"/>
      <c r="P117" s="1685"/>
      <c r="Q117" s="1685"/>
      <c r="R117" s="1685"/>
      <c r="S117" s="1685"/>
      <c r="T117" s="1685"/>
      <c r="U117" s="1685"/>
      <c r="V117" s="1685"/>
      <c r="W117" s="1685"/>
      <c r="X117" s="1685"/>
      <c r="Y117" s="1685"/>
      <c r="Z117" s="1685"/>
      <c r="AA117" s="1685"/>
      <c r="AB117" s="1685"/>
      <c r="AC117" s="1685"/>
      <c r="AD117" s="2069"/>
      <c r="AE117" s="2073"/>
      <c r="AF117" s="1685"/>
      <c r="AG117" s="1685"/>
      <c r="AM117" s="1677" t="s">
        <v>940</v>
      </c>
      <c r="AN117" s="1677" t="str">
        <f>IF(OR(TCATrigger="No",rng01_Total_Gr_Sq_Ft=0),"",IF(rng01_Total_Gr_Sq_Ft="","",rng01_Total_Gr_Sq_Ft))</f>
        <v/>
      </c>
      <c r="BQ117" s="1685"/>
      <c r="BW117" s="1677" t="s">
        <v>940</v>
      </c>
    </row>
    <row r="118" spans="1:75" ht="15">
      <c r="A118" s="1685"/>
      <c r="B118" s="1685"/>
      <c r="C118" s="1685"/>
      <c r="D118" s="1685"/>
      <c r="E118" s="1685"/>
      <c r="F118" s="1685"/>
      <c r="G118" s="1685"/>
      <c r="H118" s="1685"/>
      <c r="I118" s="1685"/>
      <c r="J118" s="1685"/>
      <c r="K118" s="1685"/>
      <c r="L118" s="1685"/>
      <c r="M118" s="1685"/>
      <c r="N118" s="1685"/>
      <c r="O118" s="1685"/>
      <c r="P118" s="1685"/>
      <c r="Q118" s="1685"/>
      <c r="R118" s="1685"/>
      <c r="S118" s="1685"/>
      <c r="T118" s="1685"/>
      <c r="U118" s="1685"/>
      <c r="V118" s="1685"/>
      <c r="W118" s="1685"/>
      <c r="X118" s="1685"/>
      <c r="Y118" s="1685"/>
      <c r="Z118" s="1685"/>
      <c r="AA118" s="1685"/>
      <c r="AB118" s="1685"/>
      <c r="AC118" s="1685"/>
      <c r="AD118" s="2069"/>
      <c r="AE118" s="2073"/>
      <c r="AF118" s="1685"/>
      <c r="AG118" s="1685"/>
      <c r="BQ118" s="1685"/>
    </row>
    <row r="119" spans="1:75" ht="15">
      <c r="A119" s="1685"/>
      <c r="B119" s="1685"/>
      <c r="C119" s="1685"/>
      <c r="D119" s="1685"/>
      <c r="E119" s="1685"/>
      <c r="F119" s="1685"/>
      <c r="G119" s="1685"/>
      <c r="H119" s="1685"/>
      <c r="I119" s="1685"/>
      <c r="J119" s="1685"/>
      <c r="K119" s="1685"/>
      <c r="L119" s="1685"/>
      <c r="M119" s="1685"/>
      <c r="N119" s="1685"/>
      <c r="O119" s="1685"/>
      <c r="P119" s="1685"/>
      <c r="Q119" s="1685"/>
      <c r="R119" s="1685"/>
      <c r="S119" s="1685"/>
      <c r="T119" s="1685"/>
      <c r="U119" s="1685"/>
      <c r="V119" s="1685"/>
      <c r="W119" s="1685"/>
      <c r="X119" s="1685"/>
      <c r="Y119" s="1685"/>
      <c r="Z119" s="1685"/>
      <c r="AA119" s="1685"/>
      <c r="AB119" s="1685"/>
      <c r="AC119" s="1685"/>
      <c r="AD119" s="2069"/>
      <c r="AE119" s="2073"/>
      <c r="AF119" s="1685"/>
      <c r="AG119" s="1685"/>
      <c r="BQ119" s="1685"/>
    </row>
    <row r="120" spans="1:75" ht="15">
      <c r="A120" s="1685"/>
      <c r="B120" s="1685"/>
      <c r="C120" s="1685"/>
      <c r="D120" s="1685"/>
      <c r="E120" s="1685"/>
      <c r="F120" s="1685"/>
      <c r="G120" s="1685" t="s">
        <v>941</v>
      </c>
      <c r="H120" s="1685"/>
      <c r="I120" s="1685"/>
      <c r="J120" s="1685"/>
      <c r="K120" s="1685"/>
      <c r="L120" s="1685"/>
      <c r="M120" s="1685"/>
      <c r="N120" s="1685"/>
      <c r="O120" s="1685"/>
      <c r="P120" s="1685"/>
      <c r="Q120" s="1685"/>
      <c r="R120" s="1685"/>
      <c r="S120" s="1685"/>
      <c r="T120" s="1685"/>
      <c r="U120" s="1685"/>
      <c r="V120" s="1685"/>
      <c r="W120" s="1685"/>
      <c r="X120" s="1685"/>
      <c r="Y120" s="1685"/>
      <c r="Z120" s="1685"/>
      <c r="AA120" s="1685"/>
      <c r="AB120" s="1685"/>
      <c r="AC120" s="1685"/>
      <c r="AD120" s="2069"/>
      <c r="AE120" s="2073"/>
      <c r="AF120" s="1685"/>
      <c r="AG120" s="1685"/>
      <c r="AM120" s="1677" t="s">
        <v>941</v>
      </c>
      <c r="BQ120" s="1685"/>
      <c r="BW120" s="1677" t="s">
        <v>941</v>
      </c>
    </row>
    <row r="121" spans="1:75" ht="15">
      <c r="A121" s="1685"/>
      <c r="B121" s="1685"/>
      <c r="C121" s="1685"/>
      <c r="D121" s="1685"/>
      <c r="E121" s="1685"/>
      <c r="F121" s="1685"/>
      <c r="G121" s="1685" t="s">
        <v>942</v>
      </c>
      <c r="H121" s="1685"/>
      <c r="I121" s="1685"/>
      <c r="J121" s="1685"/>
      <c r="K121" s="1685"/>
      <c r="L121" s="1685"/>
      <c r="M121" s="1685"/>
      <c r="N121" s="1685"/>
      <c r="O121" s="1685"/>
      <c r="P121" s="1685"/>
      <c r="Q121" s="1685"/>
      <c r="R121" s="1685"/>
      <c r="S121" s="1685"/>
      <c r="T121" s="1685"/>
      <c r="U121" s="1685"/>
      <c r="V121" s="1685"/>
      <c r="W121" s="1685"/>
      <c r="X121" s="1685"/>
      <c r="Y121" s="1685"/>
      <c r="Z121" s="1685"/>
      <c r="AA121" s="1685"/>
      <c r="AB121" s="1685"/>
      <c r="AC121" s="1685"/>
      <c r="AD121" s="2069"/>
      <c r="AE121" s="2073"/>
      <c r="AF121" s="1685"/>
      <c r="AG121" s="1685"/>
      <c r="AM121" s="1677" t="s">
        <v>942</v>
      </c>
      <c r="BQ121" s="1685"/>
      <c r="BW121" s="1677" t="s">
        <v>942</v>
      </c>
    </row>
    <row r="122" spans="1:75" ht="15">
      <c r="A122" s="1685"/>
      <c r="B122" s="1685"/>
      <c r="C122" s="1685"/>
      <c r="D122" s="1685"/>
      <c r="E122" s="1685"/>
      <c r="F122" s="1685"/>
      <c r="G122" s="1685" t="s">
        <v>943</v>
      </c>
      <c r="H122" s="1685"/>
      <c r="I122" s="1685"/>
      <c r="J122" s="1685"/>
      <c r="K122" s="1685"/>
      <c r="L122" s="1685"/>
      <c r="M122" s="1685"/>
      <c r="N122" s="1685"/>
      <c r="O122" s="1685"/>
      <c r="P122" s="1685"/>
      <c r="Q122" s="1685"/>
      <c r="R122" s="1685"/>
      <c r="S122" s="1685"/>
      <c r="T122" s="1685"/>
      <c r="U122" s="1685"/>
      <c r="V122" s="1685"/>
      <c r="W122" s="1685"/>
      <c r="X122" s="1685"/>
      <c r="Y122" s="1685"/>
      <c r="Z122" s="1685"/>
      <c r="AA122" s="1685"/>
      <c r="AB122" s="1685"/>
      <c r="AC122" s="1685"/>
      <c r="AD122" s="2069"/>
      <c r="AE122" s="2073"/>
      <c r="AF122" s="1685"/>
      <c r="AG122" s="1685"/>
      <c r="AM122" s="1677" t="s">
        <v>943</v>
      </c>
      <c r="BQ122" s="1685"/>
      <c r="BW122" s="1677" t="s">
        <v>943</v>
      </c>
    </row>
    <row r="123" spans="1:75" ht="15">
      <c r="A123" s="1685"/>
      <c r="B123" s="1685"/>
      <c r="C123" s="1685"/>
      <c r="D123" s="1685"/>
      <c r="E123" s="1685"/>
      <c r="F123" s="1685"/>
      <c r="G123" s="1685" t="s">
        <v>944</v>
      </c>
      <c r="H123" s="1685"/>
      <c r="I123" s="1685"/>
      <c r="J123" s="1685"/>
      <c r="K123" s="1685"/>
      <c r="L123" s="1685"/>
      <c r="M123" s="1685"/>
      <c r="N123" s="1685"/>
      <c r="O123" s="1685"/>
      <c r="P123" s="1685"/>
      <c r="Q123" s="1685"/>
      <c r="R123" s="1685"/>
      <c r="S123" s="1685"/>
      <c r="T123" s="1685"/>
      <c r="U123" s="1685"/>
      <c r="V123" s="1685"/>
      <c r="W123" s="1685"/>
      <c r="X123" s="1685"/>
      <c r="Y123" s="1685"/>
      <c r="Z123" s="1685"/>
      <c r="AA123" s="1685"/>
      <c r="AB123" s="1685"/>
      <c r="AC123" s="1685"/>
      <c r="AD123" s="2069"/>
      <c r="AE123" s="2073"/>
      <c r="AF123" s="1685"/>
      <c r="AG123" s="1685"/>
      <c r="AM123" s="1677" t="s">
        <v>944</v>
      </c>
      <c r="BQ123" s="1685"/>
      <c r="BW123" s="1677" t="s">
        <v>944</v>
      </c>
    </row>
    <row r="124" spans="1:75" ht="15">
      <c r="A124" s="1685"/>
      <c r="B124" s="1685"/>
      <c r="C124" s="1685"/>
      <c r="D124" s="1685"/>
      <c r="E124" s="1685"/>
      <c r="F124" s="1685"/>
      <c r="G124" s="1685" t="s">
        <v>945</v>
      </c>
      <c r="H124" s="1685"/>
      <c r="I124" s="1685"/>
      <c r="J124" s="1685"/>
      <c r="K124" s="1685"/>
      <c r="L124" s="1685"/>
      <c r="M124" s="1685"/>
      <c r="N124" s="1685"/>
      <c r="O124" s="1685"/>
      <c r="P124" s="1685"/>
      <c r="Q124" s="1685"/>
      <c r="R124" s="1685"/>
      <c r="S124" s="1685"/>
      <c r="T124" s="1685"/>
      <c r="U124" s="1685"/>
      <c r="V124" s="1685"/>
      <c r="W124" s="1685"/>
      <c r="X124" s="1685"/>
      <c r="Y124" s="1685"/>
      <c r="Z124" s="1685"/>
      <c r="AA124" s="1685"/>
      <c r="AB124" s="1685"/>
      <c r="AC124" s="1685"/>
      <c r="AD124" s="2069"/>
      <c r="AE124" s="2073"/>
      <c r="AF124" s="1685"/>
      <c r="AG124" s="1685"/>
      <c r="AM124" s="1677" t="s">
        <v>945</v>
      </c>
      <c r="BQ124" s="1685"/>
      <c r="BW124" s="1677" t="s">
        <v>945</v>
      </c>
    </row>
    <row r="125" spans="1:75" ht="15">
      <c r="A125" s="1685"/>
      <c r="B125" s="1685"/>
      <c r="C125" s="1685"/>
      <c r="D125" s="1685"/>
      <c r="E125" s="1685"/>
      <c r="F125" s="1685"/>
      <c r="G125" s="1685"/>
      <c r="H125" s="1685"/>
      <c r="I125" s="1685"/>
      <c r="J125" s="1685"/>
      <c r="K125" s="1685"/>
      <c r="L125" s="1685"/>
      <c r="M125" s="1685"/>
      <c r="N125" s="1685"/>
      <c r="O125" s="1685"/>
      <c r="P125" s="1685"/>
      <c r="Q125" s="1685"/>
      <c r="R125" s="1685"/>
      <c r="S125" s="1685"/>
      <c r="T125" s="1685"/>
      <c r="U125" s="1685"/>
      <c r="V125" s="1685"/>
      <c r="W125" s="1685"/>
      <c r="X125" s="1685"/>
      <c r="Y125" s="1685"/>
      <c r="Z125" s="1685"/>
      <c r="AA125" s="1685"/>
      <c r="AB125" s="1685"/>
      <c r="AC125" s="1685"/>
      <c r="AD125" s="2069"/>
      <c r="AE125" s="2073"/>
      <c r="AF125" s="1685"/>
      <c r="AG125" s="1685"/>
      <c r="BQ125" s="1685"/>
    </row>
    <row r="126" spans="1:75" ht="15">
      <c r="A126" s="1685"/>
      <c r="B126" s="1685"/>
      <c r="C126" s="1685"/>
      <c r="D126" s="1685"/>
      <c r="E126" s="1685"/>
      <c r="F126" s="1685"/>
      <c r="G126" s="1685"/>
      <c r="H126" s="1685"/>
      <c r="I126" s="1685"/>
      <c r="J126" s="1685"/>
      <c r="K126" s="1685"/>
      <c r="L126" s="1685"/>
      <c r="M126" s="1685"/>
      <c r="N126" s="1685"/>
      <c r="O126" s="1685"/>
      <c r="P126" s="1685"/>
      <c r="Q126" s="1685"/>
      <c r="R126" s="1685"/>
      <c r="S126" s="1685"/>
      <c r="T126" s="1685"/>
      <c r="U126" s="1685"/>
      <c r="V126" s="1685"/>
      <c r="W126" s="1685"/>
      <c r="X126" s="1685"/>
      <c r="Y126" s="1685"/>
      <c r="Z126" s="1685"/>
      <c r="AA126" s="1685"/>
      <c r="AB126" s="1685"/>
      <c r="AC126" s="1685"/>
      <c r="AD126" s="2069"/>
      <c r="AE126" s="2073"/>
      <c r="AF126" s="1685"/>
      <c r="AG126" s="1685"/>
      <c r="BQ126" s="1685"/>
    </row>
    <row r="127" spans="1:75" ht="15">
      <c r="A127" s="1685" t="s">
        <v>847</v>
      </c>
      <c r="B127" s="1685" t="s">
        <v>927</v>
      </c>
      <c r="C127" s="1685" t="s">
        <v>946</v>
      </c>
      <c r="D127" s="1685"/>
      <c r="E127" s="1685"/>
      <c r="F127" s="1699" t="s">
        <v>947</v>
      </c>
      <c r="G127" s="1685"/>
      <c r="H127" s="1685"/>
      <c r="I127" s="1685"/>
      <c r="J127" s="1685"/>
      <c r="K127" s="1685"/>
      <c r="L127" s="1685"/>
      <c r="M127" s="1685"/>
      <c r="N127" s="1685"/>
      <c r="O127" s="1685"/>
      <c r="P127" s="1685"/>
      <c r="Q127" s="1685"/>
      <c r="R127" s="1685"/>
      <c r="S127" s="1685"/>
      <c r="T127" s="1685"/>
      <c r="U127" s="1685"/>
      <c r="V127" s="1685"/>
      <c r="W127" s="1685"/>
      <c r="X127" s="1685"/>
      <c r="Y127" s="1685"/>
      <c r="Z127" s="1685"/>
      <c r="AA127" s="1685"/>
      <c r="AB127" s="1685"/>
      <c r="AC127" s="1685"/>
      <c r="AD127" s="2069"/>
      <c r="AE127" s="2073"/>
      <c r="AF127" s="1685"/>
      <c r="AG127" s="1685" t="s">
        <v>847</v>
      </c>
      <c r="AH127" s="1677" t="s">
        <v>927</v>
      </c>
      <c r="AI127" s="1677" t="s">
        <v>946</v>
      </c>
      <c r="BQ127" s="1685" t="s">
        <v>847</v>
      </c>
      <c r="BR127" s="1677" t="s">
        <v>927</v>
      </c>
      <c r="BS127" s="1677" t="s">
        <v>946</v>
      </c>
    </row>
    <row r="128" spans="1:75" ht="15">
      <c r="A128" s="1685" t="s">
        <v>847</v>
      </c>
      <c r="B128" s="1685" t="s">
        <v>927</v>
      </c>
      <c r="C128" s="1700" t="s">
        <v>948</v>
      </c>
      <c r="D128" s="1685"/>
      <c r="E128" s="1685"/>
      <c r="F128" s="1704" t="s">
        <v>949</v>
      </c>
      <c r="G128" s="1685" t="s">
        <v>950</v>
      </c>
      <c r="H128" s="1685" t="str">
        <f>IF(rng01_Amen_AC_Units="Yes","True","")</f>
        <v/>
      </c>
      <c r="I128" s="1685"/>
      <c r="J128" s="1685"/>
      <c r="K128" s="1685"/>
      <c r="L128" s="1685"/>
      <c r="M128" s="1685"/>
      <c r="N128" s="1685"/>
      <c r="O128" s="1685"/>
      <c r="P128" s="1685"/>
      <c r="Q128" s="1685"/>
      <c r="R128" s="1685"/>
      <c r="S128" s="1685"/>
      <c r="T128" s="1685"/>
      <c r="U128" s="1685"/>
      <c r="V128" s="1685"/>
      <c r="W128" s="1685"/>
      <c r="X128" s="1685"/>
      <c r="Y128" s="1685"/>
      <c r="Z128" s="1685"/>
      <c r="AA128" s="1685"/>
      <c r="AB128" s="1685"/>
      <c r="AC128" s="1685"/>
      <c r="AD128" s="2069"/>
      <c r="AE128" s="2073"/>
      <c r="AF128" s="1685"/>
      <c r="AG128" s="1685" t="s">
        <v>847</v>
      </c>
      <c r="AH128" s="1677" t="s">
        <v>927</v>
      </c>
      <c r="AI128" s="1677" t="s">
        <v>948</v>
      </c>
      <c r="AM128" s="1677" t="s">
        <v>950</v>
      </c>
      <c r="AN128" s="1685"/>
      <c r="AO128" s="1685" t="str">
        <f>IF(OR(TCATrigger="No",rng01_Amen_AC_Units=""),"",IF(rng01_Amen_AC_Units="Yes","True",""))</f>
        <v/>
      </c>
      <c r="BQ128" s="1685" t="s">
        <v>847</v>
      </c>
      <c r="BR128" s="1677" t="s">
        <v>927</v>
      </c>
      <c r="BS128" s="1677" t="s">
        <v>948</v>
      </c>
      <c r="BW128" s="1677" t="s">
        <v>950</v>
      </c>
    </row>
    <row r="129" spans="1:75" ht="15">
      <c r="A129" s="1685"/>
      <c r="B129" s="1685"/>
      <c r="C129" s="1685"/>
      <c r="D129" s="1685"/>
      <c r="E129" s="1685"/>
      <c r="F129" s="1704" t="s">
        <v>951</v>
      </c>
      <c r="G129" s="1685" t="s">
        <v>952</v>
      </c>
      <c r="H129" s="1685" t="str">
        <f>IF(rng01_Amen_Cab_Hkup="Yes","True","")</f>
        <v/>
      </c>
      <c r="I129" s="1685"/>
      <c r="J129" s="1685"/>
      <c r="K129" s="1685"/>
      <c r="L129" s="1685"/>
      <c r="M129" s="1685"/>
      <c r="N129" s="1685"/>
      <c r="O129" s="1685"/>
      <c r="P129" s="1685"/>
      <c r="Q129" s="1685"/>
      <c r="R129" s="1685"/>
      <c r="S129" s="1685"/>
      <c r="T129" s="1685"/>
      <c r="U129" s="1685"/>
      <c r="V129" s="1685"/>
      <c r="W129" s="1685"/>
      <c r="X129" s="1685"/>
      <c r="Y129" s="1685"/>
      <c r="Z129" s="1685"/>
      <c r="AA129" s="1685"/>
      <c r="AB129" s="1685"/>
      <c r="AC129" s="1685"/>
      <c r="AD129" s="2069"/>
      <c r="AE129" s="2073"/>
      <c r="AF129" s="1685"/>
      <c r="AG129" s="1685"/>
      <c r="AM129" s="1677" t="s">
        <v>952</v>
      </c>
      <c r="AN129" s="1685"/>
      <c r="AO129" s="1685" t="str">
        <f>IF(OR(TCATrigger="No",rng01_Amen_Cab_Hkup=""),"",IF(rng01_Amen_Cab_Hkup="Yes","True",""))</f>
        <v/>
      </c>
      <c r="BQ129" s="1685"/>
      <c r="BW129" s="1677" t="s">
        <v>952</v>
      </c>
    </row>
    <row r="130" spans="1:75" ht="15">
      <c r="A130" s="1685"/>
      <c r="B130" s="1685"/>
      <c r="C130" s="1685"/>
      <c r="D130" s="1685"/>
      <c r="E130" s="1685"/>
      <c r="F130" s="1704" t="s">
        <v>953</v>
      </c>
      <c r="G130" s="1685" t="s">
        <v>953</v>
      </c>
      <c r="H130" s="1685" t="str">
        <f>IF(rng01_Amen_DW="Yes","True","")</f>
        <v/>
      </c>
      <c r="I130" s="1685"/>
      <c r="J130" s="1685"/>
      <c r="K130" s="1685"/>
      <c r="L130" s="1685"/>
      <c r="M130" s="1685"/>
      <c r="N130" s="1685"/>
      <c r="O130" s="1685"/>
      <c r="P130" s="1685"/>
      <c r="Q130" s="1685"/>
      <c r="R130" s="1685"/>
      <c r="S130" s="1685"/>
      <c r="T130" s="1685"/>
      <c r="U130" s="1685"/>
      <c r="V130" s="1685"/>
      <c r="W130" s="1685"/>
      <c r="X130" s="1685"/>
      <c r="Y130" s="1685"/>
      <c r="Z130" s="1685"/>
      <c r="AA130" s="1685"/>
      <c r="AB130" s="1685"/>
      <c r="AC130" s="1685"/>
      <c r="AD130" s="2069"/>
      <c r="AE130" s="2073"/>
      <c r="AF130" s="1685"/>
      <c r="AG130" s="1685"/>
      <c r="AM130" s="1677" t="s">
        <v>953</v>
      </c>
      <c r="AN130" s="1685"/>
      <c r="AO130" s="1685" t="str">
        <f>IF(OR(TCATrigger="No",rng01_Amen_DW=""),"",IF(rng01_Amen_DW="Yes","True",""))</f>
        <v/>
      </c>
      <c r="BQ130" s="1685"/>
      <c r="BW130" s="1677" t="s">
        <v>953</v>
      </c>
    </row>
    <row r="131" spans="1:75" ht="15">
      <c r="A131" s="1685"/>
      <c r="B131" s="1685"/>
      <c r="C131" s="1685"/>
      <c r="D131" s="1685"/>
      <c r="E131" s="1685"/>
      <c r="F131" s="1704" t="s">
        <v>96</v>
      </c>
      <c r="G131" s="1685" t="s">
        <v>954</v>
      </c>
      <c r="H131" s="1685" t="str">
        <f>IF(rng01_Amen_Disposal="Yes","True","")</f>
        <v/>
      </c>
      <c r="I131" s="1685"/>
      <c r="J131" s="1685"/>
      <c r="K131" s="1685"/>
      <c r="L131" s="1685"/>
      <c r="M131" s="1685"/>
      <c r="N131" s="1685"/>
      <c r="O131" s="1685"/>
      <c r="P131" s="1685"/>
      <c r="Q131" s="1685"/>
      <c r="R131" s="1685"/>
      <c r="S131" s="1685"/>
      <c r="T131" s="1685"/>
      <c r="U131" s="1685"/>
      <c r="V131" s="1685"/>
      <c r="W131" s="1685"/>
      <c r="X131" s="1685"/>
      <c r="Y131" s="1685"/>
      <c r="Z131" s="1685"/>
      <c r="AA131" s="1685"/>
      <c r="AB131" s="1685"/>
      <c r="AC131" s="1685"/>
      <c r="AD131" s="2069"/>
      <c r="AE131" s="2073"/>
      <c r="AF131" s="1685"/>
      <c r="AG131" s="1685"/>
      <c r="AM131" s="1677" t="s">
        <v>954</v>
      </c>
      <c r="AN131" s="1685"/>
      <c r="AO131" s="1685" t="str">
        <f>IF(OR(TCATrigger="No",rng01_Amen_Disposal=""),"",IF(rng01_Amen_Disposal="Yes","True",""))</f>
        <v/>
      </c>
      <c r="BQ131" s="1685"/>
      <c r="BW131" s="1677" t="s">
        <v>954</v>
      </c>
    </row>
    <row r="132" spans="1:75" ht="15">
      <c r="A132" s="1685"/>
      <c r="B132" s="1685"/>
      <c r="C132" s="1685"/>
      <c r="D132" s="1685"/>
      <c r="E132" s="1685"/>
      <c r="F132" s="1704" t="s">
        <v>955</v>
      </c>
      <c r="G132" s="1685" t="s">
        <v>956</v>
      </c>
      <c r="H132" s="1685" t="str">
        <f>IF(rng01_Amen_Kit_Exhaust="Yes","True","")</f>
        <v/>
      </c>
      <c r="I132" s="1685"/>
      <c r="J132" s="1705" t="s">
        <v>2242</v>
      </c>
      <c r="K132" s="1685"/>
      <c r="L132" s="1685"/>
      <c r="M132" s="1685"/>
      <c r="N132" s="1685"/>
      <c r="O132" s="1685"/>
      <c r="P132" s="1685"/>
      <c r="Q132" s="1685"/>
      <c r="R132" s="1685"/>
      <c r="S132" s="1685"/>
      <c r="T132" s="1685"/>
      <c r="U132" s="1685"/>
      <c r="V132" s="1685"/>
      <c r="W132" s="1685"/>
      <c r="X132" s="1685"/>
      <c r="Y132" s="1685"/>
      <c r="Z132" s="1685"/>
      <c r="AA132" s="1685"/>
      <c r="AB132" s="1685"/>
      <c r="AC132" s="1685"/>
      <c r="AD132" s="2069"/>
      <c r="AE132" s="2073"/>
      <c r="AF132" s="1685"/>
      <c r="AG132" s="1685"/>
      <c r="AM132" s="1677" t="s">
        <v>956</v>
      </c>
      <c r="AN132" s="1685"/>
      <c r="AO132" s="1685" t="str">
        <f>IF(OR(TCATrigger="No",rng01_Amen_Kit_Exhaust=""),"",IF(rng01_Amen_Kit_Exhaust="Yes","True",""))</f>
        <v/>
      </c>
      <c r="BQ132" s="1685"/>
      <c r="BW132" s="1677" t="s">
        <v>956</v>
      </c>
    </row>
    <row r="133" spans="1:75" ht="15">
      <c r="A133" s="1685"/>
      <c r="B133" s="1685"/>
      <c r="C133" s="1685"/>
      <c r="D133" s="1685"/>
      <c r="E133" s="1685"/>
      <c r="F133" s="1704" t="s">
        <v>957</v>
      </c>
      <c r="G133" s="1685" t="s">
        <v>958</v>
      </c>
      <c r="H133" s="1685" t="str">
        <f>IF(rng01_Amen_Lndry_Hkup="Yes","True","")</f>
        <v/>
      </c>
      <c r="J133" s="1705" t="s">
        <v>2241</v>
      </c>
      <c r="K133" s="1685"/>
      <c r="L133" s="1685"/>
      <c r="M133" s="1685"/>
      <c r="N133" s="1685"/>
      <c r="O133" s="1685"/>
      <c r="P133" s="1685"/>
      <c r="Q133" s="1685"/>
      <c r="R133" s="1685"/>
      <c r="S133" s="1685"/>
      <c r="T133" s="1685"/>
      <c r="U133" s="1685"/>
      <c r="V133" s="1685"/>
      <c r="W133" s="1685"/>
      <c r="X133" s="1685"/>
      <c r="Y133" s="1685"/>
      <c r="Z133" s="1685"/>
      <c r="AA133" s="1685"/>
      <c r="AB133" s="1685"/>
      <c r="AC133" s="1685"/>
      <c r="AD133" s="2069"/>
      <c r="AE133" s="2073"/>
      <c r="AF133" s="1685"/>
      <c r="AG133" s="1685"/>
      <c r="AM133" s="1677" t="s">
        <v>958</v>
      </c>
      <c r="AN133" s="1706" t="str">
        <f>IF(OR(AO133="True",AO134="True"),"True","")</f>
        <v/>
      </c>
      <c r="AO133" s="1706" t="str">
        <f>IF(OR(TCATrigger="No",rng01_Amen_Lndry_Hkup=""),"",IF(rng01_Amen_Lndry_Hkup="Yes","True",""))</f>
        <v/>
      </c>
      <c r="AP133" s="1687" t="s">
        <v>2255</v>
      </c>
      <c r="AQ133" s="1677" t="s">
        <v>2278</v>
      </c>
      <c r="BQ133" s="1685"/>
      <c r="BW133" s="1677" t="s">
        <v>958</v>
      </c>
    </row>
    <row r="134" spans="1:75" ht="15">
      <c r="A134" s="1685"/>
      <c r="B134" s="1685"/>
      <c r="C134" s="1685"/>
      <c r="D134" s="1685"/>
      <c r="E134" s="1685"/>
      <c r="F134" s="1706"/>
      <c r="G134" s="1685" t="s">
        <v>959</v>
      </c>
      <c r="H134" s="1685" t="str">
        <f>IF(rng01_Amen_Lndry_InUnit="Yes","True","")</f>
        <v/>
      </c>
      <c r="I134" s="1685"/>
      <c r="J134" s="1685"/>
      <c r="K134" s="1685"/>
      <c r="L134" s="1685"/>
      <c r="M134" s="1685"/>
      <c r="N134" s="1685"/>
      <c r="O134" s="1685"/>
      <c r="P134" s="1685"/>
      <c r="Q134" s="1685"/>
      <c r="R134" s="1685"/>
      <c r="S134" s="1685"/>
      <c r="T134" s="1685"/>
      <c r="U134" s="1685"/>
      <c r="V134" s="1685"/>
      <c r="W134" s="1685"/>
      <c r="X134" s="1685"/>
      <c r="Y134" s="1685"/>
      <c r="Z134" s="1685"/>
      <c r="AA134" s="1685"/>
      <c r="AB134" s="1685"/>
      <c r="AC134" s="1685"/>
      <c r="AD134" s="2069"/>
      <c r="AE134" s="2073"/>
      <c r="AF134" s="1685"/>
      <c r="AG134" s="1685"/>
      <c r="AM134" s="1677" t="s">
        <v>959</v>
      </c>
      <c r="AN134" s="1685"/>
      <c r="AO134" s="1685" t="str">
        <f>IF(OR(TCATrigger="No",rng01_Amen_Lndry_InUnit=""),"",IF(rng01_Amen_Lndry_InUnit="Yes","True",""))</f>
        <v/>
      </c>
      <c r="BQ134" s="1685"/>
      <c r="BW134" s="1677" t="s">
        <v>959</v>
      </c>
    </row>
    <row r="135" spans="1:75" ht="15">
      <c r="A135" s="1685"/>
      <c r="B135" s="1685"/>
      <c r="C135" s="1685"/>
      <c r="D135" s="1685"/>
      <c r="E135" s="1685"/>
      <c r="F135" s="1704" t="s">
        <v>96</v>
      </c>
      <c r="G135" s="1685" t="s">
        <v>960</v>
      </c>
      <c r="H135" s="1685" t="str">
        <f>IF(rng01_Amen_Security_Video_System="Yes","True","")</f>
        <v/>
      </c>
      <c r="I135" s="1685"/>
      <c r="J135" s="1685"/>
      <c r="K135" s="1685"/>
      <c r="L135" s="1685"/>
      <c r="M135" s="1685"/>
      <c r="N135" s="1685"/>
      <c r="O135" s="1685"/>
      <c r="P135" s="1685"/>
      <c r="Q135" s="1685"/>
      <c r="R135" s="1685"/>
      <c r="S135" s="1685"/>
      <c r="T135" s="1685"/>
      <c r="U135" s="1685"/>
      <c r="V135" s="1685"/>
      <c r="W135" s="1685"/>
      <c r="X135" s="1685"/>
      <c r="Y135" s="1685"/>
      <c r="Z135" s="1685"/>
      <c r="AA135" s="1685"/>
      <c r="AB135" s="1685"/>
      <c r="AC135" s="1685"/>
      <c r="AD135" s="2069"/>
      <c r="AE135" s="2073"/>
      <c r="AF135" s="1685"/>
      <c r="AG135" s="1685"/>
      <c r="AM135" s="1677" t="s">
        <v>960</v>
      </c>
      <c r="AN135" s="1685"/>
      <c r="AO135" s="1685" t="str">
        <f>IF(OR(TCATrigger="No",rng01_Amen_Security_Video_System=""),"",IF(rng01_Amen_Security_Video_System="Yes","True",""))</f>
        <v/>
      </c>
      <c r="BQ135" s="1685"/>
      <c r="BW135" s="1677" t="s">
        <v>960</v>
      </c>
    </row>
    <row r="136" spans="1:75" ht="15">
      <c r="A136" s="1685"/>
      <c r="B136" s="1685"/>
      <c r="C136" s="1685"/>
      <c r="D136" s="1685"/>
      <c r="E136" s="1685"/>
      <c r="F136" s="1704" t="s">
        <v>96</v>
      </c>
      <c r="G136" s="1685" t="s">
        <v>961</v>
      </c>
      <c r="H136" s="1685" t="str">
        <f>IF(rng01_Amen_Other1="Yes","True","")</f>
        <v/>
      </c>
      <c r="I136" s="1685" t="str">
        <f>IF(H136="True",rng01_Amen_OtherDesc1,"")</f>
        <v/>
      </c>
      <c r="J136" s="1685"/>
      <c r="K136" s="1685"/>
      <c r="L136" s="1685"/>
      <c r="M136" s="1685"/>
      <c r="N136" s="1685"/>
      <c r="O136" s="1685"/>
      <c r="P136" s="1685"/>
      <c r="Q136" s="1685"/>
      <c r="R136" s="1685"/>
      <c r="S136" s="1685"/>
      <c r="T136" s="1685"/>
      <c r="U136" s="1685"/>
      <c r="V136" s="1685"/>
      <c r="W136" s="1685"/>
      <c r="X136" s="1685"/>
      <c r="Y136" s="1685"/>
      <c r="Z136" s="1685"/>
      <c r="AA136" s="1685"/>
      <c r="AB136" s="1685"/>
      <c r="AC136" s="1685"/>
      <c r="AD136" s="2069"/>
      <c r="AE136" s="2073"/>
      <c r="AF136" s="1685"/>
      <c r="AG136" s="1685"/>
      <c r="AM136" s="1677" t="s">
        <v>961</v>
      </c>
      <c r="AN136" s="1685"/>
      <c r="AO136" s="1685" t="str">
        <f>IF(OR(TCATrigger="No",rng01_Amen_Other1=""),"",IF(rng01_Amen_Other1="Yes","True",""))</f>
        <v/>
      </c>
      <c r="BQ136" s="1685"/>
      <c r="BW136" s="1677" t="s">
        <v>961</v>
      </c>
    </row>
    <row r="137" spans="1:75" ht="15">
      <c r="A137" s="1685"/>
      <c r="B137" s="1685"/>
      <c r="C137" s="1685"/>
      <c r="D137" s="1685"/>
      <c r="E137" s="1685"/>
      <c r="F137" s="1704" t="s">
        <v>96</v>
      </c>
      <c r="G137" s="1685" t="s">
        <v>961</v>
      </c>
      <c r="H137" s="1685" t="str">
        <f>IF(rng01_Amen_Other2="Yes","True","")</f>
        <v/>
      </c>
      <c r="I137" s="1685" t="str">
        <f>IF(H137="True",rng01_Amen_OtherDesc2,"")</f>
        <v/>
      </c>
      <c r="J137" s="1685"/>
      <c r="K137" s="1685"/>
      <c r="L137" s="1685"/>
      <c r="M137" s="1685"/>
      <c r="N137" s="1685"/>
      <c r="O137" s="1685"/>
      <c r="P137" s="1685"/>
      <c r="Q137" s="1685"/>
      <c r="R137" s="1685"/>
      <c r="S137" s="1685"/>
      <c r="T137" s="1685"/>
      <c r="U137" s="1685"/>
      <c r="V137" s="1685"/>
      <c r="W137" s="1685"/>
      <c r="X137" s="1685"/>
      <c r="Y137" s="1685"/>
      <c r="Z137" s="1685"/>
      <c r="AA137" s="1685"/>
      <c r="AB137" s="1685"/>
      <c r="AC137" s="1685"/>
      <c r="AD137" s="2069"/>
      <c r="AE137" s="2073"/>
      <c r="AF137" s="1685"/>
      <c r="AG137" s="1685"/>
      <c r="AM137" s="1677" t="s">
        <v>961</v>
      </c>
      <c r="AN137" s="1685"/>
      <c r="AO137" s="1685" t="str">
        <f>IF(OR(TCATrigger="No",rng01_Amen_Other2=""),"",IF(rng01_Amen_Other2="Yes","True",""))</f>
        <v/>
      </c>
      <c r="BQ137" s="1685"/>
      <c r="BW137" s="1677" t="s">
        <v>961</v>
      </c>
    </row>
    <row r="138" spans="1:75" ht="15">
      <c r="A138" s="1685"/>
      <c r="B138" s="1685"/>
      <c r="C138" s="1685"/>
      <c r="D138" s="1685"/>
      <c r="E138" s="1685"/>
      <c r="F138" s="1685"/>
      <c r="G138" s="1685"/>
      <c r="H138" s="1685"/>
      <c r="I138" s="1685"/>
      <c r="J138" s="1685"/>
      <c r="K138" s="1685"/>
      <c r="L138" s="1685"/>
      <c r="M138" s="1685"/>
      <c r="N138" s="1685"/>
      <c r="O138" s="1685"/>
      <c r="P138" s="1685"/>
      <c r="Q138" s="1685"/>
      <c r="R138" s="1685"/>
      <c r="S138" s="1685"/>
      <c r="T138" s="1685"/>
      <c r="U138" s="1685"/>
      <c r="V138" s="1685"/>
      <c r="W138" s="1685"/>
      <c r="X138" s="1685"/>
      <c r="Y138" s="1685"/>
      <c r="Z138" s="1685"/>
      <c r="AA138" s="1685"/>
      <c r="AB138" s="1685"/>
      <c r="AC138" s="1685"/>
      <c r="AD138" s="2069"/>
      <c r="AE138" s="2073"/>
      <c r="AF138" s="1685"/>
      <c r="AG138" s="1685"/>
      <c r="BQ138" s="1685"/>
    </row>
    <row r="139" spans="1:75" ht="15">
      <c r="A139" s="1685"/>
      <c r="B139" s="1685"/>
      <c r="C139" s="1685"/>
      <c r="D139" s="1685"/>
      <c r="E139" s="1685"/>
      <c r="F139" s="1686"/>
      <c r="G139" s="1685"/>
      <c r="H139" s="1685"/>
      <c r="I139" s="1685"/>
      <c r="J139" s="1685"/>
      <c r="K139" s="1686"/>
      <c r="L139" s="1685"/>
      <c r="M139" s="1685"/>
      <c r="N139" s="1685"/>
      <c r="O139" s="1685"/>
      <c r="P139" s="1685"/>
      <c r="Q139" s="1685"/>
      <c r="R139" s="1685"/>
      <c r="S139" s="1685"/>
      <c r="T139" s="1685"/>
      <c r="U139" s="1685"/>
      <c r="V139" s="1685"/>
      <c r="W139" s="1685"/>
      <c r="X139" s="1685"/>
      <c r="Y139" s="1685"/>
      <c r="Z139" s="1685"/>
      <c r="AA139" s="1685"/>
      <c r="AB139" s="1685"/>
      <c r="AC139" s="1685"/>
      <c r="AD139" s="2069"/>
      <c r="AE139" s="2073"/>
      <c r="AF139" s="1685"/>
      <c r="AG139" s="1685"/>
      <c r="AM139" s="1686"/>
      <c r="AN139" s="1685"/>
      <c r="AO139" s="1685"/>
      <c r="AP139" s="1685"/>
      <c r="AQ139" s="1685"/>
      <c r="BQ139" s="1685"/>
      <c r="BW139" s="1686"/>
    </row>
    <row r="140" spans="1:75" ht="15">
      <c r="A140" s="1685" t="s">
        <v>847</v>
      </c>
      <c r="B140" s="1685" t="s">
        <v>927</v>
      </c>
      <c r="C140" s="1700" t="s">
        <v>125</v>
      </c>
      <c r="D140" s="1685"/>
      <c r="E140" s="1685"/>
      <c r="F140" s="1707" t="s">
        <v>2265</v>
      </c>
      <c r="G140" s="1707" t="s">
        <v>2237</v>
      </c>
      <c r="H140" s="1700" t="s">
        <v>846</v>
      </c>
      <c r="I140" s="1708"/>
      <c r="J140" s="1707"/>
      <c r="K140" s="1685"/>
      <c r="L140" s="1685"/>
      <c r="M140" s="1685"/>
      <c r="N140" s="1685"/>
      <c r="O140" s="1685"/>
      <c r="P140" s="1685"/>
      <c r="Q140" s="1685"/>
      <c r="R140" s="1685"/>
      <c r="S140" s="1685"/>
      <c r="T140" s="1685"/>
      <c r="U140" s="1685"/>
      <c r="V140" s="1685"/>
      <c r="W140" s="1685"/>
      <c r="X140" s="1685"/>
      <c r="Y140" s="1685"/>
      <c r="Z140" s="1685"/>
      <c r="AA140" s="1685"/>
      <c r="AB140" s="1685"/>
      <c r="AC140" s="1685"/>
      <c r="AD140" s="2069"/>
      <c r="AE140" s="2073"/>
      <c r="AF140" s="1685"/>
      <c r="AG140" s="1685" t="s">
        <v>847</v>
      </c>
      <c r="AH140" s="1685" t="s">
        <v>927</v>
      </c>
      <c r="AI140" s="1685" t="s">
        <v>125</v>
      </c>
      <c r="AM140" s="1686" t="s">
        <v>2265</v>
      </c>
      <c r="AN140" s="1685" t="s">
        <v>2237</v>
      </c>
      <c r="AO140" s="1685" t="s">
        <v>846</v>
      </c>
      <c r="AP140" s="1685"/>
      <c r="AQ140" s="1685"/>
      <c r="BQ140" s="1685" t="s">
        <v>847</v>
      </c>
      <c r="BR140" s="1685" t="s">
        <v>927</v>
      </c>
      <c r="BS140" s="1685" t="s">
        <v>125</v>
      </c>
      <c r="BW140" s="1686" t="s">
        <v>2265</v>
      </c>
    </row>
    <row r="141" spans="1:75" ht="15">
      <c r="A141" s="1685"/>
      <c r="B141" s="1685"/>
      <c r="C141" s="1685"/>
      <c r="D141" s="1685"/>
      <c r="E141" s="1686" t="s">
        <v>963</v>
      </c>
      <c r="F141" s="1707" t="s">
        <v>150</v>
      </c>
      <c r="G141" s="1685" t="str">
        <f>IF(ISNA(VLOOKUP(F141,'01_1_General Data'!$E$75:$F$82,1,FALSE)),"",VLOOKUP(F141,'01_1_General Data'!$E$75:$F$82,1,FALSE))</f>
        <v/>
      </c>
      <c r="H141" s="1685" t="str">
        <f>IF(AND(G141="",G146=""),"","True")</f>
        <v/>
      </c>
      <c r="I141" s="1705"/>
      <c r="J141" s="1686"/>
      <c r="K141" s="1685"/>
      <c r="L141" s="1685"/>
      <c r="M141" s="1685"/>
      <c r="N141" s="1685"/>
      <c r="O141" s="1685"/>
      <c r="P141" s="1685"/>
      <c r="Q141" s="1685"/>
      <c r="R141" s="1685"/>
      <c r="S141" s="1685"/>
      <c r="T141" s="1685"/>
      <c r="U141" s="1685"/>
      <c r="V141" s="1685"/>
      <c r="W141" s="1685"/>
      <c r="X141" s="1685"/>
      <c r="Y141" s="1685"/>
      <c r="Z141" s="1685"/>
      <c r="AA141" s="1685"/>
      <c r="AB141" s="1685"/>
      <c r="AC141" s="1685"/>
      <c r="AD141" s="2069"/>
      <c r="AE141" s="2073"/>
      <c r="AF141" s="1685"/>
      <c r="AG141" s="1685"/>
      <c r="AM141" s="1686" t="s">
        <v>150</v>
      </c>
      <c r="AN141" s="1706" t="str">
        <f>IF(OR(TCATrigger="No",ISNA(VLOOKUP(AM141,'01_1_General Data'!$E$75:$F$82,1,FALSE))),"",VLOOKUP(AM141,'01_1_General Data'!$E$75:$F$82,1,FALSE))</f>
        <v/>
      </c>
      <c r="AO141" s="1706" t="str">
        <f>IF(AND(AN141="",AN146=""),"","True")</f>
        <v/>
      </c>
      <c r="AP141" s="1685"/>
      <c r="AQ141" s="1685"/>
      <c r="BQ141" s="1685"/>
      <c r="BW141" s="1686" t="s">
        <v>150</v>
      </c>
    </row>
    <row r="142" spans="1:75" ht="15">
      <c r="A142" s="1685"/>
      <c r="B142" s="1685"/>
      <c r="C142" s="1685"/>
      <c r="D142" s="1685"/>
      <c r="E142" s="1686" t="s">
        <v>964</v>
      </c>
      <c r="F142" s="1686" t="s">
        <v>965</v>
      </c>
      <c r="G142" s="1685" t="str">
        <f>IF(ISNA(VLOOKUP(F142,'01_1_General Data'!$E$75:$F$82,1,FALSE)),"",VLOOKUP(F142,'01_1_General Data'!$E$75:$F$82,1,FALSE))</f>
        <v/>
      </c>
      <c r="H142" s="1685" t="str">
        <f t="shared" ref="H142:H148" si="0">IF(G142="","","True")</f>
        <v/>
      </c>
      <c r="I142" s="1705"/>
      <c r="J142" s="1686"/>
      <c r="K142" s="1685"/>
      <c r="L142" s="1685"/>
      <c r="M142" s="1685"/>
      <c r="N142" s="1685"/>
      <c r="O142" s="1685"/>
      <c r="P142" s="1685"/>
      <c r="Q142" s="1685"/>
      <c r="R142" s="1685"/>
      <c r="S142" s="1685"/>
      <c r="T142" s="1685"/>
      <c r="U142" s="1685"/>
      <c r="V142" s="1685"/>
      <c r="W142" s="1685"/>
      <c r="X142" s="1685"/>
      <c r="Y142" s="1685"/>
      <c r="Z142" s="1685"/>
      <c r="AA142" s="1685"/>
      <c r="AB142" s="1685"/>
      <c r="AC142" s="1685"/>
      <c r="AD142" s="2069"/>
      <c r="AE142" s="2073"/>
      <c r="AF142" s="1685"/>
      <c r="AM142" s="1707" t="s">
        <v>965</v>
      </c>
      <c r="AN142" s="1709" t="str">
        <f>IF(OR(TCATrigger="No",ISNA(VLOOKUP(AM142,'01_1_General Data'!$E$75:$F$82,1,FALSE))),"",VLOOKUP(AM142,'01_1_General Data'!$E$75:$F$82,1,FALSE))</f>
        <v/>
      </c>
      <c r="AO142" s="1706" t="str">
        <f t="shared" ref="AO142" si="1">IF(AN142="","","True")</f>
        <v/>
      </c>
      <c r="AP142" s="1707"/>
      <c r="AQ142" s="1685"/>
      <c r="AR142" s="1707"/>
      <c r="BW142" s="1707" t="s">
        <v>965</v>
      </c>
    </row>
    <row r="143" spans="1:75" ht="15">
      <c r="A143" s="1685"/>
      <c r="B143" s="1685"/>
      <c r="C143" s="1685"/>
      <c r="D143" s="1685"/>
      <c r="E143" s="1685"/>
      <c r="F143" s="1707" t="s">
        <v>198</v>
      </c>
      <c r="G143" s="1685" t="str">
        <f>IF(ISNA(VLOOKUP(F143,'01_1_General Data'!$E$75:$F$82,1,FALSE)),"",VLOOKUP(F143,'01_1_General Data'!$E$75:$F$82,1,FALSE))</f>
        <v/>
      </c>
      <c r="H143" s="1685" t="str">
        <f t="shared" si="0"/>
        <v/>
      </c>
      <c r="I143" s="1705"/>
      <c r="J143" s="1686"/>
      <c r="K143" s="1685"/>
      <c r="L143" s="1685"/>
      <c r="M143" s="1685"/>
      <c r="N143" s="1685"/>
      <c r="O143" s="1685"/>
      <c r="P143" s="1685"/>
      <c r="Q143" s="1685"/>
      <c r="R143" s="1685"/>
      <c r="S143" s="1685"/>
      <c r="T143" s="1685"/>
      <c r="U143" s="1685"/>
      <c r="V143" s="1685"/>
      <c r="W143" s="1685"/>
      <c r="X143" s="1685"/>
      <c r="Y143" s="1685"/>
      <c r="Z143" s="1685"/>
      <c r="AA143" s="1685"/>
      <c r="AB143" s="1685"/>
      <c r="AC143" s="1685"/>
      <c r="AD143" s="2069"/>
      <c r="AE143" s="2073"/>
      <c r="AF143" s="1685"/>
      <c r="AG143" s="1685"/>
      <c r="AM143" s="1707" t="s">
        <v>198</v>
      </c>
      <c r="AN143" s="1706" t="str">
        <f>IF(OR(TCATrigger="No",ISNA(VLOOKUP(AM143,'01_1_General Data'!$E$75:$F$82,1,FALSE))),"",VLOOKUP(AM143,'01_1_General Data'!$E$75:$F$82,1,FALSE))</f>
        <v/>
      </c>
      <c r="AO143" s="1706" t="str">
        <f t="shared" ref="AO143" si="2">IF(AN143="","","True")</f>
        <v/>
      </c>
      <c r="AP143" s="1685"/>
      <c r="AQ143" s="1685"/>
      <c r="AR143" s="1705"/>
      <c r="BQ143" s="1685"/>
      <c r="BW143" s="1707" t="s">
        <v>198</v>
      </c>
    </row>
    <row r="144" spans="1:75" ht="15">
      <c r="A144" s="1685"/>
      <c r="B144" s="1685"/>
      <c r="C144" s="1685"/>
      <c r="D144" s="1685"/>
      <c r="E144" s="1685"/>
      <c r="F144" s="1686" t="s">
        <v>211</v>
      </c>
      <c r="G144" s="1685" t="str">
        <f>IF(ISNA(VLOOKUP(F144,'01_1_General Data'!$E$75:$F$82,1,FALSE)),"",VLOOKUP(F144,'01_1_General Data'!$E$75:$F$82,1,FALSE))</f>
        <v/>
      </c>
      <c r="H144" s="1685" t="str">
        <f t="shared" si="0"/>
        <v/>
      </c>
      <c r="I144" s="1705"/>
      <c r="J144" s="1686"/>
      <c r="K144" s="1685"/>
      <c r="L144" s="1685"/>
      <c r="M144" s="1685"/>
      <c r="N144" s="1685"/>
      <c r="O144" s="1685"/>
      <c r="P144" s="1685"/>
      <c r="Q144" s="1685"/>
      <c r="R144" s="1685"/>
      <c r="S144" s="1685"/>
      <c r="T144" s="1685"/>
      <c r="U144" s="1685"/>
      <c r="V144" s="1685"/>
      <c r="W144" s="1685"/>
      <c r="X144" s="1685"/>
      <c r="Y144" s="1685"/>
      <c r="Z144" s="1685"/>
      <c r="AA144" s="1685"/>
      <c r="AB144" s="1685"/>
      <c r="AC144" s="1685"/>
      <c r="AD144" s="2069"/>
      <c r="AE144" s="2073"/>
      <c r="AF144" s="1685"/>
      <c r="AG144" s="1685"/>
      <c r="AM144" s="1686" t="s">
        <v>211</v>
      </c>
      <c r="AN144" s="1706" t="str">
        <f>IF(OR(TCATrigger="No",ISNA(VLOOKUP(AM144,'01_1_General Data'!$E$75:$F$82,1,FALSE))),"",VLOOKUP(AM144,'01_1_General Data'!$E$75:$F$82,1,FALSE))</f>
        <v/>
      </c>
      <c r="AO144" s="1706" t="str">
        <f t="shared" ref="AO144" si="3">IF(AN144="","","True")</f>
        <v/>
      </c>
      <c r="AP144" s="1685"/>
      <c r="AQ144" s="1685"/>
      <c r="AR144" s="1705"/>
      <c r="BQ144" s="1685"/>
      <c r="BW144" s="1686" t="s">
        <v>211</v>
      </c>
    </row>
    <row r="145" spans="1:75" ht="15">
      <c r="A145" s="1685"/>
      <c r="B145" s="1685"/>
      <c r="C145" s="1685"/>
      <c r="D145" s="1685"/>
      <c r="E145" s="1685"/>
      <c r="F145" s="1686" t="s">
        <v>220</v>
      </c>
      <c r="G145" s="1685" t="str">
        <f>IF(ISNA(VLOOKUP(F145,'01_1_General Data'!$E$75:$F$82,1,FALSE)),"",VLOOKUP(F145,'01_1_General Data'!$E$75:$F$82,1,FALSE))</f>
        <v/>
      </c>
      <c r="H145" s="1685" t="str">
        <f t="shared" si="0"/>
        <v/>
      </c>
      <c r="I145" s="1705"/>
      <c r="J145" s="1686"/>
      <c r="K145" s="1685"/>
      <c r="L145" s="1685"/>
      <c r="M145" s="1685"/>
      <c r="N145" s="1685"/>
      <c r="O145" s="1685"/>
      <c r="P145" s="1685"/>
      <c r="Q145" s="1685"/>
      <c r="R145" s="1685"/>
      <c r="S145" s="1685"/>
      <c r="T145" s="1685"/>
      <c r="U145" s="1685"/>
      <c r="V145" s="1685"/>
      <c r="W145" s="1685"/>
      <c r="X145" s="1685"/>
      <c r="Y145" s="1685"/>
      <c r="Z145" s="1685"/>
      <c r="AA145" s="1685"/>
      <c r="AB145" s="1685"/>
      <c r="AC145" s="1685"/>
      <c r="AD145" s="2069"/>
      <c r="AE145" s="2073"/>
      <c r="AF145" s="1685"/>
      <c r="AG145" s="1685"/>
      <c r="AM145" s="1707" t="s">
        <v>220</v>
      </c>
      <c r="AN145" s="1706" t="str">
        <f>IF(OR(TCATrigger="No",ISNA(VLOOKUP(AM145,'01_1_General Data'!$E$75:$F$82,1,FALSE))),"",VLOOKUP(AM145,'01_1_General Data'!$E$75:$F$82,1,FALSE))</f>
        <v/>
      </c>
      <c r="AO145" s="1706" t="str">
        <f t="shared" ref="AO145" si="4">IF(AN145="","","True")</f>
        <v/>
      </c>
      <c r="AP145" s="1685"/>
      <c r="AQ145" s="1685"/>
      <c r="AR145" s="1705"/>
      <c r="BQ145" s="1685"/>
      <c r="BW145" s="1707" t="s">
        <v>220</v>
      </c>
    </row>
    <row r="146" spans="1:75" ht="15">
      <c r="A146" s="1685"/>
      <c r="B146" s="1685"/>
      <c r="C146" s="1685"/>
      <c r="D146" s="1685"/>
      <c r="E146" s="1685"/>
      <c r="F146" s="1686" t="s">
        <v>229</v>
      </c>
      <c r="G146" s="1685" t="str">
        <f>IF(ISNA(VLOOKUP(F146,'01_1_General Data'!$E$75:$F$82,1,FALSE)),"",VLOOKUP(F146,'01_1_General Data'!$E$75:$F$82,1,FALSE))</f>
        <v/>
      </c>
      <c r="H146" s="1685" t="str">
        <f t="shared" si="0"/>
        <v/>
      </c>
      <c r="I146" s="1705"/>
      <c r="J146" s="1686"/>
      <c r="K146" s="1685"/>
      <c r="L146" s="1685"/>
      <c r="M146" s="1685"/>
      <c r="N146" s="1685"/>
      <c r="O146" s="1685"/>
      <c r="P146" s="1685"/>
      <c r="Q146" s="1685"/>
      <c r="R146" s="1685"/>
      <c r="S146" s="1685"/>
      <c r="T146" s="1685"/>
      <c r="U146" s="1685"/>
      <c r="V146" s="1685"/>
      <c r="W146" s="1685"/>
      <c r="X146" s="1685"/>
      <c r="Y146" s="1685"/>
      <c r="Z146" s="1685"/>
      <c r="AA146" s="1685"/>
      <c r="AB146" s="1685"/>
      <c r="AC146" s="1685"/>
      <c r="AD146" s="2069"/>
      <c r="AE146" s="2073"/>
      <c r="AF146" s="1685"/>
      <c r="AG146" s="1685"/>
      <c r="AM146" s="1707" t="s">
        <v>229</v>
      </c>
      <c r="AN146" s="1706" t="str">
        <f>IF(OR(TCATrigger="No",ISNA(VLOOKUP(AM146,'01_1_General Data'!$E$75:$F$82,1,FALSE))),"",VLOOKUP(AM146,'01_1_General Data'!$E$75:$F$82,1,FALSE))</f>
        <v/>
      </c>
      <c r="AO146" s="1706" t="str">
        <f t="shared" ref="AO146" si="5">IF(AN146="","","True")</f>
        <v/>
      </c>
      <c r="AP146" s="1685"/>
      <c r="AQ146" s="1685"/>
      <c r="AR146" s="1705"/>
      <c r="BQ146" s="1685"/>
      <c r="BW146" s="1707" t="s">
        <v>229</v>
      </c>
    </row>
    <row r="147" spans="1:75" ht="15">
      <c r="A147" s="1685"/>
      <c r="B147" s="1685"/>
      <c r="C147" s="1685"/>
      <c r="D147" s="1685"/>
      <c r="E147" s="1685"/>
      <c r="F147" s="1710"/>
      <c r="G147" s="1685" t="str">
        <f>IF(ISNA(VLOOKUP(F147,'01_1_General Data'!$E$75:$F$82,1,FALSE)),"",VLOOKUP(F147,'01_1_General Data'!$E$75:$F$82,1,FALSE))</f>
        <v/>
      </c>
      <c r="H147" s="1685" t="str">
        <f t="shared" si="0"/>
        <v/>
      </c>
      <c r="I147" s="1705"/>
      <c r="J147" s="1686"/>
      <c r="K147" s="1685"/>
      <c r="L147" s="1685"/>
      <c r="M147" s="1685"/>
      <c r="N147" s="1685"/>
      <c r="O147" s="1685"/>
      <c r="P147" s="1685"/>
      <c r="Q147" s="1685"/>
      <c r="R147" s="1685"/>
      <c r="S147" s="1685"/>
      <c r="T147" s="1685"/>
      <c r="U147" s="1685"/>
      <c r="V147" s="1685"/>
      <c r="W147" s="1685"/>
      <c r="X147" s="1685"/>
      <c r="Y147" s="1685"/>
      <c r="Z147" s="1685"/>
      <c r="AA147" s="1685"/>
      <c r="AB147" s="1685"/>
      <c r="AC147" s="1685"/>
      <c r="AD147" s="2069"/>
      <c r="AE147" s="2073"/>
      <c r="AF147" s="1685"/>
      <c r="AG147" s="1685"/>
      <c r="AM147" s="1710"/>
      <c r="AN147" s="1685" t="str">
        <f>IF(OR(TCATrigger="No",ISNA(VLOOKUP(AM147,'01_1_General Data'!$E$75:$F$82,1,FALSE))),"",VLOOKUP(AM147,'01_1_General Data'!$E$75:$F$82,1,FALSE))</f>
        <v/>
      </c>
      <c r="AO147" s="1685" t="str">
        <f t="shared" ref="AO147" si="6">IF(AN147="","","True")</f>
        <v/>
      </c>
      <c r="AP147" s="1685"/>
      <c r="AQ147" s="1685"/>
      <c r="AR147" s="1705"/>
      <c r="BQ147" s="1685"/>
      <c r="BW147" s="1710"/>
    </row>
    <row r="148" spans="1:75" ht="15">
      <c r="A148" s="1685"/>
      <c r="B148" s="1685"/>
      <c r="C148" s="1685"/>
      <c r="D148" s="1685"/>
      <c r="E148" s="1685"/>
      <c r="F148" s="1710"/>
      <c r="G148" s="1685" t="str">
        <f>IF(ISNA(VLOOKUP(F148,'01_1_General Data'!$E$75:$F$82,1,FALSE)),"",VLOOKUP(F148,'01_1_General Data'!$E$75:$F$82,1,FALSE))</f>
        <v/>
      </c>
      <c r="H148" s="1685" t="str">
        <f t="shared" si="0"/>
        <v/>
      </c>
      <c r="I148" s="1705"/>
      <c r="J148" s="1686"/>
      <c r="K148" s="1685"/>
      <c r="L148" s="1685"/>
      <c r="M148" s="1685"/>
      <c r="N148" s="1685"/>
      <c r="O148" s="1685"/>
      <c r="P148" s="1685"/>
      <c r="Q148" s="1685"/>
      <c r="R148" s="1685"/>
      <c r="S148" s="1685"/>
      <c r="T148" s="1685"/>
      <c r="U148" s="1685"/>
      <c r="V148" s="1685"/>
      <c r="W148" s="1685"/>
      <c r="X148" s="1685"/>
      <c r="Y148" s="1685"/>
      <c r="Z148" s="1685"/>
      <c r="AA148" s="1685"/>
      <c r="AB148" s="1685"/>
      <c r="AC148" s="1685"/>
      <c r="AD148" s="2069"/>
      <c r="AE148" s="2073"/>
      <c r="AF148" s="1685"/>
      <c r="AG148" s="1685"/>
      <c r="AM148" s="1710"/>
      <c r="AN148" s="1685" t="str">
        <f>IF(OR(TCATrigger="No",ISNA(VLOOKUP(AM148,'01_1_General Data'!$E$75:$F$82,1,FALSE))),"",VLOOKUP(AM148,'01_1_General Data'!$E$75:$F$82,1,FALSE))</f>
        <v/>
      </c>
      <c r="AO148" s="1685" t="str">
        <f t="shared" ref="AO148" si="7">IF(AN148="","","True")</f>
        <v/>
      </c>
      <c r="AP148" s="1685"/>
      <c r="AQ148" s="1685"/>
      <c r="AR148" s="1705"/>
      <c r="BQ148" s="1685"/>
      <c r="BW148" s="1710"/>
    </row>
    <row r="149" spans="1:75" ht="15">
      <c r="A149" s="1685"/>
      <c r="B149" s="1685"/>
      <c r="C149" s="1685"/>
      <c r="D149" s="1685"/>
      <c r="E149" s="1685"/>
      <c r="F149" s="1686"/>
      <c r="G149" s="1685"/>
      <c r="H149" s="1685"/>
      <c r="I149" s="1705"/>
      <c r="J149" s="1686"/>
      <c r="K149" s="1708"/>
      <c r="L149" s="1685"/>
      <c r="M149" s="1685"/>
      <c r="N149" s="1685"/>
      <c r="O149" s="1685"/>
      <c r="P149" s="1685"/>
      <c r="Q149" s="1685"/>
      <c r="R149" s="1685"/>
      <c r="S149" s="1685"/>
      <c r="T149" s="1685"/>
      <c r="U149" s="1685"/>
      <c r="V149" s="1685"/>
      <c r="W149" s="1685"/>
      <c r="X149" s="1685"/>
      <c r="Y149" s="1685"/>
      <c r="Z149" s="1685"/>
      <c r="AA149" s="1685"/>
      <c r="AB149" s="1685"/>
      <c r="AC149" s="1685"/>
      <c r="AD149" s="2069"/>
      <c r="AE149" s="2073"/>
      <c r="AF149" s="1685"/>
      <c r="AG149" s="1685"/>
      <c r="AM149" s="1686"/>
      <c r="AN149" s="1685"/>
      <c r="AO149" s="1685"/>
      <c r="AP149" s="1685"/>
      <c r="AQ149" s="1685"/>
      <c r="AR149" s="1705"/>
      <c r="BQ149" s="1685"/>
      <c r="BW149" s="1686"/>
    </row>
    <row r="150" spans="1:75" ht="15">
      <c r="A150" s="1685"/>
      <c r="B150" s="1685"/>
      <c r="C150" s="1685"/>
      <c r="D150" s="1685"/>
      <c r="E150" s="1685"/>
      <c r="F150" s="1708" t="s">
        <v>2267</v>
      </c>
      <c r="G150" s="1711" t="s">
        <v>2271</v>
      </c>
      <c r="H150" s="1708" t="s">
        <v>2268</v>
      </c>
      <c r="I150" s="1711" t="s">
        <v>2272</v>
      </c>
      <c r="J150" s="1711" t="s">
        <v>2273</v>
      </c>
      <c r="K150" s="1711" t="s">
        <v>2275</v>
      </c>
      <c r="L150" s="1711" t="s">
        <v>2269</v>
      </c>
      <c r="M150" s="1711" t="s">
        <v>2274</v>
      </c>
      <c r="N150" s="1685"/>
      <c r="O150" s="1685"/>
      <c r="P150" s="1685"/>
      <c r="Q150" s="1685"/>
      <c r="R150" s="1685"/>
      <c r="S150" s="1685"/>
      <c r="T150" s="1685"/>
      <c r="U150" s="1685"/>
      <c r="V150" s="1685"/>
      <c r="W150" s="1685"/>
      <c r="X150" s="1685"/>
      <c r="Y150" s="1685"/>
      <c r="Z150" s="1685"/>
      <c r="AA150" s="1685"/>
      <c r="AB150" s="1685"/>
      <c r="AC150" s="1685"/>
      <c r="AD150" s="2069"/>
      <c r="AE150" s="2073"/>
      <c r="AF150" s="1685"/>
      <c r="AG150" s="1685"/>
      <c r="AL150" s="1685"/>
      <c r="AM150" s="1708" t="s">
        <v>2267</v>
      </c>
      <c r="AN150" s="1711" t="s">
        <v>2271</v>
      </c>
      <c r="AO150" s="1708" t="s">
        <v>2268</v>
      </c>
      <c r="AP150" s="1711" t="s">
        <v>2272</v>
      </c>
      <c r="AQ150" s="1711" t="s">
        <v>2273</v>
      </c>
      <c r="AR150" s="1711" t="s">
        <v>2275</v>
      </c>
      <c r="AS150" s="1711" t="s">
        <v>2269</v>
      </c>
      <c r="AT150" s="1711" t="s">
        <v>2274</v>
      </c>
      <c r="AU150" s="1685"/>
      <c r="BQ150" s="1685"/>
      <c r="BW150" s="1708" t="s">
        <v>2267</v>
      </c>
    </row>
    <row r="151" spans="1:75" ht="15">
      <c r="A151" s="1685"/>
      <c r="B151" s="1685"/>
      <c r="C151" s="1685"/>
      <c r="D151" s="1685"/>
      <c r="E151" s="1685">
        <v>1</v>
      </c>
      <c r="F151" s="1707" t="s">
        <v>236</v>
      </c>
      <c r="G151" s="1685" t="str">
        <f>IF(rng01_Proj_Amen1="Other (Comment)",rng01_Proj_Amen1,"")</f>
        <v/>
      </c>
      <c r="H151" s="1708" t="str">
        <f>IF(G151="","",1)</f>
        <v/>
      </c>
      <c r="I151" s="1685" t="str">
        <f>IF(G151="","",SUM($H$151))</f>
        <v/>
      </c>
      <c r="J151" s="1685" t="str">
        <f>IF($G$151="","","True")</f>
        <v/>
      </c>
      <c r="K151" s="1685" t="b">
        <f>IF(COUNTIF(Amenities,1),TRUE,FALSE)</f>
        <v>0</v>
      </c>
      <c r="L151" s="1705" t="str">
        <f>IF(ISNA(VLOOKUP(rng01_Proj_Amen1,ProjAmen,1,FALSE)),"",IF(VLOOKUP(rng01_Proj_Amen1,ProjAmen,1,FALSE)="Other (Comment)",rng01_Proj_Amen1_Comments,""))</f>
        <v/>
      </c>
      <c r="M151" s="1686" t="str">
        <f>IFERROR(VLOOKUP(E151,$I$151:$L$158,4,FALSE),"")</f>
        <v/>
      </c>
      <c r="N151" s="1685"/>
      <c r="O151" s="1685"/>
      <c r="P151" s="1685"/>
      <c r="Q151" s="1685"/>
      <c r="R151" s="1685"/>
      <c r="S151" s="1685"/>
      <c r="T151" s="1685"/>
      <c r="U151" s="1685"/>
      <c r="V151" s="1685"/>
      <c r="W151" s="1685"/>
      <c r="X151" s="1685"/>
      <c r="Y151" s="1685"/>
      <c r="Z151" s="1685"/>
      <c r="AA151" s="1685"/>
      <c r="AB151" s="1685"/>
      <c r="AC151" s="1685"/>
      <c r="AD151" s="2069"/>
      <c r="AE151" s="2073"/>
      <c r="AF151" s="1685"/>
      <c r="AG151" s="1685"/>
      <c r="AL151" s="1685">
        <v>1</v>
      </c>
      <c r="AM151" s="1712" t="s">
        <v>236</v>
      </c>
      <c r="AN151" s="1685" t="str">
        <f>IF(AND(TCATrigger="Yes",rng01_Proj_Amen1="Other (Comment)"),rng01_Proj_Amen1,"")</f>
        <v/>
      </c>
      <c r="AO151" s="1708" t="str">
        <f t="shared" ref="AO151:AO158" si="8">IF(AN151="Other (Comment)",1,"")</f>
        <v/>
      </c>
      <c r="AP151" s="1685" t="str">
        <f>IF(AN151="","",SUM($AO$151))</f>
        <v/>
      </c>
      <c r="AQ151" s="1685" t="str">
        <f>IF($AN$151="","","True")</f>
        <v/>
      </c>
      <c r="AR151" s="1685" t="e">
        <f>IF(#REF!="No","",K151)</f>
        <v>#REF!</v>
      </c>
      <c r="AS151" s="1705" t="str">
        <f>IF(OR(ISNA(VLOOKUP(rng01_Proj_Amen1,ProjAmen,1,FALSE)),TCATrigger="No"),"",IF(VLOOKUP(rng01_Proj_Amen1,ProjAmen,1,FALSE)="Other (Comment)",rng01_Proj_Amen1_Comments,""))</f>
        <v/>
      </c>
      <c r="AT151" s="1686" t="e">
        <f>IF(#REF!="No","",M151)</f>
        <v>#REF!</v>
      </c>
      <c r="AU151" s="1685"/>
      <c r="BQ151" s="1685"/>
      <c r="BW151" s="1712" t="s">
        <v>236</v>
      </c>
    </row>
    <row r="152" spans="1:75" ht="15">
      <c r="A152" s="1685"/>
      <c r="B152" s="1685"/>
      <c r="C152" s="1685"/>
      <c r="D152" s="1685"/>
      <c r="E152" s="1685">
        <v>2</v>
      </c>
      <c r="F152" s="1707" t="s">
        <v>236</v>
      </c>
      <c r="G152" s="1685" t="str">
        <f>IF(rng01_Proj_Amen2="Other (Comment)",rng01_Proj_Amen2,"")</f>
        <v/>
      </c>
      <c r="H152" s="1708" t="str">
        <f t="shared" ref="H152:H158" si="9">IF(G152="","",1)</f>
        <v/>
      </c>
      <c r="I152" s="1685" t="str">
        <f>IF(G152="","",SUM($H$151:H152))</f>
        <v/>
      </c>
      <c r="J152" s="1685" t="str">
        <f>IF($G$152="","","True")</f>
        <v/>
      </c>
      <c r="K152" s="1685" t="b">
        <f>IF(COUNTIF(Amenities,2),TRUE,FALSE)</f>
        <v>0</v>
      </c>
      <c r="L152" s="1705" t="str">
        <f>IF(ISNA(VLOOKUP(rng01_Proj_Amen2,ProjAmen,1,FALSE)),"",IF(VLOOKUP(rng01_Proj_Amen2,ProjAmen,1,FALSE)="Other (Comment)",rng01_Proj_Amen2_Comments,""))</f>
        <v/>
      </c>
      <c r="M152" s="1686" t="str">
        <f t="shared" ref="M152:M158" si="10">IFERROR(VLOOKUP(E152,$I$151:$L$158,4,FALSE),"")</f>
        <v/>
      </c>
      <c r="N152" s="1685"/>
      <c r="O152" s="1685"/>
      <c r="P152" s="1685"/>
      <c r="Q152" s="1685"/>
      <c r="R152" s="1685"/>
      <c r="S152" s="1685"/>
      <c r="T152" s="1685"/>
      <c r="U152" s="1685"/>
      <c r="V152" s="1685"/>
      <c r="W152" s="1685"/>
      <c r="X152" s="1685"/>
      <c r="Y152" s="1685"/>
      <c r="Z152" s="1685"/>
      <c r="AA152" s="1685"/>
      <c r="AB152" s="1685"/>
      <c r="AC152" s="1685"/>
      <c r="AD152" s="2069"/>
      <c r="AE152" s="2073"/>
      <c r="AF152" s="1685"/>
      <c r="AG152" s="1685"/>
      <c r="AL152" s="1685">
        <v>2</v>
      </c>
      <c r="AM152" s="1707" t="s">
        <v>236</v>
      </c>
      <c r="AN152" s="1685" t="str">
        <f>IF(AND(TCATrigger="Yes",rng01_Proj_Amen2="Other (Comment)"),rng01_Proj_Amen2,"")</f>
        <v/>
      </c>
      <c r="AO152" s="1708" t="str">
        <f t="shared" si="8"/>
        <v/>
      </c>
      <c r="AP152" s="1685" t="str">
        <f>IF(AN152="","",SUM($AO$151:AO152))</f>
        <v/>
      </c>
      <c r="AQ152" s="1685" t="str">
        <f>IF($AN$152="","","True")</f>
        <v/>
      </c>
      <c r="AR152" s="1685" t="e">
        <f>IF(#REF!="No","",K152)</f>
        <v>#REF!</v>
      </c>
      <c r="AS152" s="1705" t="str">
        <f>IF(OR(ISNA(VLOOKUP(rng01_Proj_Amen2,ProjAmen,1,FALSE)),TCATrigger="No"),"",IF(VLOOKUP(rng01_Proj_Amen2,ProjAmen,1,FALSE)="Other (Comment)",rng01_Proj_Amen2_Comments,""))</f>
        <v/>
      </c>
      <c r="AT152" s="1686" t="e">
        <f>IF(#REF!="No","",M152)</f>
        <v>#REF!</v>
      </c>
      <c r="AU152" s="1685"/>
      <c r="BQ152" s="1685"/>
      <c r="BW152" s="1707" t="s">
        <v>236</v>
      </c>
    </row>
    <row r="153" spans="1:75" ht="15">
      <c r="A153" s="1685"/>
      <c r="B153" s="1685"/>
      <c r="C153" s="1685"/>
      <c r="D153" s="1685"/>
      <c r="E153" s="1685">
        <v>3</v>
      </c>
      <c r="F153" s="1707" t="s">
        <v>236</v>
      </c>
      <c r="G153" s="1685" t="str">
        <f>IF(rng01_Proj_Amen3="Other (Comment)",rng01_Proj_Amen3,"")</f>
        <v/>
      </c>
      <c r="H153" s="1708" t="str">
        <f t="shared" si="9"/>
        <v/>
      </c>
      <c r="I153" s="1685" t="str">
        <f>IF(G153="","",SUM($H$151:H153))</f>
        <v/>
      </c>
      <c r="J153" s="1685" t="str">
        <f>IF($G$153="","","True")</f>
        <v/>
      </c>
      <c r="K153" s="1685" t="b">
        <f>IF(COUNTIF(Amenities,3),TRUE,FALSE)</f>
        <v>0</v>
      </c>
      <c r="L153" s="1705" t="str">
        <f>IF(ISNA(VLOOKUP(rng01_Proj_Amen3,ProjAmen,1,FALSE)),"",IF(VLOOKUP(rng01_Proj_Amen3,ProjAmen,1,FALSE)="Other (Comment)",rng01_Proj_Amen3_Comments,""))</f>
        <v/>
      </c>
      <c r="M153" s="1686" t="str">
        <f t="shared" si="10"/>
        <v/>
      </c>
      <c r="N153" s="1685"/>
      <c r="O153" s="1685"/>
      <c r="P153" s="1685"/>
      <c r="Q153" s="1685"/>
      <c r="R153" s="1685"/>
      <c r="S153" s="1685"/>
      <c r="T153" s="1685"/>
      <c r="U153" s="1685"/>
      <c r="V153" s="1685"/>
      <c r="W153" s="1685"/>
      <c r="X153" s="1685"/>
      <c r="Y153" s="1685"/>
      <c r="Z153" s="1685"/>
      <c r="AA153" s="1685"/>
      <c r="AB153" s="1685"/>
      <c r="AC153" s="1685"/>
      <c r="AD153" s="2069"/>
      <c r="AE153" s="2073"/>
      <c r="AF153" s="1685"/>
      <c r="AG153" s="1685"/>
      <c r="AL153" s="1685">
        <v>3</v>
      </c>
      <c r="AM153" s="1707" t="s">
        <v>236</v>
      </c>
      <c r="AN153" s="1685" t="str">
        <f>IF(AND(TCATrigger="Yes",rng01_Proj_Amen3="Other (Comment)"),rng01_Proj_Amen3,"")</f>
        <v/>
      </c>
      <c r="AO153" s="1708" t="str">
        <f t="shared" si="8"/>
        <v/>
      </c>
      <c r="AP153" s="1685" t="str">
        <f>IF(AN153="","",SUM($AO$151:AO153))</f>
        <v/>
      </c>
      <c r="AQ153" s="1685" t="str">
        <f>IF($AN$153="","","True")</f>
        <v/>
      </c>
      <c r="AR153" s="1685" t="e">
        <f>IF(#REF!="No","",K153)</f>
        <v>#REF!</v>
      </c>
      <c r="AS153" s="1705" t="str">
        <f>IF(OR(ISNA(VLOOKUP(rng01_Proj_Amen3,ProjAmen,1,FALSE)),TCATrigger="No"),"",IF(VLOOKUP(rng01_Proj_Amen3,ProjAmen,1,FALSE)="Other (Comment)",rng01_Proj_Amen3_Comments,""))</f>
        <v/>
      </c>
      <c r="AT153" s="1686" t="e">
        <f>IF(#REF!="No","",M153)</f>
        <v>#REF!</v>
      </c>
      <c r="AU153" s="1685"/>
      <c r="BQ153" s="1685"/>
      <c r="BW153" s="1707" t="s">
        <v>236</v>
      </c>
    </row>
    <row r="154" spans="1:75" ht="15">
      <c r="A154" s="1685"/>
      <c r="B154" s="1685"/>
      <c r="C154" s="1685"/>
      <c r="D154" s="1685"/>
      <c r="E154" s="1685">
        <v>4</v>
      </c>
      <c r="F154" s="1707" t="s">
        <v>236</v>
      </c>
      <c r="G154" s="1685" t="str">
        <f>IF(rng01_Proj_Amen4="Other (Comment)",rng01_Proj_Amen4,"")</f>
        <v/>
      </c>
      <c r="H154" s="1708" t="str">
        <f t="shared" si="9"/>
        <v/>
      </c>
      <c r="I154" s="1685" t="str">
        <f>IF(G154="","",SUM($H$151:H154))</f>
        <v/>
      </c>
      <c r="J154" s="1685" t="str">
        <f>IF($G$154="","","True")</f>
        <v/>
      </c>
      <c r="K154" s="1685" t="b">
        <f>IF(COUNTIF(Amenities,4),TRUE,FALSE)</f>
        <v>0</v>
      </c>
      <c r="L154" s="1705" t="str">
        <f>IF(ISNA(VLOOKUP(rng01_Proj_Amen4,ProjAmen,1,FALSE)),"",IF(VLOOKUP(rng01_Proj_Amen4,ProjAmen,1,FALSE)="Other (Comment)",rng01_Proj_Amen4_Comments,""))</f>
        <v/>
      </c>
      <c r="M154" s="1686" t="str">
        <f t="shared" si="10"/>
        <v/>
      </c>
      <c r="N154" s="1685"/>
      <c r="O154" s="1685"/>
      <c r="P154" s="1685"/>
      <c r="Q154" s="1685"/>
      <c r="R154" s="1685"/>
      <c r="S154" s="1685"/>
      <c r="T154" s="1685"/>
      <c r="U154" s="1685"/>
      <c r="V154" s="1685"/>
      <c r="W154" s="1685"/>
      <c r="X154" s="1685"/>
      <c r="Y154" s="1685"/>
      <c r="Z154" s="1685"/>
      <c r="AA154" s="1685"/>
      <c r="AB154" s="1685"/>
      <c r="AC154" s="1685"/>
      <c r="AD154" s="2069"/>
      <c r="AE154" s="2073"/>
      <c r="AF154" s="1685"/>
      <c r="AG154" s="1685"/>
      <c r="AL154" s="1685">
        <v>4</v>
      </c>
      <c r="AM154" s="1707" t="s">
        <v>236</v>
      </c>
      <c r="AN154" s="1685" t="str">
        <f>IF(AND(TCATrigger="Yes",rng01_Proj_Amen4="Other (Comment)"),rng01_Proj_Amen4,"")</f>
        <v/>
      </c>
      <c r="AO154" s="1708" t="str">
        <f t="shared" si="8"/>
        <v/>
      </c>
      <c r="AP154" s="1685" t="str">
        <f>IF(AN154="","",SUM($AO$151:AO154))</f>
        <v/>
      </c>
      <c r="AQ154" s="1685" t="str">
        <f>IF($AN$154="","","True")</f>
        <v/>
      </c>
      <c r="AR154" s="1685" t="e">
        <f>IF(#REF!="No","",K154)</f>
        <v>#REF!</v>
      </c>
      <c r="AS154" s="1705" t="str">
        <f>IF(OR(ISNA(VLOOKUP(rng01_Proj_Amen4,ProjAmen,1,FALSE)),TCATrigger="No"),"",IF(VLOOKUP(rng01_Proj_Amen4,ProjAmen,1,FALSE)="Other (Comment)",rng01_Proj_Amen4_Comments,""))</f>
        <v/>
      </c>
      <c r="AT154" s="1686" t="e">
        <f>IF(#REF!="No","",M154)</f>
        <v>#REF!</v>
      </c>
      <c r="AU154" s="1685"/>
      <c r="BQ154" s="1685"/>
      <c r="BW154" s="1707" t="s">
        <v>236</v>
      </c>
    </row>
    <row r="155" spans="1:75" ht="15">
      <c r="A155" s="1685"/>
      <c r="B155" s="1685"/>
      <c r="C155" s="1685"/>
      <c r="D155" s="1685"/>
      <c r="E155" s="1685">
        <v>5</v>
      </c>
      <c r="F155" s="1707" t="s">
        <v>236</v>
      </c>
      <c r="G155" s="1685" t="str">
        <f>IF(rng01_Proj_Amen5="Other (Comment)",rng01_Proj_Amen5,"")</f>
        <v/>
      </c>
      <c r="H155" s="1708" t="str">
        <f t="shared" si="9"/>
        <v/>
      </c>
      <c r="I155" s="1685" t="str">
        <f>IF(G155="","",SUM($H$151:H155))</f>
        <v/>
      </c>
      <c r="J155" s="1685" t="str">
        <f>IF($G$155="","","True")</f>
        <v/>
      </c>
      <c r="K155" s="1685" t="b">
        <f>IF(COUNTIF(Amenities,5),TRUE,FALSE)</f>
        <v>0</v>
      </c>
      <c r="L155" s="1705" t="str">
        <f>IF(ISNA(VLOOKUP(rng01_Proj_Amen5,ProjAmen,1,FALSE)),"",IF(VLOOKUP(rng01_Proj_Amen5,ProjAmen,1,FALSE)="Other (Comment)",rng01_Proj_Amen5_Comments,""))</f>
        <v/>
      </c>
      <c r="M155" s="1686" t="str">
        <f t="shared" si="10"/>
        <v/>
      </c>
      <c r="N155" s="1685"/>
      <c r="O155" s="1685"/>
      <c r="P155" s="1685"/>
      <c r="Q155" s="1685"/>
      <c r="R155" s="1685"/>
      <c r="S155" s="1685"/>
      <c r="T155" s="1685"/>
      <c r="U155" s="1685"/>
      <c r="V155" s="1685"/>
      <c r="W155" s="1685"/>
      <c r="X155" s="1685"/>
      <c r="Y155" s="1685"/>
      <c r="Z155" s="1685"/>
      <c r="AA155" s="1685"/>
      <c r="AB155" s="1685"/>
      <c r="AC155" s="1685"/>
      <c r="AD155" s="2069"/>
      <c r="AE155" s="2073"/>
      <c r="AF155" s="1685"/>
      <c r="AG155" s="1685"/>
      <c r="AL155" s="1685">
        <v>5</v>
      </c>
      <c r="AM155" s="1707" t="s">
        <v>236</v>
      </c>
      <c r="AN155" s="1685" t="str">
        <f>IF(AND(TCATrigger="Yes",rng01_Proj_Amen5="Other (Comment)"),rng01_Proj_Amen5,"")</f>
        <v/>
      </c>
      <c r="AO155" s="1708" t="str">
        <f t="shared" si="8"/>
        <v/>
      </c>
      <c r="AP155" s="1685" t="str">
        <f>IF(AN155="","",SUM($AO$151:AO155))</f>
        <v/>
      </c>
      <c r="AQ155" s="1685" t="str">
        <f>IF($AN$155="","","True")</f>
        <v/>
      </c>
      <c r="AR155" s="1685" t="e">
        <f>IF(#REF!="No","",K155)</f>
        <v>#REF!</v>
      </c>
      <c r="AS155" s="1705" t="str">
        <f>IF(OR(ISNA(VLOOKUP(rng01_Proj_Amen5,ProjAmen,1,FALSE)),TCATrigger="No"),"",IF(VLOOKUP(rng01_Proj_Amen5,ProjAmen,1,FALSE)="Other (Comment)",rng01_Proj_Amen5_Comments,""))</f>
        <v/>
      </c>
      <c r="AT155" s="1686" t="e">
        <f>IF(#REF!="No","",M155)</f>
        <v>#REF!</v>
      </c>
      <c r="AU155" s="1685"/>
      <c r="BQ155" s="1685"/>
      <c r="BW155" s="1707" t="s">
        <v>236</v>
      </c>
    </row>
    <row r="156" spans="1:75" ht="15">
      <c r="A156" s="1685"/>
      <c r="B156" s="1685"/>
      <c r="C156" s="1685"/>
      <c r="D156" s="1685"/>
      <c r="E156" s="1685"/>
      <c r="F156" s="1707" t="s">
        <v>236</v>
      </c>
      <c r="G156" s="1685" t="str">
        <f>IF(rng01_Proj_Amen6="Other (Comment)",rng01_Proj_Amen6,"")</f>
        <v/>
      </c>
      <c r="H156" s="1708" t="str">
        <f t="shared" si="9"/>
        <v/>
      </c>
      <c r="I156" s="1685" t="str">
        <f>IF(G156="","",SUM($H$151:H156))</f>
        <v/>
      </c>
      <c r="J156" s="1685" t="str">
        <f>IF($G$156="","","True")</f>
        <v/>
      </c>
      <c r="K156" s="1713" t="b">
        <f>IF(COUNTIF(Amenities,6),TRUE,FALSE)</f>
        <v>0</v>
      </c>
      <c r="L156" s="1705" t="str">
        <f>IF(ISNA(VLOOKUP(rng01_Proj_Amen6,ProjAmen,1,FALSE)),"",IF(VLOOKUP(rng01_Proj_Amen6,ProjAmen,1,FALSE)="Other (Comment)",rng01_Proj_Amen6_Comments,""))</f>
        <v/>
      </c>
      <c r="M156" s="1710" t="str">
        <f>IFERROR(VLOOKUP(E156,$I$151:$L$158,4,FALSE),"")</f>
        <v/>
      </c>
      <c r="N156" s="1685"/>
      <c r="O156" s="1685"/>
      <c r="P156" s="1685"/>
      <c r="Q156" s="1685"/>
      <c r="R156" s="1685"/>
      <c r="S156" s="1685"/>
      <c r="T156" s="1685"/>
      <c r="U156" s="1685"/>
      <c r="V156" s="1685"/>
      <c r="W156" s="1685"/>
      <c r="X156" s="1685"/>
      <c r="Y156" s="1685"/>
      <c r="Z156" s="1685"/>
      <c r="AA156" s="1685"/>
      <c r="AB156" s="1685"/>
      <c r="AC156" s="1685"/>
      <c r="AD156" s="2069"/>
      <c r="AE156" s="2073"/>
      <c r="AF156" s="1685"/>
      <c r="AG156" s="1685"/>
      <c r="AL156" s="1685"/>
      <c r="AM156" s="1707" t="s">
        <v>236</v>
      </c>
      <c r="AN156" s="1685" t="str">
        <f>IF(AND(TCATrigger="Yes",rng01_Proj_Amen6="Other (Comment)"),rng01_Proj_Amen6,"")</f>
        <v/>
      </c>
      <c r="AO156" s="1708" t="str">
        <f t="shared" si="8"/>
        <v/>
      </c>
      <c r="AP156" s="1685" t="str">
        <f>IF(AN156="","",SUM($AO$151:AO156))</f>
        <v/>
      </c>
      <c r="AQ156" s="1685" t="str">
        <f>IF($AN$156="","","True")</f>
        <v/>
      </c>
      <c r="AR156" s="1713" t="b">
        <f>IF(COUNTIF(AmenitiesTwo,6),TRUE,FALSE)</f>
        <v>0</v>
      </c>
      <c r="AS156" s="1705" t="str">
        <f>IF(OR(ISNA(VLOOKUP(rng01_Proj_Amen6,ProjAmen,1,FALSE)),TCATrigger="No"),"",IF(VLOOKUP(rng01_Proj_Amen6,ProjAmen,1,FALSE)="Other (Comment)",rng01_Proj_Amen6_Comments,""))</f>
        <v/>
      </c>
      <c r="AT156" s="1710" t="str">
        <f t="shared" ref="AT156:AT158" si="11">IFERROR(VLOOKUP(AL156,$AP$151:$AS$158,4,FALSE),"")</f>
        <v/>
      </c>
      <c r="AU156" s="1685"/>
      <c r="BQ156" s="1685"/>
      <c r="BW156" s="1707" t="s">
        <v>236</v>
      </c>
    </row>
    <row r="157" spans="1:75" ht="15">
      <c r="A157" s="1685"/>
      <c r="B157" s="1685"/>
      <c r="C157" s="1685"/>
      <c r="D157" s="1685"/>
      <c r="E157" s="1685"/>
      <c r="F157" s="1707" t="s">
        <v>236</v>
      </c>
      <c r="G157" s="1685" t="str">
        <f>IF(rng01_Proj_Amen7="Other (Comment)",rng01_Proj_Amen7,"")</f>
        <v/>
      </c>
      <c r="H157" s="1708" t="str">
        <f t="shared" si="9"/>
        <v/>
      </c>
      <c r="I157" s="1685" t="str">
        <f>IF(G157="","",SUM($H$151:H157))</f>
        <v/>
      </c>
      <c r="J157" s="1685" t="str">
        <f>IF($G$157="","","True")</f>
        <v/>
      </c>
      <c r="K157" s="1713" t="b">
        <f>IF(COUNTIF(Amenities,7),TRUE,FALSE)</f>
        <v>0</v>
      </c>
      <c r="L157" s="1705" t="str">
        <f>IF(ISNA(VLOOKUP(rng01_Proj_Amen7,ProjAmen,1,FALSE)),"",IF(VLOOKUP(rng01_Proj_Amen7,ProjAmen,1,FALSE)="Other (Comment)",rng01_Proj_Amen7_Comments,""))</f>
        <v/>
      </c>
      <c r="M157" s="1710" t="str">
        <f t="shared" si="10"/>
        <v/>
      </c>
      <c r="N157" s="1685"/>
      <c r="O157" s="1685"/>
      <c r="P157" s="1685"/>
      <c r="Q157" s="1685"/>
      <c r="R157" s="1685"/>
      <c r="S157" s="1685"/>
      <c r="T157" s="1685"/>
      <c r="U157" s="1685"/>
      <c r="V157" s="1685"/>
      <c r="W157" s="1685"/>
      <c r="X157" s="1685"/>
      <c r="Y157" s="1685"/>
      <c r="Z157" s="1685"/>
      <c r="AA157" s="1685"/>
      <c r="AB157" s="1685"/>
      <c r="AC157" s="1685"/>
      <c r="AD157" s="2069"/>
      <c r="AE157" s="2073"/>
      <c r="AF157" s="1685"/>
      <c r="AG157" s="1685"/>
      <c r="AL157" s="1685"/>
      <c r="AM157" s="1707" t="s">
        <v>236</v>
      </c>
      <c r="AN157" s="1685" t="str">
        <f>IF(AND(TCATrigger="Yes",rng01_Proj_Amen7="Other (Comment)"),rng01_Proj_Amen7,"")</f>
        <v/>
      </c>
      <c r="AO157" s="1708" t="str">
        <f t="shared" si="8"/>
        <v/>
      </c>
      <c r="AP157" s="1685" t="str">
        <f>IF(AN157="","",SUM($AO$151:AO157))</f>
        <v/>
      </c>
      <c r="AQ157" s="1685" t="str">
        <f>IF($AN$157="","","True")</f>
        <v/>
      </c>
      <c r="AR157" s="1713" t="b">
        <f>IF(COUNTIF(AmenitiesTwo,7),TRUE,FALSE)</f>
        <v>0</v>
      </c>
      <c r="AS157" s="1705" t="str">
        <f>IF(OR(ISNA(VLOOKUP(rng01_Proj_Amen7,ProjAmen,1,FALSE)),TCATrigger="No"),"",IF(VLOOKUP(rng01_Proj_Amen7,ProjAmen,1,FALSE)="Other (Comment)",rng01_Proj_Amen7_Comments,""))</f>
        <v/>
      </c>
      <c r="AT157" s="1710" t="str">
        <f t="shared" si="11"/>
        <v/>
      </c>
      <c r="AU157" s="1685"/>
      <c r="BQ157" s="1685"/>
      <c r="BW157" s="1707" t="s">
        <v>236</v>
      </c>
    </row>
    <row r="158" spans="1:75" ht="15">
      <c r="A158" s="1685"/>
      <c r="B158" s="1685"/>
      <c r="C158" s="1685"/>
      <c r="D158" s="1685"/>
      <c r="E158" s="1685"/>
      <c r="F158" s="1707" t="s">
        <v>236</v>
      </c>
      <c r="G158" s="1685" t="str">
        <f>IF(rng01_Proj_Amen8="Other (Comment)",rng01_Proj_Amen8,"")</f>
        <v/>
      </c>
      <c r="H158" s="1708" t="str">
        <f t="shared" si="9"/>
        <v/>
      </c>
      <c r="I158" s="1685" t="str">
        <f>IF(G158="","",SUM($H$151:H158))</f>
        <v/>
      </c>
      <c r="J158" s="1685" t="str">
        <f>IF($G$158="","","True")</f>
        <v/>
      </c>
      <c r="K158" s="1713" t="b">
        <f>IF(COUNTIF(Amenities,8),TRUE,FALSE)</f>
        <v>0</v>
      </c>
      <c r="L158" s="1705" t="str">
        <f>IF(ISNA(VLOOKUP(rng01_Proj_Amen8,ProjAmen,1,FALSE)),"",IF(VLOOKUP(rng01_Proj_Amen8,ProjAmen,1,FALSE)="Other (Comment)",rng01_Proj_Amen8_Comments,""))</f>
        <v/>
      </c>
      <c r="M158" s="1710" t="str">
        <f t="shared" si="10"/>
        <v/>
      </c>
      <c r="N158" s="1685"/>
      <c r="O158" s="1685"/>
      <c r="P158" s="1685"/>
      <c r="Q158" s="1685"/>
      <c r="R158" s="1685"/>
      <c r="S158" s="1685"/>
      <c r="T158" s="1685"/>
      <c r="U158" s="1685"/>
      <c r="V158" s="1685"/>
      <c r="W158" s="1685"/>
      <c r="X158" s="1685"/>
      <c r="Y158" s="1685"/>
      <c r="Z158" s="1685"/>
      <c r="AA158" s="1685"/>
      <c r="AB158" s="1685"/>
      <c r="AC158" s="1685"/>
      <c r="AD158" s="2069"/>
      <c r="AE158" s="2073"/>
      <c r="AF158" s="1685"/>
      <c r="AG158" s="1685"/>
      <c r="AL158" s="1685"/>
      <c r="AM158" s="1707" t="s">
        <v>236</v>
      </c>
      <c r="AN158" s="1685" t="str">
        <f>IF(AND(TCATrigger="Yes",rng01_Proj_Amen8="Other (Comment)"),rng01_Proj_Amen8,"")</f>
        <v/>
      </c>
      <c r="AO158" s="1708" t="str">
        <f t="shared" si="8"/>
        <v/>
      </c>
      <c r="AP158" s="1685" t="str">
        <f>IF(AN158="","",SUM($AO$151:AO158))</f>
        <v/>
      </c>
      <c r="AQ158" s="1685" t="str">
        <f>IF($AN$158="","","True")</f>
        <v/>
      </c>
      <c r="AR158" s="1713" t="b">
        <f>IF(COUNTIF(AmenitiesTwo,8),TRUE,FALSE)</f>
        <v>0</v>
      </c>
      <c r="AS158" s="1705" t="str">
        <f>IF(OR(ISNA(VLOOKUP(rng01_Proj_Amen8,ProjAmen,1,FALSE)),TCATrigger="No"),"",IF(VLOOKUP(rng01_Proj_Amen8,ProjAmen,1,FALSE)="Other (Comment)",rng01_Proj_Amen8_Comments,""))</f>
        <v/>
      </c>
      <c r="AT158" s="1710" t="str">
        <f t="shared" si="11"/>
        <v/>
      </c>
      <c r="AU158" s="1685"/>
      <c r="BQ158" s="1685"/>
      <c r="BW158" s="1707" t="s">
        <v>236</v>
      </c>
    </row>
    <row r="159" spans="1:75" ht="15">
      <c r="A159" s="1685"/>
      <c r="B159" s="1685"/>
      <c r="C159" s="1685"/>
      <c r="D159" s="1685"/>
      <c r="E159" s="1685"/>
      <c r="F159" s="1685"/>
      <c r="G159" s="1685"/>
      <c r="H159" s="1708"/>
      <c r="I159" s="1685"/>
      <c r="J159" s="1685"/>
      <c r="K159" s="1685"/>
      <c r="L159" s="1685"/>
      <c r="M159" s="1685"/>
      <c r="N159" s="1685"/>
      <c r="O159" s="1685"/>
      <c r="P159" s="1685"/>
      <c r="Q159" s="1685"/>
      <c r="R159" s="1685"/>
      <c r="S159" s="1685"/>
      <c r="T159" s="1685"/>
      <c r="U159" s="1685"/>
      <c r="V159" s="1685"/>
      <c r="W159" s="1685"/>
      <c r="X159" s="1685"/>
      <c r="Y159" s="1685"/>
      <c r="Z159" s="1685"/>
      <c r="AA159" s="1685"/>
      <c r="AB159" s="1685"/>
      <c r="AC159" s="1685"/>
      <c r="AD159" s="2069"/>
      <c r="AE159" s="2073"/>
      <c r="AF159" s="1685"/>
      <c r="AG159" s="1685"/>
      <c r="AL159" s="1685"/>
      <c r="AM159" s="1685"/>
      <c r="AN159" s="1685"/>
      <c r="AO159" s="1708"/>
      <c r="AP159" s="1685"/>
      <c r="AQ159" s="1685"/>
      <c r="AR159" s="1685"/>
      <c r="AS159" s="1685"/>
      <c r="AT159" s="1685"/>
      <c r="AU159" s="1685"/>
      <c r="BQ159" s="1685"/>
      <c r="BW159" s="1685"/>
    </row>
    <row r="160" spans="1:75" ht="15">
      <c r="A160" s="1685"/>
      <c r="B160" s="1685"/>
      <c r="C160" s="1685"/>
      <c r="D160" s="1685"/>
      <c r="E160" s="1685"/>
      <c r="F160" s="1685"/>
      <c r="G160" s="1685"/>
      <c r="H160" s="1685"/>
      <c r="I160" s="1685"/>
      <c r="J160" s="1685"/>
      <c r="K160" s="1685"/>
      <c r="L160" s="1685"/>
      <c r="M160" s="1685"/>
      <c r="N160" s="1685"/>
      <c r="O160" s="1685"/>
      <c r="P160" s="1685"/>
      <c r="Q160" s="1685"/>
      <c r="R160" s="1685"/>
      <c r="S160" s="1685"/>
      <c r="T160" s="1685"/>
      <c r="U160" s="1685"/>
      <c r="V160" s="1685"/>
      <c r="W160" s="1685"/>
      <c r="X160" s="1685"/>
      <c r="Y160" s="1685"/>
      <c r="Z160" s="1685"/>
      <c r="AA160" s="1685"/>
      <c r="AB160" s="1685"/>
      <c r="AC160" s="1685"/>
      <c r="AD160" s="2069"/>
      <c r="AE160" s="2073"/>
      <c r="AF160" s="1685"/>
      <c r="AG160" s="1685"/>
      <c r="AM160" s="1707"/>
      <c r="AN160" s="1685"/>
      <c r="AO160" s="1685"/>
      <c r="AP160" s="1685"/>
      <c r="AQ160" s="1685"/>
      <c r="AR160" s="1705"/>
      <c r="BQ160" s="1685"/>
      <c r="BW160" s="1707"/>
    </row>
    <row r="161" spans="1:75" ht="15">
      <c r="A161" s="1685"/>
      <c r="B161" s="1685"/>
      <c r="C161" s="1685"/>
      <c r="D161" s="1685"/>
      <c r="E161" s="1685"/>
      <c r="F161" s="1699" t="s">
        <v>966</v>
      </c>
      <c r="G161" s="1699"/>
      <c r="H161" s="1685"/>
      <c r="I161" s="1714"/>
      <c r="J161" s="1685"/>
      <c r="K161" s="1686" t="s">
        <v>967</v>
      </c>
      <c r="L161" s="1699" t="s">
        <v>968</v>
      </c>
      <c r="M161" s="1685"/>
      <c r="N161" s="1685"/>
      <c r="O161" s="1685"/>
      <c r="P161" s="1685"/>
      <c r="Q161" s="1685"/>
      <c r="R161" s="1685"/>
      <c r="S161" s="1685"/>
      <c r="T161" s="1685"/>
      <c r="U161" s="1685"/>
      <c r="V161" s="1685"/>
      <c r="W161" s="1685"/>
      <c r="X161" s="1685"/>
      <c r="Y161" s="1685"/>
      <c r="Z161" s="1685"/>
      <c r="AA161" s="1685"/>
      <c r="AB161" s="1685"/>
      <c r="AC161" s="1685"/>
      <c r="AD161" s="2069"/>
      <c r="AE161" s="2073"/>
      <c r="AF161" s="1685"/>
      <c r="AG161" s="1685"/>
      <c r="BQ161" s="1685"/>
    </row>
    <row r="162" spans="1:75" ht="15">
      <c r="A162" s="1685" t="s">
        <v>847</v>
      </c>
      <c r="B162" s="1685" t="s">
        <v>927</v>
      </c>
      <c r="C162" s="1700" t="s">
        <v>969</v>
      </c>
      <c r="D162" s="1685"/>
      <c r="E162" s="1685"/>
      <c r="F162" s="1685"/>
      <c r="G162" s="1686" t="s">
        <v>970</v>
      </c>
      <c r="H162" s="1701" t="s">
        <v>969</v>
      </c>
      <c r="I162" s="1701" t="s">
        <v>971</v>
      </c>
      <c r="J162" s="1701" t="s">
        <v>972</v>
      </c>
      <c r="K162" s="1701" t="s">
        <v>111</v>
      </c>
      <c r="L162" s="1699" t="s">
        <v>973</v>
      </c>
      <c r="M162" s="1685"/>
      <c r="N162" s="1685"/>
      <c r="O162" s="1685"/>
      <c r="P162" s="1685"/>
      <c r="Q162" s="1685"/>
      <c r="R162" s="1685"/>
      <c r="S162" s="1685"/>
      <c r="T162" s="1685"/>
      <c r="U162" s="1685"/>
      <c r="V162" s="1685"/>
      <c r="W162" s="1685"/>
      <c r="X162" s="1685"/>
      <c r="Y162" s="1685"/>
      <c r="Z162" s="1685"/>
      <c r="AA162" s="1685"/>
      <c r="AB162" s="1685"/>
      <c r="AC162" s="1685"/>
      <c r="AD162" s="2069"/>
      <c r="AE162" s="2073"/>
      <c r="AF162" s="1685"/>
      <c r="AG162" s="1685" t="s">
        <v>847</v>
      </c>
      <c r="AH162" s="1677" t="s">
        <v>927</v>
      </c>
      <c r="AI162" s="1677" t="s">
        <v>969</v>
      </c>
      <c r="AM162" s="1702" t="s">
        <v>969</v>
      </c>
      <c r="AN162" s="1702" t="s">
        <v>971</v>
      </c>
      <c r="AO162" s="1702" t="s">
        <v>972</v>
      </c>
      <c r="AP162" s="1702" t="s">
        <v>111</v>
      </c>
      <c r="AQ162" s="1702" t="s">
        <v>973</v>
      </c>
      <c r="BQ162" s="1685" t="s">
        <v>847</v>
      </c>
      <c r="BR162" s="1677" t="s">
        <v>927</v>
      </c>
      <c r="BS162" s="1677" t="s">
        <v>969</v>
      </c>
      <c r="BW162" s="1702" t="s">
        <v>969</v>
      </c>
    </row>
    <row r="163" spans="1:75" ht="15">
      <c r="A163" s="1685"/>
      <c r="B163" s="1685"/>
      <c r="C163" s="1685"/>
      <c r="D163" s="1685"/>
      <c r="E163" s="1685"/>
      <c r="F163" s="1686" t="s">
        <v>974</v>
      </c>
      <c r="G163" s="1686"/>
      <c r="H163" s="1701" t="s">
        <v>974</v>
      </c>
      <c r="I163" s="1701" t="b">
        <f>IF(rng01_Util_Provided_Heat="Yes",TRUE,FALSE)</f>
        <v>0</v>
      </c>
      <c r="J163" s="1701" t="b">
        <f>IF(rng01_Util_Included_Heat="Yes",TRUE,FALSE)</f>
        <v>0</v>
      </c>
      <c r="K163" s="1715" t="str">
        <f>IF(rng01_Util_Heat_Energy_Type="","",rng01_Util_Heat_Energy_Type)</f>
        <v/>
      </c>
      <c r="L163" s="1701"/>
      <c r="M163" s="1685"/>
      <c r="N163" s="1685"/>
      <c r="O163" s="1716" t="s">
        <v>968</v>
      </c>
      <c r="P163" s="1685"/>
      <c r="Q163" s="1685"/>
      <c r="R163" s="1685"/>
      <c r="S163" s="1685"/>
      <c r="T163" s="1685"/>
      <c r="U163" s="1685"/>
      <c r="V163" s="1685"/>
      <c r="W163" s="1685"/>
      <c r="X163" s="1685"/>
      <c r="Y163" s="1685"/>
      <c r="Z163" s="1685"/>
      <c r="AA163" s="1685"/>
      <c r="AB163" s="1685"/>
      <c r="AC163" s="1685"/>
      <c r="AD163" s="2069"/>
      <c r="AE163" s="2073"/>
      <c r="AF163" s="1685"/>
      <c r="AG163" s="1685"/>
      <c r="AM163" s="1702" t="s">
        <v>974</v>
      </c>
      <c r="AN163" s="1702" t="str">
        <f t="shared" ref="AN163:AQ170" si="12">IF(TCATrigger="No","",IF(I163="","",I163))</f>
        <v/>
      </c>
      <c r="AO163" s="1702" t="str">
        <f t="shared" si="12"/>
        <v/>
      </c>
      <c r="AP163" s="1702" t="str">
        <f t="shared" si="12"/>
        <v/>
      </c>
      <c r="AQ163" s="1702" t="str">
        <f t="shared" si="12"/>
        <v/>
      </c>
      <c r="BQ163" s="1685"/>
      <c r="BW163" s="1702" t="s">
        <v>974</v>
      </c>
    </row>
    <row r="164" spans="1:75" ht="15">
      <c r="A164" s="1685"/>
      <c r="B164" s="1685"/>
      <c r="C164" s="1685"/>
      <c r="D164" s="1685"/>
      <c r="E164" s="1685"/>
      <c r="F164" s="1686" t="s">
        <v>975</v>
      </c>
      <c r="G164" s="1686"/>
      <c r="H164" s="1701" t="s">
        <v>975</v>
      </c>
      <c r="I164" s="1701" t="b">
        <f>IF(rng01_Util_Provided_Hot_Water="Yes",TRUE,FALSE)</f>
        <v>0</v>
      </c>
      <c r="J164" s="1701" t="b">
        <f>IF(rng01_Util_Included_Hot_Water="Yes",TRUE,FALSE)</f>
        <v>0</v>
      </c>
      <c r="K164" s="1717" t="str">
        <f>IF(rng01_Util_Hot_Water_Energy_Type="","",rng01_Util_Hot_Water_Energy_Type)</f>
        <v/>
      </c>
      <c r="L164" s="1701"/>
      <c r="M164" s="1685"/>
      <c r="N164" s="1685"/>
      <c r="O164" s="1716" t="s">
        <v>976</v>
      </c>
      <c r="P164" s="1685"/>
      <c r="Q164" s="1685"/>
      <c r="R164" s="1685"/>
      <c r="S164" s="1685"/>
      <c r="T164" s="1685"/>
      <c r="U164" s="1685"/>
      <c r="V164" s="1685"/>
      <c r="W164" s="1685"/>
      <c r="X164" s="1685"/>
      <c r="Y164" s="1685"/>
      <c r="Z164" s="1685"/>
      <c r="AA164" s="1685"/>
      <c r="AB164" s="1685"/>
      <c r="AC164" s="1685"/>
      <c r="AD164" s="2069"/>
      <c r="AE164" s="2073"/>
      <c r="AF164" s="1685"/>
      <c r="AG164" s="1685"/>
      <c r="AM164" s="1702" t="s">
        <v>975</v>
      </c>
      <c r="AN164" s="1702" t="str">
        <f t="shared" si="12"/>
        <v/>
      </c>
      <c r="AO164" s="1702" t="str">
        <f t="shared" si="12"/>
        <v/>
      </c>
      <c r="AP164" s="1702" t="str">
        <f t="shared" si="12"/>
        <v/>
      </c>
      <c r="AQ164" s="1702" t="str">
        <f t="shared" si="12"/>
        <v/>
      </c>
      <c r="BQ164" s="1685"/>
      <c r="BW164" s="1702" t="s">
        <v>975</v>
      </c>
    </row>
    <row r="165" spans="1:75" ht="15">
      <c r="A165" s="1685"/>
      <c r="B165" s="1685"/>
      <c r="C165" s="1685"/>
      <c r="D165" s="1685"/>
      <c r="E165" s="1685"/>
      <c r="F165" s="1686" t="s">
        <v>977</v>
      </c>
      <c r="G165" s="1686"/>
      <c r="H165" s="1701" t="s">
        <v>977</v>
      </c>
      <c r="I165" s="1701" t="b">
        <f>IF(rng01_Util_Provided_Cooking="Yes",TRUE,FALSE)</f>
        <v>0</v>
      </c>
      <c r="J165" s="1701" t="b">
        <f>IF(rng01_Util_Included_Cooking="Yes",TRUE,FALSE)</f>
        <v>0</v>
      </c>
      <c r="K165" s="1715" t="str">
        <f>IF(rng01_Util_Cooking_Energy_Type="","",rng01_Util_Cooking_Energy_Type)</f>
        <v/>
      </c>
      <c r="L165" s="1701"/>
      <c r="M165" s="1685"/>
      <c r="N165" s="1685"/>
      <c r="O165" s="1716" t="s">
        <v>955</v>
      </c>
      <c r="P165" s="1685"/>
      <c r="Q165" s="1685"/>
      <c r="R165" s="1685"/>
      <c r="S165" s="1685"/>
      <c r="T165" s="1685"/>
      <c r="U165" s="1685"/>
      <c r="V165" s="1685"/>
      <c r="W165" s="1685"/>
      <c r="X165" s="1685"/>
      <c r="Y165" s="1685"/>
      <c r="Z165" s="1685"/>
      <c r="AA165" s="1685"/>
      <c r="AB165" s="1685"/>
      <c r="AC165" s="1685"/>
      <c r="AD165" s="2069"/>
      <c r="AE165" s="2073"/>
      <c r="AF165" s="1685"/>
      <c r="AG165" s="1685"/>
      <c r="AM165" s="1702" t="s">
        <v>977</v>
      </c>
      <c r="AN165" s="1702" t="str">
        <f t="shared" si="12"/>
        <v/>
      </c>
      <c r="AO165" s="1702" t="str">
        <f t="shared" si="12"/>
        <v/>
      </c>
      <c r="AP165" s="1702" t="str">
        <f t="shared" si="12"/>
        <v/>
      </c>
      <c r="AQ165" s="1702" t="str">
        <f t="shared" si="12"/>
        <v/>
      </c>
      <c r="BQ165" s="1685"/>
      <c r="BW165" s="1702" t="s">
        <v>977</v>
      </c>
    </row>
    <row r="166" spans="1:75" ht="15">
      <c r="A166" s="1685"/>
      <c r="B166" s="1685"/>
      <c r="C166" s="1685"/>
      <c r="D166" s="1685"/>
      <c r="E166" s="1685"/>
      <c r="F166" s="1686" t="s">
        <v>978</v>
      </c>
      <c r="G166" s="1686"/>
      <c r="H166" s="1701" t="s">
        <v>979</v>
      </c>
      <c r="I166" s="1701" t="b">
        <f>IF(rng01_Util_Provided_Cent_AC="Yes",TRUE,FALSE)</f>
        <v>0</v>
      </c>
      <c r="J166" s="1701" t="b">
        <f>IF(rng01_Util_Included_Cent_AC="Yes",TRUE,FALSE)</f>
        <v>0</v>
      </c>
      <c r="K166" s="1717" t="b">
        <f>IF(rng01_Util_Cent_AC_Energy_Type="Yes",TRUE,FALSE)</f>
        <v>0</v>
      </c>
      <c r="L166" s="1701"/>
      <c r="M166" s="1685"/>
      <c r="N166" s="1685"/>
      <c r="O166" s="1716" t="s">
        <v>980</v>
      </c>
      <c r="P166" s="1685"/>
      <c r="Q166" s="1685"/>
      <c r="R166" s="1685"/>
      <c r="S166" s="1685"/>
      <c r="T166" s="1685"/>
      <c r="U166" s="1685"/>
      <c r="V166" s="1685"/>
      <c r="W166" s="1685"/>
      <c r="X166" s="1685"/>
      <c r="Y166" s="1685"/>
      <c r="Z166" s="1685"/>
      <c r="AA166" s="1685"/>
      <c r="AB166" s="1685"/>
      <c r="AC166" s="1685"/>
      <c r="AD166" s="2069"/>
      <c r="AE166" s="2073"/>
      <c r="AF166" s="1685"/>
      <c r="AG166" s="1685"/>
      <c r="AM166" s="1702" t="s">
        <v>979</v>
      </c>
      <c r="AN166" s="1702" t="str">
        <f t="shared" si="12"/>
        <v/>
      </c>
      <c r="AO166" s="1702" t="str">
        <f t="shared" si="12"/>
        <v/>
      </c>
      <c r="AP166" s="1702" t="str">
        <f t="shared" si="12"/>
        <v/>
      </c>
      <c r="AQ166" s="1702" t="str">
        <f t="shared" si="12"/>
        <v/>
      </c>
      <c r="BQ166" s="1685"/>
      <c r="BW166" s="1702" t="s">
        <v>979</v>
      </c>
    </row>
    <row r="167" spans="1:75" ht="15">
      <c r="A167" s="1685"/>
      <c r="B167" s="1685"/>
      <c r="C167" s="1685"/>
      <c r="D167" s="1685"/>
      <c r="E167" s="1685"/>
      <c r="F167" s="1686" t="s">
        <v>981</v>
      </c>
      <c r="G167" s="1686"/>
      <c r="H167" s="1701" t="s">
        <v>982</v>
      </c>
      <c r="I167" s="1701" t="b">
        <f>IF(rng01_Util_Provided_CableTV="Yes",TRUE,FALSE)</f>
        <v>0</v>
      </c>
      <c r="J167" s="1701" t="b">
        <f>IF(rng01_Util_Included_CableTV="Yes",TRUE,FALSE)</f>
        <v>0</v>
      </c>
      <c r="K167" s="1718"/>
      <c r="L167" s="1701"/>
      <c r="M167" s="1685"/>
      <c r="N167" s="1685"/>
      <c r="O167" s="1685"/>
      <c r="P167" s="1685"/>
      <c r="Q167" s="1685"/>
      <c r="R167" s="1685"/>
      <c r="S167" s="1685"/>
      <c r="T167" s="1685"/>
      <c r="U167" s="1685"/>
      <c r="V167" s="1685"/>
      <c r="W167" s="1685"/>
      <c r="X167" s="1685"/>
      <c r="Y167" s="1685"/>
      <c r="Z167" s="1685"/>
      <c r="AA167" s="1685"/>
      <c r="AB167" s="1685"/>
      <c r="AC167" s="1685"/>
      <c r="AD167" s="2069"/>
      <c r="AE167" s="2073"/>
      <c r="AF167" s="1685"/>
      <c r="AG167" s="1685"/>
      <c r="AM167" s="1702" t="s">
        <v>982</v>
      </c>
      <c r="AN167" s="1702" t="str">
        <f t="shared" si="12"/>
        <v/>
      </c>
      <c r="AO167" s="1702" t="str">
        <f t="shared" si="12"/>
        <v/>
      </c>
      <c r="AP167" s="1702" t="str">
        <f t="shared" si="12"/>
        <v/>
      </c>
      <c r="AQ167" s="1702" t="str">
        <f t="shared" si="12"/>
        <v/>
      </c>
      <c r="BQ167" s="1685"/>
      <c r="BW167" s="1702" t="s">
        <v>982</v>
      </c>
    </row>
    <row r="168" spans="1:75" ht="15">
      <c r="A168" s="1685"/>
      <c r="B168" s="1685"/>
      <c r="C168" s="1685"/>
      <c r="D168" s="1685"/>
      <c r="E168" s="1685"/>
      <c r="F168" s="1686" t="s">
        <v>983</v>
      </c>
      <c r="G168" s="1686"/>
      <c r="H168" s="1701" t="s">
        <v>984</v>
      </c>
      <c r="I168" s="1701" t="b">
        <f>IF(rng01_Util_Provided_Electricity="Yes",TRUE,FALSE)</f>
        <v>0</v>
      </c>
      <c r="J168" s="1701" t="b">
        <f>IF(rng01_Util_Included_Electricity="Yes",TRUE,FALSE)</f>
        <v>0</v>
      </c>
      <c r="K168" s="1718"/>
      <c r="L168" s="1701"/>
      <c r="M168" s="1685"/>
      <c r="N168" s="1685"/>
      <c r="O168" s="1685"/>
      <c r="P168" s="1685"/>
      <c r="Q168" s="1685"/>
      <c r="R168" s="1685"/>
      <c r="S168" s="1685"/>
      <c r="T168" s="1685"/>
      <c r="U168" s="1685"/>
      <c r="V168" s="1685"/>
      <c r="W168" s="1685"/>
      <c r="X168" s="1685"/>
      <c r="Y168" s="1685"/>
      <c r="Z168" s="1685"/>
      <c r="AA168" s="1685"/>
      <c r="AB168" s="1685"/>
      <c r="AC168" s="1685"/>
      <c r="AD168" s="2069"/>
      <c r="AE168" s="2073"/>
      <c r="AF168" s="1685"/>
      <c r="AG168" s="1685"/>
      <c r="AM168" s="1702" t="s">
        <v>984</v>
      </c>
      <c r="AN168" s="1702" t="str">
        <f t="shared" si="12"/>
        <v/>
      </c>
      <c r="AO168" s="1702" t="str">
        <f t="shared" si="12"/>
        <v/>
      </c>
      <c r="AP168" s="1702" t="str">
        <f t="shared" si="12"/>
        <v/>
      </c>
      <c r="AQ168" s="1702" t="str">
        <f t="shared" si="12"/>
        <v/>
      </c>
      <c r="BQ168" s="1685"/>
      <c r="BW168" s="1702" t="s">
        <v>984</v>
      </c>
    </row>
    <row r="169" spans="1:75" ht="15">
      <c r="A169" s="1685"/>
      <c r="B169" s="1685"/>
      <c r="C169" s="1685"/>
      <c r="D169" s="1685"/>
      <c r="E169" s="1685"/>
      <c r="F169" s="1686" t="s">
        <v>197</v>
      </c>
      <c r="G169" s="1686"/>
      <c r="H169" s="1701" t="s">
        <v>197</v>
      </c>
      <c r="I169" s="1701" t="b">
        <f>IF(rng01_Util_Provided_Water="Yes",TRUE,FALSE)</f>
        <v>0</v>
      </c>
      <c r="J169" s="1701" t="b">
        <f>IF(rng01_Util_Included_Water="Yes",TRUE,FALSE)</f>
        <v>0</v>
      </c>
      <c r="K169" s="1718"/>
      <c r="L169" s="1701"/>
      <c r="M169" s="1685"/>
      <c r="N169" s="1685"/>
      <c r="O169" s="1685"/>
      <c r="P169" s="1685"/>
      <c r="Q169" s="1685"/>
      <c r="R169" s="1685"/>
      <c r="S169" s="1685"/>
      <c r="T169" s="1685"/>
      <c r="U169" s="1685"/>
      <c r="V169" s="1685"/>
      <c r="W169" s="1685"/>
      <c r="X169" s="1685"/>
      <c r="Y169" s="1685"/>
      <c r="Z169" s="1685"/>
      <c r="AA169" s="1685"/>
      <c r="AB169" s="1685"/>
      <c r="AC169" s="1685"/>
      <c r="AD169" s="2069"/>
      <c r="AE169" s="2073"/>
      <c r="AF169" s="1685"/>
      <c r="AG169" s="1685"/>
      <c r="AM169" s="1702" t="s">
        <v>197</v>
      </c>
      <c r="AN169" s="1702" t="str">
        <f t="shared" si="12"/>
        <v/>
      </c>
      <c r="AO169" s="1702" t="str">
        <f t="shared" si="12"/>
        <v/>
      </c>
      <c r="AP169" s="1702" t="str">
        <f t="shared" si="12"/>
        <v/>
      </c>
      <c r="AQ169" s="1702" t="str">
        <f t="shared" si="12"/>
        <v/>
      </c>
      <c r="BQ169" s="1685"/>
      <c r="BW169" s="1702" t="s">
        <v>197</v>
      </c>
    </row>
    <row r="170" spans="1:75" ht="15">
      <c r="A170" s="1685"/>
      <c r="B170" s="1685"/>
      <c r="C170" s="1685"/>
      <c r="D170" s="1685"/>
      <c r="E170" s="1685"/>
      <c r="F170" s="1686" t="s">
        <v>985</v>
      </c>
      <c r="G170" s="1686"/>
      <c r="H170" s="1701" t="s">
        <v>985</v>
      </c>
      <c r="I170" s="1701" t="b">
        <f>IF(rng01_Util_Provided_Sewer="Yes",TRUE,FALSE)</f>
        <v>0</v>
      </c>
      <c r="J170" s="1701" t="b">
        <f>IF(rng01_Util_Included_Sewer="Yes",TRUE,FALSE)</f>
        <v>0</v>
      </c>
      <c r="K170" s="1718"/>
      <c r="L170" s="1701"/>
      <c r="M170" s="1685"/>
      <c r="N170" s="1685"/>
      <c r="O170" s="1685"/>
      <c r="P170" s="1685"/>
      <c r="Q170" s="1685"/>
      <c r="R170" s="1685"/>
      <c r="S170" s="1685"/>
      <c r="T170" s="1685"/>
      <c r="U170" s="1685"/>
      <c r="V170" s="1685"/>
      <c r="W170" s="1685"/>
      <c r="X170" s="1685"/>
      <c r="Y170" s="1685"/>
      <c r="Z170" s="1685"/>
      <c r="AA170" s="1685"/>
      <c r="AB170" s="1685"/>
      <c r="AC170" s="1685"/>
      <c r="AD170" s="2069"/>
      <c r="AE170" s="2073"/>
      <c r="AF170" s="1685"/>
      <c r="AG170" s="1685"/>
      <c r="AM170" s="1702" t="s">
        <v>985</v>
      </c>
      <c r="AN170" s="1702" t="str">
        <f t="shared" si="12"/>
        <v/>
      </c>
      <c r="AO170" s="1702" t="str">
        <f t="shared" si="12"/>
        <v/>
      </c>
      <c r="AP170" s="1702" t="str">
        <f t="shared" si="12"/>
        <v/>
      </c>
      <c r="AQ170" s="1702" t="str">
        <f t="shared" si="12"/>
        <v/>
      </c>
      <c r="BQ170" s="1685"/>
      <c r="BW170" s="1702" t="s">
        <v>985</v>
      </c>
    </row>
    <row r="171" spans="1:75" ht="15">
      <c r="A171" s="1685"/>
      <c r="B171" s="1685"/>
      <c r="C171" s="1685"/>
      <c r="D171" s="1685"/>
      <c r="E171" s="1685"/>
      <c r="F171" s="1686" t="s">
        <v>986</v>
      </c>
      <c r="G171" s="1686"/>
      <c r="H171" s="1685"/>
      <c r="I171" s="1685"/>
      <c r="J171" s="1685"/>
      <c r="K171" s="1685"/>
      <c r="L171" s="1685"/>
      <c r="M171" s="1685"/>
      <c r="N171" s="1685"/>
      <c r="O171" s="1685"/>
      <c r="P171" s="1685"/>
      <c r="Q171" s="1685"/>
      <c r="R171" s="1685"/>
      <c r="S171" s="1685"/>
      <c r="T171" s="1685"/>
      <c r="U171" s="1685"/>
      <c r="V171" s="1685"/>
      <c r="W171" s="1685"/>
      <c r="X171" s="1685"/>
      <c r="Y171" s="1685"/>
      <c r="Z171" s="1685"/>
      <c r="AA171" s="1685"/>
      <c r="AB171" s="1685"/>
      <c r="AC171" s="1685"/>
      <c r="AD171" s="2069"/>
      <c r="AE171" s="2073"/>
      <c r="AF171" s="1685"/>
      <c r="AG171" s="1685"/>
      <c r="BQ171" s="1685"/>
    </row>
    <row r="172" spans="1:75" ht="15">
      <c r="A172" s="1685"/>
      <c r="B172" s="1685"/>
      <c r="C172" s="1685"/>
      <c r="D172" s="1685"/>
      <c r="E172" s="1685"/>
      <c r="F172" s="1686"/>
      <c r="G172" s="1686"/>
      <c r="H172" s="1685"/>
      <c r="I172" s="1685"/>
      <c r="J172" s="1685"/>
      <c r="K172" s="1685"/>
      <c r="L172" s="1685"/>
      <c r="M172" s="1685"/>
      <c r="N172" s="1685"/>
      <c r="O172" s="1685"/>
      <c r="P172" s="1685"/>
      <c r="Q172" s="1685"/>
      <c r="R172" s="1685"/>
      <c r="S172" s="1685"/>
      <c r="T172" s="1685"/>
      <c r="U172" s="1685"/>
      <c r="V172" s="1685"/>
      <c r="W172" s="1685"/>
      <c r="X172" s="1685"/>
      <c r="Y172" s="1685"/>
      <c r="Z172" s="1685"/>
      <c r="AA172" s="1685"/>
      <c r="AB172" s="1685"/>
      <c r="AC172" s="1685"/>
      <c r="AD172" s="2069"/>
      <c r="AE172" s="2073"/>
      <c r="AF172" s="1685"/>
      <c r="AG172" s="1685"/>
      <c r="BQ172" s="1685"/>
    </row>
    <row r="173" spans="1:75" ht="15">
      <c r="A173" s="1685" t="s">
        <v>847</v>
      </c>
      <c r="B173" s="1685" t="s">
        <v>988</v>
      </c>
      <c r="C173" s="1868"/>
      <c r="D173" s="1685"/>
      <c r="E173" s="1868" t="s">
        <v>2427</v>
      </c>
      <c r="F173" s="1686"/>
      <c r="G173" s="1868" t="s">
        <v>65</v>
      </c>
      <c r="H173" s="1877" t="str">
        <f>IF(ISBLANK(rng01_ClosingDate), "", rng01_ClosingDate)</f>
        <v/>
      </c>
      <c r="I173" s="1685"/>
      <c r="J173" s="1685"/>
      <c r="K173" s="1685"/>
      <c r="L173" s="1685"/>
      <c r="M173" s="1685"/>
      <c r="N173" s="1685"/>
      <c r="O173" s="1685"/>
      <c r="P173" s="1685"/>
      <c r="Q173" s="1685"/>
      <c r="R173" s="1685"/>
      <c r="S173" s="1685"/>
      <c r="T173" s="1685"/>
      <c r="U173" s="1685"/>
      <c r="V173" s="1685"/>
      <c r="W173" s="1685"/>
      <c r="X173" s="1685"/>
      <c r="Y173" s="1685"/>
      <c r="Z173" s="1685"/>
      <c r="AA173" s="1685"/>
      <c r="AB173" s="1685"/>
      <c r="AC173" s="1685"/>
      <c r="AD173" s="2069"/>
      <c r="AE173" s="2073"/>
      <c r="AF173" s="1685"/>
      <c r="AG173" s="1685"/>
      <c r="BQ173" s="1685"/>
    </row>
    <row r="174" spans="1:75" ht="15">
      <c r="A174" s="1685"/>
      <c r="B174" s="1685"/>
      <c r="C174" s="1685"/>
      <c r="D174" s="1685"/>
      <c r="E174" s="1685"/>
      <c r="F174" s="1686"/>
      <c r="G174" s="1868" t="s">
        <v>997</v>
      </c>
      <c r="H174" s="1877" t="str">
        <f>IF(ISBLANK(rng01_Milestones_ConstructionCompletion), "", rng01_Milestones_ConstructionCompletion)</f>
        <v/>
      </c>
      <c r="I174" s="1685"/>
      <c r="J174" s="1685"/>
      <c r="K174" s="1685"/>
      <c r="L174" s="1685"/>
      <c r="M174" s="1685"/>
      <c r="N174" s="1685"/>
      <c r="O174" s="1685"/>
      <c r="P174" s="1685"/>
      <c r="Q174" s="1685"/>
      <c r="R174" s="1685"/>
      <c r="S174" s="1685"/>
      <c r="T174" s="1685"/>
      <c r="U174" s="1685"/>
      <c r="V174" s="1685"/>
      <c r="W174" s="1685"/>
      <c r="X174" s="1685"/>
      <c r="Y174" s="1685"/>
      <c r="Z174" s="1685"/>
      <c r="AA174" s="1685"/>
      <c r="AB174" s="1685"/>
      <c r="AC174" s="1685"/>
      <c r="AD174" s="2069"/>
      <c r="AE174" s="2073"/>
      <c r="AF174" s="1685"/>
      <c r="AG174" s="1685"/>
      <c r="BQ174" s="1685"/>
    </row>
    <row r="175" spans="1:75" ht="15">
      <c r="A175" s="1685"/>
      <c r="B175" s="1685"/>
      <c r="C175" s="1685"/>
      <c r="D175" s="1685"/>
      <c r="E175" s="1685"/>
      <c r="F175" s="1686"/>
      <c r="G175" s="1686"/>
      <c r="H175" s="1877"/>
      <c r="I175" s="1685"/>
      <c r="J175" s="1685"/>
      <c r="K175" s="1685"/>
      <c r="L175" s="1685"/>
      <c r="M175" s="1685"/>
      <c r="N175" s="1685"/>
      <c r="O175" s="1685"/>
      <c r="P175" s="1685"/>
      <c r="Q175" s="1685"/>
      <c r="R175" s="1685"/>
      <c r="S175" s="1685"/>
      <c r="T175" s="1685"/>
      <c r="U175" s="1685"/>
      <c r="V175" s="1685"/>
      <c r="W175" s="1685"/>
      <c r="X175" s="1685"/>
      <c r="Y175" s="1685"/>
      <c r="Z175" s="1685"/>
      <c r="AA175" s="1685"/>
      <c r="AB175" s="1685"/>
      <c r="AC175" s="1685"/>
      <c r="AD175" s="2069"/>
      <c r="AE175" s="2073"/>
      <c r="AF175" s="1685"/>
      <c r="AG175" s="1685"/>
      <c r="BQ175" s="1685"/>
    </row>
    <row r="176" spans="1:75" ht="15">
      <c r="A176" s="1685"/>
      <c r="B176" s="1685"/>
      <c r="C176" s="1685"/>
      <c r="D176" s="1685"/>
      <c r="E176" s="1685"/>
      <c r="F176" s="1685"/>
      <c r="G176" s="1685"/>
      <c r="H176" s="1877"/>
      <c r="I176" s="1685"/>
      <c r="J176" s="1685"/>
      <c r="K176" s="1685"/>
      <c r="L176" s="1685"/>
      <c r="M176" s="1685"/>
      <c r="N176" s="1685"/>
      <c r="O176" s="1685"/>
      <c r="P176" s="1685"/>
      <c r="Q176" s="1685"/>
      <c r="R176" s="1685"/>
      <c r="S176" s="1685"/>
      <c r="T176" s="1685"/>
      <c r="U176" s="1685"/>
      <c r="V176" s="1685"/>
      <c r="W176" s="1685"/>
      <c r="X176" s="1685"/>
      <c r="Y176" s="1685"/>
      <c r="Z176" s="1685"/>
      <c r="AA176" s="1685"/>
      <c r="AB176" s="1685"/>
      <c r="AC176" s="1685"/>
      <c r="AD176" s="2069"/>
      <c r="AE176" s="2073"/>
      <c r="AF176" s="1685"/>
      <c r="AG176" s="1685"/>
      <c r="BQ176" s="1685"/>
    </row>
    <row r="177" spans="1:75" ht="15">
      <c r="A177" s="1685"/>
      <c r="B177" s="1685"/>
      <c r="C177" s="1685"/>
      <c r="D177" s="1685"/>
      <c r="E177" s="1685"/>
      <c r="F177" s="1685"/>
      <c r="G177" s="1685"/>
      <c r="H177" s="1877"/>
      <c r="I177" s="1685"/>
      <c r="J177" s="1685"/>
      <c r="K177" s="1685"/>
      <c r="L177" s="1685"/>
      <c r="M177" s="1685"/>
      <c r="N177" s="1685"/>
      <c r="O177" s="1685"/>
      <c r="P177" s="1685"/>
      <c r="Q177" s="1685"/>
      <c r="R177" s="1685"/>
      <c r="S177" s="1685"/>
      <c r="T177" s="1685"/>
      <c r="U177" s="1685"/>
      <c r="V177" s="1685"/>
      <c r="W177" s="1685"/>
      <c r="X177" s="1685"/>
      <c r="Y177" s="1685"/>
      <c r="Z177" s="1685"/>
      <c r="AA177" s="1685"/>
      <c r="AB177" s="1685"/>
      <c r="AC177" s="1685"/>
      <c r="AD177" s="2069"/>
      <c r="AE177" s="2073"/>
      <c r="AF177" s="1685"/>
      <c r="AG177" s="1685"/>
      <c r="BQ177" s="1685"/>
    </row>
    <row r="178" spans="1:75" ht="15">
      <c r="A178" s="1685"/>
      <c r="B178" s="1685"/>
      <c r="C178" s="1685"/>
      <c r="D178" s="1685"/>
      <c r="E178" s="1685"/>
      <c r="F178" s="1869" t="s">
        <v>987</v>
      </c>
      <c r="G178" s="1685"/>
      <c r="H178" s="1877"/>
      <c r="I178" s="1685"/>
      <c r="J178" s="1685"/>
      <c r="K178" s="1685"/>
      <c r="L178" s="1685"/>
      <c r="M178" s="1685"/>
      <c r="N178" s="1685"/>
      <c r="O178" s="1685"/>
      <c r="P178" s="1685"/>
      <c r="Q178" s="1685"/>
      <c r="R178" s="1685"/>
      <c r="S178" s="1685"/>
      <c r="T178" s="1685"/>
      <c r="U178" s="1685"/>
      <c r="V178" s="1685"/>
      <c r="W178" s="1685"/>
      <c r="X178" s="1685"/>
      <c r="Y178" s="1685"/>
      <c r="Z178" s="1685"/>
      <c r="AA178" s="1685"/>
      <c r="AB178" s="1685"/>
      <c r="AC178" s="1685"/>
      <c r="AD178" s="2069"/>
      <c r="AE178" s="2073"/>
      <c r="AF178" s="1685"/>
      <c r="AG178" s="1685"/>
      <c r="BQ178" s="1685"/>
    </row>
    <row r="179" spans="1:75" ht="15">
      <c r="A179" s="1685" t="s">
        <v>847</v>
      </c>
      <c r="B179" s="1685" t="s">
        <v>988</v>
      </c>
      <c r="C179" s="1685" t="s">
        <v>989</v>
      </c>
      <c r="D179" s="1685"/>
      <c r="E179" s="1685"/>
      <c r="F179" s="1685"/>
      <c r="G179" s="1701" t="s">
        <v>989</v>
      </c>
      <c r="H179" s="1878" t="s">
        <v>990</v>
      </c>
      <c r="I179" s="1701" t="s">
        <v>991</v>
      </c>
      <c r="J179" s="1701" t="s">
        <v>992</v>
      </c>
      <c r="K179" s="1685"/>
      <c r="L179" s="1685"/>
      <c r="M179" s="1685"/>
      <c r="N179" s="1685"/>
      <c r="O179" s="1685"/>
      <c r="P179" s="1685"/>
      <c r="Q179" s="1685"/>
      <c r="R179" s="1685"/>
      <c r="S179" s="1685"/>
      <c r="T179" s="1685"/>
      <c r="U179" s="1685"/>
      <c r="V179" s="1685"/>
      <c r="W179" s="1685"/>
      <c r="X179" s="1685"/>
      <c r="Y179" s="1685"/>
      <c r="Z179" s="1685"/>
      <c r="AA179" s="1685"/>
      <c r="AB179" s="1685"/>
      <c r="AC179" s="1685"/>
      <c r="AD179" s="2069"/>
      <c r="AE179" s="2073"/>
      <c r="AF179" s="1685"/>
      <c r="AG179" s="1685" t="s">
        <v>847</v>
      </c>
      <c r="AH179" s="1677" t="s">
        <v>988</v>
      </c>
      <c r="AI179" s="1677" t="s">
        <v>989</v>
      </c>
      <c r="AM179" s="1702" t="s">
        <v>989</v>
      </c>
      <c r="AN179" s="1702" t="s">
        <v>990</v>
      </c>
      <c r="AO179" s="1702" t="s">
        <v>991</v>
      </c>
      <c r="AP179" s="1702" t="s">
        <v>992</v>
      </c>
      <c r="BQ179" s="1685" t="s">
        <v>847</v>
      </c>
      <c r="BR179" s="1677" t="s">
        <v>988</v>
      </c>
      <c r="BS179" s="1677" t="s">
        <v>989</v>
      </c>
      <c r="BW179" s="1702" t="s">
        <v>989</v>
      </c>
    </row>
    <row r="180" spans="1:75" ht="15">
      <c r="A180" s="1685"/>
      <c r="B180" s="1685"/>
      <c r="C180" s="1685"/>
      <c r="D180" s="1685"/>
      <c r="E180" s="1685"/>
      <c r="F180" s="1685"/>
      <c r="G180" s="1701" t="s">
        <v>993</v>
      </c>
      <c r="H180" s="1878"/>
      <c r="I180" s="1701"/>
      <c r="J180" s="1701"/>
      <c r="K180" s="1685"/>
      <c r="L180" s="1685"/>
      <c r="M180" s="1685"/>
      <c r="N180" s="1685"/>
      <c r="O180" s="1685"/>
      <c r="P180" s="1685"/>
      <c r="Q180" s="1685"/>
      <c r="R180" s="1685"/>
      <c r="S180" s="1685"/>
      <c r="T180" s="1685"/>
      <c r="U180" s="1685"/>
      <c r="V180" s="1685"/>
      <c r="W180" s="1685"/>
      <c r="X180" s="1685"/>
      <c r="Y180" s="1685"/>
      <c r="Z180" s="1685"/>
      <c r="AA180" s="1685"/>
      <c r="AB180" s="1685"/>
      <c r="AC180" s="1685"/>
      <c r="AD180" s="2069"/>
      <c r="AE180" s="2073"/>
      <c r="AF180" s="1685"/>
      <c r="AG180" s="1685"/>
      <c r="AM180" s="1702" t="s">
        <v>993</v>
      </c>
      <c r="AN180" s="1702" t="str">
        <f>IF(TCATrigger="No","",IF(H180="","",H180))</f>
        <v/>
      </c>
      <c r="AO180" s="1702" t="str">
        <f t="shared" ref="AO180:AO194" si="13">IF(TCATrigger="No","",IF(I180="","",I180))</f>
        <v/>
      </c>
      <c r="AP180" s="1702" t="str">
        <f t="shared" ref="AP180:AP194" si="14">IF(TCATrigger="No","",IF(J180="","",J180))</f>
        <v/>
      </c>
      <c r="BQ180" s="1685"/>
      <c r="BW180" s="1702" t="s">
        <v>993</v>
      </c>
    </row>
    <row r="181" spans="1:75" ht="15">
      <c r="A181" s="1685"/>
      <c r="B181" s="1685"/>
      <c r="C181" s="1685"/>
      <c r="D181" s="1685"/>
      <c r="E181" s="1685"/>
      <c r="F181" s="1686"/>
      <c r="G181" s="1701" t="s">
        <v>994</v>
      </c>
      <c r="H181" s="2010" t="str">
        <f>IF(ISBLANK(rng01_Milestones_ConstructionBegins),"",rng01_Milestones_ConstructionBegins)</f>
        <v/>
      </c>
      <c r="I181" s="1701"/>
      <c r="J181" s="1701"/>
      <c r="K181" s="1685"/>
      <c r="L181" s="1685"/>
      <c r="M181" s="1685"/>
      <c r="N181" s="1685"/>
      <c r="O181" s="1685"/>
      <c r="P181" s="1685"/>
      <c r="Q181" s="1685"/>
      <c r="R181" s="1685"/>
      <c r="S181" s="1685"/>
      <c r="T181" s="1685"/>
      <c r="U181" s="1685"/>
      <c r="V181" s="1685"/>
      <c r="W181" s="1685"/>
      <c r="X181" s="1685"/>
      <c r="Y181" s="1685"/>
      <c r="Z181" s="1685"/>
      <c r="AA181" s="1685"/>
      <c r="AB181" s="1685"/>
      <c r="AC181" s="1685"/>
      <c r="AD181" s="2069"/>
      <c r="AE181" s="2073"/>
      <c r="AF181" s="1685"/>
      <c r="AG181" s="1685"/>
      <c r="AM181" s="1702" t="s">
        <v>994</v>
      </c>
      <c r="AN181" s="1702" t="str">
        <f t="shared" ref="AN181:AN194" si="15">IF(TCATrigger="No","",IF(H181="","",H181))</f>
        <v/>
      </c>
      <c r="AO181" s="1702" t="str">
        <f t="shared" si="13"/>
        <v/>
      </c>
      <c r="AP181" s="1702" t="str">
        <f t="shared" si="14"/>
        <v/>
      </c>
      <c r="BQ181" s="1685"/>
      <c r="BW181" s="1702" t="s">
        <v>994</v>
      </c>
    </row>
    <row r="182" spans="1:75" ht="15">
      <c r="A182" s="1685"/>
      <c r="B182" s="1685"/>
      <c r="C182" s="1685"/>
      <c r="D182" s="1685"/>
      <c r="E182" s="1685"/>
      <c r="F182" s="1685"/>
      <c r="G182" s="1701" t="s">
        <v>995</v>
      </c>
      <c r="H182" s="2011"/>
      <c r="I182" s="1701"/>
      <c r="J182" s="1701"/>
      <c r="K182" s="1685"/>
      <c r="L182" s="1685"/>
      <c r="M182" s="1685"/>
      <c r="N182" s="1685"/>
      <c r="O182" s="1685"/>
      <c r="P182" s="1685"/>
      <c r="Q182" s="1685"/>
      <c r="R182" s="1685"/>
      <c r="S182" s="1685"/>
      <c r="T182" s="1685"/>
      <c r="U182" s="1685"/>
      <c r="V182" s="1685"/>
      <c r="W182" s="1685"/>
      <c r="X182" s="1685"/>
      <c r="Y182" s="1685"/>
      <c r="Z182" s="1685"/>
      <c r="AA182" s="1685"/>
      <c r="AB182" s="1685"/>
      <c r="AC182" s="1685"/>
      <c r="AD182" s="2069"/>
      <c r="AE182" s="2073"/>
      <c r="AF182" s="1685"/>
      <c r="AG182" s="1685"/>
      <c r="AM182" s="1702" t="s">
        <v>995</v>
      </c>
      <c r="AN182" s="1702" t="str">
        <f t="shared" si="15"/>
        <v/>
      </c>
      <c r="AO182" s="1702" t="str">
        <f t="shared" si="13"/>
        <v/>
      </c>
      <c r="AP182" s="1702" t="str">
        <f t="shared" si="14"/>
        <v/>
      </c>
      <c r="BQ182" s="1685"/>
      <c r="BW182" s="1702" t="s">
        <v>995</v>
      </c>
    </row>
    <row r="183" spans="1:75" ht="15">
      <c r="A183" s="1685"/>
      <c r="B183" s="1685"/>
      <c r="C183" s="1685"/>
      <c r="D183" s="1685"/>
      <c r="E183" s="1685"/>
      <c r="F183" s="1685"/>
      <c r="G183" s="1701" t="s">
        <v>995</v>
      </c>
      <c r="H183" s="2011"/>
      <c r="I183" s="1701"/>
      <c r="J183" s="1701"/>
      <c r="K183" s="1685"/>
      <c r="L183" s="1685"/>
      <c r="M183" s="1685"/>
      <c r="N183" s="1685"/>
      <c r="O183" s="1685"/>
      <c r="P183" s="1685"/>
      <c r="Q183" s="1685"/>
      <c r="R183" s="1685"/>
      <c r="S183" s="1685"/>
      <c r="T183" s="1685"/>
      <c r="U183" s="1685"/>
      <c r="V183" s="1685"/>
      <c r="W183" s="1685"/>
      <c r="X183" s="1685"/>
      <c r="Y183" s="1685"/>
      <c r="Z183" s="1685"/>
      <c r="AA183" s="1685"/>
      <c r="AB183" s="1685"/>
      <c r="AC183" s="1685"/>
      <c r="AD183" s="2069"/>
      <c r="AE183" s="2073"/>
      <c r="AF183" s="1685"/>
      <c r="AG183" s="1685"/>
      <c r="AM183" s="1702" t="s">
        <v>995</v>
      </c>
      <c r="AN183" s="1702" t="str">
        <f t="shared" si="15"/>
        <v/>
      </c>
      <c r="AO183" s="1702" t="str">
        <f t="shared" si="13"/>
        <v/>
      </c>
      <c r="AP183" s="1702" t="str">
        <f t="shared" si="14"/>
        <v/>
      </c>
      <c r="BQ183" s="1685"/>
      <c r="BW183" s="1702" t="s">
        <v>995</v>
      </c>
    </row>
    <row r="184" spans="1:75" ht="15">
      <c r="A184" s="1685"/>
      <c r="B184" s="1685"/>
      <c r="C184" s="1685"/>
      <c r="D184" s="1685"/>
      <c r="E184" s="1685"/>
      <c r="F184" s="1685"/>
      <c r="G184" s="1701" t="s">
        <v>995</v>
      </c>
      <c r="H184" s="2011"/>
      <c r="I184" s="1701"/>
      <c r="J184" s="1701"/>
      <c r="K184" s="1685"/>
      <c r="L184" s="1685"/>
      <c r="M184" s="1685"/>
      <c r="N184" s="1685"/>
      <c r="O184" s="1685"/>
      <c r="P184" s="1685"/>
      <c r="Q184" s="1685"/>
      <c r="R184" s="1685"/>
      <c r="S184" s="1685"/>
      <c r="T184" s="1685"/>
      <c r="U184" s="1685"/>
      <c r="V184" s="1685"/>
      <c r="W184" s="1685"/>
      <c r="X184" s="1685"/>
      <c r="Y184" s="1685"/>
      <c r="Z184" s="1685"/>
      <c r="AA184" s="1685"/>
      <c r="AB184" s="1685"/>
      <c r="AC184" s="1685"/>
      <c r="AD184" s="2069"/>
      <c r="AE184" s="2073"/>
      <c r="AF184" s="1685"/>
      <c r="AG184" s="1685"/>
      <c r="AM184" s="1702" t="s">
        <v>995</v>
      </c>
      <c r="AN184" s="1702" t="str">
        <f t="shared" si="15"/>
        <v/>
      </c>
      <c r="AO184" s="1702" t="str">
        <f t="shared" si="13"/>
        <v/>
      </c>
      <c r="AP184" s="1702" t="str">
        <f t="shared" si="14"/>
        <v/>
      </c>
      <c r="BQ184" s="1685"/>
      <c r="BW184" s="1702" t="s">
        <v>995</v>
      </c>
    </row>
    <row r="185" spans="1:75" ht="15">
      <c r="A185" s="1685"/>
      <c r="B185" s="1685"/>
      <c r="C185" s="1685"/>
      <c r="D185" s="1685"/>
      <c r="E185" s="1685"/>
      <c r="F185" s="1686"/>
      <c r="G185" s="1701" t="s">
        <v>996</v>
      </c>
      <c r="H185" s="2010" t="str">
        <f>IF(ISBLANK(rng01_Milestones_ConstructionCompletion),"",rng01_Milestones_ConstructionCompletion)</f>
        <v/>
      </c>
      <c r="I185" s="1701"/>
      <c r="J185" s="1701"/>
      <c r="K185" s="1685"/>
      <c r="L185" s="1685"/>
      <c r="M185" s="1685"/>
      <c r="N185" s="1685"/>
      <c r="O185" s="1685"/>
      <c r="P185" s="1685"/>
      <c r="Q185" s="1685"/>
      <c r="R185" s="1685"/>
      <c r="S185" s="1685"/>
      <c r="T185" s="1685"/>
      <c r="U185" s="1685"/>
      <c r="V185" s="1685"/>
      <c r="W185" s="1685"/>
      <c r="X185" s="1685"/>
      <c r="Y185" s="1685"/>
      <c r="Z185" s="1685"/>
      <c r="AA185" s="1685"/>
      <c r="AB185" s="1685"/>
      <c r="AC185" s="1685"/>
      <c r="AD185" s="2069"/>
      <c r="AE185" s="2073"/>
      <c r="AF185" s="1685"/>
      <c r="AG185" s="1685"/>
      <c r="AM185" s="1702" t="s">
        <v>996</v>
      </c>
      <c r="AN185" s="1702" t="str">
        <f t="shared" si="15"/>
        <v/>
      </c>
      <c r="AO185" s="1702" t="str">
        <f t="shared" si="13"/>
        <v/>
      </c>
      <c r="AP185" s="1702" t="str">
        <f t="shared" si="14"/>
        <v/>
      </c>
      <c r="BQ185" s="1685"/>
      <c r="BW185" s="1702" t="s">
        <v>996</v>
      </c>
    </row>
    <row r="186" spans="1:75" ht="15">
      <c r="A186" s="1685"/>
      <c r="B186" s="1685"/>
      <c r="C186" s="1685"/>
      <c r="D186" s="1685"/>
      <c r="E186" s="1685"/>
      <c r="F186" s="1685"/>
      <c r="G186" s="1701" t="s">
        <v>995</v>
      </c>
      <c r="H186" s="2011"/>
      <c r="I186" s="1701"/>
      <c r="J186" s="1701"/>
      <c r="K186" s="1685"/>
      <c r="L186" s="1685"/>
      <c r="M186" s="1685"/>
      <c r="N186" s="1685"/>
      <c r="O186" s="1685"/>
      <c r="P186" s="1685"/>
      <c r="Q186" s="1685"/>
      <c r="R186" s="1685"/>
      <c r="S186" s="1685"/>
      <c r="T186" s="1685"/>
      <c r="U186" s="1685"/>
      <c r="V186" s="1685"/>
      <c r="W186" s="1685"/>
      <c r="X186" s="1685"/>
      <c r="Y186" s="1685"/>
      <c r="Z186" s="1685"/>
      <c r="AA186" s="1685"/>
      <c r="AB186" s="1685"/>
      <c r="AC186" s="1685"/>
      <c r="AD186" s="2069"/>
      <c r="AE186" s="2073"/>
      <c r="AF186" s="1685"/>
      <c r="AG186" s="1685"/>
      <c r="AM186" s="1702" t="s">
        <v>995</v>
      </c>
      <c r="AN186" s="1702" t="str">
        <f t="shared" si="15"/>
        <v/>
      </c>
      <c r="AO186" s="1702" t="str">
        <f t="shared" si="13"/>
        <v/>
      </c>
      <c r="AP186" s="1702" t="str">
        <f t="shared" si="14"/>
        <v/>
      </c>
      <c r="BQ186" s="1685"/>
      <c r="BW186" s="1702" t="s">
        <v>995</v>
      </c>
    </row>
    <row r="187" spans="1:75" ht="15">
      <c r="A187" s="1685"/>
      <c r="B187" s="1685"/>
      <c r="C187" s="1685"/>
      <c r="D187" s="1685"/>
      <c r="E187" s="1685"/>
      <c r="F187" s="1685"/>
      <c r="G187" s="1701" t="s">
        <v>995</v>
      </c>
      <c r="H187" s="2011"/>
      <c r="I187" s="1701"/>
      <c r="J187" s="1701"/>
      <c r="K187" s="1685"/>
      <c r="L187" s="1685"/>
      <c r="M187" s="1685"/>
      <c r="N187" s="1685"/>
      <c r="O187" s="1685"/>
      <c r="P187" s="1685"/>
      <c r="Q187" s="1685"/>
      <c r="R187" s="1685"/>
      <c r="S187" s="1685"/>
      <c r="T187" s="1685"/>
      <c r="U187" s="1685"/>
      <c r="V187" s="1685"/>
      <c r="W187" s="1685"/>
      <c r="X187" s="1685"/>
      <c r="Y187" s="1685"/>
      <c r="Z187" s="1685"/>
      <c r="AA187" s="1685"/>
      <c r="AB187" s="1685"/>
      <c r="AC187" s="1685"/>
      <c r="AD187" s="2069"/>
      <c r="AE187" s="2073"/>
      <c r="AF187" s="1685"/>
      <c r="AG187" s="1685"/>
      <c r="AM187" s="1702" t="s">
        <v>995</v>
      </c>
      <c r="AN187" s="1702" t="str">
        <f t="shared" si="15"/>
        <v/>
      </c>
      <c r="AO187" s="1702" t="str">
        <f t="shared" si="13"/>
        <v/>
      </c>
      <c r="AP187" s="1702" t="str">
        <f t="shared" si="14"/>
        <v/>
      </c>
      <c r="BQ187" s="1685"/>
      <c r="BW187" s="1702" t="s">
        <v>995</v>
      </c>
    </row>
    <row r="188" spans="1:75" ht="15">
      <c r="A188" s="1685"/>
      <c r="B188" s="1685"/>
      <c r="C188" s="1685"/>
      <c r="D188" s="1685"/>
      <c r="E188" s="1685"/>
      <c r="F188" s="1685"/>
      <c r="G188" s="1701" t="s">
        <v>998</v>
      </c>
      <c r="H188" s="2011"/>
      <c r="I188" s="1701"/>
      <c r="J188" s="1701"/>
      <c r="K188" s="1685"/>
      <c r="L188" s="1685"/>
      <c r="M188" s="1685"/>
      <c r="N188" s="1685"/>
      <c r="O188" s="1685"/>
      <c r="P188" s="1685"/>
      <c r="Q188" s="1685"/>
      <c r="R188" s="1685"/>
      <c r="S188" s="1685"/>
      <c r="T188" s="1685"/>
      <c r="U188" s="1685"/>
      <c r="V188" s="1685"/>
      <c r="W188" s="1685"/>
      <c r="X188" s="1685"/>
      <c r="Y188" s="1685"/>
      <c r="Z188" s="1685"/>
      <c r="AA188" s="1685"/>
      <c r="AB188" s="1685"/>
      <c r="AC188" s="1685"/>
      <c r="AD188" s="2069"/>
      <c r="AE188" s="2073"/>
      <c r="AF188" s="1685"/>
      <c r="AG188" s="1685"/>
      <c r="AM188" s="1702" t="s">
        <v>998</v>
      </c>
      <c r="AN188" s="1702" t="str">
        <f t="shared" si="15"/>
        <v/>
      </c>
      <c r="AO188" s="1702" t="str">
        <f t="shared" si="13"/>
        <v/>
      </c>
      <c r="AP188" s="1702" t="str">
        <f t="shared" si="14"/>
        <v/>
      </c>
      <c r="BQ188" s="1685"/>
      <c r="BW188" s="1702" t="s">
        <v>998</v>
      </c>
    </row>
    <row r="189" spans="1:75" ht="15">
      <c r="A189" s="1685"/>
      <c r="B189" s="1685"/>
      <c r="C189" s="1685"/>
      <c r="D189" s="1685"/>
      <c r="E189" s="1685"/>
      <c r="F189" s="1685"/>
      <c r="G189" s="1701" t="s">
        <v>995</v>
      </c>
      <c r="H189" s="2011"/>
      <c r="I189" s="1701"/>
      <c r="J189" s="1701"/>
      <c r="K189" s="1685"/>
      <c r="L189" s="1685"/>
      <c r="M189" s="1685"/>
      <c r="N189" s="1685"/>
      <c r="O189" s="1685"/>
      <c r="P189" s="1685"/>
      <c r="Q189" s="1685"/>
      <c r="R189" s="1685"/>
      <c r="S189" s="1685"/>
      <c r="T189" s="1685"/>
      <c r="U189" s="1685"/>
      <c r="V189" s="1685"/>
      <c r="W189" s="1685"/>
      <c r="X189" s="1685"/>
      <c r="Y189" s="1685"/>
      <c r="Z189" s="1685"/>
      <c r="AA189" s="1685"/>
      <c r="AB189" s="1685"/>
      <c r="AC189" s="1685"/>
      <c r="AD189" s="2069"/>
      <c r="AE189" s="2073"/>
      <c r="AF189" s="1685"/>
      <c r="AG189" s="1685"/>
      <c r="AM189" s="1702" t="s">
        <v>995</v>
      </c>
      <c r="AN189" s="1702" t="str">
        <f t="shared" si="15"/>
        <v/>
      </c>
      <c r="AO189" s="1702" t="str">
        <f t="shared" si="13"/>
        <v/>
      </c>
      <c r="AP189" s="1702" t="str">
        <f t="shared" si="14"/>
        <v/>
      </c>
      <c r="BQ189" s="1685"/>
      <c r="BW189" s="1702" t="s">
        <v>995</v>
      </c>
    </row>
    <row r="190" spans="1:75" ht="15">
      <c r="A190" s="1685"/>
      <c r="B190" s="1685"/>
      <c r="C190" s="1685"/>
      <c r="D190" s="1685"/>
      <c r="E190" s="1685"/>
      <c r="F190" s="1685"/>
      <c r="G190" s="1701" t="s">
        <v>995</v>
      </c>
      <c r="H190" s="2011"/>
      <c r="I190" s="1701"/>
      <c r="J190" s="1701"/>
      <c r="K190" s="1685"/>
      <c r="L190" s="1685"/>
      <c r="M190" s="1685"/>
      <c r="N190" s="1685"/>
      <c r="O190" s="1685"/>
      <c r="P190" s="1685"/>
      <c r="Q190" s="1685"/>
      <c r="R190" s="1685"/>
      <c r="S190" s="1685"/>
      <c r="T190" s="1685"/>
      <c r="U190" s="1685"/>
      <c r="V190" s="1685"/>
      <c r="W190" s="1685"/>
      <c r="X190" s="1685"/>
      <c r="Y190" s="1685"/>
      <c r="Z190" s="1685"/>
      <c r="AA190" s="1685"/>
      <c r="AB190" s="1685"/>
      <c r="AC190" s="1685"/>
      <c r="AD190" s="2069"/>
      <c r="AE190" s="2073"/>
      <c r="AF190" s="1685"/>
      <c r="AG190" s="1685"/>
      <c r="AM190" s="1702" t="s">
        <v>995</v>
      </c>
      <c r="AN190" s="1702" t="str">
        <f t="shared" si="15"/>
        <v/>
      </c>
      <c r="AO190" s="1702" t="str">
        <f t="shared" si="13"/>
        <v/>
      </c>
      <c r="AP190" s="1702" t="str">
        <f t="shared" si="14"/>
        <v/>
      </c>
      <c r="BQ190" s="1685"/>
      <c r="BW190" s="1702" t="s">
        <v>995</v>
      </c>
    </row>
    <row r="191" spans="1:75" ht="15">
      <c r="A191" s="1685"/>
      <c r="B191" s="1685"/>
      <c r="C191" s="1685"/>
      <c r="D191" s="1685"/>
      <c r="E191" s="1685"/>
      <c r="F191" s="1685"/>
      <c r="G191" s="1701" t="s">
        <v>999</v>
      </c>
      <c r="H191" s="2011"/>
      <c r="I191" s="1701"/>
      <c r="J191" s="1701"/>
      <c r="K191" s="1685"/>
      <c r="L191" s="1685"/>
      <c r="M191" s="1685"/>
      <c r="N191" s="1685"/>
      <c r="O191" s="1685"/>
      <c r="P191" s="1685"/>
      <c r="Q191" s="1685"/>
      <c r="R191" s="1685"/>
      <c r="S191" s="1685"/>
      <c r="T191" s="1685"/>
      <c r="U191" s="1685"/>
      <c r="V191" s="1685"/>
      <c r="W191" s="1685"/>
      <c r="X191" s="1685"/>
      <c r="Y191" s="1685"/>
      <c r="Z191" s="1685"/>
      <c r="AA191" s="1685"/>
      <c r="AB191" s="1685"/>
      <c r="AC191" s="1685"/>
      <c r="AD191" s="2069"/>
      <c r="AE191" s="2073"/>
      <c r="AF191" s="1685"/>
      <c r="AG191" s="1685"/>
      <c r="AM191" s="1702" t="s">
        <v>999</v>
      </c>
      <c r="AN191" s="1702" t="str">
        <f t="shared" si="15"/>
        <v/>
      </c>
      <c r="AO191" s="1702" t="str">
        <f t="shared" si="13"/>
        <v/>
      </c>
      <c r="AP191" s="1702" t="str">
        <f t="shared" si="14"/>
        <v/>
      </c>
      <c r="BQ191" s="1685"/>
      <c r="BW191" s="1702" t="s">
        <v>999</v>
      </c>
    </row>
    <row r="192" spans="1:75" ht="15">
      <c r="A192" s="1685"/>
      <c r="B192" s="1685"/>
      <c r="C192" s="1685"/>
      <c r="D192" s="1685"/>
      <c r="E192" s="1685"/>
      <c r="F192" s="1685"/>
      <c r="G192" s="1701" t="s">
        <v>1000</v>
      </c>
      <c r="H192" s="2011"/>
      <c r="I192" s="1701"/>
      <c r="J192" s="1701"/>
      <c r="K192" s="1685"/>
      <c r="L192" s="1685"/>
      <c r="M192" s="1685"/>
      <c r="N192" s="1685"/>
      <c r="O192" s="1685"/>
      <c r="P192" s="1685"/>
      <c r="Q192" s="1685"/>
      <c r="R192" s="1685"/>
      <c r="S192" s="1685"/>
      <c r="T192" s="1685"/>
      <c r="U192" s="1685"/>
      <c r="V192" s="1685"/>
      <c r="W192" s="1685"/>
      <c r="X192" s="1685"/>
      <c r="Y192" s="1685"/>
      <c r="Z192" s="1685"/>
      <c r="AA192" s="1685"/>
      <c r="AB192" s="1685"/>
      <c r="AC192" s="1685"/>
      <c r="AD192" s="2069"/>
      <c r="AE192" s="2073"/>
      <c r="AF192" s="1685"/>
      <c r="AG192" s="1685"/>
      <c r="AM192" s="1702" t="s">
        <v>1000</v>
      </c>
      <c r="AN192" s="1702" t="str">
        <f t="shared" si="15"/>
        <v/>
      </c>
      <c r="AO192" s="1702" t="str">
        <f t="shared" si="13"/>
        <v/>
      </c>
      <c r="AP192" s="1702" t="str">
        <f t="shared" si="14"/>
        <v/>
      </c>
      <c r="BQ192" s="1685"/>
      <c r="BW192" s="1702" t="s">
        <v>1000</v>
      </c>
    </row>
    <row r="193" spans="1:75" ht="15">
      <c r="A193" s="1685"/>
      <c r="B193" s="1685"/>
      <c r="C193" s="1685"/>
      <c r="D193" s="1685"/>
      <c r="E193" s="1685"/>
      <c r="F193" s="1685"/>
      <c r="G193" s="1701" t="s">
        <v>1001</v>
      </c>
      <c r="H193" s="2011"/>
      <c r="I193" s="1701"/>
      <c r="J193" s="1701"/>
      <c r="K193" s="1685"/>
      <c r="L193" s="1685"/>
      <c r="M193" s="1685"/>
      <c r="N193" s="1685"/>
      <c r="O193" s="1685"/>
      <c r="P193" s="1685"/>
      <c r="Q193" s="1685"/>
      <c r="R193" s="1685"/>
      <c r="S193" s="1685"/>
      <c r="T193" s="1685"/>
      <c r="U193" s="1685"/>
      <c r="V193" s="1685"/>
      <c r="W193" s="1685"/>
      <c r="X193" s="1685"/>
      <c r="Y193" s="1685"/>
      <c r="Z193" s="1685"/>
      <c r="AA193" s="1685"/>
      <c r="AB193" s="1685"/>
      <c r="AC193" s="1685"/>
      <c r="AD193" s="2069"/>
      <c r="AE193" s="2073"/>
      <c r="AF193" s="1685"/>
      <c r="AG193" s="1685"/>
      <c r="AM193" s="1702" t="s">
        <v>1001</v>
      </c>
      <c r="AN193" s="1702" t="str">
        <f t="shared" si="15"/>
        <v/>
      </c>
      <c r="AO193" s="1702" t="str">
        <f t="shared" si="13"/>
        <v/>
      </c>
      <c r="AP193" s="1702" t="str">
        <f t="shared" si="14"/>
        <v/>
      </c>
      <c r="BQ193" s="1685"/>
      <c r="BW193" s="1702" t="s">
        <v>1001</v>
      </c>
    </row>
    <row r="194" spans="1:75" ht="15">
      <c r="A194" s="1685"/>
      <c r="B194" s="1685"/>
      <c r="C194" s="1685"/>
      <c r="D194" s="1685"/>
      <c r="E194" s="1685"/>
      <c r="F194" s="1685"/>
      <c r="G194" s="1701" t="s">
        <v>1002</v>
      </c>
      <c r="H194" s="2011"/>
      <c r="I194" s="1701"/>
      <c r="J194" s="1701"/>
      <c r="K194" s="1685"/>
      <c r="L194" s="1685"/>
      <c r="M194" s="1685"/>
      <c r="N194" s="1685"/>
      <c r="O194" s="1685"/>
      <c r="P194" s="1685"/>
      <c r="Q194" s="1685"/>
      <c r="R194" s="1685"/>
      <c r="S194" s="1685"/>
      <c r="T194" s="1685"/>
      <c r="U194" s="1685"/>
      <c r="V194" s="1685"/>
      <c r="W194" s="1685"/>
      <c r="X194" s="1685"/>
      <c r="Y194" s="1685"/>
      <c r="Z194" s="1685"/>
      <c r="AA194" s="1685"/>
      <c r="AB194" s="1685"/>
      <c r="AC194" s="1685"/>
      <c r="AD194" s="2069"/>
      <c r="AE194" s="2073"/>
      <c r="AF194" s="1685"/>
      <c r="AG194" s="1685"/>
      <c r="AM194" s="1702" t="s">
        <v>1002</v>
      </c>
      <c r="AN194" s="1702" t="str">
        <f t="shared" si="15"/>
        <v/>
      </c>
      <c r="AO194" s="1702" t="str">
        <f t="shared" si="13"/>
        <v/>
      </c>
      <c r="AP194" s="1702" t="str">
        <f t="shared" si="14"/>
        <v/>
      </c>
      <c r="BQ194" s="1685"/>
      <c r="BW194" s="1702" t="s">
        <v>1002</v>
      </c>
    </row>
    <row r="195" spans="1:75" ht="15">
      <c r="A195" s="1685"/>
      <c r="B195" s="1685"/>
      <c r="C195" s="1685"/>
      <c r="D195" s="1685"/>
      <c r="E195" s="1685"/>
      <c r="F195" s="1685"/>
      <c r="G195" s="1685"/>
      <c r="H195" s="1685"/>
      <c r="I195" s="1685"/>
      <c r="J195" s="1685"/>
      <c r="K195" s="1685"/>
      <c r="L195" s="1685"/>
      <c r="M195" s="1685"/>
      <c r="N195" s="1685"/>
      <c r="O195" s="1685"/>
      <c r="P195" s="1685"/>
      <c r="Q195" s="1685"/>
      <c r="R195" s="1685"/>
      <c r="S195" s="1685"/>
      <c r="T195" s="1685"/>
      <c r="U195" s="1685"/>
      <c r="V195" s="1685"/>
      <c r="W195" s="1685"/>
      <c r="X195" s="1685"/>
      <c r="Y195" s="1685"/>
      <c r="Z195" s="1685"/>
      <c r="AA195" s="1685"/>
      <c r="AB195" s="1685"/>
      <c r="AC195" s="1685"/>
      <c r="AD195" s="2069"/>
      <c r="AE195" s="2073"/>
      <c r="AF195" s="1685"/>
      <c r="AG195" s="1685"/>
      <c r="BQ195" s="1685"/>
    </row>
    <row r="196" spans="1:75" ht="15">
      <c r="A196" s="1685" t="s">
        <v>847</v>
      </c>
      <c r="B196" s="1679" t="s">
        <v>1003</v>
      </c>
      <c r="D196" s="1685"/>
      <c r="E196" s="1685"/>
      <c r="F196" s="1685"/>
      <c r="G196" s="1685"/>
      <c r="H196" s="1685"/>
      <c r="I196" s="1685"/>
      <c r="J196" s="1685"/>
      <c r="K196" s="1685"/>
      <c r="L196" s="1685"/>
      <c r="M196" s="1685"/>
      <c r="N196" s="1685"/>
      <c r="O196" s="1685"/>
      <c r="P196" s="1685"/>
      <c r="Q196" s="1685"/>
      <c r="R196" s="1685"/>
      <c r="S196" s="1685"/>
      <c r="T196" s="1685"/>
      <c r="U196" s="1685"/>
      <c r="V196" s="1685"/>
      <c r="W196" s="1685"/>
      <c r="X196" s="1685"/>
      <c r="Y196" s="1685"/>
      <c r="Z196" s="1685"/>
      <c r="AA196" s="1685"/>
      <c r="AB196" s="1685"/>
      <c r="AC196" s="1685"/>
      <c r="AD196" s="2069"/>
      <c r="AE196" s="2073"/>
      <c r="AF196" s="1685"/>
      <c r="AG196" s="1685" t="s">
        <v>847</v>
      </c>
      <c r="AH196" s="1679" t="s">
        <v>1003</v>
      </c>
      <c r="BQ196" s="1685" t="s">
        <v>847</v>
      </c>
      <c r="BR196" s="1679" t="s">
        <v>1003</v>
      </c>
    </row>
    <row r="197" spans="1:75" ht="15">
      <c r="A197" s="1685" t="s">
        <v>847</v>
      </c>
      <c r="B197" s="1679" t="s">
        <v>1004</v>
      </c>
      <c r="D197" s="1685"/>
      <c r="E197" s="1685"/>
      <c r="F197" s="1685"/>
      <c r="G197" s="1685"/>
      <c r="H197" s="1685"/>
      <c r="I197" s="1685"/>
      <c r="J197" s="1685"/>
      <c r="K197" s="1685"/>
      <c r="L197" s="1685"/>
      <c r="M197" s="1685"/>
      <c r="N197" s="1685"/>
      <c r="O197" s="1685"/>
      <c r="P197" s="1685"/>
      <c r="Q197" s="1685"/>
      <c r="R197" s="1685"/>
      <c r="S197" s="1685"/>
      <c r="T197" s="1685"/>
      <c r="U197" s="1685"/>
      <c r="V197" s="1685"/>
      <c r="W197" s="1685"/>
      <c r="X197" s="1685"/>
      <c r="Y197" s="1685"/>
      <c r="Z197" s="1685"/>
      <c r="AA197" s="1685"/>
      <c r="AB197" s="1685"/>
      <c r="AC197" s="1685"/>
      <c r="AD197" s="2069"/>
      <c r="AE197" s="2073"/>
      <c r="AF197" s="1685"/>
      <c r="AG197" s="1685" t="s">
        <v>847</v>
      </c>
      <c r="AH197" s="1679" t="s">
        <v>1004</v>
      </c>
      <c r="BQ197" s="1685" t="s">
        <v>847</v>
      </c>
      <c r="BR197" s="1679" t="s">
        <v>1004</v>
      </c>
    </row>
    <row r="198" spans="1:75" ht="15">
      <c r="A198" s="1685"/>
      <c r="B198" s="1685"/>
      <c r="C198" s="1685"/>
      <c r="D198" s="1685"/>
      <c r="E198" s="1685"/>
      <c r="F198" s="1685"/>
      <c r="G198" s="1685"/>
      <c r="H198" s="1685"/>
      <c r="I198" s="1685"/>
      <c r="J198" s="1685"/>
      <c r="K198" s="1685"/>
      <c r="L198" s="1685"/>
      <c r="M198" s="1685"/>
      <c r="N198" s="1685"/>
      <c r="O198" s="1685"/>
      <c r="P198" s="1685"/>
      <c r="Q198" s="1685"/>
      <c r="R198" s="1685"/>
      <c r="S198" s="1685"/>
      <c r="T198" s="1685"/>
      <c r="U198" s="1685"/>
      <c r="V198" s="1685"/>
      <c r="W198" s="1685"/>
      <c r="X198" s="1685"/>
      <c r="Y198" s="1685"/>
      <c r="Z198" s="1685"/>
      <c r="AA198" s="1685"/>
      <c r="AB198" s="1685"/>
      <c r="AC198" s="1685"/>
      <c r="AD198" s="2069"/>
      <c r="AE198" s="2073"/>
      <c r="AF198" s="1685"/>
      <c r="AG198" s="1685"/>
      <c r="BQ198" s="1685"/>
    </row>
    <row r="199" spans="1:75" ht="15">
      <c r="A199" s="1685"/>
      <c r="B199" s="1685"/>
      <c r="C199" s="1719"/>
      <c r="D199" s="1719"/>
      <c r="E199" s="1694" t="s">
        <v>1005</v>
      </c>
      <c r="F199" s="1719"/>
      <c r="G199" s="1685"/>
      <c r="H199" s="1685"/>
      <c r="I199" s="1685"/>
      <c r="J199" s="1685"/>
      <c r="K199" s="1685"/>
      <c r="L199" s="1685"/>
      <c r="M199" s="1685"/>
      <c r="N199" s="1685"/>
      <c r="O199" s="1685"/>
      <c r="P199" s="1685"/>
      <c r="Q199" s="1685"/>
      <c r="R199" s="1685"/>
      <c r="S199" s="1685"/>
      <c r="T199" s="1685"/>
      <c r="U199" s="1685"/>
      <c r="V199" s="1685"/>
      <c r="W199" s="1685"/>
      <c r="X199" s="1685"/>
      <c r="Y199" s="1685"/>
      <c r="Z199" s="1685"/>
      <c r="AA199" s="1685"/>
      <c r="AB199" s="1685"/>
      <c r="AC199" s="1685"/>
      <c r="AD199" s="2069"/>
      <c r="AE199" s="2073"/>
      <c r="AF199" s="1685"/>
      <c r="AG199" s="1685"/>
      <c r="AN199" s="1677" t="s">
        <v>2236</v>
      </c>
      <c r="BQ199" s="1685"/>
    </row>
    <row r="200" spans="1:75" ht="105">
      <c r="A200" s="1685" t="s">
        <v>847</v>
      </c>
      <c r="B200" s="1685" t="s">
        <v>1006</v>
      </c>
      <c r="C200" s="1720" t="s">
        <v>1007</v>
      </c>
      <c r="D200" s="1719"/>
      <c r="E200" s="1719"/>
      <c r="F200" s="1694"/>
      <c r="G200" s="1686"/>
      <c r="H200" s="1683" t="s">
        <v>1008</v>
      </c>
      <c r="I200" s="1694" t="s">
        <v>1009</v>
      </c>
      <c r="J200" s="1694" t="s">
        <v>1010</v>
      </c>
      <c r="K200" s="1721"/>
      <c r="L200" s="1694" t="s">
        <v>1011</v>
      </c>
      <c r="M200" s="1694" t="s">
        <v>98</v>
      </c>
      <c r="N200" s="1694" t="s">
        <v>1012</v>
      </c>
      <c r="O200" s="1722" t="s">
        <v>1012</v>
      </c>
      <c r="P200" s="1694" t="s">
        <v>1013</v>
      </c>
      <c r="Q200" s="1694" t="s">
        <v>904</v>
      </c>
      <c r="R200" s="1721" t="s">
        <v>1014</v>
      </c>
      <c r="S200" s="1721" t="s">
        <v>1015</v>
      </c>
      <c r="T200" s="1694" t="s">
        <v>1016</v>
      </c>
      <c r="U200" s="1685"/>
      <c r="V200" s="1685"/>
      <c r="W200" s="1685"/>
      <c r="X200" s="1685"/>
      <c r="Y200" s="1685"/>
      <c r="Z200" s="1685"/>
      <c r="AA200" s="1685"/>
      <c r="AB200" s="1685"/>
      <c r="AC200" s="1685"/>
      <c r="AD200" s="2069"/>
      <c r="AE200" s="2073"/>
      <c r="AF200" s="1685"/>
      <c r="AG200" s="1685" t="s">
        <v>847</v>
      </c>
      <c r="AH200" s="1677" t="s">
        <v>1006</v>
      </c>
      <c r="AI200" s="1677" t="s">
        <v>1007</v>
      </c>
      <c r="AM200" s="1686"/>
      <c r="AN200" s="1683" t="s">
        <v>1008</v>
      </c>
      <c r="AO200" s="1694" t="s">
        <v>1009</v>
      </c>
      <c r="AP200" s="1694" t="s">
        <v>1010</v>
      </c>
      <c r="AQ200" s="1721"/>
      <c r="AR200" s="1694" t="s">
        <v>1011</v>
      </c>
      <c r="AS200" s="1694" t="s">
        <v>98</v>
      </c>
      <c r="AT200" s="1694" t="s">
        <v>1012</v>
      </c>
      <c r="AU200" s="1694" t="s">
        <v>592</v>
      </c>
      <c r="AV200" s="1694" t="s">
        <v>1013</v>
      </c>
      <c r="AW200" s="1694" t="s">
        <v>904</v>
      </c>
      <c r="AX200" s="1721" t="s">
        <v>1014</v>
      </c>
      <c r="AY200" s="1721" t="s">
        <v>1015</v>
      </c>
      <c r="AZ200" s="1694" t="s">
        <v>1016</v>
      </c>
      <c r="BQ200" s="1685" t="s">
        <v>847</v>
      </c>
      <c r="BR200" s="1677" t="s">
        <v>1006</v>
      </c>
      <c r="BS200" s="2090" t="s">
        <v>1007</v>
      </c>
      <c r="BW200" s="2091" t="s">
        <v>2537</v>
      </c>
    </row>
    <row r="201" spans="1:75" ht="15">
      <c r="A201" s="1685"/>
      <c r="B201" s="1685"/>
      <c r="C201" s="1719"/>
      <c r="D201" s="1719"/>
      <c r="E201" s="1694" t="s">
        <v>1017</v>
      </c>
      <c r="F201" s="1686" t="s">
        <v>594</v>
      </c>
      <c r="G201" s="1686" t="s">
        <v>632</v>
      </c>
      <c r="H201" s="1723" t="str">
        <f>IF(rng01_Developer="","","Sponsor")</f>
        <v/>
      </c>
      <c r="I201" s="1723" t="str">
        <f>IF(rng01_Developer="","","Company")</f>
        <v/>
      </c>
      <c r="J201" s="1685" t="str">
        <f>IF(rng01_Developer="","",rng01_Developer)</f>
        <v/>
      </c>
      <c r="K201" s="1685"/>
      <c r="L201" s="1685" t="str">
        <f>IF(rng01_Developer="","",IF(rng01_Developer_Address="","",rng01_Developer_Address))</f>
        <v/>
      </c>
      <c r="M201" s="1685" t="str">
        <f>IF(rng01_Developer="","",IF(rng01_Developer_City="","",rng01_Developer_City))</f>
        <v/>
      </c>
      <c r="N201" s="1685" t="str">
        <f>IF(rng01_Developer="","",IF(rng01_Developer_State="","",rng01_Developer_State))</f>
        <v/>
      </c>
      <c r="O201" s="1724" t="str">
        <f>IF(rng01_Developer="","",LEFT(N201,2))</f>
        <v/>
      </c>
      <c r="P201" s="1691" t="str">
        <f>IF(rng01_Developer="","",RIGHT(N201,5))</f>
        <v/>
      </c>
      <c r="Q201" s="1685" t="str">
        <f>IF(rng01_Developer="","",IF(rng01_Developer_Phone="","",rng01_Developer_Phone))</f>
        <v/>
      </c>
      <c r="R201" s="1685" t="str">
        <f>IF(rng01_Developer="","",rng01_Developer_Fax)</f>
        <v/>
      </c>
      <c r="S201" s="1685" t="str">
        <f>IF(rng01_Developer="","",rng01_Developer_Cell)</f>
        <v/>
      </c>
      <c r="T201" s="1685" t="str">
        <f>IF(rng01_Developer="","",IF(rng01_Developer_Email="","",rng01_Developer_Email))</f>
        <v/>
      </c>
      <c r="U201" s="1685"/>
      <c r="V201" s="1685"/>
      <c r="W201" s="1685"/>
      <c r="X201" s="1685"/>
      <c r="Y201" s="1685"/>
      <c r="Z201" s="1685"/>
      <c r="AA201" s="1685"/>
      <c r="AB201" s="1685"/>
      <c r="AC201" s="1685"/>
      <c r="AD201" s="2069"/>
      <c r="AE201" s="2073"/>
      <c r="AF201" s="1685"/>
      <c r="AG201" s="1685"/>
      <c r="AM201" s="1686" t="s">
        <v>632</v>
      </c>
      <c r="AN201" s="1725" t="str">
        <f t="shared" ref="AN201:AN210" si="16">IF(TCATrigger="No","",IF(H201="","",H201))</f>
        <v/>
      </c>
      <c r="AO201" s="1691" t="str">
        <f t="shared" ref="AO201:AO210" si="17">IF(TCATrigger="No","",IF(I201="","",I201))</f>
        <v/>
      </c>
      <c r="AP201" s="1677" t="str">
        <f t="shared" ref="AP201:AP210" si="18">IF(TCATrigger="No","",IF(J201="","",J201))</f>
        <v/>
      </c>
      <c r="AQ201" s="1677" t="str">
        <f t="shared" ref="AQ201:AQ210" si="19">IF(TCATrigger="No","",IF(K201="","",K201))</f>
        <v/>
      </c>
      <c r="AR201" s="1677" t="str">
        <f t="shared" ref="AR201:AR210" si="20">IF(TCATrigger="No","",IF(L201="","",L201))</f>
        <v/>
      </c>
      <c r="AS201" s="1677" t="str">
        <f t="shared" ref="AS201:AS210" si="21">IF(TCATrigger="No","",IF(M201="","",M201))</f>
        <v/>
      </c>
      <c r="AU201" s="1691" t="str">
        <f t="shared" ref="AU201:AU210" si="22">IF(TCATrigger="No","",O201)</f>
        <v/>
      </c>
      <c r="AV201" s="1677" t="str">
        <f t="shared" ref="AV201:AV210" si="23">IF(TCATrigger="No","",P201)</f>
        <v/>
      </c>
      <c r="AW201" s="1677" t="str">
        <f t="shared" ref="AW201:AW210" si="24">IF(TCATrigger="No","",Q201)</f>
        <v/>
      </c>
      <c r="AZ201" s="1677" t="str">
        <f t="shared" ref="AZ201:AZ210" si="25">IF(TCATrigger="No","",IF(T201="","",T201))</f>
        <v/>
      </c>
      <c r="BQ201" s="1685"/>
      <c r="BW201" s="1686" t="s">
        <v>632</v>
      </c>
    </row>
    <row r="202" spans="1:75" ht="15">
      <c r="A202" s="1685"/>
      <c r="B202" s="1685"/>
      <c r="C202" s="1719"/>
      <c r="D202" s="1719"/>
      <c r="E202" s="1719"/>
      <c r="F202" s="1686" t="s">
        <v>594</v>
      </c>
      <c r="G202" s="1686" t="s">
        <v>1018</v>
      </c>
      <c r="H202" s="1723" t="str">
        <f>IF(rng01_Co_Developer="","","Co-Sponsor")</f>
        <v/>
      </c>
      <c r="I202" s="1688" t="str">
        <f>IF(rng01_Co_Developer="","","Company")</f>
        <v/>
      </c>
      <c r="J202" s="1685" t="str">
        <f>IF(rng01_Co_Developer="","",rng01_Co_Developer)</f>
        <v/>
      </c>
      <c r="K202" s="1685"/>
      <c r="L202" s="1685" t="str">
        <f>IF(rng01_Co_Developer="","",IF(rng01_Co_Developer_Address="","",rng01_Co_Developer_Address))</f>
        <v/>
      </c>
      <c r="M202" s="1685" t="str">
        <f>IF(rng01_Co_Developer="","",IF(rng01_Co_Developer_City="","",rng01_Co_Developer_City))</f>
        <v/>
      </c>
      <c r="N202" s="1685" t="str">
        <f>IF(rng01_Co_Developer="","",IF(rng01_Co_Developer_State="","",rng01_Co_Developer_State))</f>
        <v/>
      </c>
      <c r="O202" s="1726" t="str">
        <f>IF(rng01_Co_Developer="","",LEFT(N202,2))</f>
        <v/>
      </c>
      <c r="P202" s="1691" t="str">
        <f>IF(rng01_Co_Developer="","",RIGHT(N202,5))</f>
        <v/>
      </c>
      <c r="Q202" s="1685" t="str">
        <f>IF(rng01_Co_Developer="","",IF(rng01_Co_Developer_Phone="","",rng01_Co_Developer_Phone))</f>
        <v/>
      </c>
      <c r="R202" s="1685" t="str">
        <f>IF(rng01_Co_Developer="","",rng01_Co_Developer_Fax)</f>
        <v/>
      </c>
      <c r="S202" s="1685" t="str">
        <f>IF(rng01_Co_Developer="","",rng01_Co_Developer_Cell)</f>
        <v/>
      </c>
      <c r="T202" s="1685" t="str">
        <f>IF(rng01_Co_Developer="","",IF(rng01_Co_Developer_Email="","",rng01_Co_Developer_Email))</f>
        <v/>
      </c>
      <c r="U202" s="1685"/>
      <c r="V202" s="1685"/>
      <c r="W202" s="1685"/>
      <c r="X202" s="1685"/>
      <c r="Y202" s="1685"/>
      <c r="Z202" s="1685"/>
      <c r="AA202" s="1685"/>
      <c r="AB202" s="1685"/>
      <c r="AC202" s="1685"/>
      <c r="AD202" s="2069"/>
      <c r="AE202" s="2073"/>
      <c r="AF202" s="1685"/>
      <c r="AG202" s="1685"/>
      <c r="AM202" s="1686" t="s">
        <v>1018</v>
      </c>
      <c r="AN202" s="1725" t="str">
        <f t="shared" si="16"/>
        <v/>
      </c>
      <c r="AO202" s="1691" t="str">
        <f t="shared" si="17"/>
        <v/>
      </c>
      <c r="AP202" s="1677" t="str">
        <f t="shared" si="18"/>
        <v/>
      </c>
      <c r="AQ202" s="1677" t="str">
        <f t="shared" si="19"/>
        <v/>
      </c>
      <c r="AR202" s="1677" t="str">
        <f t="shared" si="20"/>
        <v/>
      </c>
      <c r="AS202" s="1677" t="str">
        <f t="shared" si="21"/>
        <v/>
      </c>
      <c r="AU202" s="1691" t="str">
        <f t="shared" si="22"/>
        <v/>
      </c>
      <c r="AV202" s="1677" t="str">
        <f t="shared" si="23"/>
        <v/>
      </c>
      <c r="AW202" s="1677" t="str">
        <f t="shared" si="24"/>
        <v/>
      </c>
      <c r="AZ202" s="1677" t="str">
        <f t="shared" si="25"/>
        <v/>
      </c>
      <c r="BQ202" s="1685"/>
      <c r="BW202" s="1686" t="s">
        <v>1018</v>
      </c>
    </row>
    <row r="203" spans="1:75" ht="15">
      <c r="A203" s="1685"/>
      <c r="B203" s="1685"/>
      <c r="C203" s="1719"/>
      <c r="D203" s="1719"/>
      <c r="E203" s="1719"/>
      <c r="F203" s="1686" t="s">
        <v>594</v>
      </c>
      <c r="G203" s="1686" t="s">
        <v>1019</v>
      </c>
      <c r="H203" s="1723" t="str">
        <f>IF(rng01_Manager="","","Manager")</f>
        <v/>
      </c>
      <c r="I203" s="1688" t="str">
        <f>IF(rng01_Manager="","","Company")</f>
        <v/>
      </c>
      <c r="J203" s="1685" t="str">
        <f>IF(rng01_Manager="","",rng01_Manager)</f>
        <v/>
      </c>
      <c r="K203" s="1685"/>
      <c r="L203" s="1685" t="str">
        <f>IF(rng01_Manager="","",IF(rng01_Manager_Address="","",rng01_Manager_Address))</f>
        <v/>
      </c>
      <c r="M203" s="1685" t="str">
        <f>IF(rng01_Manager="","",IF(rng01_Manager_City="","",rng01_Manager_City))</f>
        <v/>
      </c>
      <c r="N203" s="1685" t="str">
        <f>IF(rng01_Manager="","",IF(rng01_Manager_State="","",rng01_Manager_State))</f>
        <v/>
      </c>
      <c r="O203" s="1724" t="str">
        <f>IF(rng01_Manager="","",LEFT(N203,2))</f>
        <v/>
      </c>
      <c r="P203" s="1691" t="str">
        <f>IF(rng01_Manager="","",RIGHT(N203,5))</f>
        <v/>
      </c>
      <c r="Q203" s="1685" t="str">
        <f>IF(rng01_Manager="","",IF(rng01_Manager_Phone="","",rng01_Manager_Phone))</f>
        <v/>
      </c>
      <c r="R203" s="1685" t="str">
        <f>IF(rng01_Manager="","",rng01_Manager_Fax)</f>
        <v/>
      </c>
      <c r="S203" s="1685" t="str">
        <f>IF(rng01_Manager="","",rng01_Manager_Cell)</f>
        <v/>
      </c>
      <c r="T203" s="1685" t="str">
        <f>IF(rng01_Manager="","",IF(rng01_Manager_Email="","",rng01_Manager_Email))</f>
        <v/>
      </c>
      <c r="U203" s="1685"/>
      <c r="V203" s="1685"/>
      <c r="W203" s="1685"/>
      <c r="X203" s="1685"/>
      <c r="Y203" s="1685"/>
      <c r="Z203" s="1685"/>
      <c r="AA203" s="1685"/>
      <c r="AB203" s="1685"/>
      <c r="AC203" s="1685"/>
      <c r="AD203" s="2069"/>
      <c r="AE203" s="2073"/>
      <c r="AF203" s="1685"/>
      <c r="AG203" s="1685"/>
      <c r="AM203" s="1686" t="s">
        <v>1019</v>
      </c>
      <c r="AN203" s="1725" t="str">
        <f t="shared" si="16"/>
        <v/>
      </c>
      <c r="AO203" s="1691" t="str">
        <f t="shared" si="17"/>
        <v/>
      </c>
      <c r="AP203" s="1677" t="str">
        <f t="shared" si="18"/>
        <v/>
      </c>
      <c r="AQ203" s="1677" t="str">
        <f t="shared" si="19"/>
        <v/>
      </c>
      <c r="AR203" s="1677" t="str">
        <f t="shared" si="20"/>
        <v/>
      </c>
      <c r="AS203" s="1677" t="str">
        <f t="shared" si="21"/>
        <v/>
      </c>
      <c r="AU203" s="1691" t="str">
        <f t="shared" si="22"/>
        <v/>
      </c>
      <c r="AV203" s="1677" t="str">
        <f t="shared" si="23"/>
        <v/>
      </c>
      <c r="AW203" s="1677" t="str">
        <f t="shared" si="24"/>
        <v/>
      </c>
      <c r="AZ203" s="1677" t="str">
        <f t="shared" si="25"/>
        <v/>
      </c>
      <c r="BQ203" s="1685"/>
      <c r="BW203" s="1686" t="s">
        <v>1019</v>
      </c>
    </row>
    <row r="204" spans="1:75" ht="15">
      <c r="A204" s="1685"/>
      <c r="B204" s="1685"/>
      <c r="C204" s="1719"/>
      <c r="D204" s="1719"/>
      <c r="E204" s="1719"/>
      <c r="F204" s="1686" t="s">
        <v>594</v>
      </c>
      <c r="G204" s="1686" t="s">
        <v>653</v>
      </c>
      <c r="H204" s="1723" t="str">
        <f>IF(rng01_Architect="","","Architect")</f>
        <v/>
      </c>
      <c r="I204" s="1688" t="str">
        <f>IF(rng01_Architect="","","Company")</f>
        <v/>
      </c>
      <c r="J204" s="1685" t="str">
        <f>IF(rng01_Architect="","",rng01_Architect)</f>
        <v/>
      </c>
      <c r="K204" s="1685"/>
      <c r="L204" s="1685" t="str">
        <f>IF(rng01_Architect="","",IF(rng01_Architect_Address="","",rng01_Architect_Address))</f>
        <v/>
      </c>
      <c r="M204" s="1685" t="str">
        <f>IF(rng01_Architect="","",IF(rng01_Architect_City="","",rng01_Architect_City))</f>
        <v/>
      </c>
      <c r="N204" s="1685" t="str">
        <f>IF(rng01_Architect="","",IF(rng01_Architect_State="","",rng01_Architect_State))</f>
        <v/>
      </c>
      <c r="O204" s="1724" t="str">
        <f>IF(rng01_Architect="","",LEFT(N204,2))</f>
        <v/>
      </c>
      <c r="P204" s="1691" t="str">
        <f>IF(rng01_Architect="","",RIGHT(N204,5))</f>
        <v/>
      </c>
      <c r="Q204" s="1685" t="str">
        <f>IF(rng01_Architect="","",IF(rng01_Architect_Phone="","",rng01_Architect_Phone))</f>
        <v/>
      </c>
      <c r="R204" s="1685" t="str">
        <f>IF(rng01_Architect="","",rng01_Architect_Fax)</f>
        <v/>
      </c>
      <c r="S204" s="1685" t="str">
        <f>IF(rng01_Architect="","",rng01_Architect_Cell)</f>
        <v/>
      </c>
      <c r="T204" s="1685" t="str">
        <f>IF(rng01_Architect="","",IF(rng01_Architect_Email="","",rng01_Architect_Email))</f>
        <v/>
      </c>
      <c r="U204" s="1685"/>
      <c r="V204" s="1685"/>
      <c r="W204" s="1685"/>
      <c r="X204" s="1685"/>
      <c r="Y204" s="1685"/>
      <c r="Z204" s="1685"/>
      <c r="AA204" s="1685"/>
      <c r="AB204" s="1685"/>
      <c r="AC204" s="1685"/>
      <c r="AD204" s="2069"/>
      <c r="AE204" s="2073"/>
      <c r="AF204" s="1685"/>
      <c r="AG204" s="1685"/>
      <c r="AM204" s="1686" t="s">
        <v>653</v>
      </c>
      <c r="AN204" s="1725" t="str">
        <f t="shared" si="16"/>
        <v/>
      </c>
      <c r="AO204" s="1691" t="str">
        <f t="shared" si="17"/>
        <v/>
      </c>
      <c r="AP204" s="1677" t="str">
        <f t="shared" si="18"/>
        <v/>
      </c>
      <c r="AQ204" s="1677" t="str">
        <f t="shared" si="19"/>
        <v/>
      </c>
      <c r="AR204" s="1677" t="str">
        <f t="shared" si="20"/>
        <v/>
      </c>
      <c r="AS204" s="1677" t="str">
        <f t="shared" si="21"/>
        <v/>
      </c>
      <c r="AU204" s="1691" t="str">
        <f t="shared" si="22"/>
        <v/>
      </c>
      <c r="AV204" s="1677" t="str">
        <f t="shared" si="23"/>
        <v/>
      </c>
      <c r="AW204" s="1677" t="str">
        <f t="shared" si="24"/>
        <v/>
      </c>
      <c r="AZ204" s="1677" t="str">
        <f t="shared" si="25"/>
        <v/>
      </c>
      <c r="BQ204" s="1685"/>
      <c r="BW204" s="1686" t="s">
        <v>653</v>
      </c>
    </row>
    <row r="205" spans="1:75" ht="15">
      <c r="A205" s="1685"/>
      <c r="B205" s="1685"/>
      <c r="C205" s="1719"/>
      <c r="D205" s="1719"/>
      <c r="E205" s="1719"/>
      <c r="F205" s="1686" t="s">
        <v>594</v>
      </c>
      <c r="G205" s="1727" t="s">
        <v>1020</v>
      </c>
      <c r="H205" s="1723" t="str">
        <f>IF(rng01_Legal="","","Legal")</f>
        <v/>
      </c>
      <c r="I205" s="1723" t="str">
        <f>IF(rng01_Legal="","","Company")</f>
        <v/>
      </c>
      <c r="J205" s="1685" t="str">
        <f>IF(rng01_Legal="","",rng01_Legal)</f>
        <v/>
      </c>
      <c r="K205" s="1685"/>
      <c r="L205" s="1685" t="str">
        <f>IF(rng01_Legal="","",IF(rng01_Legal_Address="","",rng01_Legal_Address))</f>
        <v/>
      </c>
      <c r="M205" s="1685" t="str">
        <f>IF(rng01_Legal="","",IF(rng01_Legal_City="","",rng01_Legal_City))</f>
        <v/>
      </c>
      <c r="N205" s="1685" t="str">
        <f>IF(rng01_Legal="","",IF(rng01_Legal_State="","",rng01_Legal_State))</f>
        <v/>
      </c>
      <c r="O205" s="1724" t="str">
        <f>IF(rng01_Legal="","",LEFT(N205,2))</f>
        <v/>
      </c>
      <c r="P205" s="1691" t="str">
        <f>IF(rng01_Legal="","",RIGHT(N205,5))</f>
        <v/>
      </c>
      <c r="Q205" s="1685" t="str">
        <f>IF(rng01_Legal="","",IF(rng01_Legal_Phone="","",rng01_Legal_Phone))</f>
        <v/>
      </c>
      <c r="R205" s="1685" t="str">
        <f>IF(rng01_Legal="","",rng01_Legal_Fax)</f>
        <v/>
      </c>
      <c r="S205" s="1685" t="str">
        <f>IF(rng01_Legal="","",rng01_Legal_Cell)</f>
        <v/>
      </c>
      <c r="T205" s="1685" t="str">
        <f>IF(rng01_Legal="","",IF(rng01_Legal_Email="","",rng01_Legal_Email))</f>
        <v/>
      </c>
      <c r="U205" s="1685"/>
      <c r="V205" s="1685"/>
      <c r="W205" s="1685"/>
      <c r="X205" s="1685"/>
      <c r="Y205" s="1685"/>
      <c r="Z205" s="1685"/>
      <c r="AA205" s="1685"/>
      <c r="AB205" s="1685"/>
      <c r="AC205" s="1685"/>
      <c r="AD205" s="2069"/>
      <c r="AE205" s="2073"/>
      <c r="AF205" s="1685"/>
      <c r="AG205" s="1685"/>
      <c r="AM205" s="1686" t="s">
        <v>1020</v>
      </c>
      <c r="AN205" s="1691" t="str">
        <f t="shared" si="16"/>
        <v/>
      </c>
      <c r="AO205" s="1691" t="str">
        <f t="shared" si="17"/>
        <v/>
      </c>
      <c r="AP205" s="1677" t="str">
        <f t="shared" si="18"/>
        <v/>
      </c>
      <c r="AQ205" s="1677" t="str">
        <f t="shared" si="19"/>
        <v/>
      </c>
      <c r="AR205" s="1677" t="str">
        <f t="shared" si="20"/>
        <v/>
      </c>
      <c r="AS205" s="1677" t="str">
        <f t="shared" si="21"/>
        <v/>
      </c>
      <c r="AU205" s="1691" t="str">
        <f t="shared" si="22"/>
        <v/>
      </c>
      <c r="AV205" s="1677" t="str">
        <f t="shared" si="23"/>
        <v/>
      </c>
      <c r="AW205" s="1677" t="str">
        <f t="shared" si="24"/>
        <v/>
      </c>
      <c r="AZ205" s="1677" t="str">
        <f t="shared" si="25"/>
        <v/>
      </c>
      <c r="BQ205" s="1685"/>
      <c r="BW205" s="1686" t="s">
        <v>1020</v>
      </c>
    </row>
    <row r="206" spans="1:75" ht="15">
      <c r="A206" s="1685"/>
      <c r="B206" s="1685"/>
      <c r="C206" s="1719"/>
      <c r="D206" s="1719"/>
      <c r="E206" s="1719"/>
      <c r="F206" s="1686" t="s">
        <v>594</v>
      </c>
      <c r="G206" s="1727" t="s">
        <v>1021</v>
      </c>
      <c r="H206" s="1723" t="str">
        <f>IF(rng01_LIHTC_Legal="","","LIHTC Legal")</f>
        <v/>
      </c>
      <c r="I206" s="1688" t="str">
        <f>IF(rng01_LIHTC_Legal="","","Company")</f>
        <v/>
      </c>
      <c r="J206" s="1685" t="str">
        <f>IF(rng01_LIHTC_Legal="","",rng01_LIHTC_Legal)</f>
        <v/>
      </c>
      <c r="K206" s="1685"/>
      <c r="L206" s="1685" t="str">
        <f>IF(rng01_LIHTC_Legal="","",IF(rng01_LIHTC_Legal_Address="","",rng01_LIHTC_Legal_Address))</f>
        <v/>
      </c>
      <c r="M206" s="1685" t="str">
        <f>IF(rng01_LIHTC_Legal="","",IF(rng01_LIHTC_Legal_City="","",rng01_LIHTC_Legal_City))</f>
        <v/>
      </c>
      <c r="N206" s="1685" t="str">
        <f>IF(rng01_LIHTC_Legal="","",IF(rng01_LIHTC_Legal_State="","",rng01_LIHTC_Legal_State))</f>
        <v/>
      </c>
      <c r="O206" s="1724" t="str">
        <f>IF(rng01_LIHTC_Legal="","",LEFT(N206,2))</f>
        <v/>
      </c>
      <c r="P206" s="1691" t="str">
        <f>IF(rng01_LIHTC_Legal="","",RIGHT(N206,5))</f>
        <v/>
      </c>
      <c r="Q206" s="1685" t="str">
        <f>IF(rng01_LIHTC_Legal="","",IF(rng01_LIHTC_Legal_Phone="","",rng01_LIHTC_Legal_Phone))</f>
        <v/>
      </c>
      <c r="R206" s="1685" t="str">
        <f>IF(rng01_LIHTC_Legal="","",rng01_LIHTC_Legal_Fax)</f>
        <v/>
      </c>
      <c r="S206" s="1685" t="str">
        <f>IF(rng01_LIHTC_Legal="","",rng01_LIHTC_Legal_Cell)</f>
        <v/>
      </c>
      <c r="T206" s="1685" t="str">
        <f>IF(rng01_LIHTC_Legal="","",IF(rng01_LIHTC_Legal_Email="","",rng01_LIHTC_Legal_Email))</f>
        <v/>
      </c>
      <c r="U206" s="1685"/>
      <c r="V206" s="1685"/>
      <c r="W206" s="1685"/>
      <c r="X206" s="1685"/>
      <c r="Y206" s="1685"/>
      <c r="Z206" s="1685"/>
      <c r="AA206" s="1685"/>
      <c r="AB206" s="1685"/>
      <c r="AC206" s="1685"/>
      <c r="AD206" s="2069"/>
      <c r="AE206" s="2073"/>
      <c r="AF206" s="1685"/>
      <c r="AG206" s="1685"/>
      <c r="AM206" s="1686" t="s">
        <v>1021</v>
      </c>
      <c r="AN206" s="1691" t="str">
        <f t="shared" si="16"/>
        <v/>
      </c>
      <c r="AO206" s="1691" t="str">
        <f t="shared" si="17"/>
        <v/>
      </c>
      <c r="AP206" s="1677" t="str">
        <f t="shared" si="18"/>
        <v/>
      </c>
      <c r="AQ206" s="1677" t="str">
        <f t="shared" si="19"/>
        <v/>
      </c>
      <c r="AR206" s="1677" t="str">
        <f t="shared" si="20"/>
        <v/>
      </c>
      <c r="AS206" s="1677" t="str">
        <f t="shared" si="21"/>
        <v/>
      </c>
      <c r="AU206" s="1691" t="str">
        <f t="shared" si="22"/>
        <v/>
      </c>
      <c r="AV206" s="1677" t="str">
        <f t="shared" si="23"/>
        <v/>
      </c>
      <c r="AW206" s="1677" t="str">
        <f t="shared" si="24"/>
        <v/>
      </c>
      <c r="AZ206" s="1677" t="str">
        <f t="shared" si="25"/>
        <v/>
      </c>
      <c r="BQ206" s="1685"/>
      <c r="BW206" s="1686" t="s">
        <v>1021</v>
      </c>
    </row>
    <row r="207" spans="1:75" ht="15">
      <c r="A207" s="1685"/>
      <c r="B207" s="1685"/>
      <c r="C207" s="1719"/>
      <c r="D207" s="1719"/>
      <c r="E207" s="1719"/>
      <c r="F207" s="1686" t="s">
        <v>594</v>
      </c>
      <c r="G207" s="1686" t="s">
        <v>1022</v>
      </c>
      <c r="H207" s="1723" t="str">
        <f>IF(rng01_Contractor="","","Contractor")</f>
        <v/>
      </c>
      <c r="I207" s="1688" t="str">
        <f>IF(rng01_Contractor="","","Company")</f>
        <v/>
      </c>
      <c r="J207" s="1685" t="str">
        <f>IF(rng01_Contractor="","",rng01_Contractor)</f>
        <v/>
      </c>
      <c r="K207" s="1685"/>
      <c r="L207" s="1685" t="str">
        <f>IF(rng01_Contractor="","",IF(rng01_Contractor_Address="","",rng01_Contractor_Address))</f>
        <v/>
      </c>
      <c r="M207" s="1685" t="str">
        <f>IF(rng01_Contractor="","",IF(rng01_Contractor_City="","",rng01_Contractor_City))</f>
        <v/>
      </c>
      <c r="N207" s="1685" t="str">
        <f>IF(rng01_Contractor="","",IF(rng01_Contractor_State="","",rng01_Contractor_State))</f>
        <v/>
      </c>
      <c r="O207" s="1724" t="str">
        <f>IF(rng01_Contractor="","",LEFT(N207,2))</f>
        <v/>
      </c>
      <c r="P207" s="1691" t="str">
        <f>IF(rng01_Contractor="","",RIGHT(N207,5))</f>
        <v/>
      </c>
      <c r="Q207" s="1685" t="str">
        <f>IF(rng01_Contractor="","",IF(rng01_Contractor_Phone="","",rng01_Contractor_Phone))</f>
        <v/>
      </c>
      <c r="R207" s="1685" t="str">
        <f>IF(rng01_Contractor="","",rng01_Contractor_Fax)</f>
        <v/>
      </c>
      <c r="S207" s="1685" t="str">
        <f>IF(rng01_Contractor="","",rng01_Contractor_Cell)</f>
        <v/>
      </c>
      <c r="T207" s="1685" t="str">
        <f>IF(rng01_Contractor="","",IF(rng01_Contractor_Email="","",rng01_Contractor_Email))</f>
        <v/>
      </c>
      <c r="U207" s="1685"/>
      <c r="V207" s="1685"/>
      <c r="W207" s="1685"/>
      <c r="X207" s="1685"/>
      <c r="Y207" s="1685"/>
      <c r="Z207" s="1685"/>
      <c r="AA207" s="1685"/>
      <c r="AB207" s="1685"/>
      <c r="AC207" s="1685"/>
      <c r="AD207" s="2069"/>
      <c r="AE207" s="2073"/>
      <c r="AF207" s="1685"/>
      <c r="AG207" s="1685"/>
      <c r="AM207" s="1686" t="s">
        <v>1022</v>
      </c>
      <c r="AN207" s="1691" t="str">
        <f t="shared" si="16"/>
        <v/>
      </c>
      <c r="AO207" s="1691" t="str">
        <f t="shared" si="17"/>
        <v/>
      </c>
      <c r="AP207" s="1677" t="str">
        <f t="shared" si="18"/>
        <v/>
      </c>
      <c r="AQ207" s="1677" t="str">
        <f t="shared" si="19"/>
        <v/>
      </c>
      <c r="AR207" s="1677" t="str">
        <f t="shared" si="20"/>
        <v/>
      </c>
      <c r="AS207" s="1677" t="str">
        <f t="shared" si="21"/>
        <v/>
      </c>
      <c r="AU207" s="1691" t="str">
        <f t="shared" si="22"/>
        <v/>
      </c>
      <c r="AV207" s="1677" t="str">
        <f t="shared" si="23"/>
        <v/>
      </c>
      <c r="AW207" s="1677" t="str">
        <f t="shared" si="24"/>
        <v/>
      </c>
      <c r="AZ207" s="1677" t="str">
        <f t="shared" si="25"/>
        <v/>
      </c>
      <c r="BQ207" s="1685"/>
      <c r="BW207" s="1686" t="s">
        <v>1022</v>
      </c>
    </row>
    <row r="208" spans="1:75" ht="15">
      <c r="A208" s="1685"/>
      <c r="B208" s="1685"/>
      <c r="C208" s="1719"/>
      <c r="D208" s="1719"/>
      <c r="E208" s="1719"/>
      <c r="F208" s="1686" t="s">
        <v>594</v>
      </c>
      <c r="G208" s="1686" t="s">
        <v>635</v>
      </c>
      <c r="H208" s="1723" t="str">
        <f>IF(rng01_Syndicator="","","Syndicator")</f>
        <v/>
      </c>
      <c r="I208" s="1688" t="str">
        <f>IF(rng01_Syndicator="","","Company")</f>
        <v/>
      </c>
      <c r="J208" s="1685" t="str">
        <f>IF(rng01_Syndicator="","",rng01_Syndicator)</f>
        <v/>
      </c>
      <c r="K208" s="1685"/>
      <c r="L208" s="1685" t="str">
        <f>IF(rng01_Syndicator="","",IF(rng01_Syndicator_Address="","",rng01_Syndicator_Address))</f>
        <v/>
      </c>
      <c r="M208" s="1685" t="str">
        <f>IF(rng01_Syndicator="","",IF(rng01_Syndicator_City="","",rng01_Syndicator_City))</f>
        <v/>
      </c>
      <c r="N208" s="1685" t="str">
        <f>IF(rng01_Syndicator="","",IF(rng01_Syndicator_State="","",rng01_Syndicator_State))</f>
        <v/>
      </c>
      <c r="O208" s="1724" t="str">
        <f>IF(rng01_Contractor="","",LEFT(N208,2))</f>
        <v/>
      </c>
      <c r="P208" s="1691" t="str">
        <f>IF(rng01_Syndicator="","",RIGHT(N208,5))</f>
        <v/>
      </c>
      <c r="Q208" s="1685" t="str">
        <f>IF(rng01_Syndicator="","",IF(rng01_Syndicator_Phone="","",rng01_Syndicator_Phone))</f>
        <v/>
      </c>
      <c r="R208" s="1685" t="str">
        <f>IF(rng01_Syndicator="","",rng01_Syndicator_Fax)</f>
        <v/>
      </c>
      <c r="S208" s="1685" t="str">
        <f>IF(rng01_Syndicator="","",rng01_Syndicator_Cell)</f>
        <v/>
      </c>
      <c r="T208" s="1685" t="str">
        <f>IF(rng01_Syndicator="","",IF(rng01_Syndicator_Email="","",rng01_Syndicator_Email))</f>
        <v/>
      </c>
      <c r="U208" s="1685"/>
      <c r="V208" s="1685"/>
      <c r="W208" s="1685"/>
      <c r="X208" s="1685"/>
      <c r="Y208" s="1685"/>
      <c r="Z208" s="1685"/>
      <c r="AA208" s="1685"/>
      <c r="AB208" s="1685"/>
      <c r="AC208" s="1685"/>
      <c r="AD208" s="2069"/>
      <c r="AE208" s="2073"/>
      <c r="AF208" s="1685"/>
      <c r="AG208" s="1685"/>
      <c r="AM208" s="1686" t="s">
        <v>635</v>
      </c>
      <c r="AN208" s="1691" t="str">
        <f t="shared" si="16"/>
        <v/>
      </c>
      <c r="AO208" s="1691" t="str">
        <f t="shared" si="17"/>
        <v/>
      </c>
      <c r="AP208" s="1677" t="str">
        <f t="shared" si="18"/>
        <v/>
      </c>
      <c r="AQ208" s="1677" t="str">
        <f t="shared" si="19"/>
        <v/>
      </c>
      <c r="AR208" s="1677" t="str">
        <f t="shared" si="20"/>
        <v/>
      </c>
      <c r="AS208" s="1677" t="str">
        <f t="shared" si="21"/>
        <v/>
      </c>
      <c r="AU208" s="1691" t="str">
        <f t="shared" si="22"/>
        <v/>
      </c>
      <c r="AV208" s="1677" t="str">
        <f t="shared" si="23"/>
        <v/>
      </c>
      <c r="AW208" s="1677" t="str">
        <f t="shared" si="24"/>
        <v/>
      </c>
      <c r="AZ208" s="1677" t="str">
        <f t="shared" si="25"/>
        <v/>
      </c>
      <c r="BQ208" s="1685"/>
      <c r="BW208" s="1686" t="s">
        <v>635</v>
      </c>
    </row>
    <row r="209" spans="1:89" ht="15">
      <c r="A209" s="1685"/>
      <c r="B209" s="1685"/>
      <c r="C209" s="1719"/>
      <c r="D209" s="1719"/>
      <c r="E209" s="1719"/>
      <c r="F209" s="1686" t="s">
        <v>594</v>
      </c>
      <c r="G209" s="1686" t="s">
        <v>1023</v>
      </c>
      <c r="H209" s="1723" t="str">
        <f>IF(rng01_Consultant1="","","Consultant")</f>
        <v/>
      </c>
      <c r="I209" s="1688" t="str">
        <f>IF(rng01_Consultant1="","","Company")</f>
        <v/>
      </c>
      <c r="J209" s="1685" t="str">
        <f>IF(rng01_Consultant1="","",rng01_Consultant1)</f>
        <v/>
      </c>
      <c r="K209" s="1685"/>
      <c r="L209" s="1685" t="str">
        <f>IF(rng01_Consultant1="","",IF(rng01_Consultant1_Address="","",rng01_Consultant1_Address))</f>
        <v/>
      </c>
      <c r="M209" s="1685" t="str">
        <f>IF(rng01_Consultant1="","",IF(rng01_Consultant1_City="","",rng01_Consultant1_City))</f>
        <v/>
      </c>
      <c r="N209" s="1685" t="str">
        <f>IF(rng01_Consultant1="","",IF(rng01_Consultant1_State="","",rng01_Consultant1_State))</f>
        <v/>
      </c>
      <c r="O209" s="1724" t="str">
        <f>IF(rng01_Consultant1="","",LEFT(N209,2))</f>
        <v/>
      </c>
      <c r="P209" s="1691" t="str">
        <f>IF(rng01_Consultant1="","",RIGHT(N209,5))</f>
        <v/>
      </c>
      <c r="Q209" s="1685" t="str">
        <f>IF(rng01_Consultant1="","",IF(rng01_Consultant1_Phone="","",rng01_Consultant1_Phone))</f>
        <v/>
      </c>
      <c r="R209" s="1685" t="str">
        <f>IF(rng01_Consultant1="","",rng01_Consultant1_Fax)</f>
        <v/>
      </c>
      <c r="S209" s="1685" t="str">
        <f>IF(rng01_Consultant1="","",rng01_Consultant1_Cell)</f>
        <v/>
      </c>
      <c r="T209" s="1685" t="str">
        <f>IF(rng01_Consultant1="","",IF(rng01_Consultant1_Email="","",rng01_Consultant1_Email))</f>
        <v/>
      </c>
      <c r="U209" s="1685"/>
      <c r="V209" s="1685"/>
      <c r="W209" s="1685"/>
      <c r="X209" s="1685"/>
      <c r="Y209" s="1685"/>
      <c r="Z209" s="1685"/>
      <c r="AA209" s="1685"/>
      <c r="AB209" s="1685"/>
      <c r="AC209" s="1685"/>
      <c r="AD209" s="2069"/>
      <c r="AE209" s="2073"/>
      <c r="AF209" s="1685"/>
      <c r="AG209" s="1685"/>
      <c r="AM209" s="1686" t="s">
        <v>1023</v>
      </c>
      <c r="AN209" s="1691" t="str">
        <f t="shared" si="16"/>
        <v/>
      </c>
      <c r="AO209" s="1691" t="str">
        <f t="shared" si="17"/>
        <v/>
      </c>
      <c r="AP209" s="1677" t="str">
        <f t="shared" si="18"/>
        <v/>
      </c>
      <c r="AQ209" s="1677" t="str">
        <f t="shared" si="19"/>
        <v/>
      </c>
      <c r="AR209" s="1677" t="str">
        <f t="shared" si="20"/>
        <v/>
      </c>
      <c r="AS209" s="1677" t="str">
        <f t="shared" si="21"/>
        <v/>
      </c>
      <c r="AU209" s="1691" t="str">
        <f t="shared" si="22"/>
        <v/>
      </c>
      <c r="AV209" s="1677" t="str">
        <f t="shared" si="23"/>
        <v/>
      </c>
      <c r="AW209" s="1677" t="str">
        <f t="shared" si="24"/>
        <v/>
      </c>
      <c r="AZ209" s="1677" t="str">
        <f t="shared" si="25"/>
        <v/>
      </c>
      <c r="BQ209" s="1685"/>
      <c r="BW209" s="1686" t="s">
        <v>1023</v>
      </c>
    </row>
    <row r="210" spans="1:89" ht="15">
      <c r="A210" s="1685"/>
      <c r="B210" s="1685"/>
      <c r="C210" s="1719"/>
      <c r="D210" s="1719"/>
      <c r="E210" s="1719"/>
      <c r="F210" s="1686" t="s">
        <v>594</v>
      </c>
      <c r="G210" s="1686" t="s">
        <v>1024</v>
      </c>
      <c r="H210" s="1723" t="str">
        <f>IF(rng01_Consultant2="","","Consultant")</f>
        <v/>
      </c>
      <c r="I210" s="1688" t="str">
        <f>IF(rng01_Consultant2="","","Company")</f>
        <v/>
      </c>
      <c r="J210" s="1685" t="str">
        <f>IF(rng01_Consultant2="","",rng01_Consultant2)</f>
        <v/>
      </c>
      <c r="K210" s="1685"/>
      <c r="L210" s="1685" t="str">
        <f>IF(rng01_Consultant2="","",IF(rng01_Consultant2_Address="","",rng01_Consultant2_Address))</f>
        <v/>
      </c>
      <c r="M210" s="1685" t="str">
        <f>IF(rng01_Consultant2="","",IF(rng01_Consultant2_City="","",rng01_Consultant2_City))</f>
        <v/>
      </c>
      <c r="N210" s="1685" t="str">
        <f>IF(rng01_Consultant2="","",IF(rng01_Consultant2_State="","",rng01_Consultant2_State))</f>
        <v/>
      </c>
      <c r="O210" s="1724" t="str">
        <f>IF(rng01_Consultant2="","",LEFT(N210,2))</f>
        <v/>
      </c>
      <c r="P210" s="1691" t="str">
        <f>IF(rng01_Consultant2="","",RIGHT(N210,5))</f>
        <v/>
      </c>
      <c r="Q210" s="1685" t="str">
        <f>IF(rng01_Consultant2="","",IF(rng01_Consultant2_Phone="","",rng01_Consultant2_Phone))</f>
        <v/>
      </c>
      <c r="R210" s="1685" t="str">
        <f>IF(rng01_Consultant2="","",rng01_Consultant2_Fax)</f>
        <v/>
      </c>
      <c r="S210" s="1685" t="str">
        <f>IF(rng01_Consultant2="","",rng01_Consultant2_Cell)</f>
        <v/>
      </c>
      <c r="T210" s="1685" t="str">
        <f>IF(rng01_Consultant2="","",IF(rng01_Consultant2_Email="","",rng01_Consultant2_Email))</f>
        <v/>
      </c>
      <c r="U210" s="1685"/>
      <c r="V210" s="1685"/>
      <c r="W210" s="1685"/>
      <c r="X210" s="1685"/>
      <c r="Y210" s="1685"/>
      <c r="Z210" s="1685"/>
      <c r="AA210" s="1685"/>
      <c r="AB210" s="1685"/>
      <c r="AC210" s="1685"/>
      <c r="AD210" s="2069"/>
      <c r="AE210" s="2073"/>
      <c r="AF210" s="1685"/>
      <c r="AG210" s="1685"/>
      <c r="AM210" s="1686" t="s">
        <v>1024</v>
      </c>
      <c r="AN210" s="1691" t="str">
        <f t="shared" si="16"/>
        <v/>
      </c>
      <c r="AO210" s="1691" t="str">
        <f t="shared" si="17"/>
        <v/>
      </c>
      <c r="AP210" s="1677" t="str">
        <f t="shared" si="18"/>
        <v/>
      </c>
      <c r="AQ210" s="1677" t="str">
        <f t="shared" si="19"/>
        <v/>
      </c>
      <c r="AR210" s="1677" t="str">
        <f t="shared" si="20"/>
        <v/>
      </c>
      <c r="AS210" s="1677" t="str">
        <f t="shared" si="21"/>
        <v/>
      </c>
      <c r="AU210" s="1691" t="str">
        <f t="shared" si="22"/>
        <v/>
      </c>
      <c r="AV210" s="1677" t="str">
        <f t="shared" si="23"/>
        <v/>
      </c>
      <c r="AW210" s="1677" t="str">
        <f t="shared" si="24"/>
        <v/>
      </c>
      <c r="AZ210" s="1677" t="str">
        <f t="shared" si="25"/>
        <v/>
      </c>
      <c r="BQ210" s="1685"/>
      <c r="BW210" s="1686" t="s">
        <v>1024</v>
      </c>
    </row>
    <row r="211" spans="1:89" ht="16.5" customHeight="1">
      <c r="A211" s="1685"/>
      <c r="B211" s="1685"/>
      <c r="C211" s="1719"/>
      <c r="D211" s="1719"/>
      <c r="E211" s="1719"/>
      <c r="F211" s="2084"/>
      <c r="G211" s="2084"/>
      <c r="H211" s="2092" t="s">
        <v>1008</v>
      </c>
      <c r="I211" s="2093" t="s">
        <v>1009</v>
      </c>
      <c r="J211" s="2093" t="s">
        <v>2538</v>
      </c>
      <c r="K211" s="2093" t="s">
        <v>2539</v>
      </c>
      <c r="L211" s="2093" t="s">
        <v>1011</v>
      </c>
      <c r="M211" s="2093" t="s">
        <v>98</v>
      </c>
      <c r="N211" s="2093" t="s">
        <v>1012</v>
      </c>
      <c r="O211" s="2093" t="s">
        <v>1012</v>
      </c>
      <c r="P211" s="2093" t="s">
        <v>1013</v>
      </c>
      <c r="Q211" s="2093" t="s">
        <v>904</v>
      </c>
      <c r="R211" s="2094" t="s">
        <v>1014</v>
      </c>
      <c r="S211" s="2094" t="s">
        <v>1015</v>
      </c>
      <c r="T211" s="2093" t="s">
        <v>1016</v>
      </c>
      <c r="U211" s="1685"/>
      <c r="V211" s="1685"/>
      <c r="W211" s="1685"/>
      <c r="X211" s="1685"/>
      <c r="Y211" s="1685"/>
      <c r="Z211" s="1685"/>
      <c r="AA211" s="1685"/>
      <c r="AB211" s="1685"/>
      <c r="AC211" s="1685"/>
      <c r="AD211" s="2069"/>
      <c r="AE211" s="2073"/>
      <c r="AF211" s="1685"/>
      <c r="AG211" s="1685"/>
      <c r="AM211" s="1686"/>
      <c r="AN211" s="1691"/>
      <c r="AO211" s="1691"/>
      <c r="AU211" s="1691"/>
      <c r="BQ211" s="1685"/>
      <c r="BW211" s="1686"/>
    </row>
    <row r="212" spans="1:89" ht="15">
      <c r="A212" s="1685"/>
      <c r="B212" s="1685"/>
      <c r="C212" s="1719"/>
      <c r="D212" s="1719"/>
      <c r="E212" s="1719"/>
      <c r="F212" s="2083" t="s">
        <v>598</v>
      </c>
      <c r="G212" s="2084" t="s">
        <v>632</v>
      </c>
      <c r="H212" s="2085" t="str">
        <f>IF(rng01_Developer="","","Sponsor")</f>
        <v/>
      </c>
      <c r="I212" s="2086" t="str">
        <f>IF(rng01_Developer="","","Individual")</f>
        <v/>
      </c>
      <c r="J212" s="2107" t="str">
        <f>IF(ISBLANK(rng01_Developer_Name),"",LEFT(rng01_Developer_Name,SEARCH(" ",rng01_Developer_Name)-1))</f>
        <v/>
      </c>
      <c r="K212" s="2087" t="str">
        <f>IF(ISBLANK(rng01_Developer_Name),"",RIGHT(rng01_Developer_Name,LEN(rng01_Developer_Name)-SEARCH(" ",rng01_Developer_Name)))</f>
        <v/>
      </c>
      <c r="L212" s="2087" t="str">
        <f>IF(rng01_Developer="","",IF(rng01_Developer_Address="","",rng01_Developer_Address))</f>
        <v/>
      </c>
      <c r="M212" s="2087" t="str">
        <f>IF(rng01_Developer="","",IF(rng01_Developer_City="","",rng01_Developer_City))</f>
        <v/>
      </c>
      <c r="N212" s="2087" t="str">
        <f>IF(rng01_Developer="","",IF(rng01_Developer_State="","",rng01_Developer_State))</f>
        <v/>
      </c>
      <c r="O212" s="2088" t="str">
        <f>IF(rng01_Developer="","",LEFT(N212,2))</f>
        <v/>
      </c>
      <c r="P212" s="2089" t="str">
        <f>IF(rng01_Developer="","",RIGHT(N212,5))</f>
        <v/>
      </c>
      <c r="Q212" s="2087" t="str">
        <f>IF(rng01_Developer="","",IF(rng01_Developer_Phone="","",rng01_Developer_Phone))</f>
        <v/>
      </c>
      <c r="R212" s="1685" t="str">
        <f>IF(rng01_Developer="","",rng01_Developer_Fax)</f>
        <v/>
      </c>
      <c r="S212" s="1685" t="str">
        <f>IF(rng01_Developer="","",rng01_Developer_Cell)</f>
        <v/>
      </c>
      <c r="T212" s="1685" t="str">
        <f>IF(rng01_Developer="","",IF(rng01_Developer_Email="","",rng01_Developer_Email))</f>
        <v/>
      </c>
      <c r="U212" s="1685"/>
      <c r="V212" s="1685"/>
      <c r="W212" s="1685"/>
      <c r="X212" s="1685"/>
      <c r="Y212" s="1685"/>
      <c r="Z212" s="1685"/>
      <c r="AA212" s="1685"/>
      <c r="AB212" s="1685"/>
      <c r="AC212" s="1685"/>
      <c r="AD212" s="2069"/>
      <c r="AE212" s="2073"/>
      <c r="AF212" s="1685"/>
      <c r="AG212" s="1685"/>
      <c r="AM212" s="2083" t="s">
        <v>598</v>
      </c>
      <c r="AN212" s="2085" t="str">
        <f>IF(rng01_Developer="","","Sponsor")</f>
        <v/>
      </c>
      <c r="AO212" s="2085" t="str">
        <f>IF(rng01_Developer="","","Individual")</f>
        <v/>
      </c>
      <c r="AP212" s="2086" t="str">
        <f>IF(ISBLANK(rng01_Developer_Name),"",LEFT(rng01_Developer_Name,SEARCH(" ",rng01_Developer_Name)-1))</f>
        <v/>
      </c>
      <c r="AQ212" s="2087" t="str">
        <f>IF(ISBLANK(rng01_Developer_Name),"",RIGHT(rng01_Developer_Name,LEN(rng01_Developer_Name)-SEARCH(" ",rng01_Developer_Name)))</f>
        <v/>
      </c>
      <c r="AR212" s="2087" t="str">
        <f>IF(rng01_Developer="","",IF(rng01_Developer_Address="","",rng01_Developer_Address))</f>
        <v/>
      </c>
      <c r="AS212" s="2087" t="str">
        <f>IF(rng01_Developer="","",IF(rng01_Developer_City="","",rng01_Developer_City))</f>
        <v/>
      </c>
      <c r="AT212" s="2087" t="str">
        <f>IF(rng01_Developer="","",IF(rng01_Developer_State="","",rng01_Developer_State))</f>
        <v/>
      </c>
      <c r="AU212" s="2086" t="str">
        <f>IF(rng01_Developer="","",LEFT(AT212,2))</f>
        <v/>
      </c>
      <c r="AV212" s="2088" t="str">
        <f>IF(rng01_Developer="","",RIGHT(AT212,5))</f>
        <v/>
      </c>
      <c r="AW212" s="2089" t="str">
        <f>IF(rng01_Developer="","",IF(rng01_Developer_Phone="","",rng01_Developer_Phone))</f>
        <v/>
      </c>
      <c r="AX212" s="2087" t="str">
        <f>IF(rng01_Developer="","",rng01_Developer_Fax)</f>
        <v/>
      </c>
      <c r="AY212" s="1685" t="str">
        <f>IF(rng01_Developer="","",rng01_Developer_Cell)</f>
        <v/>
      </c>
      <c r="AZ212" s="1685" t="str">
        <f>IF(rng01_Developer="","",IF(rng01_Developer_Email="","",rng01_Developer_Email))</f>
        <v/>
      </c>
      <c r="BA212" s="1685" t="str">
        <f>IF(rng01_Developer="","",IF(rng01_Developer_Email="","",rng01_Developer_Email))</f>
        <v/>
      </c>
      <c r="BQ212" s="1685"/>
      <c r="BW212" s="2083" t="s">
        <v>598</v>
      </c>
      <c r="BX212" s="2084" t="s">
        <v>632</v>
      </c>
      <c r="BY212" s="2085" t="str">
        <f>IF(rng01_Developer="","","Sponsor")</f>
        <v/>
      </c>
      <c r="BZ212" s="2086" t="str">
        <f>IF(rng01_Developer="","","Individual")</f>
        <v/>
      </c>
      <c r="CA212" s="2087" t="str">
        <f>IF(rng01_Developer="","",rng01_Developer)</f>
        <v/>
      </c>
      <c r="CB212" s="2087"/>
      <c r="CC212" s="2087" t="str">
        <f>IF(rng01_Developer="","",IF(rng01_Developer_Address="","",rng01_Developer_Address))</f>
        <v/>
      </c>
      <c r="CD212" s="2087" t="str">
        <f>IF(rng01_Developer="","",IF(rng01_Developer_City="","",rng01_Developer_City))</f>
        <v/>
      </c>
      <c r="CE212" s="2087" t="str">
        <f>IF(rng01_Developer="","",IF(rng01_Developer_State="","",rng01_Developer_State))</f>
        <v/>
      </c>
      <c r="CF212" s="2088" t="str">
        <f>IF(rng01_Developer="","",LEFT(CE212,2))</f>
        <v/>
      </c>
      <c r="CG212" s="2089" t="str">
        <f>IF(rng01_Developer="","",RIGHT(CE212,5))</f>
        <v/>
      </c>
      <c r="CH212" s="2087" t="str">
        <f>IF(rng01_Developer="","",IF(rng01_Developer_Phone="","",rng01_Developer_Phone))</f>
        <v/>
      </c>
      <c r="CI212" s="1685" t="str">
        <f>IF(rng01_Developer="","",rng01_Developer_Fax)</f>
        <v/>
      </c>
      <c r="CJ212" s="1685" t="str">
        <f>IF(rng01_Developer="","",rng01_Developer_Cell)</f>
        <v/>
      </c>
      <c r="CK212" s="1685" t="str">
        <f>IF(rng01_Developer="","",IF(rng01_Developer_Email="","",rng01_Developer_Email))</f>
        <v/>
      </c>
    </row>
    <row r="213" spans="1:89" ht="15">
      <c r="A213" s="1685"/>
      <c r="B213" s="1685"/>
      <c r="C213" s="1719"/>
      <c r="D213" s="1719"/>
      <c r="E213" s="1719"/>
      <c r="F213" s="1881" t="s">
        <v>598</v>
      </c>
      <c r="G213" s="1686" t="s">
        <v>1018</v>
      </c>
      <c r="H213" s="1723" t="str">
        <f>IF(rng01_Co_Developer="","","Co-Sponsor")</f>
        <v/>
      </c>
      <c r="I213" s="1688" t="str">
        <f>IF(rng01_Co_Developer="","","Individual")</f>
        <v/>
      </c>
      <c r="J213" t="str">
        <f>IF(ISBLANK(rng01_Co_Developer_Name),"",LEFT(rng01_Co_Developer_Name,SEARCH(" ",rng01_Co_Developer_Name)-1))</f>
        <v/>
      </c>
      <c r="K213" s="1685" t="str">
        <f>IF(ISBLANK(rng01_Co_Developer_Name),"",RIGHT(rng01_Co_Developer_Name,LEN(rng01_Co_Developer_Name)-SEARCH(" ",rng01_Co_Developer_Name)))</f>
        <v/>
      </c>
      <c r="L213" s="1685" t="str">
        <f>IF(rng01_Co_Developer="","",IF(rng01_Co_Developer_Address="","",rng01_Co_Developer_Address))</f>
        <v/>
      </c>
      <c r="M213" s="1685" t="str">
        <f>IF(rng01_Co_Developer="","",IF(rng01_Co_Developer_City="","",rng01_Co_Developer_City))</f>
        <v/>
      </c>
      <c r="N213" s="1685" t="str">
        <f>IF(rng01_Co_Developer="","",IF(rng01_Co_Developer_State="","",rng01_Co_Developer_State))</f>
        <v/>
      </c>
      <c r="O213" s="1724" t="str">
        <f>IF(rng01_Co_Developer="","",LEFT(N213,2))</f>
        <v/>
      </c>
      <c r="P213" s="1691" t="str">
        <f>IF(rng01_Co_Developer="","",RIGHT(N213,5))</f>
        <v/>
      </c>
      <c r="Q213" s="1685" t="str">
        <f>IF(rng01_Co_Developer="","",IF(rng01_Co_Developer_Phone="","",rng01_Co_Developer_Phone))</f>
        <v/>
      </c>
      <c r="R213" s="1685" t="str">
        <f>IF(rng01_Co_Developer="","",rng01_Co_Developer_Fax)</f>
        <v/>
      </c>
      <c r="S213" s="1685" t="str">
        <f>IF(rng01_Co_Developer="","",rng01_Co_Developer_Cell)</f>
        <v/>
      </c>
      <c r="T213" s="1685" t="str">
        <f>IF(rng01_Co_Developer="","",IF(rng01_Co_Developer_Email="","",rng01_Co_Developer_Email))</f>
        <v/>
      </c>
      <c r="U213" s="1685"/>
      <c r="V213" s="1685"/>
      <c r="W213" s="1685"/>
      <c r="X213" s="1685"/>
      <c r="Y213" s="1685"/>
      <c r="Z213" s="1685"/>
      <c r="AA213" s="1685"/>
      <c r="AB213" s="1685"/>
      <c r="AC213" s="1685"/>
      <c r="AD213" s="2069"/>
      <c r="AE213" s="2073"/>
      <c r="AF213" s="1685"/>
      <c r="AG213" s="1685"/>
      <c r="AM213" s="1881" t="s">
        <v>598</v>
      </c>
      <c r="AN213" s="1723" t="str">
        <f>IF(rng01_Co_Developer="","","Co-Sponsor")</f>
        <v/>
      </c>
      <c r="AO213" s="1723" t="str">
        <f>IF(rng01_Co_Developer="","","Individual")</f>
        <v/>
      </c>
      <c r="AP213" s="1688" t="str">
        <f>IF(ISBLANK(rng01_Co_Developer_Name),"",LEFT(rng01_Co_Developer_Name,SEARCH(" ",rng01_Co_Developer_Name)-1))</f>
        <v/>
      </c>
      <c r="AQ213" s="1685" t="str">
        <f>IF(ISBLANK(rng01_Co_Developer_Name),"",RIGHT(rng01_Co_Developer_Name,LEN(rng01_Co_Developer_Name)-SEARCH(" ",rng01_Co_Developer_Name)))</f>
        <v/>
      </c>
      <c r="AR213" s="1685" t="str">
        <f>IF(rng01_Co_Developer="","",IF(rng01_Co_Developer_Address="","",rng01_Co_Developer_Address))</f>
        <v/>
      </c>
      <c r="AS213" s="1685" t="str">
        <f>IF(rng01_Co_Developer="","",IF(rng01_Co_Developer_City="","",rng01_Co_Developer_City))</f>
        <v/>
      </c>
      <c r="AT213" s="1685" t="str">
        <f>IF(rng01_Co_Developer="","",IF(rng01_Co_Developer_State="","",rng01_Co_Developer_State))</f>
        <v/>
      </c>
      <c r="AU213" s="1688" t="str">
        <f>IF(rng01_Co_Developer="","",LEFT(AT213,2))</f>
        <v/>
      </c>
      <c r="AV213" s="1724" t="str">
        <f>IF(rng01_Co_Developer="","",RIGHT(AT213,5))</f>
        <v/>
      </c>
      <c r="AW213" s="1691" t="str">
        <f>IF(rng01_Co_Developer="","",IF(rng01_Co_Developer_Phone="","",rng01_Co_Developer_Phone))</f>
        <v/>
      </c>
      <c r="AX213" s="1685" t="str">
        <f>IF(rng01_Co_Developer="","",rng01_Co_Developer_Fax)</f>
        <v/>
      </c>
      <c r="AY213" s="1685" t="str">
        <f>IF(rng01_Co_Developer="","",rng01_Co_Developer_Cell)</f>
        <v/>
      </c>
      <c r="AZ213" s="1685" t="str">
        <f>IF(rng01_Co_Developer="","",IF(rng01_Co_Developer_Email="","",rng01_Co_Developer_Email))</f>
        <v/>
      </c>
      <c r="BA213" s="1685" t="str">
        <f>IF(rng01_Co_Developer="","",IF(rng01_Co_Developer_Email="","",rng01_Co_Developer_Email))</f>
        <v/>
      </c>
      <c r="BQ213" s="1685"/>
      <c r="BW213" s="1881" t="s">
        <v>598</v>
      </c>
      <c r="BX213" s="1686" t="s">
        <v>1018</v>
      </c>
      <c r="BY213" s="1723" t="str">
        <f>IF(rng01_Co_Developer="","","Co-Sponsor")</f>
        <v/>
      </c>
      <c r="BZ213" s="1688" t="str">
        <f>IF(rng01_Co_Developer="","","Individual")</f>
        <v/>
      </c>
      <c r="CA213" s="1685" t="str">
        <f>IF(rng01_Co_Developer="","",rng01_Co_Developer)</f>
        <v/>
      </c>
      <c r="CB213" s="1685"/>
      <c r="CC213" s="1685" t="str">
        <f>IF(rng01_Co_Developer="","",IF(rng01_Co_Developer_Address="","",rng01_Co_Developer_Address))</f>
        <v/>
      </c>
      <c r="CD213" s="1685" t="str">
        <f>IF(rng01_Co_Developer="","",IF(rng01_Co_Developer_City="","",rng01_Co_Developer_City))</f>
        <v/>
      </c>
      <c r="CE213" s="1685" t="str">
        <f>IF(rng01_Co_Developer="","",IF(rng01_Co_Developer_State="","",rng01_Co_Developer_State))</f>
        <v/>
      </c>
      <c r="CF213" s="1724" t="str">
        <f>IF(rng01_Co_Developer="","",LEFT(CE213,2))</f>
        <v/>
      </c>
      <c r="CG213" s="1691" t="str">
        <f>IF(rng01_Co_Developer="","",RIGHT(CE213,5))</f>
        <v/>
      </c>
      <c r="CH213" s="1685" t="str">
        <f>IF(rng01_Co_Developer="","",IF(rng01_Co_Developer_Phone="","",rng01_Co_Developer_Phone))</f>
        <v/>
      </c>
      <c r="CI213" s="1685" t="str">
        <f>IF(rng01_Co_Developer="","",rng01_Co_Developer_Fax)</f>
        <v/>
      </c>
      <c r="CJ213" s="1685" t="str">
        <f>IF(rng01_Co_Developer="","",rng01_Co_Developer_Cell)</f>
        <v/>
      </c>
      <c r="CK213" s="1685" t="str">
        <f>IF(rng01_Co_Developer="","",IF(rng01_Co_Developer_Email="","",rng01_Co_Developer_Email))</f>
        <v/>
      </c>
    </row>
    <row r="214" spans="1:89" ht="15">
      <c r="A214" s="1685"/>
      <c r="B214" s="1685"/>
      <c r="C214" s="1719"/>
      <c r="D214" s="1719"/>
      <c r="E214" s="1719"/>
      <c r="F214" s="1881" t="s">
        <v>598</v>
      </c>
      <c r="G214" s="1686" t="s">
        <v>1019</v>
      </c>
      <c r="H214" s="1723" t="str">
        <f>IF(rng01_Manager="","","Manager")</f>
        <v/>
      </c>
      <c r="I214" s="1688" t="str">
        <f>IF(rng01_Manager="","","Individual")</f>
        <v/>
      </c>
      <c r="J214" t="str">
        <f>IF(ISBLANK(rng01_Manager_Name),"",LEFT(rng01_Manager_Name,SEARCH(" ",rng01_Manager_Name)-1))</f>
        <v/>
      </c>
      <c r="K214" s="1685" t="str">
        <f>IF(ISBLANK(rng01_Manager_Name),"",RIGHT(rng01_Manager_Name,LEN(rng01_Manager_Name)-SEARCH(" ",rng01_Manager_Name)))</f>
        <v/>
      </c>
      <c r="L214" s="1685" t="str">
        <f>IF(rng01_Manager="","",IF(rng01_Manager_Address="","",rng01_Manager_Address))</f>
        <v/>
      </c>
      <c r="M214" s="1685" t="str">
        <f>IF(rng01_Manager="","",IF(rng01_Manager_City="","",rng01_Manager_City))</f>
        <v/>
      </c>
      <c r="N214" s="1685" t="str">
        <f>IF(rng01_Manager="","",IF(rng01_Manager_State="","",rng01_Manager_State))</f>
        <v/>
      </c>
      <c r="O214" s="1724" t="str">
        <f>IF(rng01_Manager="","",LEFT(N214,2))</f>
        <v/>
      </c>
      <c r="P214" s="1691" t="str">
        <f>IF(rng01_Manager="","",RIGHT(N214,5))</f>
        <v/>
      </c>
      <c r="Q214" s="1685" t="str">
        <f>IF(rng01_Manager="","",IF(rng01_Manager_Phone="","",rng01_Manager_Phone))</f>
        <v/>
      </c>
      <c r="R214" s="1685" t="str">
        <f>IF(rng01_Manager="","",rng01_Manager_Fax)</f>
        <v/>
      </c>
      <c r="S214" s="1685" t="str">
        <f>IF(rng01_Manager="","",rng01_Manager_Cell)</f>
        <v/>
      </c>
      <c r="T214" s="1685" t="str">
        <f>IF(rng01_Manager="","",IF(rng01_Manager_Email="","",rng01_Manager_Email))</f>
        <v/>
      </c>
      <c r="U214" s="1685"/>
      <c r="V214" s="1685"/>
      <c r="W214" s="1685"/>
      <c r="X214" s="1685"/>
      <c r="Y214" s="1685"/>
      <c r="Z214" s="1685"/>
      <c r="AA214" s="1685"/>
      <c r="AB214" s="1685"/>
      <c r="AC214" s="1685"/>
      <c r="AD214" s="2069"/>
      <c r="AE214" s="2073"/>
      <c r="AF214" s="1685"/>
      <c r="AG214" s="1685"/>
      <c r="AM214" s="1881" t="s">
        <v>598</v>
      </c>
      <c r="AN214" s="1723" t="str">
        <f>IF(rng01_Manager="","","Manager")</f>
        <v/>
      </c>
      <c r="AO214" s="1723" t="str">
        <f>IF(rng01_Manager="","","Individual")</f>
        <v/>
      </c>
      <c r="AP214" s="1688" t="str">
        <f>IF(ISBLANK(rng01_Manager_Name),"",LEFT(rng01_Manager_Name,SEARCH(" ",rng01_Manager_Name)-1))</f>
        <v/>
      </c>
      <c r="AQ214" s="1685" t="str">
        <f>IF(ISBLANK(rng01_Manager_Name),"",RIGHT(rng01_Manager_Name,LEN(rng01_Manager_Name)-SEARCH(" ",rng01_Manager_Name)))</f>
        <v/>
      </c>
      <c r="AR214" s="1685" t="str">
        <f>IF(rng01_Manager="","",IF(rng01_Manager_Address="","",rng01_Manager_Address))</f>
        <v/>
      </c>
      <c r="AS214" s="1685" t="str">
        <f>IF(rng01_Manager="","",IF(rng01_Manager_City="","",rng01_Manager_City))</f>
        <v/>
      </c>
      <c r="AT214" s="1685" t="str">
        <f>IF(rng01_Manager="","",IF(rng01_Manager_State="","",rng01_Manager_State))</f>
        <v/>
      </c>
      <c r="AU214" s="1688" t="str">
        <f>IF(rng01_Manager="","",LEFT(AT214,2))</f>
        <v/>
      </c>
      <c r="AV214" s="1724" t="str">
        <f>IF(rng01_Manager="","",RIGHT(AT214,5))</f>
        <v/>
      </c>
      <c r="AW214" s="1691" t="str">
        <f>IF(rng01_Manager="","",IF(rng01_Manager_Phone="","",rng01_Manager_Phone))</f>
        <v/>
      </c>
      <c r="AX214" s="1685" t="str">
        <f>IF(rng01_Manager="","",rng01_Manager_Fax)</f>
        <v/>
      </c>
      <c r="AY214" s="1685" t="str">
        <f>IF(rng01_Manager="","",rng01_Manager_Cell)</f>
        <v/>
      </c>
      <c r="AZ214" s="1685" t="str">
        <f>IF(rng01_Manager="","",IF(rng01_Manager_Email="","",rng01_Manager_Email))</f>
        <v/>
      </c>
      <c r="BA214" s="1685" t="str">
        <f>IF(rng01_Manager="","",IF(rng01_Manager_Email="","",rng01_Manager_Email))</f>
        <v/>
      </c>
      <c r="BQ214" s="1685"/>
      <c r="BW214" s="1881" t="s">
        <v>598</v>
      </c>
      <c r="BX214" s="1686" t="s">
        <v>1019</v>
      </c>
      <c r="BY214" s="1723" t="str">
        <f>IF(rng01_Manager="","","Manager")</f>
        <v/>
      </c>
      <c r="BZ214" s="1688" t="str">
        <f>IF(rng01_Manager="","","Individual")</f>
        <v/>
      </c>
      <c r="CA214" s="1685" t="str">
        <f>IF(rng01_Manager="","",rng01_Manager)</f>
        <v/>
      </c>
      <c r="CB214" s="1685"/>
      <c r="CC214" s="1685" t="str">
        <f>IF(rng01_Manager="","",IF(rng01_Manager_Address="","",rng01_Manager_Address))</f>
        <v/>
      </c>
      <c r="CD214" s="1685" t="str">
        <f>IF(rng01_Manager="","",IF(rng01_Manager_City="","",rng01_Manager_City))</f>
        <v/>
      </c>
      <c r="CE214" s="1685" t="str">
        <f>IF(rng01_Manager="","",IF(rng01_Manager_State="","",rng01_Manager_State))</f>
        <v/>
      </c>
      <c r="CF214" s="1724" t="str">
        <f>IF(rng01_Manager="","",LEFT(CE214,2))</f>
        <v/>
      </c>
      <c r="CG214" s="1691" t="str">
        <f>IF(rng01_Manager="","",RIGHT(CE214,5))</f>
        <v/>
      </c>
      <c r="CH214" s="1685" t="str">
        <f>IF(rng01_Manager="","",IF(rng01_Manager_Phone="","",rng01_Manager_Phone))</f>
        <v/>
      </c>
      <c r="CI214" s="1685" t="str">
        <f>IF(rng01_Manager="","",rng01_Manager_Fax)</f>
        <v/>
      </c>
      <c r="CJ214" s="1685" t="str">
        <f>IF(rng01_Manager="","",rng01_Manager_Cell)</f>
        <v/>
      </c>
      <c r="CK214" s="1685" t="str">
        <f>IF(rng01_Manager="","",IF(rng01_Manager_Email="","",rng01_Manager_Email))</f>
        <v/>
      </c>
    </row>
    <row r="215" spans="1:89" ht="15">
      <c r="A215" s="1685"/>
      <c r="B215" s="1685"/>
      <c r="C215" s="1719"/>
      <c r="D215" s="1719"/>
      <c r="E215" s="1719"/>
      <c r="F215" s="1881" t="s">
        <v>598</v>
      </c>
      <c r="G215" s="1686" t="s">
        <v>653</v>
      </c>
      <c r="H215" s="1723" t="str">
        <f>IF(rng01_Architect="","","Architect")</f>
        <v/>
      </c>
      <c r="I215" s="1688" t="str">
        <f>IF(rng01_Architect="","","Individual")</f>
        <v/>
      </c>
      <c r="J215" t="str">
        <f>IF(ISBLANK(rng01_Architect_Name),"",LEFT(rng01_Architect_Name,SEARCH(" ",rng01_Architect_Name)-1))</f>
        <v/>
      </c>
      <c r="K215" s="1685" t="str">
        <f>IF(ISBLANK(rng01_Architect_Name),"",RIGHT(rng01_Architect_Name,LEN(rng01_Developer_Name)-SEARCH(" ",rng01_Architect_Name)))</f>
        <v/>
      </c>
      <c r="L215" s="1685" t="str">
        <f>IF(rng01_Architect="","",IF(rng01_Architect_Address="","",rng01_Architect_Address))</f>
        <v/>
      </c>
      <c r="M215" s="1685" t="str">
        <f>IF(rng01_Architect="","",IF(rng01_Architect_City="","",rng01_Architect_City))</f>
        <v/>
      </c>
      <c r="N215" s="1685" t="str">
        <f>IF(rng01_Architect="","",IF(rng01_Architect_State="","",rng01_Architect_State))</f>
        <v/>
      </c>
      <c r="O215" s="1724" t="str">
        <f>IF(rng01_Architect="","",LEFT(N215,2))</f>
        <v/>
      </c>
      <c r="P215" s="1691" t="str">
        <f>IF(rng01_Architect="","",RIGHT(N215,5))</f>
        <v/>
      </c>
      <c r="Q215" s="1685" t="str">
        <f>IF(rng01_Architect="","",IF(rng01_Architect_Phone="","",rng01_Architect_Phone))</f>
        <v/>
      </c>
      <c r="R215" s="1685" t="str">
        <f>IF(rng01_Architect="","",rng01_Architect_Fax)</f>
        <v/>
      </c>
      <c r="S215" s="1685" t="str">
        <f>IF(rng01_Architect="","",rng01_Architect_Cell)</f>
        <v/>
      </c>
      <c r="T215" s="1685" t="str">
        <f>IF(rng01_Architect="","",IF(rng01_Architect_Email="","",rng01_Architect_Email))</f>
        <v/>
      </c>
      <c r="U215" s="1685"/>
      <c r="V215" s="1685"/>
      <c r="W215" s="1685"/>
      <c r="X215" s="1685"/>
      <c r="Y215" s="1685"/>
      <c r="Z215" s="1685"/>
      <c r="AA215" s="1685"/>
      <c r="AB215" s="1685"/>
      <c r="AC215" s="1685"/>
      <c r="AD215" s="2069"/>
      <c r="AE215" s="2073"/>
      <c r="AF215" s="1685"/>
      <c r="AG215" s="1685"/>
      <c r="AM215" s="1881" t="s">
        <v>598</v>
      </c>
      <c r="AN215" s="1723" t="str">
        <f>IF(rng01_Architect="","","Architect")</f>
        <v/>
      </c>
      <c r="AO215" s="1723" t="str">
        <f>IF(rng01_Architect="","","Individual")</f>
        <v/>
      </c>
      <c r="AP215" s="1688" t="str">
        <f>IF(ISBLANK(rng01_Architect_Name),"",LEFT(rng01_Architect_Name,SEARCH(" ",rng01_Architect_Name)-1))</f>
        <v/>
      </c>
      <c r="AQ215" s="1685" t="str">
        <f>IF(ISBLANK(rng01_Architect_Name),"",RIGHT(rng01_Architect_Name,LEN(rng01_Developer_Name)-SEARCH(" ",rng01_Architect_Name)))</f>
        <v/>
      </c>
      <c r="AR215" s="1685" t="str">
        <f>IF(rng01_Architect="","",IF(rng01_Architect_Address="","",rng01_Architect_Address))</f>
        <v/>
      </c>
      <c r="AS215" s="1685" t="str">
        <f>IF(rng01_Architect="","",IF(rng01_Architect_City="","",rng01_Architect_City))</f>
        <v/>
      </c>
      <c r="AT215" s="1685" t="str">
        <f>IF(rng01_Architect="","",IF(rng01_Architect_State="","",rng01_Architect_State))</f>
        <v/>
      </c>
      <c r="AU215" s="1688" t="str">
        <f>IF(rng01_Architect="","",LEFT(AT215,2))</f>
        <v/>
      </c>
      <c r="AV215" s="1724" t="str">
        <f>IF(rng01_Architect="","",RIGHT(AT215,5))</f>
        <v/>
      </c>
      <c r="AW215" s="1691" t="str">
        <f>IF(rng01_Architect="","",IF(rng01_Architect_Phone="","",rng01_Architect_Phone))</f>
        <v/>
      </c>
      <c r="AX215" s="1685" t="str">
        <f>IF(rng01_Architect="","",rng01_Architect_Fax)</f>
        <v/>
      </c>
      <c r="AY215" s="1685" t="str">
        <f>IF(rng01_Architect="","",rng01_Architect_Cell)</f>
        <v/>
      </c>
      <c r="AZ215" s="1685" t="str">
        <f>IF(rng01_Architect="","",IF(rng01_Architect_Email="","",rng01_Architect_Email))</f>
        <v/>
      </c>
      <c r="BA215" s="1685" t="str">
        <f>IF(rng01_Architect="","",IF(rng01_Architect_Email="","",rng01_Architect_Email))</f>
        <v/>
      </c>
      <c r="BQ215" s="1685"/>
      <c r="BW215" s="1881" t="s">
        <v>598</v>
      </c>
      <c r="BX215" s="1686" t="s">
        <v>653</v>
      </c>
      <c r="BY215" s="1723" t="str">
        <f>IF(rng01_Architect="","","Architect")</f>
        <v/>
      </c>
      <c r="BZ215" s="1688" t="str">
        <f>IF(rng01_Architect="","","Individual")</f>
        <v/>
      </c>
      <c r="CA215" s="1685" t="str">
        <f>IF(rng01_Architect="","",rng01_Architect)</f>
        <v/>
      </c>
      <c r="CB215" s="1685"/>
      <c r="CC215" s="1685" t="str">
        <f>IF(rng01_Architect="","",IF(rng01_Architect_Address="","",rng01_Architect_Address))</f>
        <v/>
      </c>
      <c r="CD215" s="1685" t="str">
        <f>IF(rng01_Architect="","",IF(rng01_Architect_City="","",rng01_Architect_City))</f>
        <v/>
      </c>
      <c r="CE215" s="1685" t="str">
        <f>IF(rng01_Architect="","",IF(rng01_Architect_State="","",rng01_Architect_State))</f>
        <v/>
      </c>
      <c r="CF215" s="1724" t="str">
        <f>IF(rng01_Architect="","",LEFT(CE215,2))</f>
        <v/>
      </c>
      <c r="CG215" s="1691" t="str">
        <f>IF(rng01_Architect="","",RIGHT(CE215,5))</f>
        <v/>
      </c>
      <c r="CH215" s="1685" t="str">
        <f>IF(rng01_Architect="","",IF(rng01_Architect_Phone="","",rng01_Architect_Phone))</f>
        <v/>
      </c>
      <c r="CI215" s="1685" t="str">
        <f>IF(rng01_Architect="","",rng01_Architect_Fax)</f>
        <v/>
      </c>
      <c r="CJ215" s="1685" t="str">
        <f>IF(rng01_Architect="","",rng01_Architect_Cell)</f>
        <v/>
      </c>
      <c r="CK215" s="1685" t="str">
        <f>IF(rng01_Architect="","",IF(rng01_Architect_Email="","",rng01_Architect_Email))</f>
        <v/>
      </c>
    </row>
    <row r="216" spans="1:89" ht="15">
      <c r="A216" s="1685"/>
      <c r="B216" s="1685"/>
      <c r="C216" s="1719"/>
      <c r="D216" s="1719"/>
      <c r="E216" s="1719"/>
      <c r="F216" s="1881" t="s">
        <v>598</v>
      </c>
      <c r="G216" s="1727" t="s">
        <v>1020</v>
      </c>
      <c r="H216" s="1723" t="str">
        <f>IF(rng01_Legal="","","Legal")</f>
        <v/>
      </c>
      <c r="I216" s="1688" t="str">
        <f>IF(rng01_Legal="","","Individual")</f>
        <v/>
      </c>
      <c r="J216" t="str">
        <f>IF(ISBLANK(rng01_Legal_Name),"",LEFT(rng01_Legal_Name,SEARCH(" ",rng01_Legal_Name)-1))</f>
        <v/>
      </c>
      <c r="K216" s="1685" t="str">
        <f>IF(ISBLANK(rng01_Legal_Name),"",RIGHT(rng01_Legal_Name,LEN(rng01_Legal_Name)-SEARCH(" ",rng01_Legal_Name)))</f>
        <v/>
      </c>
      <c r="L216" s="1685" t="str">
        <f>IF(rng01_Legal="","",IF(rng01_Legal_Address="","",rng01_Legal_Address))</f>
        <v/>
      </c>
      <c r="M216" s="1685" t="str">
        <f>IF(rng01_Legal="","",IF(rng01_Legal_City="","",rng01_Legal_City))</f>
        <v/>
      </c>
      <c r="N216" s="1685" t="str">
        <f>IF(rng01_Legal="","",IF(rng01_Legal_State="","",rng01_Legal_State))</f>
        <v/>
      </c>
      <c r="O216" s="1724" t="str">
        <f>IF(rng01_Legal="","",LEFT(N216,2))</f>
        <v/>
      </c>
      <c r="P216" s="1691" t="str">
        <f>IF(rng01_Legal="","",RIGHT(N216,5))</f>
        <v/>
      </c>
      <c r="Q216" s="1685" t="str">
        <f>IF(rng01_Legal="","",IF(rng01_Legal_Phone="","",rng01_Legal_Phone))</f>
        <v/>
      </c>
      <c r="R216" s="1685" t="str">
        <f>IF(rng01_Legal="","",rng01_Legal_Fax)</f>
        <v/>
      </c>
      <c r="S216" s="1685" t="str">
        <f>IF(rng01_Legal="","",rng01_Legal_Cell)</f>
        <v/>
      </c>
      <c r="T216" s="1685" t="str">
        <f>IF(rng01_Legal="","",IF(rng01_Legal_Email="","",rng01_Legal_Email))</f>
        <v/>
      </c>
      <c r="U216" s="1685"/>
      <c r="V216" s="1685"/>
      <c r="W216" s="1685"/>
      <c r="X216" s="1685"/>
      <c r="Y216" s="1685"/>
      <c r="Z216" s="1685"/>
      <c r="AA216" s="1685"/>
      <c r="AB216" s="1685"/>
      <c r="AC216" s="1685"/>
      <c r="AD216" s="2069"/>
      <c r="AE216" s="2073"/>
      <c r="AF216" s="1685"/>
      <c r="AG216" s="1685"/>
      <c r="AM216" s="1881" t="s">
        <v>598</v>
      </c>
      <c r="AN216" s="2108" t="str">
        <f>IF(rng01_Legal="","","Legal")</f>
        <v/>
      </c>
      <c r="AO216" s="1723" t="str">
        <f>IF(rng01_Legal="","","Individual")</f>
        <v/>
      </c>
      <c r="AP216" s="1688" t="str">
        <f>IF(ISBLANK(rng01_Legal_Name),"",LEFT(rng01_Legal_Name,SEARCH(" ",rng01_Legal_Name)-1))</f>
        <v/>
      </c>
      <c r="AQ216" s="1685" t="str">
        <f>IF(ISBLANK(rng01_Legal_Name),"",RIGHT(rng01_Legal_Name,LEN(rng01_Legal_Name)-SEARCH(" ",rng01_Legal_Name)))</f>
        <v/>
      </c>
      <c r="AR216" s="1685" t="str">
        <f>IF(rng01_Legal="","",IF(rng01_Legal_Address="","",rng01_Legal_Address))</f>
        <v/>
      </c>
      <c r="AS216" s="1685" t="str">
        <f>IF(rng01_Legal="","",IF(rng01_Legal_City="","",rng01_Legal_City))</f>
        <v/>
      </c>
      <c r="AT216" s="1685" t="str">
        <f>IF(rng01_Legal="","",IF(rng01_Legal_State="","",rng01_Legal_State))</f>
        <v/>
      </c>
      <c r="AU216" s="1688" t="str">
        <f>IF(rng01_Legal="","",LEFT(AT216,2))</f>
        <v/>
      </c>
      <c r="AV216" s="1724" t="str">
        <f>IF(rng01_Legal="","",RIGHT(AT216,5))</f>
        <v/>
      </c>
      <c r="AW216" s="1691" t="str">
        <f>IF(rng01_Legal="","",IF(rng01_Legal_Phone="","",rng01_Legal_Phone))</f>
        <v/>
      </c>
      <c r="AX216" s="1685" t="str">
        <f>IF(rng01_Legal="","",rng01_Legal_Fax)</f>
        <v/>
      </c>
      <c r="AY216" s="1685" t="str">
        <f>IF(rng01_Legal="","",rng01_Legal_Cell)</f>
        <v/>
      </c>
      <c r="AZ216" s="1685" t="str">
        <f>IF(rng01_Legal="","",IF(rng01_Legal_Email="","",rng01_Legal_Email))</f>
        <v/>
      </c>
      <c r="BA216" s="1685" t="str">
        <f>IF(rng01_Legal="","",IF(rng01_Legal_Email="","",rng01_Legal_Email))</f>
        <v/>
      </c>
      <c r="BQ216" s="1685"/>
      <c r="BW216" s="1881" t="s">
        <v>598</v>
      </c>
      <c r="BX216" s="1727" t="s">
        <v>1020</v>
      </c>
      <c r="BY216" s="1723" t="str">
        <f>IF(rng01_Legal="","","Legal")</f>
        <v/>
      </c>
      <c r="BZ216" s="1688" t="str">
        <f>IF(rng01_Legal="","","Individual")</f>
        <v/>
      </c>
      <c r="CA216" s="1685" t="str">
        <f>IF(rng01_Legal="","",rng01_Legal)</f>
        <v/>
      </c>
      <c r="CB216" s="1685"/>
      <c r="CC216" s="1685" t="str">
        <f>IF(rng01_Legal="","",IF(rng01_Legal_Address="","",rng01_Legal_Address))</f>
        <v/>
      </c>
      <c r="CD216" s="1685" t="str">
        <f>IF(rng01_Legal="","",IF(rng01_Legal_City="","",rng01_Legal_City))</f>
        <v/>
      </c>
      <c r="CE216" s="1685" t="str">
        <f>IF(rng01_Legal="","",IF(rng01_Legal_State="","",rng01_Legal_State))</f>
        <v/>
      </c>
      <c r="CF216" s="1724" t="str">
        <f>IF(rng01_Legal="","",LEFT(CE216,2))</f>
        <v/>
      </c>
      <c r="CG216" s="1691" t="str">
        <f>IF(rng01_Legal="","",RIGHT(CE216,5))</f>
        <v/>
      </c>
      <c r="CH216" s="1685" t="str">
        <f>IF(rng01_Legal="","",IF(rng01_Legal_Phone="","",rng01_Legal_Phone))</f>
        <v/>
      </c>
      <c r="CI216" s="1685" t="str">
        <f>IF(rng01_Legal="","",rng01_Legal_Fax)</f>
        <v/>
      </c>
      <c r="CJ216" s="1685" t="str">
        <f>IF(rng01_Legal="","",rng01_Legal_Cell)</f>
        <v/>
      </c>
      <c r="CK216" s="1685" t="str">
        <f>IF(rng01_Legal="","",IF(rng01_Legal_Email="","",rng01_Legal_Email))</f>
        <v/>
      </c>
    </row>
    <row r="217" spans="1:89" ht="15">
      <c r="A217" s="1685"/>
      <c r="B217" s="1685"/>
      <c r="C217" s="1719"/>
      <c r="D217" s="1719"/>
      <c r="E217" s="1719"/>
      <c r="F217" s="1881" t="s">
        <v>598</v>
      </c>
      <c r="G217" s="1727" t="s">
        <v>1021</v>
      </c>
      <c r="H217" s="1723" t="str">
        <f>IF(rng01_LIHTC_Legal="","","LIHTC Legal")</f>
        <v/>
      </c>
      <c r="I217" s="1688" t="str">
        <f>IF(rng01_LIHTC_Legal="","","Individual")</f>
        <v/>
      </c>
      <c r="J217" t="str">
        <f>IF(ISBLANK(rng01_LIHTC_Legal_Name),"",LEFT(rng01_LIHTC_Legal_Name,SEARCH(" ",rng01_LIHTC_Legal_Name)-1))</f>
        <v/>
      </c>
      <c r="K217" s="1685" t="str">
        <f>IF(ISBLANK(rng01_LIHTC_Legal_Name),"",RIGHT(rng01_LIHTC_Legal_Name,LEN(rng01_LIHTC_Legal_Name)-SEARCH(" ",rng01_LIHTC_Legal_Name)))</f>
        <v/>
      </c>
      <c r="L217" s="1685" t="str">
        <f>IF(rng01_LIHTC_Legal="","",IF(rng01_LIHTC_Legal_Address="","",rng01_LIHTC_Legal_Address))</f>
        <v/>
      </c>
      <c r="M217" s="1685" t="str">
        <f>IF(rng01_LIHTC_Legal="","",IF(rng01_LIHTC_Legal_City="","",rng01_LIHTC_Legal_City))</f>
        <v/>
      </c>
      <c r="N217" s="1685" t="str">
        <f>IF(rng01_LIHTC_Legal="","",IF(rng01_LIHTC_Legal_State="","",rng01_LIHTC_Legal_State))</f>
        <v/>
      </c>
      <c r="O217" s="1724" t="str">
        <f>IF(rng01_LIHTC_Legal="","",LEFT(N217,2))</f>
        <v/>
      </c>
      <c r="P217" s="1691" t="str">
        <f>IF(rng01_LIHTC_Legal="","",RIGHT(N217,5))</f>
        <v/>
      </c>
      <c r="Q217" s="1685" t="str">
        <f>IF(rng01_LIHTC_Legal="","",IF(rng01_LIHTC_Legal_Phone="","",rng01_LIHTC_Legal_Phone))</f>
        <v/>
      </c>
      <c r="R217" s="1685" t="str">
        <f>IF(rng01_LIHTC_Legal="","",rng01_LIHTC_Legal_Fax)</f>
        <v/>
      </c>
      <c r="S217" s="1685" t="str">
        <f>IF(rng01_LIHTC_Legal="","",rng01_LIHTC_Legal_Cell)</f>
        <v/>
      </c>
      <c r="T217" s="1685" t="str">
        <f>IF(rng01_LIHTC_Legal="","",IF(rng01_LIHTC_Legal_Email="","",rng01_LIHTC_Legal_Email))</f>
        <v/>
      </c>
      <c r="U217" s="1685"/>
      <c r="V217" s="1685"/>
      <c r="W217" s="1685"/>
      <c r="X217" s="1685"/>
      <c r="Y217" s="1685"/>
      <c r="Z217" s="1685"/>
      <c r="AA217" s="1685"/>
      <c r="AB217" s="1685"/>
      <c r="AC217" s="1685"/>
      <c r="AD217" s="2069"/>
      <c r="AE217" s="2073"/>
      <c r="AF217" s="1685"/>
      <c r="AG217" s="1685"/>
      <c r="AM217" s="1881" t="s">
        <v>598</v>
      </c>
      <c r="AN217" s="2108" t="str">
        <f>IF(rng01_LIHTC_Legal="","","LIHTC Legal")</f>
        <v/>
      </c>
      <c r="AO217" s="1723" t="str">
        <f>IF(rng01_LIHTC_Legal="","","Individual")</f>
        <v/>
      </c>
      <c r="AP217" s="1688" t="str">
        <f>IF(ISBLANK(rng01_LIHTC_Legal_Name),"",LEFT(rng01_LIHTC_Legal_Name,SEARCH(" ",rng01_LIHTC_Legal_Name)-1))</f>
        <v/>
      </c>
      <c r="AQ217" s="1685" t="str">
        <f>IF(ISBLANK(rng01_LIHTC_Legal_Name),"",RIGHT(rng01_LIHTC_Legal_Name,LEN(rng01_LIHTC_Legal_Name)-SEARCH(" ",rng01_LIHTC_Legal_Name)))</f>
        <v/>
      </c>
      <c r="AR217" s="1685" t="str">
        <f>IF(rng01_LIHTC_Legal="","",IF(rng01_LIHTC_Legal_Address="","",rng01_LIHTC_Legal_Address))</f>
        <v/>
      </c>
      <c r="AS217" s="1685" t="str">
        <f>IF(rng01_LIHTC_Legal="","",IF(rng01_LIHTC_Legal_City="","",rng01_LIHTC_Legal_City))</f>
        <v/>
      </c>
      <c r="AT217" s="1685" t="str">
        <f>IF(rng01_LIHTC_Legal="","",IF(rng01_LIHTC_Legal_State="","",rng01_LIHTC_Legal_State))</f>
        <v/>
      </c>
      <c r="AU217" s="1688" t="str">
        <f>IF(rng01_LIHTC_Legal="","",LEFT(AT217,2))</f>
        <v/>
      </c>
      <c r="AV217" s="1724" t="str">
        <f>IF(rng01_LIHTC_Legal="","",RIGHT(AT217,5))</f>
        <v/>
      </c>
      <c r="AW217" s="1691" t="str">
        <f>IF(rng01_LIHTC_Legal="","",IF(rng01_LIHTC_Legal_Phone="","",rng01_LIHTC_Legal_Phone))</f>
        <v/>
      </c>
      <c r="AX217" s="1685" t="str">
        <f>IF(rng01_LIHTC_Legal="","",rng01_LIHTC_Legal_Fax)</f>
        <v/>
      </c>
      <c r="AY217" s="1685" t="str">
        <f>IF(rng01_LIHTC_Legal="","",rng01_LIHTC_Legal_Cell)</f>
        <v/>
      </c>
      <c r="AZ217" s="1685" t="str">
        <f>IF(rng01_LIHTC_Legal="","",IF(rng01_LIHTC_Legal_Email="","",rng01_LIHTC_Legal_Email))</f>
        <v/>
      </c>
      <c r="BA217" s="1685" t="str">
        <f>IF(rng01_LIHTC_Legal="","",IF(rng01_LIHTC_Legal_Email="","",rng01_LIHTC_Legal_Email))</f>
        <v/>
      </c>
      <c r="BQ217" s="1685"/>
      <c r="BW217" s="1881" t="s">
        <v>598</v>
      </c>
      <c r="BX217" s="1727" t="s">
        <v>1021</v>
      </c>
      <c r="BY217" s="1723" t="str">
        <f>IF(rng01_LIHTC_Legal="","","LIHTC Legal")</f>
        <v/>
      </c>
      <c r="BZ217" s="1688" t="str">
        <f>IF(rng01_LIHTC_Legal="","","Individual")</f>
        <v/>
      </c>
      <c r="CA217" s="1685" t="str">
        <f>IF(rng01_LIHTC_Legal="","",rng01_LIHTC_Legal)</f>
        <v/>
      </c>
      <c r="CB217" s="1685"/>
      <c r="CC217" s="1685" t="str">
        <f>IF(rng01_LIHTC_Legal="","",IF(rng01_LIHTC_Legal_Address="","",rng01_LIHTC_Legal_Address))</f>
        <v/>
      </c>
      <c r="CD217" s="1685" t="str">
        <f>IF(rng01_LIHTC_Legal="","",IF(rng01_LIHTC_Legal_City="","",rng01_LIHTC_Legal_City))</f>
        <v/>
      </c>
      <c r="CE217" s="1685" t="str">
        <f>IF(rng01_LIHTC_Legal="","",IF(rng01_LIHTC_Legal_State="","",rng01_LIHTC_Legal_State))</f>
        <v/>
      </c>
      <c r="CF217" s="1724" t="str">
        <f>IF(rng01_LIHTC_Legal="","",LEFT(CE217,2))</f>
        <v/>
      </c>
      <c r="CG217" s="1691" t="str">
        <f>IF(rng01_LIHTC_Legal="","",RIGHT(CE217,5))</f>
        <v/>
      </c>
      <c r="CH217" s="1685" t="str">
        <f>IF(rng01_LIHTC_Legal="","",IF(rng01_LIHTC_Legal_Phone="","",rng01_LIHTC_Legal_Phone))</f>
        <v/>
      </c>
      <c r="CI217" s="1685" t="str">
        <f>IF(rng01_LIHTC_Legal="","",rng01_LIHTC_Legal_Fax)</f>
        <v/>
      </c>
      <c r="CJ217" s="1685" t="str">
        <f>IF(rng01_LIHTC_Legal="","",rng01_LIHTC_Legal_Cell)</f>
        <v/>
      </c>
      <c r="CK217" s="1685" t="str">
        <f>IF(rng01_LIHTC_Legal="","",IF(rng01_LIHTC_Legal_Email="","",rng01_LIHTC_Legal_Email))</f>
        <v/>
      </c>
    </row>
    <row r="218" spans="1:89" ht="15">
      <c r="A218" s="1685"/>
      <c r="B218" s="1685"/>
      <c r="C218" s="1719"/>
      <c r="D218" s="1719"/>
      <c r="E218" s="1719"/>
      <c r="F218" s="1881" t="s">
        <v>598</v>
      </c>
      <c r="G218" s="1686" t="s">
        <v>1022</v>
      </c>
      <c r="H218" s="1723" t="str">
        <f>IF(rng01_Contractor="","","Contractor")</f>
        <v/>
      </c>
      <c r="I218" s="1688" t="str">
        <f>IF(rng01_Contractor="","","Individual")</f>
        <v/>
      </c>
      <c r="J218" t="str">
        <f>IF(ISBLANK(rng01_Contractor_Name),"",LEFT(rng01_Contractor_Name,SEARCH(" ",rng01_Contractor_Name)-1))</f>
        <v/>
      </c>
      <c r="K218" s="1685" t="str">
        <f>IF(ISBLANK(rng01_Contractor_Name),"",RIGHT(rng01_Contractor_Name,LEN(rng01_Contractor_Name)-SEARCH(" ",rng01_Contractor_Name)))</f>
        <v/>
      </c>
      <c r="L218" s="1685" t="str">
        <f>IF(rng01_Contractor="","",IF(rng01_Contractor_Address="","",rng01_Contractor_Address))</f>
        <v/>
      </c>
      <c r="M218" s="1685" t="str">
        <f>IF(rng01_Contractor="","",IF(rng01_Contractor_City="","",rng01_Contractor_City))</f>
        <v/>
      </c>
      <c r="N218" s="1685" t="str">
        <f>IF(rng01_Contractor="","",IF(rng01_Contractor_State="","",rng01_Contractor_State))</f>
        <v/>
      </c>
      <c r="O218" s="1724" t="str">
        <f>IF(rng01_Contractor="","",LEFT(N218,2))</f>
        <v/>
      </c>
      <c r="P218" s="1691" t="str">
        <f>IF(rng01_Contractor="","",RIGHT(N218,5))</f>
        <v/>
      </c>
      <c r="Q218" s="1685" t="str">
        <f>IF(rng01_Contractor="","",IF(rng01_Contractor_Phone="","",rng01_Contractor_Phone))</f>
        <v/>
      </c>
      <c r="R218" s="1685" t="str">
        <f>IF(rng01_Contractor="","",rng01_Contractor_Fax)</f>
        <v/>
      </c>
      <c r="S218" s="1685" t="str">
        <f>IF(rng01_Contractor="","",rng01_Contractor_Cell)</f>
        <v/>
      </c>
      <c r="T218" s="1685" t="str">
        <f>IF(rng01_Contractor="","",IF(rng01_Contractor_Email="","",rng01_Contractor_Email))</f>
        <v/>
      </c>
      <c r="U218" s="1685"/>
      <c r="V218" s="1685"/>
      <c r="W218" s="1685"/>
      <c r="X218" s="1685"/>
      <c r="Y218" s="1685"/>
      <c r="Z218" s="1685"/>
      <c r="AA218" s="1685"/>
      <c r="AB218" s="1685"/>
      <c r="AC218" s="1685"/>
      <c r="AD218" s="2069"/>
      <c r="AE218" s="2073"/>
      <c r="AF218" s="1685"/>
      <c r="AG218" s="1685"/>
      <c r="AM218" s="1881" t="s">
        <v>598</v>
      </c>
      <c r="AN218" s="1723" t="str">
        <f>IF(rng01_Contractor="","","Contractor")</f>
        <v/>
      </c>
      <c r="AO218" s="1723" t="str">
        <f>IF(rng01_Contractor="","","Individual")</f>
        <v/>
      </c>
      <c r="AP218" s="1688" t="str">
        <f>IF(ISBLANK(rng01_Contractor_Name),"",LEFT(rng01_Contractor_Name,SEARCH(" ",rng01_Contractor_Name)-1))</f>
        <v/>
      </c>
      <c r="AQ218" s="1685" t="str">
        <f>IF(ISBLANK(rng01_Contractor_Name),"",RIGHT(rng01_Contractor_Name,LEN(rng01_Contractor_Name)-SEARCH(" ",rng01_Contractor_Name)))</f>
        <v/>
      </c>
      <c r="AR218" s="1685" t="str">
        <f>IF(rng01_Contractor="","",IF(rng01_Contractor_Address="","",rng01_Contractor_Address))</f>
        <v/>
      </c>
      <c r="AS218" s="1685" t="str">
        <f>IF(rng01_Contractor="","",IF(rng01_Contractor_City="","",rng01_Contractor_City))</f>
        <v/>
      </c>
      <c r="AT218" s="1685" t="str">
        <f>IF(rng01_Contractor="","",IF(rng01_Contractor_State="","",rng01_Contractor_State))</f>
        <v/>
      </c>
      <c r="AU218" s="1688" t="str">
        <f>IF(rng01_Contractor="","",LEFT(AT218,2))</f>
        <v/>
      </c>
      <c r="AV218" s="1724" t="str">
        <f>IF(rng01_Contractor="","",RIGHT(AT218,5))</f>
        <v/>
      </c>
      <c r="AW218" s="1691" t="str">
        <f>IF(rng01_Contractor="","",IF(rng01_Contractor_Phone="","",rng01_Contractor_Phone))</f>
        <v/>
      </c>
      <c r="AX218" s="1685" t="str">
        <f>IF(rng01_Contractor="","",rng01_Contractor_Fax)</f>
        <v/>
      </c>
      <c r="AY218" s="1685" t="str">
        <f>IF(rng01_Contractor="","",rng01_Contractor_Cell)</f>
        <v/>
      </c>
      <c r="AZ218" s="1685" t="str">
        <f>IF(rng01_Contractor="","",IF(rng01_Contractor_Email="","",rng01_Contractor_Email))</f>
        <v/>
      </c>
      <c r="BA218" s="1685" t="str">
        <f>IF(rng01_Contractor="","",IF(rng01_Contractor_Email="","",rng01_Contractor_Email))</f>
        <v/>
      </c>
      <c r="BQ218" s="1685"/>
      <c r="BW218" s="1881" t="s">
        <v>598</v>
      </c>
      <c r="BX218" s="1686" t="s">
        <v>1022</v>
      </c>
      <c r="BY218" s="1723" t="str">
        <f>IF(rng01_Contractor="","","Contractor")</f>
        <v/>
      </c>
      <c r="BZ218" s="1688" t="str">
        <f>IF(rng01_Contractor="","","Individual")</f>
        <v/>
      </c>
      <c r="CA218" s="1685" t="str">
        <f>IF(rng01_Contractor="","",rng01_Contractor)</f>
        <v/>
      </c>
      <c r="CB218" s="1685"/>
      <c r="CC218" s="1685" t="str">
        <f>IF(rng01_Contractor="","",IF(rng01_Contractor_Address="","",rng01_Contractor_Address))</f>
        <v/>
      </c>
      <c r="CD218" s="1685" t="str">
        <f>IF(rng01_Contractor="","",IF(rng01_Contractor_City="","",rng01_Contractor_City))</f>
        <v/>
      </c>
      <c r="CE218" s="1685" t="str">
        <f>IF(rng01_Contractor="","",IF(rng01_Contractor_State="","",rng01_Contractor_State))</f>
        <v/>
      </c>
      <c r="CF218" s="1724" t="str">
        <f>IF(rng01_Contractor="","",LEFT(CE218,2))</f>
        <v/>
      </c>
      <c r="CG218" s="1691" t="str">
        <f>IF(rng01_Contractor="","",RIGHT(CE218,5))</f>
        <v/>
      </c>
      <c r="CH218" s="1685" t="str">
        <f>IF(rng01_Contractor="","",IF(rng01_Contractor_Phone="","",rng01_Contractor_Phone))</f>
        <v/>
      </c>
      <c r="CI218" s="1685" t="str">
        <f>IF(rng01_Contractor="","",rng01_Contractor_Fax)</f>
        <v/>
      </c>
      <c r="CJ218" s="1685" t="str">
        <f>IF(rng01_Contractor="","",rng01_Contractor_Cell)</f>
        <v/>
      </c>
      <c r="CK218" s="1685" t="str">
        <f>IF(rng01_Contractor="","",IF(rng01_Contractor_Email="","",rng01_Contractor_Email))</f>
        <v/>
      </c>
    </row>
    <row r="219" spans="1:89" ht="15">
      <c r="A219" s="1685"/>
      <c r="B219" s="1685"/>
      <c r="C219" s="1719"/>
      <c r="D219" s="1719"/>
      <c r="E219" s="1719"/>
      <c r="F219" s="1881" t="s">
        <v>598</v>
      </c>
      <c r="G219" s="1686" t="s">
        <v>635</v>
      </c>
      <c r="H219" s="1723" t="str">
        <f>IF(rng01_Syndicator="","","Syndicator")</f>
        <v/>
      </c>
      <c r="I219" s="1688" t="str">
        <f>IF(rng01_Syndicator="","","Individual")</f>
        <v/>
      </c>
      <c r="J219" t="str">
        <f>IF(ISBLANK(rng01_Syndicator_Name),"",LEFT(rng01_Syndicator_Name,SEARCH(" ",rng01_Syndicator_Name)-1))</f>
        <v/>
      </c>
      <c r="K219" s="1685" t="str">
        <f>IF(ISBLANK(rng01_Syndicator_Name),"",RIGHT(rng01_Syndicator_Name,LEN(rng01_Syndicator_Name)-SEARCH(" ",rng01_Syndicator_Name)))</f>
        <v/>
      </c>
      <c r="L219" s="1685" t="str">
        <f>IF(rng01_Syndicator="","",IF(rng01_Syndicator_Address="","",rng01_Syndicator_Address))</f>
        <v/>
      </c>
      <c r="M219" s="1685" t="str">
        <f>IF(rng01_Syndicator="","",IF(rng01_Syndicator_City="","",rng01_Syndicator_City))</f>
        <v/>
      </c>
      <c r="N219" s="1685" t="str">
        <f>IF(rng01_Syndicator="","",IF(rng01_Syndicator_State="","",rng01_Syndicator_State))</f>
        <v/>
      </c>
      <c r="O219" s="1724" t="str">
        <f>IF(rng01_Contractor="","",LEFT(N219,2))</f>
        <v/>
      </c>
      <c r="P219" s="1691" t="str">
        <f>IF(rng01_Syndicator="","",RIGHT(N219,5))</f>
        <v/>
      </c>
      <c r="Q219" s="1685" t="str">
        <f>IF(rng01_Syndicator="","",IF(rng01_Syndicator_Phone="","",rng01_Syndicator_Phone))</f>
        <v/>
      </c>
      <c r="R219" s="1685" t="str">
        <f>IF(rng01_Syndicator="","",rng01_Syndicator_Fax)</f>
        <v/>
      </c>
      <c r="S219" s="1685" t="str">
        <f>IF(rng01_Syndicator="","",rng01_Syndicator_Cell)</f>
        <v/>
      </c>
      <c r="T219" s="1685" t="str">
        <f>IF(rng01_Syndicator="","",IF(rng01_Syndicator_Email="","",rng01_Syndicator_Email))</f>
        <v/>
      </c>
      <c r="U219" s="1685"/>
      <c r="V219" s="1685"/>
      <c r="W219" s="1685"/>
      <c r="X219" s="1685"/>
      <c r="Y219" s="1685"/>
      <c r="Z219" s="1685"/>
      <c r="AA219" s="1685"/>
      <c r="AB219" s="1685"/>
      <c r="AC219" s="1685"/>
      <c r="AD219" s="2069"/>
      <c r="AE219" s="2073"/>
      <c r="AF219" s="1685"/>
      <c r="AG219" s="1685"/>
      <c r="AM219" s="1881" t="s">
        <v>598</v>
      </c>
      <c r="AN219" s="1723" t="str">
        <f>IF(rng01_Syndicator="","","Syndicator")</f>
        <v/>
      </c>
      <c r="AO219" s="1723" t="str">
        <f>IF(rng01_Syndicator="","","Individual")</f>
        <v/>
      </c>
      <c r="AP219" s="1688" t="str">
        <f>IF(ISBLANK(rng01_Syndicator_Name),"",LEFT(rng01_Syndicator_Name,SEARCH(" ",rng01_Syndicator_Name)-1))</f>
        <v/>
      </c>
      <c r="AQ219" s="1685" t="str">
        <f>IF(ISBLANK(rng01_Syndicator_Name),"",RIGHT(rng01_Syndicator_Name,LEN(rng01_Syndicator_Name)-SEARCH(" ",rng01_Syndicator_Name)))</f>
        <v/>
      </c>
      <c r="AR219" s="1685" t="str">
        <f>IF(rng01_Syndicator="","",IF(rng01_Syndicator_Address="","",rng01_Syndicator_Address))</f>
        <v/>
      </c>
      <c r="AS219" s="1685" t="str">
        <f>IF(rng01_Syndicator="","",IF(rng01_Syndicator_City="","",rng01_Syndicator_City))</f>
        <v/>
      </c>
      <c r="AT219" s="1685" t="str">
        <f>IF(rng01_Syndicator="","",IF(rng01_Syndicator_State="","",rng01_Syndicator_State))</f>
        <v/>
      </c>
      <c r="AU219" s="1688" t="str">
        <f>IF(rng01_Contractor="","",LEFT(AT219,2))</f>
        <v/>
      </c>
      <c r="AV219" s="1724" t="str">
        <f>IF(rng01_Syndicator="","",RIGHT(AT219,5))</f>
        <v/>
      </c>
      <c r="AW219" s="1691" t="str">
        <f>IF(rng01_Syndicator="","",IF(rng01_Syndicator_Phone="","",rng01_Syndicator_Phone))</f>
        <v/>
      </c>
      <c r="AX219" s="1685" t="str">
        <f>IF(rng01_Syndicator="","",rng01_Syndicator_Fax)</f>
        <v/>
      </c>
      <c r="AY219" s="1685" t="str">
        <f>IF(rng01_Syndicator="","",rng01_Syndicator_Cell)</f>
        <v/>
      </c>
      <c r="AZ219" s="1685" t="str">
        <f>IF(rng01_Syndicator="","",IF(rng01_Syndicator_Email="","",rng01_Syndicator_Email))</f>
        <v/>
      </c>
      <c r="BA219" s="1685" t="str">
        <f>IF(rng01_Syndicator="","",IF(rng01_Syndicator_Email="","",rng01_Syndicator_Email))</f>
        <v/>
      </c>
      <c r="BQ219" s="1685"/>
      <c r="BW219" s="1881" t="s">
        <v>598</v>
      </c>
      <c r="BX219" s="1686" t="s">
        <v>635</v>
      </c>
      <c r="BY219" s="1723" t="str">
        <f>IF(rng01_Syndicator="","","Syndicator")</f>
        <v/>
      </c>
      <c r="BZ219" s="1688" t="str">
        <f>IF(rng01_Syndicator="","","Individual")</f>
        <v/>
      </c>
      <c r="CA219" s="1685" t="str">
        <f>IF(rng01_Syndicator="","",rng01_Syndicator)</f>
        <v/>
      </c>
      <c r="CB219" s="1685"/>
      <c r="CC219" s="1685" t="str">
        <f>IF(rng01_Syndicator="","",IF(rng01_Syndicator_Address="","",rng01_Syndicator_Address))</f>
        <v/>
      </c>
      <c r="CD219" s="1685" t="str">
        <f>IF(rng01_Syndicator="","",IF(rng01_Syndicator_City="","",rng01_Syndicator_City))</f>
        <v/>
      </c>
      <c r="CE219" s="1685" t="str">
        <f>IF(rng01_Syndicator="","",IF(rng01_Syndicator_State="","",rng01_Syndicator_State))</f>
        <v/>
      </c>
      <c r="CF219" s="1724" t="str">
        <f>IF(rng01_Contractor="","",LEFT(CE219,2))</f>
        <v/>
      </c>
      <c r="CG219" s="1691" t="str">
        <f>IF(rng01_Syndicator="","",RIGHT(CE219,5))</f>
        <v/>
      </c>
      <c r="CH219" s="1685" t="str">
        <f>IF(rng01_Syndicator="","",IF(rng01_Syndicator_Phone="","",rng01_Syndicator_Phone))</f>
        <v/>
      </c>
      <c r="CI219" s="1685" t="str">
        <f>IF(rng01_Syndicator="","",rng01_Syndicator_Fax)</f>
        <v/>
      </c>
      <c r="CJ219" s="1685" t="str">
        <f>IF(rng01_Syndicator="","",rng01_Syndicator_Cell)</f>
        <v/>
      </c>
      <c r="CK219" s="1685" t="str">
        <f>IF(rng01_Syndicator="","",IF(rng01_Syndicator_Email="","",rng01_Syndicator_Email))</f>
        <v/>
      </c>
    </row>
    <row r="220" spans="1:89" ht="15">
      <c r="A220" s="1685"/>
      <c r="B220" s="1685"/>
      <c r="C220" s="1719"/>
      <c r="D220" s="1719"/>
      <c r="E220" s="1719"/>
      <c r="F220" s="1881" t="s">
        <v>598</v>
      </c>
      <c r="G220" s="1686" t="s">
        <v>1023</v>
      </c>
      <c r="H220" s="1688" t="str">
        <f>IF(rng01_Consultant1="","","Consultant")</f>
        <v/>
      </c>
      <c r="I220" s="1688" t="str">
        <f>IF(rng01_Consultant1="","","Individual")</f>
        <v/>
      </c>
      <c r="J220" t="str">
        <f>IF(ISBLANK(rng01_Consultant1_Name),"",LEFT(rng01_Consultant1_Name,SEARCH(" ",rng01_Consultant1_Name)-1))</f>
        <v/>
      </c>
      <c r="K220" s="1685" t="str">
        <f>IF(ISBLANK(rng01_Consultant1_Name),"",RIGHT(rng01_Consultant1_Name,LEN(rng01_Consultant1_Name)-SEARCH(" ",rng01_Consultant1_Name)))</f>
        <v/>
      </c>
      <c r="L220" s="1685" t="str">
        <f>IF(rng01_Consultant1="","",IF(rng01_Consultant1_Address="","",rng01_Consultant1_Address))</f>
        <v/>
      </c>
      <c r="M220" s="1685" t="str">
        <f>IF(rng01_Consultant1="","",IF(rng01_Consultant1_City="","",rng01_Consultant1_City))</f>
        <v/>
      </c>
      <c r="N220" s="1685" t="str">
        <f>IF(rng01_Consultant1="","",IF(rng01_Consultant1_State="","",rng01_Consultant1_State))</f>
        <v/>
      </c>
      <c r="O220" s="1688" t="str">
        <f>IF(rng01_Consultant1="","",LEFT(N220,2))</f>
        <v/>
      </c>
      <c r="P220" s="1688" t="str">
        <f>IF(rng01_Consultant1="","",RIGHT(N220,5))</f>
        <v/>
      </c>
      <c r="Q220" s="1685" t="str">
        <f>IF(rng01_Consultant1="","",IF(rng01_Consultant1_Phone="","",rng01_Consultant1_Phone))</f>
        <v/>
      </c>
      <c r="R220" s="1685" t="str">
        <f>IF(rng01_Consultant1="","",rng01_Consultant1_Fax)</f>
        <v/>
      </c>
      <c r="S220" s="1685" t="str">
        <f>IF(rng01_Consultant1="","",rng01_Consultant1_Cell)</f>
        <v/>
      </c>
      <c r="T220" s="1685" t="str">
        <f>IF(rng01_Consultant1="","",IF(rng01_Consultant1_Email="","",rng01_Consultant1_Email))</f>
        <v/>
      </c>
      <c r="U220" s="1685"/>
      <c r="V220" s="1685"/>
      <c r="W220" s="1685"/>
      <c r="X220" s="1685"/>
      <c r="Y220" s="1685"/>
      <c r="Z220" s="1685"/>
      <c r="AA220" s="1685"/>
      <c r="AB220" s="1685"/>
      <c r="AC220" s="1685"/>
      <c r="AD220" s="2069"/>
      <c r="AE220" s="2073"/>
      <c r="AF220" s="1685"/>
      <c r="AG220" s="1685"/>
      <c r="AM220" s="1881" t="s">
        <v>598</v>
      </c>
      <c r="AN220" s="1723" t="str">
        <f>IF(rng01_Consultant1="","","Consultant")</f>
        <v/>
      </c>
      <c r="AO220" s="1688" t="str">
        <f>IF(rng01_Consultant1="","","Individual")</f>
        <v/>
      </c>
      <c r="AP220" s="1685" t="str">
        <f>IF(ISBLANK(rng01_Consultant1_Name),"",LEFT(rng01_Consultant1_Name,SEARCH(" ",rng01_Consultant1_Name)-1))</f>
        <v/>
      </c>
      <c r="AQ220" s="1685" t="str">
        <f>IF(ISBLANK(rng01_Consultant1_Name),"",RIGHT(rng01_Consultant1_Name,LEN(rng01_Consultant1_Name)-SEARCH(" ",rng01_Consultant1_Name)))</f>
        <v/>
      </c>
      <c r="AR220" s="1685" t="str">
        <f>IF(rng01_Consultant1="","",IF(rng01_Consultant1_Address="","",rng01_Consultant1_Address))</f>
        <v/>
      </c>
      <c r="AS220" s="1685" t="str">
        <f>IF(rng01_Consultant1="","",IF(rng01_Consultant1_City="","",rng01_Consultant1_City))</f>
        <v/>
      </c>
      <c r="AT220" s="1685" t="str">
        <f>IF(rng01_Consultant1="","",IF(rng01_Consultant1_State="","",rng01_Consultant1_State))</f>
        <v/>
      </c>
      <c r="AU220" s="1688" t="str">
        <f>IF(rng01_Consultant1="","",LEFT(AT220,2))</f>
        <v/>
      </c>
      <c r="AV220" s="1685" t="str">
        <f>IF(rng01_Consultant1="","",RIGHT(AT220,5))</f>
        <v/>
      </c>
      <c r="AW220" s="1685" t="str">
        <f>IF(rng01_Consultant1="","",IF(rng01_Consultant1_Phone="","",rng01_Consultant1_Phone))</f>
        <v/>
      </c>
      <c r="AX220" s="1685" t="str">
        <f>IF(rng01_Consultant1="","",rng01_Consultant1_Fax)</f>
        <v/>
      </c>
      <c r="AY220" s="1685" t="str">
        <f>IF(rng01_Consultant1="","",rng01_Consultant1_Cell)</f>
        <v/>
      </c>
      <c r="AZ220" s="1685" t="str">
        <f>IF(rng01_Consultant1="","",IF(rng01_Consultant1_Email="","",rng01_Consultant1_Email))</f>
        <v/>
      </c>
      <c r="BA220" s="1685" t="str">
        <f>IF(rng01_Consultant1="","",IF(rng01_Consultant1_Email="","",rng01_Consultant1_Email))</f>
        <v/>
      </c>
      <c r="BQ220" s="1685"/>
      <c r="BW220" s="1881" t="s">
        <v>598</v>
      </c>
      <c r="BX220" s="1686" t="s">
        <v>1023</v>
      </c>
      <c r="BY220" s="1685" t="str">
        <f>IF(rng01_Consultant1="","","Consultant")</f>
        <v/>
      </c>
      <c r="BZ220" s="1685" t="str">
        <f>IF(rng01_Consultant1="","","Individual")</f>
        <v/>
      </c>
      <c r="CA220" s="1685" t="str">
        <f>IF(rng01_Consultant1="","",rng01_Consultant1)</f>
        <v/>
      </c>
      <c r="CB220" s="1685"/>
      <c r="CC220" s="1685" t="str">
        <f>IF(rng01_Consultant1="","",IF(rng01_Consultant1_Address="","",rng01_Consultant1_Address))</f>
        <v/>
      </c>
      <c r="CD220" s="1685" t="str">
        <f>IF(rng01_Consultant1="","",IF(rng01_Consultant1_City="","",rng01_Consultant1_City))</f>
        <v/>
      </c>
      <c r="CE220" s="1685" t="str">
        <f>IF(rng01_Consultant1="","",IF(rng01_Consultant1_State="","",rng01_Consultant1_State))</f>
        <v/>
      </c>
      <c r="CF220" s="1685" t="str">
        <f>IF(rng01_Consultant1="","",LEFT(CE220,2))</f>
        <v/>
      </c>
      <c r="CG220" s="1685" t="str">
        <f>IF(rng01_Consultant1="","",RIGHT(CE220,5))</f>
        <v/>
      </c>
      <c r="CH220" s="1685" t="str">
        <f>IF(rng01_Consultant1="","",IF(rng01_Consultant1_Phone="","",rng01_Consultant1_Phone))</f>
        <v/>
      </c>
      <c r="CI220" s="1685" t="str">
        <f>IF(rng01_Consultant1="","",rng01_Consultant1_Fax)</f>
        <v/>
      </c>
      <c r="CJ220" s="1685" t="str">
        <f>IF(rng01_Consultant1="","",rng01_Consultant1_Cell)</f>
        <v/>
      </c>
      <c r="CK220" s="1685" t="str">
        <f>IF(rng01_Consultant1="","",IF(rng01_Consultant1_Email="","",rng01_Consultant1_Email))</f>
        <v/>
      </c>
    </row>
    <row r="221" spans="1:89" ht="15">
      <c r="A221" s="1685"/>
      <c r="B221" s="1685"/>
      <c r="C221" s="1719"/>
      <c r="D221" s="1719"/>
      <c r="E221" s="1719"/>
      <c r="F221" s="1881" t="s">
        <v>598</v>
      </c>
      <c r="G221" s="1686" t="s">
        <v>1024</v>
      </c>
      <c r="H221" s="1688" t="str">
        <f>IF(rng01_Consultant2="","","Consultant")</f>
        <v/>
      </c>
      <c r="I221" s="1688" t="str">
        <f>IF(rng01_Consultant2="","","Individual")</f>
        <v/>
      </c>
      <c r="J221" t="str">
        <f>IF(ISBLANK(rng01_Consultant2_Name),"",LEFT(rng01_Consultant2_Name,SEARCH(" ",rng01_Consultant2_Name)-1))</f>
        <v/>
      </c>
      <c r="K221" s="1685" t="str">
        <f>IF(ISBLANK(rng01_Consultant2_Name),"",RIGHT(rng01_Consultant2_Name,LEN(rng01_Consultant2_Name)-SEARCH(" ",rng01_Consultant2_Name)))</f>
        <v/>
      </c>
      <c r="L221" s="1685" t="str">
        <f>IF(rng01_Consultant2="","",IF(rng01_Consultant2_Address="","",rng01_Consultant2_Address))</f>
        <v/>
      </c>
      <c r="M221" s="1685" t="str">
        <f>IF(rng01_Consultant2="","",IF(rng01_Consultant2_City="","",rng01_Consultant2_City))</f>
        <v/>
      </c>
      <c r="N221" s="1685" t="str">
        <f>IF(rng01_Consultant2="","",IF(rng01_Consultant2_State="","",rng01_Consultant2_State))</f>
        <v/>
      </c>
      <c r="O221" s="1688" t="str">
        <f>IF(rng01_Consultant2="","",LEFT(N221,2))</f>
        <v/>
      </c>
      <c r="P221" s="1688" t="str">
        <f>IF(rng01_Consultant2="","",RIGHT(N221,5))</f>
        <v/>
      </c>
      <c r="Q221" s="1685" t="str">
        <f>IF(rng01_Consultant2="","",IF(rng01_Consultant2_Phone="","",rng01_Consultant2_Phone))</f>
        <v/>
      </c>
      <c r="R221" s="1685" t="str">
        <f>IF(rng01_Consultant2="","",rng01_Consultant2_Fax)</f>
        <v/>
      </c>
      <c r="S221" s="1685" t="str">
        <f>IF(rng01_Consultant2="","",rng01_Consultant2_Cell)</f>
        <v/>
      </c>
      <c r="T221" s="1685" t="str">
        <f>IF(rng01_Consultant2="","",IF(rng01_Consultant2_Email="","",rng01_Consultant2_Email))</f>
        <v/>
      </c>
      <c r="U221" s="1685"/>
      <c r="V221" s="1685"/>
      <c r="W221" s="1685"/>
      <c r="X221" s="1685"/>
      <c r="Y221" s="1685"/>
      <c r="Z221" s="1685"/>
      <c r="AA221" s="1685"/>
      <c r="AB221" s="1685"/>
      <c r="AC221" s="1685"/>
      <c r="AD221" s="2069"/>
      <c r="AE221" s="2073"/>
      <c r="AF221" s="1685"/>
      <c r="AG221" s="1685"/>
      <c r="AM221" s="1881" t="s">
        <v>598</v>
      </c>
      <c r="AN221" s="1723" t="str">
        <f>IF(rng01_Consultant2="","","Consultant")</f>
        <v/>
      </c>
      <c r="AO221" s="1688" t="str">
        <f>IF(rng01_Consultant2="","","Individual")</f>
        <v/>
      </c>
      <c r="AP221" s="1685" t="str">
        <f>IF(ISBLANK(rng01_Consultant2_Name),"",LEFT(rng01_Consultant2_Name,SEARCH(" ",rng01_Consultant2_Name)-1))</f>
        <v/>
      </c>
      <c r="AQ221" s="1685" t="str">
        <f>IF(ISBLANK(rng01_Consultant2_Name),"",RIGHT(rng01_Consultant2_Name,LEN(rng01_Consultant2_Name)-SEARCH(" ",rng01_Consultant2_Name)))</f>
        <v/>
      </c>
      <c r="AR221" s="1685" t="str">
        <f>IF(rng01_Consultant2="","",IF(rng01_Consultant2_Address="","",rng01_Consultant2_Address))</f>
        <v/>
      </c>
      <c r="AS221" s="1685" t="str">
        <f>IF(rng01_Consultant2="","",IF(rng01_Consultant2_City="","",rng01_Consultant2_City))</f>
        <v/>
      </c>
      <c r="AT221" s="1685" t="str">
        <f>IF(rng01_Consultant2="","",IF(rng01_Consultant2_State="","",rng01_Consultant2_State))</f>
        <v/>
      </c>
      <c r="AU221" s="1688" t="str">
        <f>IF(rng01_Consultant2="","",LEFT(AT221,2))</f>
        <v/>
      </c>
      <c r="AV221" s="1685" t="str">
        <f>IF(rng01_Consultant2="","",RIGHT(AT221,5))</f>
        <v/>
      </c>
      <c r="AW221" s="1685" t="str">
        <f>IF(rng01_Consultant2="","",IF(rng01_Consultant2_Phone="","",rng01_Consultant2_Phone))</f>
        <v/>
      </c>
      <c r="AX221" s="1685" t="str">
        <f>IF(rng01_Consultant2="","",rng01_Consultant2_Fax)</f>
        <v/>
      </c>
      <c r="AY221" s="1685" t="str">
        <f>IF(rng01_Consultant2="","",rng01_Consultant2_Cell)</f>
        <v/>
      </c>
      <c r="AZ221" s="1685" t="str">
        <f>IF(rng01_Consultant2="","",IF(rng01_Consultant2_Email="","",rng01_Consultant2_Email))</f>
        <v/>
      </c>
      <c r="BA221" s="1685" t="str">
        <f>IF(rng01_Consultant2="","",IF(rng01_Consultant2_Email="","",rng01_Consultant2_Email))</f>
        <v/>
      </c>
      <c r="BQ221" s="1685"/>
      <c r="BW221" s="1881" t="s">
        <v>598</v>
      </c>
      <c r="BX221" s="1686" t="s">
        <v>1024</v>
      </c>
      <c r="BY221" s="1685" t="str">
        <f>IF(rng01_Consultant2="","","Consultant")</f>
        <v/>
      </c>
      <c r="BZ221" s="1685" t="str">
        <f>IF(rng01_Consultant2="","","Individual")</f>
        <v/>
      </c>
      <c r="CA221" s="1685" t="str">
        <f>IF(rng01_Consultant2="","",rng01_Consultant2)</f>
        <v/>
      </c>
      <c r="CB221" s="1685"/>
      <c r="CC221" s="1685" t="str">
        <f>IF(rng01_Consultant2="","",IF(rng01_Consultant2_Address="","",rng01_Consultant2_Address))</f>
        <v/>
      </c>
      <c r="CD221" s="1685" t="str">
        <f>IF(rng01_Consultant2="","",IF(rng01_Consultant2_City="","",rng01_Consultant2_City))</f>
        <v/>
      </c>
      <c r="CE221" s="1685" t="str">
        <f>IF(rng01_Consultant2="","",IF(rng01_Consultant2_State="","",rng01_Consultant2_State))</f>
        <v/>
      </c>
      <c r="CF221" s="1685" t="str">
        <f>IF(rng01_Consultant2="","",LEFT(CE221,2))</f>
        <v/>
      </c>
      <c r="CG221" s="1685" t="str">
        <f>IF(rng01_Consultant2="","",RIGHT(CE221,5))</f>
        <v/>
      </c>
      <c r="CH221" s="1685" t="str">
        <f>IF(rng01_Consultant2="","",IF(rng01_Consultant2_Phone="","",rng01_Consultant2_Phone))</f>
        <v/>
      </c>
      <c r="CI221" s="1685" t="str">
        <f>IF(rng01_Consultant2="","",rng01_Consultant2_Fax)</f>
        <v/>
      </c>
      <c r="CJ221" s="1685" t="str">
        <f>IF(rng01_Consultant2="","",rng01_Consultant2_Cell)</f>
        <v/>
      </c>
      <c r="CK221" s="1685" t="str">
        <f>IF(rng01_Consultant2="","",IF(rng01_Consultant2_Email="","",rng01_Consultant2_Email))</f>
        <v/>
      </c>
    </row>
    <row r="222" spans="1:89" ht="15">
      <c r="A222" s="1685"/>
      <c r="B222" s="1685"/>
      <c r="C222" s="1719"/>
      <c r="D222" s="1719"/>
      <c r="E222" s="1719"/>
      <c r="F222" s="1685"/>
      <c r="G222" s="1685"/>
      <c r="H222" s="1685"/>
      <c r="I222" s="1685"/>
      <c r="J222" s="1685"/>
      <c r="K222" s="1685"/>
      <c r="L222" s="1685"/>
      <c r="M222" s="1685"/>
      <c r="N222" s="1685"/>
      <c r="O222" s="1685"/>
      <c r="P222" s="1685"/>
      <c r="Q222" s="1685"/>
      <c r="R222" s="1685"/>
      <c r="S222" s="1685"/>
      <c r="T222" s="1685"/>
      <c r="U222" s="1685"/>
      <c r="V222" s="1685"/>
      <c r="W222" s="1685"/>
      <c r="X222" s="1685"/>
      <c r="Y222" s="1685"/>
      <c r="Z222" s="1685"/>
      <c r="AA222" s="1685"/>
      <c r="AB222" s="1685"/>
      <c r="AC222" s="1685"/>
      <c r="AD222" s="2069"/>
      <c r="AE222" s="2073"/>
      <c r="AF222" s="1685"/>
      <c r="AG222" s="1685"/>
      <c r="BQ222" s="1685"/>
    </row>
    <row r="223" spans="1:89" ht="15">
      <c r="A223" s="1685"/>
      <c r="B223" s="1685"/>
      <c r="C223" s="1719"/>
      <c r="D223" s="1719"/>
      <c r="E223" s="1719"/>
      <c r="F223" s="1685"/>
      <c r="G223" s="1685"/>
      <c r="H223" s="1685"/>
      <c r="I223" s="1685"/>
      <c r="J223" s="1685"/>
      <c r="K223" s="1685"/>
      <c r="L223" s="1685"/>
      <c r="M223" s="1685"/>
      <c r="N223" s="1685"/>
      <c r="O223" s="1685"/>
      <c r="P223" s="1685"/>
      <c r="Q223" s="1685"/>
      <c r="R223" s="1685"/>
      <c r="S223" s="1685"/>
      <c r="T223" s="1685"/>
      <c r="U223" s="1685"/>
      <c r="V223" s="1685"/>
      <c r="W223" s="1685"/>
      <c r="X223" s="1685"/>
      <c r="Y223" s="1685"/>
      <c r="Z223" s="1685"/>
      <c r="AA223" s="1685"/>
      <c r="AB223" s="1685"/>
      <c r="AC223" s="1685"/>
      <c r="AD223" s="2069"/>
      <c r="AE223" s="2073"/>
      <c r="AF223" s="1685"/>
      <c r="AG223" s="1685"/>
      <c r="BQ223" s="1685"/>
    </row>
    <row r="224" spans="1:89" ht="15">
      <c r="A224" s="1685"/>
      <c r="B224" s="1685"/>
      <c r="C224" s="1719"/>
      <c r="D224" s="1719"/>
      <c r="E224" s="1719"/>
      <c r="F224" s="1685"/>
      <c r="G224" s="1685"/>
      <c r="H224" s="1685"/>
      <c r="I224" s="1685"/>
      <c r="J224" s="1685"/>
      <c r="K224" s="1685"/>
      <c r="L224" s="1685"/>
      <c r="M224" s="1685"/>
      <c r="N224" s="1685"/>
      <c r="O224" s="1685"/>
      <c r="P224" s="1685"/>
      <c r="Q224" s="1685"/>
      <c r="R224" s="1685"/>
      <c r="S224" s="1685"/>
      <c r="T224" s="1685"/>
      <c r="U224" s="1685"/>
      <c r="V224" s="1685"/>
      <c r="W224" s="1685"/>
      <c r="X224" s="1685"/>
      <c r="Y224" s="1685"/>
      <c r="Z224" s="1685"/>
      <c r="AA224" s="1685"/>
      <c r="AB224" s="1685"/>
      <c r="AC224" s="1685"/>
      <c r="AD224" s="2069"/>
      <c r="AE224" s="2073"/>
      <c r="AF224" s="1685"/>
      <c r="AG224" s="1685"/>
      <c r="BQ224" s="1685"/>
    </row>
    <row r="225" spans="1:75" ht="15">
      <c r="A225" s="1685"/>
      <c r="B225" s="1685"/>
      <c r="C225" s="1719"/>
      <c r="D225" s="1719"/>
      <c r="E225" s="1719"/>
      <c r="F225" s="1685"/>
      <c r="G225" s="1685"/>
      <c r="H225" s="1685"/>
      <c r="I225" s="1685"/>
      <c r="J225" s="1728"/>
      <c r="K225" s="1729"/>
      <c r="L225" s="1728"/>
      <c r="M225" s="1729"/>
      <c r="N225" s="1685"/>
      <c r="O225" s="1685"/>
      <c r="P225" s="1685"/>
      <c r="Q225" s="1685"/>
      <c r="R225" s="1685"/>
      <c r="S225" s="1685"/>
      <c r="T225" s="1685"/>
      <c r="U225" s="1685"/>
      <c r="V225" s="1685"/>
      <c r="W225" s="1685"/>
      <c r="X225" s="1685"/>
      <c r="Y225" s="1685"/>
      <c r="Z225" s="1685"/>
      <c r="AA225" s="1685"/>
      <c r="AB225" s="1685"/>
      <c r="AC225" s="1685"/>
      <c r="AD225" s="2069"/>
      <c r="AE225" s="2073"/>
      <c r="AF225" s="1685"/>
      <c r="AG225" s="1685"/>
      <c r="BQ225" s="1685"/>
    </row>
    <row r="226" spans="1:75" ht="15">
      <c r="A226" s="1685"/>
      <c r="B226" s="1685"/>
      <c r="C226" s="1719"/>
      <c r="D226" s="1719"/>
      <c r="E226" s="1719"/>
      <c r="F226" s="1685"/>
      <c r="H226" s="1685"/>
      <c r="I226" s="1685"/>
      <c r="J226" s="1685"/>
      <c r="K226" s="1685"/>
      <c r="L226" s="1688"/>
      <c r="M226" s="1685"/>
      <c r="N226" s="1685"/>
      <c r="O226" s="1685"/>
      <c r="P226" s="1685"/>
      <c r="Q226" s="1685"/>
      <c r="R226" s="1685"/>
      <c r="S226" s="1685"/>
      <c r="T226" s="1685"/>
      <c r="U226" s="1685"/>
      <c r="V226" s="1685"/>
      <c r="W226" s="1685"/>
      <c r="X226" s="1685"/>
      <c r="Y226" s="1685"/>
      <c r="Z226" s="1685"/>
      <c r="AA226" s="1685"/>
      <c r="AB226" s="1685"/>
      <c r="AC226" s="1685"/>
      <c r="AD226" s="2069"/>
      <c r="AE226" s="2073"/>
      <c r="AF226" s="1685"/>
      <c r="AG226" s="1685"/>
      <c r="BQ226" s="1685"/>
    </row>
    <row r="227" spans="1:75" ht="15">
      <c r="A227" s="1685"/>
      <c r="B227" s="1685"/>
      <c r="C227" s="1719"/>
      <c r="D227" s="1719"/>
      <c r="E227" s="1719"/>
      <c r="F227" s="1719"/>
      <c r="G227" s="1686"/>
      <c r="H227" s="1685" t="str">
        <f>IF("True","","Multi-tenant")</f>
        <v/>
      </c>
      <c r="I227" s="1685"/>
      <c r="J227" s="1685"/>
      <c r="K227" s="1685"/>
      <c r="L227" s="1685"/>
      <c r="M227" s="1685"/>
      <c r="N227" s="1685"/>
      <c r="O227" s="1685"/>
      <c r="P227" s="1685"/>
      <c r="Q227" s="1685"/>
      <c r="R227" s="1685"/>
      <c r="S227" s="1685"/>
      <c r="T227" s="1685"/>
      <c r="U227" s="1685"/>
      <c r="V227" s="1685"/>
      <c r="W227" s="1685"/>
      <c r="X227" s="1685"/>
      <c r="Y227" s="1685"/>
      <c r="Z227" s="1685"/>
      <c r="AA227" s="1685"/>
      <c r="AB227" s="1685"/>
      <c r="AC227" s="1685"/>
      <c r="AD227" s="2069"/>
      <c r="AE227" s="2073"/>
      <c r="AF227" s="1685"/>
      <c r="AG227" s="1685"/>
      <c r="BQ227" s="1685"/>
    </row>
    <row r="228" spans="1:75" ht="15">
      <c r="A228" s="1685"/>
      <c r="B228" s="1685"/>
      <c r="C228" s="1685"/>
      <c r="D228" s="1685"/>
      <c r="E228" s="1685"/>
      <c r="F228" s="1685"/>
      <c r="G228" s="1685"/>
      <c r="H228" s="1685"/>
      <c r="I228" s="1685"/>
      <c r="J228" s="1685"/>
      <c r="K228" s="1685"/>
      <c r="L228" s="1685"/>
      <c r="M228" s="1685"/>
      <c r="N228" s="1685"/>
      <c r="O228" s="1685"/>
      <c r="P228" s="1685"/>
      <c r="Q228" s="1685"/>
      <c r="R228" s="1685"/>
      <c r="S228" s="1685"/>
      <c r="T228" s="1685"/>
      <c r="U228" s="1685"/>
      <c r="V228" s="1685"/>
      <c r="W228" s="1685"/>
      <c r="X228" s="1685"/>
      <c r="Y228" s="1685"/>
      <c r="Z228" s="1685"/>
      <c r="AA228" s="1685"/>
      <c r="AB228" s="1685"/>
      <c r="AC228" s="1685"/>
      <c r="AD228" s="2069"/>
      <c r="AE228" s="2073"/>
      <c r="AF228" s="1685"/>
      <c r="AG228" s="1685"/>
      <c r="BQ228" s="1685"/>
    </row>
    <row r="229" spans="1:75" ht="15">
      <c r="A229" s="1685" t="s">
        <v>847</v>
      </c>
      <c r="B229" s="1685" t="s">
        <v>75</v>
      </c>
      <c r="D229" s="1685"/>
      <c r="E229" s="1685"/>
      <c r="F229" s="1685"/>
      <c r="G229" s="1701" t="s">
        <v>97</v>
      </c>
      <c r="H229" s="1701" t="s">
        <v>1025</v>
      </c>
      <c r="I229" s="1701"/>
      <c r="J229" s="1701" t="s">
        <v>1026</v>
      </c>
      <c r="K229" s="1701" t="s">
        <v>98</v>
      </c>
      <c r="L229" s="1701" t="s">
        <v>41</v>
      </c>
      <c r="M229" s="1701" t="s">
        <v>343</v>
      </c>
      <c r="N229" s="1701" t="s">
        <v>1027</v>
      </c>
      <c r="O229" s="1701" t="s">
        <v>1028</v>
      </c>
      <c r="P229" s="1685"/>
      <c r="Q229" s="1730"/>
      <c r="R229" s="1730"/>
      <c r="S229" s="1730"/>
      <c r="T229" s="1685"/>
      <c r="U229" s="1685"/>
      <c r="V229" s="1685"/>
      <c r="W229" s="1685"/>
      <c r="X229" s="1685"/>
      <c r="Y229" s="1685"/>
      <c r="Z229" s="1685"/>
      <c r="AA229" s="1685"/>
      <c r="AB229" s="1685"/>
      <c r="AC229" s="1685"/>
      <c r="AD229" s="2069"/>
      <c r="AE229" s="2073"/>
      <c r="AF229" s="1685"/>
      <c r="AG229" s="1685" t="s">
        <v>847</v>
      </c>
      <c r="AH229" s="1677" t="s">
        <v>75</v>
      </c>
      <c r="AM229" s="1703" t="s">
        <v>97</v>
      </c>
      <c r="AN229" s="1703" t="s">
        <v>1025</v>
      </c>
      <c r="AO229" s="1703" t="s">
        <v>1026</v>
      </c>
      <c r="AP229" s="1703" t="s">
        <v>98</v>
      </c>
      <c r="AQ229" s="1703" t="s">
        <v>41</v>
      </c>
      <c r="AR229" s="1703" t="s">
        <v>343</v>
      </c>
      <c r="AS229" s="1703" t="s">
        <v>1027</v>
      </c>
      <c r="AT229" s="1703" t="s">
        <v>1028</v>
      </c>
      <c r="BQ229" s="1685" t="s">
        <v>847</v>
      </c>
      <c r="BR229" s="1677" t="s">
        <v>75</v>
      </c>
      <c r="BW229" s="1703" t="s">
        <v>97</v>
      </c>
    </row>
    <row r="230" spans="1:75" ht="15">
      <c r="A230" s="1685"/>
      <c r="B230" s="1685"/>
      <c r="C230" s="1685"/>
      <c r="D230" s="1685"/>
      <c r="E230" s="1685"/>
      <c r="F230" s="1685">
        <v>1</v>
      </c>
      <c r="G230" s="1701" t="str">
        <f>IF(rng01_Address1="","",rng01_Address1)</f>
        <v/>
      </c>
      <c r="H230" s="1701"/>
      <c r="I230" s="1701"/>
      <c r="J230" s="1701"/>
      <c r="K230" s="1701" t="str">
        <f>IF(rng01_City1="","",rng01_City1)</f>
        <v/>
      </c>
      <c r="L230" s="1731" t="str">
        <f>IF(rng01_Zip1="","",rng01_Zip1)</f>
        <v/>
      </c>
      <c r="M230" s="1701"/>
      <c r="N230" s="1701"/>
      <c r="O230" s="1701" t="e">
        <v>#N/A</v>
      </c>
      <c r="P230" s="1685"/>
      <c r="Q230" s="1685"/>
      <c r="R230" s="1685"/>
      <c r="S230" s="1688"/>
      <c r="T230" s="1685"/>
      <c r="U230" s="1685"/>
      <c r="V230" s="1685"/>
      <c r="W230" s="1685"/>
      <c r="X230" s="1685"/>
      <c r="Y230" s="1685"/>
      <c r="Z230" s="1685"/>
      <c r="AA230" s="1685"/>
      <c r="AB230" s="1685"/>
      <c r="AC230" s="1685"/>
      <c r="AD230" s="2069"/>
      <c r="AE230" s="2073"/>
      <c r="AF230" s="1685"/>
      <c r="AG230" s="1685"/>
      <c r="AM230" s="1703" t="str">
        <f>IF(TCATrigger="No","",IF(G230="","",G230))</f>
        <v/>
      </c>
      <c r="AN230" s="1703" t="str">
        <f>IF(TCATrigger="No","",IF(H230="","",H230))</f>
        <v/>
      </c>
      <c r="AO230" s="1703" t="str">
        <f>IF(TCATrigger="No","",IF(I230="","",I230))</f>
        <v/>
      </c>
      <c r="AP230" s="1703" t="str">
        <f t="shared" ref="AP230:AP261" si="26">IF(TCATrigger="No","",IF(K230="","",K230))</f>
        <v/>
      </c>
      <c r="AQ230" s="1703" t="str">
        <f t="shared" ref="AQ230:AQ261" si="27">IF(TCATrigger="No","",IF(L230="","",L230))</f>
        <v/>
      </c>
      <c r="AR230" s="1703"/>
      <c r="AS230" s="1703"/>
      <c r="AT230" s="1703" t="e">
        <v>#N/A</v>
      </c>
      <c r="BQ230" s="1685"/>
      <c r="BW230" s="1703" t="str">
        <f>IF(TCATrigger="No","",IF(AQ230="","",AQ230))</f>
        <v/>
      </c>
    </row>
    <row r="231" spans="1:75" ht="15">
      <c r="A231" s="1685"/>
      <c r="B231" s="1685"/>
      <c r="C231" s="1685"/>
      <c r="D231" s="1685"/>
      <c r="E231" s="1685"/>
      <c r="F231" s="1685">
        <v>2</v>
      </c>
      <c r="G231" s="1701" t="str">
        <f>IF(rng01_Address2="","",rng01_Address2)</f>
        <v/>
      </c>
      <c r="H231" s="1701"/>
      <c r="I231" s="1701"/>
      <c r="J231" s="1701"/>
      <c r="K231" s="1701" t="str">
        <f>IF(rng01_City2="","",rng01_City2)</f>
        <v/>
      </c>
      <c r="L231" s="1731" t="str">
        <f>IF(rng01_Zip2="","",rng01_Zip2)</f>
        <v/>
      </c>
      <c r="M231" s="1701"/>
      <c r="N231" s="1701"/>
      <c r="O231" s="1701" t="e">
        <v>#N/A</v>
      </c>
      <c r="P231" s="1685"/>
      <c r="Q231" s="1685"/>
      <c r="R231" s="1685"/>
      <c r="S231" s="1685"/>
      <c r="T231" s="1685"/>
      <c r="U231" s="1685"/>
      <c r="V231" s="1685"/>
      <c r="W231" s="1685"/>
      <c r="X231" s="1685"/>
      <c r="Y231" s="1685"/>
      <c r="Z231" s="1685"/>
      <c r="AA231" s="1685"/>
      <c r="AB231" s="1685"/>
      <c r="AC231" s="1685"/>
      <c r="AD231" s="2069"/>
      <c r="AE231" s="2073"/>
      <c r="AF231" s="1685"/>
      <c r="AG231" s="1685"/>
      <c r="AM231" s="1703" t="str">
        <f t="shared" ref="AM231:AM262" si="28">IF(TCATrigger="No","",IF(G231="","",G231))</f>
        <v/>
      </c>
      <c r="AN231" s="1703"/>
      <c r="AO231" s="1703"/>
      <c r="AP231" s="1703" t="str">
        <f t="shared" si="26"/>
        <v/>
      </c>
      <c r="AQ231" s="1703" t="str">
        <f t="shared" si="27"/>
        <v/>
      </c>
      <c r="AR231" s="1703"/>
      <c r="AS231" s="1703"/>
      <c r="AT231" s="1703" t="e">
        <v>#N/A</v>
      </c>
      <c r="BQ231" s="1685"/>
      <c r="BW231" s="1703" t="str">
        <f t="shared" ref="BW231:BW294" si="29">IF(TCATrigger="No","",IF(AQ231="","",AQ231))</f>
        <v/>
      </c>
    </row>
    <row r="232" spans="1:75" ht="15">
      <c r="A232" s="1685"/>
      <c r="B232" s="1685"/>
      <c r="C232" s="1685" t="s">
        <v>1029</v>
      </c>
      <c r="D232" s="1685"/>
      <c r="E232" s="1685"/>
      <c r="F232" s="1685">
        <v>3</v>
      </c>
      <c r="G232" s="1701" t="str">
        <f>IF(rng01_Address3="","",rng01_Address3)</f>
        <v/>
      </c>
      <c r="H232" s="1701"/>
      <c r="I232" s="1701"/>
      <c r="J232" s="1701"/>
      <c r="K232" s="1701" t="str">
        <f>IF(rng01_City3="","",rng01_City3)</f>
        <v/>
      </c>
      <c r="L232" s="1731" t="str">
        <f>IF(rng01_Zip3="","",rng01_Zip3)</f>
        <v/>
      </c>
      <c r="M232" s="1701"/>
      <c r="N232" s="1701"/>
      <c r="O232" s="1701" t="e">
        <v>#N/A</v>
      </c>
      <c r="P232" s="1685"/>
      <c r="Q232" s="1685"/>
      <c r="R232" s="1685"/>
      <c r="S232" s="1685"/>
      <c r="T232" s="1685"/>
      <c r="U232" s="1685"/>
      <c r="V232" s="1685"/>
      <c r="W232" s="1685"/>
      <c r="X232" s="1685"/>
      <c r="Y232" s="1685"/>
      <c r="Z232" s="1685"/>
      <c r="AA232" s="1685"/>
      <c r="AB232" s="1685"/>
      <c r="AC232" s="1685"/>
      <c r="AD232" s="2069"/>
      <c r="AE232" s="2073"/>
      <c r="AF232" s="1685"/>
      <c r="AG232" s="1685"/>
      <c r="AI232" s="1677" t="s">
        <v>1029</v>
      </c>
      <c r="AM232" s="1703" t="str">
        <f t="shared" si="28"/>
        <v/>
      </c>
      <c r="AN232" s="1703"/>
      <c r="AO232" s="1703"/>
      <c r="AP232" s="1703" t="str">
        <f t="shared" si="26"/>
        <v/>
      </c>
      <c r="AQ232" s="1703" t="str">
        <f t="shared" si="27"/>
        <v/>
      </c>
      <c r="AR232" s="1703"/>
      <c r="AS232" s="1703"/>
      <c r="AT232" s="1703" t="e">
        <v>#N/A</v>
      </c>
      <c r="BQ232" s="1685"/>
      <c r="BS232" s="1677" t="s">
        <v>1029</v>
      </c>
      <c r="BW232" s="1703" t="str">
        <f t="shared" si="29"/>
        <v/>
      </c>
    </row>
    <row r="233" spans="1:75" ht="15">
      <c r="A233" s="1685"/>
      <c r="B233" s="1685"/>
      <c r="C233" s="1685"/>
      <c r="D233" s="1685"/>
      <c r="E233" s="1685"/>
      <c r="F233" s="1685">
        <v>4</v>
      </c>
      <c r="G233" s="1701" t="str">
        <f>IF(rng01_Address4="","",rng01_Address4)</f>
        <v/>
      </c>
      <c r="H233" s="1701"/>
      <c r="I233" s="1701"/>
      <c r="J233" s="1701"/>
      <c r="K233" s="1701" t="str">
        <f>IF(rng01_City4="","",rng01_City4)</f>
        <v/>
      </c>
      <c r="L233" s="1731" t="str">
        <f>IF(rng01_Zip4="","",rng01_Zip4)</f>
        <v/>
      </c>
      <c r="M233" s="1701"/>
      <c r="N233" s="1701"/>
      <c r="O233" s="1701" t="e">
        <v>#N/A</v>
      </c>
      <c r="P233" s="1685"/>
      <c r="Q233" s="1685"/>
      <c r="R233" s="1685"/>
      <c r="S233" s="1685"/>
      <c r="T233" s="1685"/>
      <c r="U233" s="1685"/>
      <c r="V233" s="1685"/>
      <c r="W233" s="1685"/>
      <c r="X233" s="1685"/>
      <c r="Y233" s="1685"/>
      <c r="Z233" s="1685"/>
      <c r="AA233" s="1685"/>
      <c r="AB233" s="1685"/>
      <c r="AC233" s="1685"/>
      <c r="AD233" s="2069"/>
      <c r="AE233" s="2073"/>
      <c r="AF233" s="1685"/>
      <c r="AG233" s="1685"/>
      <c r="AM233" s="1703" t="str">
        <f t="shared" si="28"/>
        <v/>
      </c>
      <c r="AN233" s="1703"/>
      <c r="AO233" s="1703"/>
      <c r="AP233" s="1703" t="str">
        <f t="shared" si="26"/>
        <v/>
      </c>
      <c r="AQ233" s="1703" t="str">
        <f t="shared" si="27"/>
        <v/>
      </c>
      <c r="AR233" s="1703"/>
      <c r="AS233" s="1703"/>
      <c r="AT233" s="1703" t="e">
        <v>#N/A</v>
      </c>
      <c r="BQ233" s="1685"/>
      <c r="BW233" s="1703" t="str">
        <f t="shared" si="29"/>
        <v/>
      </c>
    </row>
    <row r="234" spans="1:75" ht="15">
      <c r="A234" s="1685"/>
      <c r="B234" s="1685"/>
      <c r="C234" s="1685"/>
      <c r="D234" s="1685"/>
      <c r="E234" s="1685"/>
      <c r="F234" s="1685">
        <v>5</v>
      </c>
      <c r="G234" s="1701" t="str">
        <f>IF(rng01_Address5="","",rng01_Address5)</f>
        <v/>
      </c>
      <c r="H234" s="1701"/>
      <c r="I234" s="1701"/>
      <c r="J234" s="1701"/>
      <c r="K234" s="1701" t="str">
        <f>IF(rng01_City5="","",rng01_City5)</f>
        <v/>
      </c>
      <c r="L234" s="1731" t="str">
        <f>IF(rng01_Zip5="","",rng01_Zip5)</f>
        <v/>
      </c>
      <c r="M234" s="1701"/>
      <c r="N234" s="1701"/>
      <c r="O234" s="1701" t="e">
        <v>#N/A</v>
      </c>
      <c r="P234" s="1685"/>
      <c r="Q234" s="1685"/>
      <c r="R234" s="1685"/>
      <c r="S234" s="1685"/>
      <c r="T234" s="1685"/>
      <c r="U234" s="1685"/>
      <c r="V234" s="1685"/>
      <c r="W234" s="1685"/>
      <c r="X234" s="1685"/>
      <c r="Y234" s="1685"/>
      <c r="Z234" s="1685"/>
      <c r="AA234" s="1685"/>
      <c r="AB234" s="1685"/>
      <c r="AC234" s="1685"/>
      <c r="AD234" s="2069"/>
      <c r="AE234" s="2073"/>
      <c r="AF234" s="1685"/>
      <c r="AG234" s="1685"/>
      <c r="AM234" s="1703" t="str">
        <f t="shared" si="28"/>
        <v/>
      </c>
      <c r="AN234" s="1703"/>
      <c r="AO234" s="1703"/>
      <c r="AP234" s="1703" t="str">
        <f t="shared" si="26"/>
        <v/>
      </c>
      <c r="AQ234" s="1703" t="str">
        <f t="shared" si="27"/>
        <v/>
      </c>
      <c r="AR234" s="1703"/>
      <c r="AS234" s="1703"/>
      <c r="AT234" s="1703" t="e">
        <v>#N/A</v>
      </c>
      <c r="BQ234" s="1685"/>
      <c r="BW234" s="1703" t="str">
        <f t="shared" si="29"/>
        <v/>
      </c>
    </row>
    <row r="235" spans="1:75" ht="15">
      <c r="A235" s="1685"/>
      <c r="B235" s="1685"/>
      <c r="C235" s="1685"/>
      <c r="D235" s="1685"/>
      <c r="E235" s="1685"/>
      <c r="F235" s="1685">
        <v>6</v>
      </c>
      <c r="G235" s="1701" t="str">
        <f>IF(rng01_Address6="","",rng01_Address6)</f>
        <v/>
      </c>
      <c r="H235" s="1701"/>
      <c r="I235" s="1701"/>
      <c r="J235" s="1701"/>
      <c r="K235" s="1701" t="str">
        <f>IF(rng01_City6="","",rng01_City6)</f>
        <v/>
      </c>
      <c r="L235" s="1731" t="str">
        <f>IF(rng01_Zip6="","",rng01_Zip6)</f>
        <v/>
      </c>
      <c r="M235" s="1701"/>
      <c r="N235" s="1701"/>
      <c r="O235" s="1701" t="e">
        <v>#N/A</v>
      </c>
      <c r="P235" s="1685"/>
      <c r="Q235" s="1685"/>
      <c r="R235" s="1685"/>
      <c r="S235" s="1685"/>
      <c r="T235" s="1685"/>
      <c r="U235" s="1685"/>
      <c r="V235" s="1685"/>
      <c r="W235" s="1685"/>
      <c r="X235" s="1685"/>
      <c r="Y235" s="1685"/>
      <c r="Z235" s="1685"/>
      <c r="AA235" s="1685"/>
      <c r="AB235" s="1685"/>
      <c r="AC235" s="1685"/>
      <c r="AD235" s="2069"/>
      <c r="AE235" s="2073"/>
      <c r="AF235" s="1685"/>
      <c r="AG235" s="1685"/>
      <c r="AM235" s="1703" t="str">
        <f t="shared" si="28"/>
        <v/>
      </c>
      <c r="AN235" s="1703"/>
      <c r="AO235" s="1703"/>
      <c r="AP235" s="1703" t="str">
        <f t="shared" si="26"/>
        <v/>
      </c>
      <c r="AQ235" s="1703" t="str">
        <f t="shared" si="27"/>
        <v/>
      </c>
      <c r="AR235" s="1703"/>
      <c r="AS235" s="1703"/>
      <c r="AT235" s="1703" t="e">
        <v>#N/A</v>
      </c>
      <c r="BQ235" s="1685"/>
      <c r="BW235" s="1703" t="str">
        <f t="shared" si="29"/>
        <v/>
      </c>
    </row>
    <row r="236" spans="1:75" ht="15">
      <c r="A236" s="1685"/>
      <c r="B236" s="1685"/>
      <c r="C236" s="1685"/>
      <c r="D236" s="1685"/>
      <c r="E236" s="1685"/>
      <c r="F236" s="1685">
        <v>7</v>
      </c>
      <c r="G236" s="1701" t="str">
        <f>IF(rng01_Address7="","",rng01_Address7)</f>
        <v/>
      </c>
      <c r="H236" s="1701"/>
      <c r="I236" s="1701"/>
      <c r="J236" s="1701"/>
      <c r="K236" s="1701" t="str">
        <f>IF(rng01_City7="","",rng01_City7)</f>
        <v/>
      </c>
      <c r="L236" s="1731" t="str">
        <f>IF(rng01_Zip7="","",rng01_Zip7)</f>
        <v/>
      </c>
      <c r="M236" s="1701"/>
      <c r="N236" s="1701"/>
      <c r="O236" s="1701" t="e">
        <v>#N/A</v>
      </c>
      <c r="P236" s="1685"/>
      <c r="Q236" s="1685"/>
      <c r="R236" s="1685"/>
      <c r="S236" s="1685"/>
      <c r="T236" s="1685"/>
      <c r="U236" s="1685"/>
      <c r="V236" s="1685"/>
      <c r="W236" s="1685"/>
      <c r="X236" s="1685"/>
      <c r="Y236" s="1685"/>
      <c r="Z236" s="1685"/>
      <c r="AA236" s="1685"/>
      <c r="AB236" s="1685"/>
      <c r="AC236" s="1685"/>
      <c r="AD236" s="2069"/>
      <c r="AE236" s="2073"/>
      <c r="AF236" s="1685"/>
      <c r="AG236" s="1685"/>
      <c r="AM236" s="1703" t="str">
        <f t="shared" si="28"/>
        <v/>
      </c>
      <c r="AN236" s="1703"/>
      <c r="AO236" s="1703"/>
      <c r="AP236" s="1703" t="str">
        <f t="shared" si="26"/>
        <v/>
      </c>
      <c r="AQ236" s="1703" t="str">
        <f t="shared" si="27"/>
        <v/>
      </c>
      <c r="AR236" s="1703"/>
      <c r="AS236" s="1703"/>
      <c r="AT236" s="1703" t="e">
        <v>#N/A</v>
      </c>
      <c r="BQ236" s="1685"/>
      <c r="BW236" s="1703" t="str">
        <f t="shared" si="29"/>
        <v/>
      </c>
    </row>
    <row r="237" spans="1:75" ht="15">
      <c r="A237" s="1685"/>
      <c r="B237" s="1685"/>
      <c r="C237" s="1685"/>
      <c r="D237" s="1685"/>
      <c r="E237" s="1685"/>
      <c r="F237" s="1685">
        <v>8</v>
      </c>
      <c r="G237" s="1701" t="str">
        <f>IF(rng01_Address8="","",rng01_Address8)</f>
        <v/>
      </c>
      <c r="H237" s="1701"/>
      <c r="I237" s="1701"/>
      <c r="J237" s="1701"/>
      <c r="K237" s="1701" t="str">
        <f>IF(rng01_City8="","",rng01_City8)</f>
        <v/>
      </c>
      <c r="L237" s="1731" t="str">
        <f>IF(rng01_Zip8="","",rng01_Zip8)</f>
        <v/>
      </c>
      <c r="M237" s="1701"/>
      <c r="N237" s="1701"/>
      <c r="O237" s="1701" t="e">
        <v>#N/A</v>
      </c>
      <c r="P237" s="1685"/>
      <c r="Q237" s="1685"/>
      <c r="R237" s="1685"/>
      <c r="S237" s="1685"/>
      <c r="T237" s="1685"/>
      <c r="U237" s="1685"/>
      <c r="V237" s="1685"/>
      <c r="W237" s="1685"/>
      <c r="X237" s="1685"/>
      <c r="Y237" s="1685"/>
      <c r="Z237" s="1685"/>
      <c r="AA237" s="1685"/>
      <c r="AB237" s="1685"/>
      <c r="AC237" s="1685"/>
      <c r="AD237" s="2069"/>
      <c r="AE237" s="2073"/>
      <c r="AF237" s="1685"/>
      <c r="AG237" s="1685"/>
      <c r="AM237" s="1703" t="str">
        <f t="shared" si="28"/>
        <v/>
      </c>
      <c r="AN237" s="1703"/>
      <c r="AO237" s="1703"/>
      <c r="AP237" s="1703" t="str">
        <f t="shared" si="26"/>
        <v/>
      </c>
      <c r="AQ237" s="1703" t="str">
        <f t="shared" si="27"/>
        <v/>
      </c>
      <c r="AR237" s="1703"/>
      <c r="AS237" s="1703"/>
      <c r="AT237" s="1703" t="e">
        <v>#N/A</v>
      </c>
      <c r="BQ237" s="1685"/>
      <c r="BW237" s="1703" t="str">
        <f t="shared" si="29"/>
        <v/>
      </c>
    </row>
    <row r="238" spans="1:75" ht="15">
      <c r="A238" s="1685"/>
      <c r="B238" s="1685"/>
      <c r="C238" s="1685"/>
      <c r="D238" s="1685"/>
      <c r="E238" s="1685"/>
      <c r="F238" s="1685">
        <v>9</v>
      </c>
      <c r="G238" s="1701" t="str">
        <f>IF(rng01_Address9="","",rng01_Address9)</f>
        <v/>
      </c>
      <c r="H238" s="1701"/>
      <c r="I238" s="1701"/>
      <c r="J238" s="1701"/>
      <c r="K238" s="1701" t="str">
        <f>IF(rng01_City9="","",rng01_City9)</f>
        <v/>
      </c>
      <c r="L238" s="1731" t="str">
        <f>IF(rng01_Zip9="","",rng01_Zip9)</f>
        <v/>
      </c>
      <c r="M238" s="1701"/>
      <c r="N238" s="1701"/>
      <c r="O238" s="1701" t="e">
        <v>#N/A</v>
      </c>
      <c r="P238" s="1685"/>
      <c r="Q238" s="1685"/>
      <c r="R238" s="1685"/>
      <c r="S238" s="1685"/>
      <c r="T238" s="1685"/>
      <c r="U238" s="1685"/>
      <c r="V238" s="1685"/>
      <c r="W238" s="1685"/>
      <c r="X238" s="1685"/>
      <c r="Y238" s="1685"/>
      <c r="Z238" s="1685"/>
      <c r="AA238" s="1685"/>
      <c r="AB238" s="1685"/>
      <c r="AC238" s="1685"/>
      <c r="AD238" s="2069"/>
      <c r="AE238" s="2073"/>
      <c r="AF238" s="1685"/>
      <c r="AG238" s="1685"/>
      <c r="AM238" s="1703" t="str">
        <f t="shared" si="28"/>
        <v/>
      </c>
      <c r="AN238" s="1703"/>
      <c r="AO238" s="1703"/>
      <c r="AP238" s="1703" t="str">
        <f t="shared" si="26"/>
        <v/>
      </c>
      <c r="AQ238" s="1703" t="str">
        <f t="shared" si="27"/>
        <v/>
      </c>
      <c r="AR238" s="1703"/>
      <c r="AS238" s="1703"/>
      <c r="AT238" s="1703" t="e">
        <v>#N/A</v>
      </c>
      <c r="BQ238" s="1685"/>
      <c r="BW238" s="1703" t="str">
        <f t="shared" si="29"/>
        <v/>
      </c>
    </row>
    <row r="239" spans="1:75" ht="15">
      <c r="A239" s="1685"/>
      <c r="B239" s="1685"/>
      <c r="C239" s="1685"/>
      <c r="D239" s="1685"/>
      <c r="E239" s="1685"/>
      <c r="F239" s="1685">
        <v>10</v>
      </c>
      <c r="G239" s="1701" t="str">
        <f>IF(rng01_Address10="","",rng01_Address10)</f>
        <v/>
      </c>
      <c r="H239" s="1701"/>
      <c r="I239" s="1701"/>
      <c r="J239" s="1701"/>
      <c r="K239" s="1701" t="str">
        <f>IF(rng01_City10="","",rng01_City10)</f>
        <v/>
      </c>
      <c r="L239" s="1731" t="str">
        <f>IF(rng01_Zip10="","",rng01_Zip10)</f>
        <v/>
      </c>
      <c r="M239" s="1701"/>
      <c r="N239" s="1701"/>
      <c r="O239" s="1701" t="e">
        <v>#N/A</v>
      </c>
      <c r="P239" s="1685"/>
      <c r="Q239" s="1685"/>
      <c r="R239" s="1685"/>
      <c r="S239" s="1685"/>
      <c r="T239" s="1685"/>
      <c r="U239" s="1685"/>
      <c r="V239" s="1685"/>
      <c r="W239" s="1685"/>
      <c r="X239" s="1685"/>
      <c r="Y239" s="1685"/>
      <c r="Z239" s="1685"/>
      <c r="AA239" s="1685"/>
      <c r="AB239" s="1685"/>
      <c r="AC239" s="1685"/>
      <c r="AD239" s="2069"/>
      <c r="AE239" s="2073"/>
      <c r="AF239" s="1685"/>
      <c r="AG239" s="1685"/>
      <c r="AM239" s="1703" t="str">
        <f t="shared" si="28"/>
        <v/>
      </c>
      <c r="AN239" s="1703"/>
      <c r="AO239" s="1703"/>
      <c r="AP239" s="1703" t="str">
        <f t="shared" si="26"/>
        <v/>
      </c>
      <c r="AQ239" s="1703" t="str">
        <f t="shared" si="27"/>
        <v/>
      </c>
      <c r="AR239" s="1703"/>
      <c r="AS239" s="1703"/>
      <c r="AT239" s="1703" t="e">
        <v>#N/A</v>
      </c>
      <c r="BQ239" s="1685"/>
      <c r="BW239" s="1703" t="str">
        <f t="shared" si="29"/>
        <v/>
      </c>
    </row>
    <row r="240" spans="1:75" ht="15">
      <c r="A240" s="1685"/>
      <c r="B240" s="1685"/>
      <c r="C240" s="1685"/>
      <c r="D240" s="1685"/>
      <c r="E240" s="1685"/>
      <c r="F240" s="1685">
        <v>11</v>
      </c>
      <c r="G240" s="1701" t="str">
        <f>IF(rng01_Address11="","",rng01_Address11)</f>
        <v/>
      </c>
      <c r="H240" s="1701"/>
      <c r="I240" s="1701"/>
      <c r="J240" s="1701"/>
      <c r="K240" s="1701" t="str">
        <f>IF(rng01_City11="","",rng01_City11)</f>
        <v/>
      </c>
      <c r="L240" s="1731" t="str">
        <f>IF(rng01_Zip11="","",rng01_Zip11)</f>
        <v/>
      </c>
      <c r="M240" s="1701"/>
      <c r="N240" s="1701"/>
      <c r="O240" s="1701" t="e">
        <v>#N/A</v>
      </c>
      <c r="P240" s="1685"/>
      <c r="Q240" s="1685"/>
      <c r="R240" s="1685"/>
      <c r="S240" s="1685"/>
      <c r="T240" s="1685"/>
      <c r="U240" s="1685"/>
      <c r="V240" s="1685"/>
      <c r="W240" s="1685"/>
      <c r="X240" s="1685"/>
      <c r="Y240" s="1685"/>
      <c r="Z240" s="1685"/>
      <c r="AA240" s="1685"/>
      <c r="AB240" s="1685"/>
      <c r="AC240" s="1685"/>
      <c r="AD240" s="2069"/>
      <c r="AE240" s="2073"/>
      <c r="AF240" s="1685"/>
      <c r="AG240" s="1685"/>
      <c r="AM240" s="1703" t="str">
        <f t="shared" si="28"/>
        <v/>
      </c>
      <c r="AN240" s="1703"/>
      <c r="AO240" s="1703"/>
      <c r="AP240" s="1703" t="str">
        <f t="shared" si="26"/>
        <v/>
      </c>
      <c r="AQ240" s="1703" t="str">
        <f t="shared" si="27"/>
        <v/>
      </c>
      <c r="AR240" s="1703"/>
      <c r="AS240" s="1703"/>
      <c r="AT240" s="1703" t="e">
        <v>#N/A</v>
      </c>
      <c r="BQ240" s="1685"/>
      <c r="BW240" s="1703" t="str">
        <f t="shared" si="29"/>
        <v/>
      </c>
    </row>
    <row r="241" spans="1:75" ht="15">
      <c r="A241" s="1685"/>
      <c r="B241" s="1685"/>
      <c r="C241" s="1685"/>
      <c r="D241" s="1685"/>
      <c r="E241" s="1685"/>
      <c r="F241" s="1685">
        <v>12</v>
      </c>
      <c r="G241" s="1701" t="str">
        <f>IF(rng01_Address12="","",rng01_Address12)</f>
        <v/>
      </c>
      <c r="H241" s="1701"/>
      <c r="I241" s="1701"/>
      <c r="J241" s="1701"/>
      <c r="K241" s="1701" t="str">
        <f>IF(rng01_City12="","",rng01_City12)</f>
        <v/>
      </c>
      <c r="L241" s="1731" t="str">
        <f>IF(rng01_Zip12="","",rng01_Zip12)</f>
        <v/>
      </c>
      <c r="M241" s="1701"/>
      <c r="N241" s="1701"/>
      <c r="O241" s="1701" t="e">
        <v>#N/A</v>
      </c>
      <c r="P241" s="1685"/>
      <c r="Q241" s="1685"/>
      <c r="R241" s="1685"/>
      <c r="S241" s="1685"/>
      <c r="T241" s="1685"/>
      <c r="U241" s="1685"/>
      <c r="V241" s="1685"/>
      <c r="W241" s="1685"/>
      <c r="X241" s="1685"/>
      <c r="Y241" s="1685"/>
      <c r="Z241" s="1685"/>
      <c r="AA241" s="1685"/>
      <c r="AB241" s="1685"/>
      <c r="AC241" s="1685"/>
      <c r="AD241" s="2069"/>
      <c r="AE241" s="2073"/>
      <c r="AF241" s="1685"/>
      <c r="AG241" s="1685"/>
      <c r="AM241" s="1703" t="str">
        <f t="shared" si="28"/>
        <v/>
      </c>
      <c r="AN241" s="1703"/>
      <c r="AO241" s="1703"/>
      <c r="AP241" s="1703" t="str">
        <f t="shared" si="26"/>
        <v/>
      </c>
      <c r="AQ241" s="1703" t="str">
        <f t="shared" si="27"/>
        <v/>
      </c>
      <c r="AR241" s="1703"/>
      <c r="AS241" s="1703"/>
      <c r="AT241" s="1703" t="e">
        <v>#N/A</v>
      </c>
      <c r="BQ241" s="1685"/>
      <c r="BW241" s="1703" t="str">
        <f t="shared" si="29"/>
        <v/>
      </c>
    </row>
    <row r="242" spans="1:75" ht="15">
      <c r="A242" s="1685"/>
      <c r="B242" s="1685"/>
      <c r="C242" s="1685"/>
      <c r="D242" s="1685"/>
      <c r="E242" s="1685"/>
      <c r="F242" s="1685">
        <v>13</v>
      </c>
      <c r="G242" s="1701" t="str">
        <f>IF(rng01_Address13="","",rng01_Address13)</f>
        <v/>
      </c>
      <c r="H242" s="1701"/>
      <c r="I242" s="1701"/>
      <c r="J242" s="1701"/>
      <c r="K242" s="1701" t="str">
        <f>IF(rng01_City13="","",rng01_City13)</f>
        <v/>
      </c>
      <c r="L242" s="1731" t="str">
        <f>IF(rng01_Zip13="","",rng01_Zip13)</f>
        <v/>
      </c>
      <c r="M242" s="1701"/>
      <c r="N242" s="1701"/>
      <c r="O242" s="1701" t="e">
        <v>#N/A</v>
      </c>
      <c r="P242" s="1685"/>
      <c r="Q242" s="1685"/>
      <c r="R242" s="1685"/>
      <c r="S242" s="1685"/>
      <c r="T242" s="1685"/>
      <c r="U242" s="1685"/>
      <c r="V242" s="1685"/>
      <c r="W242" s="1685"/>
      <c r="X242" s="1685"/>
      <c r="Y242" s="1685"/>
      <c r="Z242" s="1685"/>
      <c r="AA242" s="1685"/>
      <c r="AB242" s="1685"/>
      <c r="AC242" s="1685"/>
      <c r="AD242" s="2069"/>
      <c r="AE242" s="2073"/>
      <c r="AF242" s="1685"/>
      <c r="AG242" s="1685"/>
      <c r="AM242" s="1703" t="str">
        <f t="shared" si="28"/>
        <v/>
      </c>
      <c r="AN242" s="1703"/>
      <c r="AO242" s="1703"/>
      <c r="AP242" s="1703" t="str">
        <f t="shared" si="26"/>
        <v/>
      </c>
      <c r="AQ242" s="1703" t="str">
        <f t="shared" si="27"/>
        <v/>
      </c>
      <c r="AR242" s="1703"/>
      <c r="AS242" s="1703"/>
      <c r="AT242" s="1703" t="e">
        <v>#N/A</v>
      </c>
      <c r="BQ242" s="1685"/>
      <c r="BW242" s="1703" t="str">
        <f t="shared" si="29"/>
        <v/>
      </c>
    </row>
    <row r="243" spans="1:75" ht="15">
      <c r="A243" s="1685"/>
      <c r="B243" s="1685"/>
      <c r="C243" s="1685"/>
      <c r="D243" s="1685"/>
      <c r="E243" s="1685"/>
      <c r="F243" s="1685">
        <v>14</v>
      </c>
      <c r="G243" s="1701" t="str">
        <f>IF(rng01_Address14="","",rng01_Address14)</f>
        <v/>
      </c>
      <c r="H243" s="1701"/>
      <c r="I243" s="1701"/>
      <c r="J243" s="1701"/>
      <c r="K243" s="1701" t="str">
        <f>IF(rng01_City14="","",rng01_City14)</f>
        <v/>
      </c>
      <c r="L243" s="1731" t="str">
        <f>IF(rng01_Zip14="","",rng01_Zip14)</f>
        <v/>
      </c>
      <c r="M243" s="1701"/>
      <c r="N243" s="1701"/>
      <c r="O243" s="1701" t="e">
        <v>#N/A</v>
      </c>
      <c r="P243" s="1685"/>
      <c r="Q243" s="1685"/>
      <c r="R243" s="1685"/>
      <c r="S243" s="1685"/>
      <c r="T243" s="1685"/>
      <c r="U243" s="1685"/>
      <c r="V243" s="1685"/>
      <c r="W243" s="1685"/>
      <c r="X243" s="1685"/>
      <c r="Y243" s="1685"/>
      <c r="Z243" s="1685"/>
      <c r="AA243" s="1685"/>
      <c r="AB243" s="1685"/>
      <c r="AC243" s="1685"/>
      <c r="AD243" s="2069"/>
      <c r="AE243" s="2073"/>
      <c r="AF243" s="1685"/>
      <c r="AG243" s="1685"/>
      <c r="AM243" s="1703" t="str">
        <f t="shared" si="28"/>
        <v/>
      </c>
      <c r="AN243" s="1703"/>
      <c r="AO243" s="1703"/>
      <c r="AP243" s="1703" t="str">
        <f t="shared" si="26"/>
        <v/>
      </c>
      <c r="AQ243" s="1703" t="str">
        <f t="shared" si="27"/>
        <v/>
      </c>
      <c r="AR243" s="1703"/>
      <c r="AS243" s="1703"/>
      <c r="AT243" s="1703" t="e">
        <v>#N/A</v>
      </c>
      <c r="BQ243" s="1685"/>
      <c r="BW243" s="1703" t="str">
        <f t="shared" si="29"/>
        <v/>
      </c>
    </row>
    <row r="244" spans="1:75" ht="15">
      <c r="A244" s="1685"/>
      <c r="B244" s="1685"/>
      <c r="C244" s="1685"/>
      <c r="D244" s="1685"/>
      <c r="E244" s="1685"/>
      <c r="F244" s="1685">
        <v>15</v>
      </c>
      <c r="G244" s="1701" t="str">
        <f>IF(rng01_Address15="","",rng01_Address15)</f>
        <v/>
      </c>
      <c r="H244" s="1701"/>
      <c r="I244" s="1701"/>
      <c r="J244" s="1701"/>
      <c r="K244" s="1701" t="str">
        <f>IF(rng01_City15="","",rng01_City15)</f>
        <v/>
      </c>
      <c r="L244" s="1731" t="str">
        <f>IF(rng01_Zip15="","",rng01_Zip15)</f>
        <v/>
      </c>
      <c r="M244" s="1701"/>
      <c r="N244" s="1701"/>
      <c r="O244" s="1701" t="e">
        <v>#N/A</v>
      </c>
      <c r="P244" s="1685"/>
      <c r="Q244" s="1685"/>
      <c r="R244" s="1685"/>
      <c r="S244" s="1685"/>
      <c r="T244" s="1685"/>
      <c r="U244" s="1685"/>
      <c r="V244" s="1685"/>
      <c r="W244" s="1685"/>
      <c r="X244" s="1685"/>
      <c r="Y244" s="1685"/>
      <c r="Z244" s="1685"/>
      <c r="AA244" s="1685"/>
      <c r="AB244" s="1685"/>
      <c r="AC244" s="1685"/>
      <c r="AD244" s="2069"/>
      <c r="AE244" s="2073"/>
      <c r="AF244" s="1685"/>
      <c r="AG244" s="1685"/>
      <c r="AM244" s="1703" t="str">
        <f t="shared" si="28"/>
        <v/>
      </c>
      <c r="AN244" s="1703"/>
      <c r="AO244" s="1703"/>
      <c r="AP244" s="1703" t="str">
        <f t="shared" si="26"/>
        <v/>
      </c>
      <c r="AQ244" s="1703" t="str">
        <f t="shared" si="27"/>
        <v/>
      </c>
      <c r="AR244" s="1703"/>
      <c r="AS244" s="1703"/>
      <c r="AT244" s="1703" t="e">
        <v>#N/A</v>
      </c>
      <c r="BQ244" s="1685"/>
      <c r="BW244" s="1703" t="str">
        <f t="shared" si="29"/>
        <v/>
      </c>
    </row>
    <row r="245" spans="1:75" ht="15">
      <c r="A245" s="1685"/>
      <c r="B245" s="1685"/>
      <c r="C245" s="1685"/>
      <c r="D245" s="1685"/>
      <c r="E245" s="1685"/>
      <c r="F245" s="1685">
        <v>16</v>
      </c>
      <c r="G245" s="1701" t="str">
        <f>IF(rng01_Address16="","",rng01_Address16)</f>
        <v/>
      </c>
      <c r="H245" s="1701"/>
      <c r="I245" s="1701"/>
      <c r="J245" s="1701"/>
      <c r="K245" s="1701" t="str">
        <f>IF(rng01_City16="","",rng01_City16)</f>
        <v/>
      </c>
      <c r="L245" s="1731" t="str">
        <f>IF(rng01_Zip16="","",rng01_Zip16)</f>
        <v/>
      </c>
      <c r="M245" s="1701"/>
      <c r="N245" s="1701"/>
      <c r="O245" s="1701" t="e">
        <v>#N/A</v>
      </c>
      <c r="P245" s="1685"/>
      <c r="Q245" s="1685"/>
      <c r="R245" s="1685"/>
      <c r="S245" s="1685"/>
      <c r="T245" s="1685"/>
      <c r="U245" s="1685"/>
      <c r="V245" s="1685"/>
      <c r="W245" s="1685"/>
      <c r="X245" s="1685"/>
      <c r="Y245" s="1685"/>
      <c r="Z245" s="1685"/>
      <c r="AA245" s="1685"/>
      <c r="AB245" s="1685"/>
      <c r="AC245" s="1685"/>
      <c r="AD245" s="2069"/>
      <c r="AE245" s="2073"/>
      <c r="AF245" s="1685"/>
      <c r="AG245" s="1685"/>
      <c r="AM245" s="1703" t="str">
        <f t="shared" si="28"/>
        <v/>
      </c>
      <c r="AN245" s="1703"/>
      <c r="AO245" s="1703"/>
      <c r="AP245" s="1703" t="str">
        <f t="shared" si="26"/>
        <v/>
      </c>
      <c r="AQ245" s="1703" t="str">
        <f t="shared" si="27"/>
        <v/>
      </c>
      <c r="AR245" s="1703"/>
      <c r="AS245" s="1703"/>
      <c r="AT245" s="1703" t="e">
        <v>#N/A</v>
      </c>
      <c r="BQ245" s="1685"/>
      <c r="BW245" s="1703" t="str">
        <f t="shared" si="29"/>
        <v/>
      </c>
    </row>
    <row r="246" spans="1:75" ht="15">
      <c r="A246" s="1685"/>
      <c r="B246" s="1685"/>
      <c r="C246" s="1685"/>
      <c r="D246" s="1685"/>
      <c r="E246" s="1685"/>
      <c r="F246" s="1685">
        <v>17</v>
      </c>
      <c r="G246" s="1701" t="str">
        <f>IF(rng01_Address17="","",rng01_Address17)</f>
        <v/>
      </c>
      <c r="H246" s="1701"/>
      <c r="I246" s="1701"/>
      <c r="J246" s="1701"/>
      <c r="K246" s="1701" t="str">
        <f>IF(rng01_City17="","",rng01_City17)</f>
        <v/>
      </c>
      <c r="L246" s="1731" t="str">
        <f>IF(rng01_Zip17="","",rng01_Zip17)</f>
        <v/>
      </c>
      <c r="M246" s="1701"/>
      <c r="N246" s="1701"/>
      <c r="O246" s="1701" t="e">
        <v>#N/A</v>
      </c>
      <c r="P246" s="1685"/>
      <c r="Q246" s="1685"/>
      <c r="R246" s="1685"/>
      <c r="S246" s="1685"/>
      <c r="T246" s="1685"/>
      <c r="U246" s="1685"/>
      <c r="V246" s="1685"/>
      <c r="W246" s="1685"/>
      <c r="X246" s="1685"/>
      <c r="Y246" s="1685"/>
      <c r="Z246" s="1685"/>
      <c r="AA246" s="1685"/>
      <c r="AB246" s="1685"/>
      <c r="AC246" s="1685"/>
      <c r="AD246" s="2069"/>
      <c r="AE246" s="2073"/>
      <c r="AF246" s="1685"/>
      <c r="AG246" s="1685"/>
      <c r="AM246" s="1703" t="str">
        <f t="shared" si="28"/>
        <v/>
      </c>
      <c r="AN246" s="1703"/>
      <c r="AO246" s="1703"/>
      <c r="AP246" s="1703" t="str">
        <f t="shared" si="26"/>
        <v/>
      </c>
      <c r="AQ246" s="1703" t="str">
        <f t="shared" si="27"/>
        <v/>
      </c>
      <c r="AR246" s="1703"/>
      <c r="AS246" s="1703"/>
      <c r="AT246" s="1703" t="e">
        <v>#N/A</v>
      </c>
      <c r="BQ246" s="1685"/>
      <c r="BW246" s="1703" t="str">
        <f t="shared" si="29"/>
        <v/>
      </c>
    </row>
    <row r="247" spans="1:75" ht="15">
      <c r="A247" s="1685"/>
      <c r="B247" s="1685"/>
      <c r="C247" s="1685"/>
      <c r="D247" s="1685"/>
      <c r="E247" s="1685"/>
      <c r="F247" s="1685">
        <v>18</v>
      </c>
      <c r="G247" s="1701" t="str">
        <f>IF(rng01_Address18="","",rng01_Address18)</f>
        <v/>
      </c>
      <c r="H247" s="1701"/>
      <c r="I247" s="1701"/>
      <c r="J247" s="1701"/>
      <c r="K247" s="1701" t="str">
        <f>IF(rng01_City18="","",rng01_City18)</f>
        <v/>
      </c>
      <c r="L247" s="1731" t="str">
        <f>IF(rng01_Zip18="","",rng01_Zip18)</f>
        <v/>
      </c>
      <c r="M247" s="1701"/>
      <c r="N247" s="1701"/>
      <c r="O247" s="1701" t="e">
        <v>#N/A</v>
      </c>
      <c r="P247" s="1685"/>
      <c r="Q247" s="1685"/>
      <c r="R247" s="1685"/>
      <c r="S247" s="1685"/>
      <c r="T247" s="1685"/>
      <c r="U247" s="1685"/>
      <c r="V247" s="1685"/>
      <c r="W247" s="1685"/>
      <c r="X247" s="1685"/>
      <c r="Y247" s="1685"/>
      <c r="Z247" s="1685"/>
      <c r="AA247" s="1685"/>
      <c r="AB247" s="1685"/>
      <c r="AC247" s="1685"/>
      <c r="AD247" s="2069"/>
      <c r="AE247" s="2073"/>
      <c r="AF247" s="1685"/>
      <c r="AG247" s="1685"/>
      <c r="AM247" s="1703" t="str">
        <f t="shared" si="28"/>
        <v/>
      </c>
      <c r="AN247" s="1703"/>
      <c r="AO247" s="1703"/>
      <c r="AP247" s="1703" t="str">
        <f t="shared" si="26"/>
        <v/>
      </c>
      <c r="AQ247" s="1703" t="str">
        <f t="shared" si="27"/>
        <v/>
      </c>
      <c r="AR247" s="1703"/>
      <c r="AS247" s="1703"/>
      <c r="AT247" s="1703" t="e">
        <v>#N/A</v>
      </c>
      <c r="BQ247" s="1685"/>
      <c r="BW247" s="1703" t="str">
        <f t="shared" si="29"/>
        <v/>
      </c>
    </row>
    <row r="248" spans="1:75" ht="15">
      <c r="A248" s="1685"/>
      <c r="B248" s="1685"/>
      <c r="C248" s="1685"/>
      <c r="D248" s="1685"/>
      <c r="E248" s="1685"/>
      <c r="F248" s="1685">
        <v>19</v>
      </c>
      <c r="G248" s="1701" t="str">
        <f>IF(rng01_Address19="","",rng01_Address19)</f>
        <v/>
      </c>
      <c r="H248" s="1701"/>
      <c r="I248" s="1701"/>
      <c r="J248" s="1701"/>
      <c r="K248" s="1701" t="str">
        <f>IF(rng01_City19="","",rng01_City19)</f>
        <v/>
      </c>
      <c r="L248" s="1731" t="str">
        <f>IF(rng01_Zip19="","",rng01_Zip19)</f>
        <v/>
      </c>
      <c r="M248" s="1701"/>
      <c r="N248" s="1701"/>
      <c r="O248" s="1701" t="e">
        <v>#N/A</v>
      </c>
      <c r="P248" s="1685"/>
      <c r="Q248" s="1685"/>
      <c r="R248" s="1685"/>
      <c r="S248" s="1685"/>
      <c r="T248" s="1685"/>
      <c r="U248" s="1685"/>
      <c r="V248" s="1685"/>
      <c r="W248" s="1685"/>
      <c r="X248" s="1685"/>
      <c r="Y248" s="1685"/>
      <c r="Z248" s="1685"/>
      <c r="AA248" s="1685"/>
      <c r="AB248" s="1685"/>
      <c r="AC248" s="1685"/>
      <c r="AD248" s="2069"/>
      <c r="AE248" s="2073"/>
      <c r="AF248" s="1685"/>
      <c r="AG248" s="1685"/>
      <c r="AM248" s="1703" t="str">
        <f t="shared" si="28"/>
        <v/>
      </c>
      <c r="AN248" s="1703"/>
      <c r="AO248" s="1703"/>
      <c r="AP248" s="1703" t="str">
        <f t="shared" si="26"/>
        <v/>
      </c>
      <c r="AQ248" s="1703" t="str">
        <f t="shared" si="27"/>
        <v/>
      </c>
      <c r="AR248" s="1703"/>
      <c r="AS248" s="1703"/>
      <c r="AT248" s="1703" t="e">
        <v>#N/A</v>
      </c>
      <c r="BQ248" s="1685"/>
      <c r="BW248" s="1703" t="str">
        <f t="shared" si="29"/>
        <v/>
      </c>
    </row>
    <row r="249" spans="1:75" ht="15">
      <c r="A249" s="1685"/>
      <c r="B249" s="1685"/>
      <c r="C249" s="1685"/>
      <c r="D249" s="1685"/>
      <c r="E249" s="1685"/>
      <c r="F249" s="1685">
        <v>20</v>
      </c>
      <c r="G249" s="1701" t="str">
        <f>IF(rng01_Address20="","",rng01_Address20)</f>
        <v/>
      </c>
      <c r="H249" s="1701"/>
      <c r="I249" s="1701"/>
      <c r="J249" s="1701"/>
      <c r="K249" s="1701" t="str">
        <f>IF(rng01_City20="","",rng01_City20)</f>
        <v/>
      </c>
      <c r="L249" s="1731" t="str">
        <f>IF(rng01_Zip20="","",rng01_Zip20)</f>
        <v/>
      </c>
      <c r="M249" s="1701"/>
      <c r="N249" s="1701"/>
      <c r="O249" s="1701" t="e">
        <v>#N/A</v>
      </c>
      <c r="P249" s="1685"/>
      <c r="Q249" s="1685"/>
      <c r="R249" s="1685"/>
      <c r="S249" s="1685"/>
      <c r="T249" s="1685"/>
      <c r="U249" s="1685"/>
      <c r="V249" s="1685"/>
      <c r="W249" s="1685"/>
      <c r="X249" s="1685"/>
      <c r="Y249" s="1685"/>
      <c r="Z249" s="1685"/>
      <c r="AA249" s="1685"/>
      <c r="AB249" s="1685"/>
      <c r="AC249" s="1685"/>
      <c r="AD249" s="2069"/>
      <c r="AE249" s="2073"/>
      <c r="AF249" s="1685"/>
      <c r="AG249" s="1685"/>
      <c r="AM249" s="1703" t="str">
        <f t="shared" si="28"/>
        <v/>
      </c>
      <c r="AN249" s="1703"/>
      <c r="AO249" s="1703"/>
      <c r="AP249" s="1703" t="str">
        <f t="shared" si="26"/>
        <v/>
      </c>
      <c r="AQ249" s="1703" t="str">
        <f t="shared" si="27"/>
        <v/>
      </c>
      <c r="AR249" s="1703"/>
      <c r="AS249" s="1703"/>
      <c r="AT249" s="1703" t="e">
        <v>#N/A</v>
      </c>
      <c r="BQ249" s="1685"/>
      <c r="BW249" s="1703" t="str">
        <f t="shared" si="29"/>
        <v/>
      </c>
    </row>
    <row r="250" spans="1:75" ht="15">
      <c r="A250" s="1685"/>
      <c r="B250" s="1685"/>
      <c r="C250" s="1685"/>
      <c r="D250" s="1685"/>
      <c r="E250" s="1685"/>
      <c r="F250" s="1685">
        <v>21</v>
      </c>
      <c r="G250" s="1701" t="str">
        <f>IF(rng01_Address21="","",rng01_Address21)</f>
        <v/>
      </c>
      <c r="H250" s="1701"/>
      <c r="I250" s="1701"/>
      <c r="J250" s="1701"/>
      <c r="K250" s="1701" t="str">
        <f>IF(rng01_City21="","",rng01_City21)</f>
        <v/>
      </c>
      <c r="L250" s="1731" t="str">
        <f>IF(rng01_Zip21="","",rng01_Zip21)</f>
        <v/>
      </c>
      <c r="M250" s="1701"/>
      <c r="N250" s="1701"/>
      <c r="O250" s="1701" t="e">
        <v>#N/A</v>
      </c>
      <c r="P250" s="1685"/>
      <c r="Q250" s="1685"/>
      <c r="R250" s="1685"/>
      <c r="S250" s="1685"/>
      <c r="T250" s="1685"/>
      <c r="U250" s="1685"/>
      <c r="V250" s="1685"/>
      <c r="W250" s="1685"/>
      <c r="X250" s="1685"/>
      <c r="Y250" s="1685"/>
      <c r="Z250" s="1685"/>
      <c r="AA250" s="1685"/>
      <c r="AB250" s="1685"/>
      <c r="AC250" s="1685"/>
      <c r="AD250" s="2069"/>
      <c r="AE250" s="2073"/>
      <c r="AF250" s="1685"/>
      <c r="AG250" s="1685"/>
      <c r="AM250" s="1703" t="str">
        <f t="shared" si="28"/>
        <v/>
      </c>
      <c r="AN250" s="1703"/>
      <c r="AO250" s="1703"/>
      <c r="AP250" s="1703" t="str">
        <f t="shared" si="26"/>
        <v/>
      </c>
      <c r="AQ250" s="1703" t="str">
        <f t="shared" si="27"/>
        <v/>
      </c>
      <c r="AR250" s="1703"/>
      <c r="AS250" s="1703"/>
      <c r="AT250" s="1703" t="e">
        <v>#N/A</v>
      </c>
      <c r="BQ250" s="1685"/>
      <c r="BW250" s="1703" t="str">
        <f t="shared" si="29"/>
        <v/>
      </c>
    </row>
    <row r="251" spans="1:75" ht="15">
      <c r="A251" s="1685"/>
      <c r="B251" s="1685"/>
      <c r="C251" s="1685"/>
      <c r="D251" s="1685"/>
      <c r="E251" s="1685"/>
      <c r="F251" s="1685">
        <v>22</v>
      </c>
      <c r="G251" s="1701" t="str">
        <f>IF(rng01_Address22="","",rng01_Address22)</f>
        <v/>
      </c>
      <c r="H251" s="1701"/>
      <c r="I251" s="1701"/>
      <c r="J251" s="1701"/>
      <c r="K251" s="1701" t="str">
        <f>IF(rng01_City22="","",rng01_City22)</f>
        <v/>
      </c>
      <c r="L251" s="1731" t="str">
        <f>IF(rng01_Zip22="","",rng01_Zip22)</f>
        <v/>
      </c>
      <c r="M251" s="1701"/>
      <c r="N251" s="1701"/>
      <c r="O251" s="1701" t="e">
        <v>#N/A</v>
      </c>
      <c r="P251" s="1685"/>
      <c r="Q251" s="1685"/>
      <c r="R251" s="1685"/>
      <c r="S251" s="1685"/>
      <c r="T251" s="1685"/>
      <c r="U251" s="1685"/>
      <c r="V251" s="1685"/>
      <c r="W251" s="1685"/>
      <c r="X251" s="1685"/>
      <c r="Y251" s="1685"/>
      <c r="Z251" s="1685"/>
      <c r="AA251" s="1685"/>
      <c r="AB251" s="1685"/>
      <c r="AC251" s="1685"/>
      <c r="AD251" s="2069"/>
      <c r="AE251" s="2073"/>
      <c r="AF251" s="1685"/>
      <c r="AG251" s="1685"/>
      <c r="AM251" s="1703" t="str">
        <f t="shared" si="28"/>
        <v/>
      </c>
      <c r="AN251" s="1703"/>
      <c r="AO251" s="1703"/>
      <c r="AP251" s="1703" t="str">
        <f t="shared" si="26"/>
        <v/>
      </c>
      <c r="AQ251" s="1703" t="str">
        <f t="shared" si="27"/>
        <v/>
      </c>
      <c r="AR251" s="1703"/>
      <c r="AS251" s="1703"/>
      <c r="AT251" s="1703" t="e">
        <v>#N/A</v>
      </c>
      <c r="BQ251" s="1685"/>
      <c r="BW251" s="1703" t="str">
        <f t="shared" si="29"/>
        <v/>
      </c>
    </row>
    <row r="252" spans="1:75" ht="15">
      <c r="A252" s="1685"/>
      <c r="B252" s="1685"/>
      <c r="C252" s="1685"/>
      <c r="D252" s="1685"/>
      <c r="E252" s="1685"/>
      <c r="F252" s="1685">
        <v>23</v>
      </c>
      <c r="G252" s="1701" t="str">
        <f>IF(rng01_Address23="","",rng01_Address23)</f>
        <v/>
      </c>
      <c r="H252" s="1701"/>
      <c r="I252" s="1701"/>
      <c r="J252" s="1701"/>
      <c r="K252" s="1701" t="str">
        <f>IF(rng01_City23="","",rng01_City23)</f>
        <v/>
      </c>
      <c r="L252" s="1731" t="str">
        <f>IF(rng01_Zip23="","",rng01_Zip23)</f>
        <v/>
      </c>
      <c r="M252" s="1701"/>
      <c r="N252" s="1701"/>
      <c r="O252" s="1701" t="e">
        <v>#N/A</v>
      </c>
      <c r="P252" s="1685"/>
      <c r="Q252" s="1685"/>
      <c r="R252" s="1685"/>
      <c r="S252" s="1685"/>
      <c r="T252" s="1685"/>
      <c r="U252" s="1685"/>
      <c r="V252" s="1685"/>
      <c r="W252" s="1685"/>
      <c r="X252" s="1685"/>
      <c r="Y252" s="1685"/>
      <c r="Z252" s="1685"/>
      <c r="AA252" s="1685"/>
      <c r="AB252" s="1685"/>
      <c r="AC252" s="1685"/>
      <c r="AD252" s="2069"/>
      <c r="AE252" s="2073"/>
      <c r="AF252" s="1685"/>
      <c r="AG252" s="1685"/>
      <c r="AM252" s="1703" t="str">
        <f t="shared" si="28"/>
        <v/>
      </c>
      <c r="AN252" s="1703"/>
      <c r="AO252" s="1703"/>
      <c r="AP252" s="1703" t="str">
        <f t="shared" si="26"/>
        <v/>
      </c>
      <c r="AQ252" s="1703" t="str">
        <f t="shared" si="27"/>
        <v/>
      </c>
      <c r="AR252" s="1703"/>
      <c r="AS252" s="1703"/>
      <c r="AT252" s="1703" t="e">
        <v>#N/A</v>
      </c>
      <c r="BQ252" s="1685"/>
      <c r="BW252" s="1703" t="str">
        <f t="shared" si="29"/>
        <v/>
      </c>
    </row>
    <row r="253" spans="1:75" ht="15">
      <c r="A253" s="1685"/>
      <c r="B253" s="1685"/>
      <c r="C253" s="1685"/>
      <c r="D253" s="1685"/>
      <c r="E253" s="1685"/>
      <c r="F253" s="1685">
        <v>24</v>
      </c>
      <c r="G253" s="1701" t="str">
        <f>IF(rng01_Address24="","",rng01_Address24)</f>
        <v/>
      </c>
      <c r="H253" s="1701"/>
      <c r="I253" s="1701"/>
      <c r="J253" s="1701"/>
      <c r="K253" s="1701" t="str">
        <f>IF(rng01_City24="","",rng01_City24)</f>
        <v/>
      </c>
      <c r="L253" s="1731" t="str">
        <f>IF(rng01_Zip24="","",rng01_Zip24)</f>
        <v/>
      </c>
      <c r="M253" s="1701"/>
      <c r="N253" s="1701"/>
      <c r="O253" s="1701" t="e">
        <v>#N/A</v>
      </c>
      <c r="P253" s="1685"/>
      <c r="Q253" s="1685"/>
      <c r="R253" s="1685"/>
      <c r="S253" s="1685"/>
      <c r="T253" s="1685"/>
      <c r="U253" s="1685"/>
      <c r="V253" s="1685"/>
      <c r="W253" s="1685"/>
      <c r="X253" s="1685"/>
      <c r="Y253" s="1685"/>
      <c r="Z253" s="1685"/>
      <c r="AA253" s="1685"/>
      <c r="AB253" s="1685"/>
      <c r="AC253" s="1685"/>
      <c r="AD253" s="2069"/>
      <c r="AE253" s="2073"/>
      <c r="AF253" s="1685"/>
      <c r="AG253" s="1685"/>
      <c r="AM253" s="1703" t="str">
        <f t="shared" si="28"/>
        <v/>
      </c>
      <c r="AN253" s="1703"/>
      <c r="AO253" s="1703"/>
      <c r="AP253" s="1703" t="str">
        <f t="shared" si="26"/>
        <v/>
      </c>
      <c r="AQ253" s="1703" t="str">
        <f t="shared" si="27"/>
        <v/>
      </c>
      <c r="AR253" s="1703"/>
      <c r="AS253" s="1703"/>
      <c r="AT253" s="1703" t="e">
        <v>#N/A</v>
      </c>
      <c r="BQ253" s="1685"/>
      <c r="BW253" s="1703" t="str">
        <f t="shared" si="29"/>
        <v/>
      </c>
    </row>
    <row r="254" spans="1:75" ht="15">
      <c r="A254" s="1685"/>
      <c r="B254" s="1685"/>
      <c r="C254" s="1685"/>
      <c r="D254" s="1685"/>
      <c r="E254" s="1685"/>
      <c r="F254" s="1685">
        <v>25</v>
      </c>
      <c r="G254" s="1701" t="str">
        <f>IF(rng01_Address25="","",rng01_Address25)</f>
        <v/>
      </c>
      <c r="H254" s="1701"/>
      <c r="I254" s="1701"/>
      <c r="J254" s="1701"/>
      <c r="K254" s="1701" t="str">
        <f>IF(rng01_City25="","",rng01_City25)</f>
        <v/>
      </c>
      <c r="L254" s="1731" t="str">
        <f>IF(rng01_Zip25="","",rng01_Zip25)</f>
        <v/>
      </c>
      <c r="M254" s="1701"/>
      <c r="N254" s="1701"/>
      <c r="O254" s="1701" t="e">
        <v>#N/A</v>
      </c>
      <c r="P254" s="1685"/>
      <c r="Q254" s="1685"/>
      <c r="R254" s="1685"/>
      <c r="S254" s="1685"/>
      <c r="T254" s="1685"/>
      <c r="U254" s="1685"/>
      <c r="V254" s="1685"/>
      <c r="W254" s="1685"/>
      <c r="X254" s="1685"/>
      <c r="Y254" s="1685"/>
      <c r="Z254" s="1685"/>
      <c r="AA254" s="1685"/>
      <c r="AB254" s="1685"/>
      <c r="AC254" s="1685"/>
      <c r="AD254" s="2069"/>
      <c r="AE254" s="2073"/>
      <c r="AF254" s="1685"/>
      <c r="AG254" s="1685"/>
      <c r="AM254" s="1703" t="str">
        <f t="shared" si="28"/>
        <v/>
      </c>
      <c r="AN254" s="1703"/>
      <c r="AO254" s="1703"/>
      <c r="AP254" s="1703" t="str">
        <f t="shared" si="26"/>
        <v/>
      </c>
      <c r="AQ254" s="1703" t="str">
        <f t="shared" si="27"/>
        <v/>
      </c>
      <c r="AR254" s="1703"/>
      <c r="AS254" s="1703"/>
      <c r="AT254" s="1703" t="e">
        <v>#N/A</v>
      </c>
      <c r="BQ254" s="1685"/>
      <c r="BW254" s="1703" t="str">
        <f t="shared" si="29"/>
        <v/>
      </c>
    </row>
    <row r="255" spans="1:75" ht="15">
      <c r="A255" s="1685"/>
      <c r="B255" s="1685"/>
      <c r="C255" s="1685"/>
      <c r="D255" s="1685"/>
      <c r="E255" s="1685"/>
      <c r="F255" s="1685">
        <v>26</v>
      </c>
      <c r="G255" s="1701" t="str">
        <f>IF(rng01_Address26="","",rng01_Address26)</f>
        <v/>
      </c>
      <c r="H255" s="1701"/>
      <c r="I255" s="1701"/>
      <c r="J255" s="1701"/>
      <c r="K255" s="1701" t="str">
        <f>IF(rng01_City26="","",rng01_City26)</f>
        <v/>
      </c>
      <c r="L255" s="1731" t="str">
        <f>IF(rng01_Zip26="","",rng01_Zip26)</f>
        <v/>
      </c>
      <c r="M255" s="1701"/>
      <c r="N255" s="1701"/>
      <c r="O255" s="1701" t="e">
        <v>#N/A</v>
      </c>
      <c r="P255" s="1685"/>
      <c r="Q255" s="1685"/>
      <c r="R255" s="1685"/>
      <c r="S255" s="1685"/>
      <c r="T255" s="1685"/>
      <c r="U255" s="1685"/>
      <c r="V255" s="1685"/>
      <c r="W255" s="1685"/>
      <c r="X255" s="1685"/>
      <c r="Y255" s="1685"/>
      <c r="Z255" s="1685"/>
      <c r="AA255" s="1685"/>
      <c r="AB255" s="1685"/>
      <c r="AC255" s="1685"/>
      <c r="AD255" s="2069"/>
      <c r="AE255" s="2073"/>
      <c r="AF255" s="1685"/>
      <c r="AG255" s="1685"/>
      <c r="AM255" s="1703" t="str">
        <f t="shared" si="28"/>
        <v/>
      </c>
      <c r="AN255" s="1703"/>
      <c r="AO255" s="1703"/>
      <c r="AP255" s="1703" t="str">
        <f t="shared" si="26"/>
        <v/>
      </c>
      <c r="AQ255" s="1703" t="str">
        <f t="shared" si="27"/>
        <v/>
      </c>
      <c r="AR255" s="1703"/>
      <c r="AS255" s="1703"/>
      <c r="AT255" s="1703" t="e">
        <v>#N/A</v>
      </c>
      <c r="BQ255" s="1685"/>
      <c r="BW255" s="1703" t="str">
        <f t="shared" si="29"/>
        <v/>
      </c>
    </row>
    <row r="256" spans="1:75" ht="15">
      <c r="A256" s="1685"/>
      <c r="B256" s="1685"/>
      <c r="C256" s="1685"/>
      <c r="D256" s="1685"/>
      <c r="E256" s="1685"/>
      <c r="F256" s="1685">
        <v>27</v>
      </c>
      <c r="G256" s="1701" t="str">
        <f>IF(rng01_Address27="","",rng01_Address27)</f>
        <v/>
      </c>
      <c r="H256" s="1701"/>
      <c r="I256" s="1701"/>
      <c r="J256" s="1701"/>
      <c r="K256" s="1701" t="str">
        <f>IF(rng01_City27="","",rng01_City27)</f>
        <v/>
      </c>
      <c r="L256" s="1731" t="str">
        <f>IF(rng01_Zip27="","",rng01_Zip27)</f>
        <v/>
      </c>
      <c r="M256" s="1701"/>
      <c r="N256" s="1701"/>
      <c r="O256" s="1701" t="e">
        <v>#N/A</v>
      </c>
      <c r="P256" s="1685"/>
      <c r="Q256" s="1685"/>
      <c r="R256" s="1685"/>
      <c r="S256" s="1685"/>
      <c r="T256" s="1685"/>
      <c r="U256" s="1685"/>
      <c r="V256" s="1685"/>
      <c r="W256" s="1685"/>
      <c r="X256" s="1685"/>
      <c r="Y256" s="1685"/>
      <c r="Z256" s="1685"/>
      <c r="AA256" s="1685"/>
      <c r="AB256" s="1685"/>
      <c r="AC256" s="1685"/>
      <c r="AD256" s="2069"/>
      <c r="AE256" s="2073"/>
      <c r="AF256" s="1685"/>
      <c r="AG256" s="1685"/>
      <c r="AM256" s="1703" t="str">
        <f t="shared" si="28"/>
        <v/>
      </c>
      <c r="AN256" s="1703"/>
      <c r="AO256" s="1703"/>
      <c r="AP256" s="1703" t="str">
        <f t="shared" si="26"/>
        <v/>
      </c>
      <c r="AQ256" s="1703" t="str">
        <f t="shared" si="27"/>
        <v/>
      </c>
      <c r="AR256" s="1703"/>
      <c r="AS256" s="1703"/>
      <c r="AT256" s="1703" t="e">
        <v>#N/A</v>
      </c>
      <c r="BQ256" s="1685"/>
      <c r="BW256" s="1703" t="str">
        <f t="shared" si="29"/>
        <v/>
      </c>
    </row>
    <row r="257" spans="1:75" ht="15">
      <c r="A257" s="1685"/>
      <c r="B257" s="1685"/>
      <c r="C257" s="1685"/>
      <c r="D257" s="1685"/>
      <c r="E257" s="1685"/>
      <c r="F257" s="1685">
        <v>28</v>
      </c>
      <c r="G257" s="1701" t="str">
        <f>IF(rng01_Address28="","",rng01_Address28)</f>
        <v/>
      </c>
      <c r="H257" s="1701"/>
      <c r="I257" s="1701"/>
      <c r="J257" s="1701"/>
      <c r="K257" s="1701" t="str">
        <f>IF(rng01_City28="","",rng01_City28)</f>
        <v/>
      </c>
      <c r="L257" s="1731" t="str">
        <f>IF(rng01_Zip28="","",rng01_Zip28)</f>
        <v/>
      </c>
      <c r="M257" s="1701"/>
      <c r="N257" s="1701"/>
      <c r="O257" s="1701" t="e">
        <v>#N/A</v>
      </c>
      <c r="P257" s="1685"/>
      <c r="Q257" s="1685"/>
      <c r="R257" s="1685"/>
      <c r="S257" s="1685"/>
      <c r="T257" s="1685"/>
      <c r="U257" s="1685"/>
      <c r="V257" s="1685"/>
      <c r="W257" s="1685"/>
      <c r="X257" s="1685"/>
      <c r="Y257" s="1685"/>
      <c r="Z257" s="1685"/>
      <c r="AA257" s="1685"/>
      <c r="AB257" s="1685"/>
      <c r="AC257" s="1685"/>
      <c r="AD257" s="2069"/>
      <c r="AE257" s="2073"/>
      <c r="AF257" s="1685"/>
      <c r="AG257" s="1685"/>
      <c r="AM257" s="1703" t="str">
        <f t="shared" si="28"/>
        <v/>
      </c>
      <c r="AN257" s="1703"/>
      <c r="AO257" s="1703"/>
      <c r="AP257" s="1703" t="str">
        <f t="shared" si="26"/>
        <v/>
      </c>
      <c r="AQ257" s="1703" t="str">
        <f t="shared" si="27"/>
        <v/>
      </c>
      <c r="AR257" s="1703"/>
      <c r="AS257" s="1703"/>
      <c r="AT257" s="1703" t="e">
        <v>#N/A</v>
      </c>
      <c r="BQ257" s="1685"/>
      <c r="BW257" s="1703" t="str">
        <f t="shared" si="29"/>
        <v/>
      </c>
    </row>
    <row r="258" spans="1:75" ht="15">
      <c r="A258" s="1685"/>
      <c r="B258" s="1685"/>
      <c r="C258" s="1685"/>
      <c r="D258" s="1685"/>
      <c r="E258" s="1685"/>
      <c r="F258" s="1685">
        <v>29</v>
      </c>
      <c r="G258" s="1701" t="str">
        <f>IF(rng01_Address29="","",rng01_Address29)</f>
        <v/>
      </c>
      <c r="H258" s="1701"/>
      <c r="I258" s="1701"/>
      <c r="J258" s="1701"/>
      <c r="K258" s="1701" t="str">
        <f>IF(rng01_City29="","",rng01_City29)</f>
        <v/>
      </c>
      <c r="L258" s="1731" t="str">
        <f>IF(rng01_Zip29="","",rng01_Zip29)</f>
        <v/>
      </c>
      <c r="M258" s="1701"/>
      <c r="N258" s="1701"/>
      <c r="O258" s="1701" t="e">
        <v>#N/A</v>
      </c>
      <c r="P258" s="1685"/>
      <c r="Q258" s="1685"/>
      <c r="R258" s="1685"/>
      <c r="S258" s="1685"/>
      <c r="T258" s="1685"/>
      <c r="U258" s="1685"/>
      <c r="V258" s="1685"/>
      <c r="W258" s="1685"/>
      <c r="X258" s="1685"/>
      <c r="Y258" s="1685"/>
      <c r="Z258" s="1685"/>
      <c r="AA258" s="1685"/>
      <c r="AB258" s="1685"/>
      <c r="AC258" s="1685"/>
      <c r="AD258" s="2069"/>
      <c r="AE258" s="2073"/>
      <c r="AF258" s="1685"/>
      <c r="AG258" s="1685"/>
      <c r="AM258" s="1703" t="str">
        <f t="shared" si="28"/>
        <v/>
      </c>
      <c r="AN258" s="1703"/>
      <c r="AO258" s="1703"/>
      <c r="AP258" s="1703" t="str">
        <f t="shared" si="26"/>
        <v/>
      </c>
      <c r="AQ258" s="1703" t="str">
        <f t="shared" si="27"/>
        <v/>
      </c>
      <c r="AR258" s="1703"/>
      <c r="AS258" s="1703"/>
      <c r="AT258" s="1703" t="e">
        <v>#N/A</v>
      </c>
      <c r="BQ258" s="1685"/>
      <c r="BW258" s="1703" t="str">
        <f t="shared" si="29"/>
        <v/>
      </c>
    </row>
    <row r="259" spans="1:75" ht="15">
      <c r="A259" s="1685"/>
      <c r="B259" s="1685"/>
      <c r="C259" s="1685"/>
      <c r="D259" s="1685"/>
      <c r="E259" s="1685"/>
      <c r="F259" s="1685">
        <v>30</v>
      </c>
      <c r="G259" s="1701" t="str">
        <f>IF(rng01_Address30="","",rng01_Address30)</f>
        <v/>
      </c>
      <c r="H259" s="1701"/>
      <c r="I259" s="1701"/>
      <c r="J259" s="1701"/>
      <c r="K259" s="1701" t="str">
        <f>IF(rng01_City30="","",rng01_City30)</f>
        <v/>
      </c>
      <c r="L259" s="1731" t="str">
        <f>IF(rng01_Zip30="","",rng01_Zip30)</f>
        <v/>
      </c>
      <c r="M259" s="1701"/>
      <c r="N259" s="1701"/>
      <c r="O259" s="1701" t="e">
        <v>#N/A</v>
      </c>
      <c r="P259" s="1685"/>
      <c r="Q259" s="1685"/>
      <c r="R259" s="1685"/>
      <c r="S259" s="1685"/>
      <c r="T259" s="1685"/>
      <c r="U259" s="1685"/>
      <c r="V259" s="1685"/>
      <c r="W259" s="1685"/>
      <c r="X259" s="1685"/>
      <c r="Y259" s="1685"/>
      <c r="Z259" s="1685"/>
      <c r="AA259" s="1685"/>
      <c r="AB259" s="1685"/>
      <c r="AC259" s="1685"/>
      <c r="AD259" s="2069"/>
      <c r="AE259" s="2073"/>
      <c r="AF259" s="1685"/>
      <c r="AG259" s="1685"/>
      <c r="AM259" s="1703" t="str">
        <f t="shared" si="28"/>
        <v/>
      </c>
      <c r="AN259" s="1703"/>
      <c r="AO259" s="1703"/>
      <c r="AP259" s="1703" t="str">
        <f t="shared" si="26"/>
        <v/>
      </c>
      <c r="AQ259" s="1703" t="str">
        <f t="shared" si="27"/>
        <v/>
      </c>
      <c r="AR259" s="1703"/>
      <c r="AS259" s="1703"/>
      <c r="AT259" s="1703" t="e">
        <v>#N/A</v>
      </c>
      <c r="BQ259" s="1685"/>
      <c r="BW259" s="1703" t="str">
        <f t="shared" si="29"/>
        <v/>
      </c>
    </row>
    <row r="260" spans="1:75" ht="15">
      <c r="A260" s="1685"/>
      <c r="B260" s="1685"/>
      <c r="C260" s="1685"/>
      <c r="D260" s="1685"/>
      <c r="E260" s="1685"/>
      <c r="F260" s="1685">
        <v>31</v>
      </c>
      <c r="G260" s="1701" t="str">
        <f>IF(rng01_Address31="","",rng01_Address31)</f>
        <v/>
      </c>
      <c r="H260" s="1701"/>
      <c r="I260" s="1701"/>
      <c r="J260" s="1701"/>
      <c r="K260" s="1701" t="str">
        <f>IF(rng01_City31="","",rng01_City31)</f>
        <v/>
      </c>
      <c r="L260" s="1731" t="str">
        <f>IF(rng01_Zip31="","",rng01_Zip31)</f>
        <v/>
      </c>
      <c r="M260" s="1701"/>
      <c r="N260" s="1701"/>
      <c r="O260" s="1701" t="e">
        <v>#N/A</v>
      </c>
      <c r="P260" s="1685"/>
      <c r="Q260" s="1685"/>
      <c r="R260" s="1685"/>
      <c r="S260" s="1685"/>
      <c r="T260" s="1685"/>
      <c r="U260" s="1685"/>
      <c r="V260" s="1685"/>
      <c r="W260" s="1685"/>
      <c r="X260" s="1685"/>
      <c r="Y260" s="1685"/>
      <c r="Z260" s="1685"/>
      <c r="AA260" s="1685"/>
      <c r="AB260" s="1685"/>
      <c r="AC260" s="1685"/>
      <c r="AD260" s="2069"/>
      <c r="AE260" s="2073"/>
      <c r="AF260" s="1685"/>
      <c r="AG260" s="1685"/>
      <c r="AM260" s="1703" t="str">
        <f t="shared" si="28"/>
        <v/>
      </c>
      <c r="AN260" s="1703"/>
      <c r="AO260" s="1703"/>
      <c r="AP260" s="1703" t="str">
        <f t="shared" si="26"/>
        <v/>
      </c>
      <c r="AQ260" s="1703" t="str">
        <f t="shared" si="27"/>
        <v/>
      </c>
      <c r="AR260" s="1703"/>
      <c r="AS260" s="1703"/>
      <c r="AT260" s="1703" t="e">
        <v>#N/A</v>
      </c>
      <c r="BQ260" s="1685"/>
      <c r="BW260" s="1703" t="str">
        <f t="shared" si="29"/>
        <v/>
      </c>
    </row>
    <row r="261" spans="1:75" ht="15">
      <c r="A261" s="1685"/>
      <c r="B261" s="1685"/>
      <c r="C261" s="1685"/>
      <c r="D261" s="1685"/>
      <c r="E261" s="1685"/>
      <c r="F261" s="1685">
        <v>32</v>
      </c>
      <c r="G261" s="1701" t="str">
        <f>IF(rng01_Address32="","",rng01_Address32)</f>
        <v/>
      </c>
      <c r="H261" s="1701"/>
      <c r="I261" s="1701"/>
      <c r="J261" s="1701"/>
      <c r="K261" s="1701" t="str">
        <f>IF(rng01_City32="","",rng01_City32)</f>
        <v/>
      </c>
      <c r="L261" s="1731" t="str">
        <f>IF(rng01_Zip32="","",rng01_Zip32)</f>
        <v/>
      </c>
      <c r="M261" s="1701"/>
      <c r="N261" s="1701"/>
      <c r="O261" s="1701" t="e">
        <v>#N/A</v>
      </c>
      <c r="P261" s="1685"/>
      <c r="Q261" s="1685"/>
      <c r="R261" s="1685"/>
      <c r="S261" s="1685"/>
      <c r="T261" s="1685"/>
      <c r="U261" s="1685"/>
      <c r="V261" s="1685"/>
      <c r="W261" s="1685"/>
      <c r="X261" s="1685"/>
      <c r="Y261" s="1685"/>
      <c r="Z261" s="1685"/>
      <c r="AA261" s="1685"/>
      <c r="AB261" s="1685"/>
      <c r="AC261" s="1685"/>
      <c r="AD261" s="2069"/>
      <c r="AE261" s="2073"/>
      <c r="AF261" s="1685"/>
      <c r="AG261" s="1685"/>
      <c r="AM261" s="1703" t="str">
        <f t="shared" si="28"/>
        <v/>
      </c>
      <c r="AN261" s="1703"/>
      <c r="AO261" s="1703"/>
      <c r="AP261" s="1703" t="str">
        <f t="shared" si="26"/>
        <v/>
      </c>
      <c r="AQ261" s="1703" t="str">
        <f t="shared" si="27"/>
        <v/>
      </c>
      <c r="AR261" s="1703"/>
      <c r="AS261" s="1703"/>
      <c r="AT261" s="1703" t="e">
        <v>#N/A</v>
      </c>
      <c r="BQ261" s="1685"/>
      <c r="BW261" s="1703" t="str">
        <f t="shared" si="29"/>
        <v/>
      </c>
    </row>
    <row r="262" spans="1:75" ht="15">
      <c r="A262" s="1685"/>
      <c r="B262" s="1685"/>
      <c r="C262" s="1685"/>
      <c r="D262" s="1685"/>
      <c r="E262" s="1685"/>
      <c r="F262" s="1685">
        <v>33</v>
      </c>
      <c r="G262" s="1701" t="str">
        <f>IF(rng01_Address33="","",rng01_Address33)</f>
        <v/>
      </c>
      <c r="H262" s="1701"/>
      <c r="I262" s="1701"/>
      <c r="J262" s="1701"/>
      <c r="K262" s="1701" t="str">
        <f>IF(rng01_City33="","",rng01_City33)</f>
        <v/>
      </c>
      <c r="L262" s="1731" t="str">
        <f>IF(rng01_Zip33="","",rng01_Zip33)</f>
        <v/>
      </c>
      <c r="M262" s="1701"/>
      <c r="N262" s="1701"/>
      <c r="O262" s="1701" t="e">
        <v>#N/A</v>
      </c>
      <c r="P262" s="1685"/>
      <c r="Q262" s="1685"/>
      <c r="R262" s="1685"/>
      <c r="S262" s="1685"/>
      <c r="T262" s="1685"/>
      <c r="U262" s="1685"/>
      <c r="V262" s="1685"/>
      <c r="W262" s="1685"/>
      <c r="X262" s="1685"/>
      <c r="Y262" s="1685"/>
      <c r="Z262" s="1685"/>
      <c r="AA262" s="1685"/>
      <c r="AB262" s="1685"/>
      <c r="AC262" s="1685"/>
      <c r="AD262" s="2069"/>
      <c r="AE262" s="2073"/>
      <c r="AF262" s="1685"/>
      <c r="AG262" s="1685"/>
      <c r="AM262" s="1703" t="str">
        <f t="shared" si="28"/>
        <v/>
      </c>
      <c r="AN262" s="1703"/>
      <c r="AO262" s="1703"/>
      <c r="AP262" s="1703" t="str">
        <f t="shared" ref="AP262:AP293" si="30">IF(TCATrigger="No","",IF(K262="","",K262))</f>
        <v/>
      </c>
      <c r="AQ262" s="1703" t="str">
        <f t="shared" ref="AQ262:AQ293" si="31">IF(TCATrigger="No","",IF(L262="","",L262))</f>
        <v/>
      </c>
      <c r="AR262" s="1703"/>
      <c r="AS262" s="1703"/>
      <c r="AT262" s="1703" t="e">
        <v>#N/A</v>
      </c>
      <c r="BQ262" s="1685"/>
      <c r="BW262" s="1703" t="str">
        <f t="shared" si="29"/>
        <v/>
      </c>
    </row>
    <row r="263" spans="1:75" ht="15">
      <c r="A263" s="1685"/>
      <c r="B263" s="1685"/>
      <c r="C263" s="1685"/>
      <c r="D263" s="1685"/>
      <c r="E263" s="1685"/>
      <c r="F263" s="1685">
        <v>34</v>
      </c>
      <c r="G263" s="1701" t="str">
        <f>IF(rng01_Address34="","",rng01_Address34)</f>
        <v/>
      </c>
      <c r="H263" s="1701"/>
      <c r="I263" s="1701"/>
      <c r="J263" s="1701"/>
      <c r="K263" s="1701" t="str">
        <f>IF(rng01_City34="","",rng01_City34)</f>
        <v/>
      </c>
      <c r="L263" s="1731" t="str">
        <f>IF(rng01_Zip34="","",rng01_Zip34)</f>
        <v/>
      </c>
      <c r="M263" s="1701"/>
      <c r="N263" s="1701"/>
      <c r="O263" s="1701" t="e">
        <v>#N/A</v>
      </c>
      <c r="P263" s="1685"/>
      <c r="Q263" s="1685"/>
      <c r="R263" s="1685"/>
      <c r="S263" s="1685"/>
      <c r="T263" s="1685"/>
      <c r="U263" s="1685"/>
      <c r="V263" s="1685"/>
      <c r="W263" s="1685"/>
      <c r="X263" s="1685"/>
      <c r="Y263" s="1685"/>
      <c r="Z263" s="1685"/>
      <c r="AA263" s="1685"/>
      <c r="AB263" s="1685"/>
      <c r="AC263" s="1685"/>
      <c r="AD263" s="2069"/>
      <c r="AE263" s="2073"/>
      <c r="AF263" s="1685"/>
      <c r="AG263" s="1685"/>
      <c r="AM263" s="1703" t="str">
        <f t="shared" ref="AM263:AM294" si="32">IF(TCATrigger="No","",IF(G263="","",G263))</f>
        <v/>
      </c>
      <c r="AN263" s="1703"/>
      <c r="AO263" s="1703"/>
      <c r="AP263" s="1703" t="str">
        <f t="shared" si="30"/>
        <v/>
      </c>
      <c r="AQ263" s="1703" t="str">
        <f t="shared" si="31"/>
        <v/>
      </c>
      <c r="AR263" s="1703"/>
      <c r="AS263" s="1703"/>
      <c r="AT263" s="1703" t="e">
        <v>#N/A</v>
      </c>
      <c r="BQ263" s="1685"/>
      <c r="BW263" s="1703" t="str">
        <f t="shared" si="29"/>
        <v/>
      </c>
    </row>
    <row r="264" spans="1:75" ht="15">
      <c r="A264" s="1685"/>
      <c r="B264" s="1685"/>
      <c r="C264" s="1685"/>
      <c r="D264" s="1685"/>
      <c r="E264" s="1685"/>
      <c r="F264" s="1685">
        <v>35</v>
      </c>
      <c r="G264" s="1701" t="str">
        <f>IF(rng01_Address35="","",rng01_Address35)</f>
        <v/>
      </c>
      <c r="H264" s="1701"/>
      <c r="I264" s="1701"/>
      <c r="J264" s="1701"/>
      <c r="K264" s="1701" t="str">
        <f>IF(rng01_City35="","",rng01_City35)</f>
        <v/>
      </c>
      <c r="L264" s="1731" t="str">
        <f>IF(rng01_Zip35="","",rng01_Zip35)</f>
        <v/>
      </c>
      <c r="M264" s="1701"/>
      <c r="N264" s="1701"/>
      <c r="O264" s="1701" t="e">
        <v>#N/A</v>
      </c>
      <c r="P264" s="1685"/>
      <c r="Q264" s="1685"/>
      <c r="R264" s="1685"/>
      <c r="S264" s="1685"/>
      <c r="T264" s="1685"/>
      <c r="U264" s="1685"/>
      <c r="V264" s="1685"/>
      <c r="W264" s="1685"/>
      <c r="X264" s="1685"/>
      <c r="Y264" s="1685"/>
      <c r="Z264" s="1685"/>
      <c r="AA264" s="1685"/>
      <c r="AB264" s="1685"/>
      <c r="AC264" s="1685"/>
      <c r="AD264" s="2069"/>
      <c r="AE264" s="2073"/>
      <c r="AF264" s="1685"/>
      <c r="AG264" s="1685"/>
      <c r="AM264" s="1703" t="str">
        <f t="shared" si="32"/>
        <v/>
      </c>
      <c r="AN264" s="1703"/>
      <c r="AO264" s="1703"/>
      <c r="AP264" s="1703" t="str">
        <f t="shared" si="30"/>
        <v/>
      </c>
      <c r="AQ264" s="1703" t="str">
        <f t="shared" si="31"/>
        <v/>
      </c>
      <c r="AR264" s="1703"/>
      <c r="AS264" s="1703"/>
      <c r="AT264" s="1703" t="e">
        <v>#N/A</v>
      </c>
      <c r="BQ264" s="1685"/>
      <c r="BW264" s="1703" t="str">
        <f t="shared" si="29"/>
        <v/>
      </c>
    </row>
    <row r="265" spans="1:75" ht="15">
      <c r="A265" s="1685"/>
      <c r="B265" s="1685"/>
      <c r="C265" s="1685"/>
      <c r="D265" s="1685"/>
      <c r="E265" s="1685"/>
      <c r="F265" s="1685">
        <v>36</v>
      </c>
      <c r="G265" s="1701" t="str">
        <f>IF(rng01_Address36="","",rng01_Address36)</f>
        <v/>
      </c>
      <c r="H265" s="1701"/>
      <c r="I265" s="1701"/>
      <c r="J265" s="1701"/>
      <c r="K265" s="1701" t="str">
        <f>IF(rng01_City36="","",rng01_City36)</f>
        <v/>
      </c>
      <c r="L265" s="1731" t="str">
        <f>IF(rng01_Zip36="","",rng01_Zip36)</f>
        <v/>
      </c>
      <c r="M265" s="1701"/>
      <c r="N265" s="1701"/>
      <c r="O265" s="1701" t="e">
        <v>#N/A</v>
      </c>
      <c r="P265" s="1685"/>
      <c r="Q265" s="1685"/>
      <c r="R265" s="1685"/>
      <c r="S265" s="1685"/>
      <c r="T265" s="1685"/>
      <c r="U265" s="1685"/>
      <c r="V265" s="1685"/>
      <c r="W265" s="1685"/>
      <c r="X265" s="1685"/>
      <c r="Y265" s="1685"/>
      <c r="Z265" s="1685"/>
      <c r="AA265" s="1685"/>
      <c r="AB265" s="1685"/>
      <c r="AC265" s="1685"/>
      <c r="AD265" s="2069"/>
      <c r="AE265" s="2073"/>
      <c r="AF265" s="1685"/>
      <c r="AG265" s="1685"/>
      <c r="AM265" s="1703" t="str">
        <f t="shared" si="32"/>
        <v/>
      </c>
      <c r="AN265" s="1703"/>
      <c r="AO265" s="1703"/>
      <c r="AP265" s="1703" t="str">
        <f t="shared" si="30"/>
        <v/>
      </c>
      <c r="AQ265" s="1703" t="str">
        <f t="shared" si="31"/>
        <v/>
      </c>
      <c r="AR265" s="1703"/>
      <c r="AS265" s="1703"/>
      <c r="AT265" s="1703" t="e">
        <v>#N/A</v>
      </c>
      <c r="BQ265" s="1685"/>
      <c r="BW265" s="1703" t="str">
        <f t="shared" si="29"/>
        <v/>
      </c>
    </row>
    <row r="266" spans="1:75" ht="15">
      <c r="A266" s="1685"/>
      <c r="B266" s="1685"/>
      <c r="C266" s="1685"/>
      <c r="D266" s="1685"/>
      <c r="E266" s="1685"/>
      <c r="F266" s="1685">
        <v>37</v>
      </c>
      <c r="G266" s="1701" t="str">
        <f>IF(rng01_Address37="","",rng01_Address37)</f>
        <v/>
      </c>
      <c r="H266" s="1701"/>
      <c r="I266" s="1701"/>
      <c r="J266" s="1701"/>
      <c r="K266" s="1701" t="str">
        <f>IF(rng01_City37="","",rng01_City37)</f>
        <v/>
      </c>
      <c r="L266" s="1731" t="str">
        <f>IF(rng01_Zip37="","",rng01_Zip37)</f>
        <v/>
      </c>
      <c r="M266" s="1701"/>
      <c r="N266" s="1701"/>
      <c r="O266" s="1701" t="e">
        <v>#N/A</v>
      </c>
      <c r="P266" s="1685"/>
      <c r="Q266" s="1685"/>
      <c r="R266" s="1685"/>
      <c r="S266" s="1685"/>
      <c r="T266" s="1685"/>
      <c r="U266" s="1685"/>
      <c r="V266" s="1685"/>
      <c r="W266" s="1685"/>
      <c r="X266" s="1685"/>
      <c r="Y266" s="1685"/>
      <c r="Z266" s="1685"/>
      <c r="AA266" s="1685"/>
      <c r="AB266" s="1685"/>
      <c r="AC266" s="1685"/>
      <c r="AD266" s="2069"/>
      <c r="AE266" s="2073"/>
      <c r="AF266" s="1685"/>
      <c r="AG266" s="1685"/>
      <c r="AM266" s="1703" t="str">
        <f t="shared" si="32"/>
        <v/>
      </c>
      <c r="AN266" s="1703"/>
      <c r="AO266" s="1703"/>
      <c r="AP266" s="1703" t="str">
        <f t="shared" si="30"/>
        <v/>
      </c>
      <c r="AQ266" s="1703" t="str">
        <f t="shared" si="31"/>
        <v/>
      </c>
      <c r="AR266" s="1703"/>
      <c r="AS266" s="1703"/>
      <c r="AT266" s="1703" t="e">
        <v>#N/A</v>
      </c>
      <c r="BQ266" s="1685"/>
      <c r="BW266" s="1703" t="str">
        <f t="shared" si="29"/>
        <v/>
      </c>
    </row>
    <row r="267" spans="1:75" ht="15">
      <c r="A267" s="1685"/>
      <c r="B267" s="1685"/>
      <c r="C267" s="1685"/>
      <c r="D267" s="1685"/>
      <c r="E267" s="1685"/>
      <c r="F267" s="1685">
        <v>38</v>
      </c>
      <c r="G267" s="1701" t="str">
        <f>IF(rng01_Address38="","",rng01_Address38)</f>
        <v/>
      </c>
      <c r="H267" s="1701"/>
      <c r="I267" s="1701"/>
      <c r="J267" s="1701"/>
      <c r="K267" s="1701" t="str">
        <f>IF(rng01_City38="","",rng01_City38)</f>
        <v/>
      </c>
      <c r="L267" s="1731" t="str">
        <f>IF(rng01_Zip38="","",rng01_Zip38)</f>
        <v/>
      </c>
      <c r="M267" s="1701"/>
      <c r="N267" s="1701"/>
      <c r="O267" s="1701" t="e">
        <v>#N/A</v>
      </c>
      <c r="P267" s="1685"/>
      <c r="Q267" s="1685"/>
      <c r="R267" s="1685"/>
      <c r="S267" s="1685"/>
      <c r="T267" s="1685"/>
      <c r="U267" s="1685"/>
      <c r="V267" s="1685"/>
      <c r="W267" s="1685"/>
      <c r="X267" s="1685"/>
      <c r="Y267" s="1685"/>
      <c r="Z267" s="1685"/>
      <c r="AA267" s="1685"/>
      <c r="AB267" s="1685"/>
      <c r="AC267" s="1685"/>
      <c r="AD267" s="2069"/>
      <c r="AE267" s="2073"/>
      <c r="AF267" s="1685"/>
      <c r="AG267" s="1685"/>
      <c r="AM267" s="1703" t="str">
        <f t="shared" si="32"/>
        <v/>
      </c>
      <c r="AN267" s="1703"/>
      <c r="AO267" s="1703"/>
      <c r="AP267" s="1703" t="str">
        <f t="shared" si="30"/>
        <v/>
      </c>
      <c r="AQ267" s="1703" t="str">
        <f t="shared" si="31"/>
        <v/>
      </c>
      <c r="AR267" s="1703"/>
      <c r="AS267" s="1703"/>
      <c r="AT267" s="1703" t="e">
        <v>#N/A</v>
      </c>
      <c r="BQ267" s="1685"/>
      <c r="BW267" s="1703" t="str">
        <f t="shared" si="29"/>
        <v/>
      </c>
    </row>
    <row r="268" spans="1:75" ht="15">
      <c r="A268" s="1685"/>
      <c r="B268" s="1685"/>
      <c r="C268" s="1685"/>
      <c r="D268" s="1685"/>
      <c r="E268" s="1685"/>
      <c r="F268" s="1685">
        <v>39</v>
      </c>
      <c r="G268" s="1701" t="str">
        <f>IF(rng01_Address39="","",rng01_Address39)</f>
        <v/>
      </c>
      <c r="H268" s="1701"/>
      <c r="I268" s="1701"/>
      <c r="J268" s="1701"/>
      <c r="K268" s="1701" t="str">
        <f>IF(rng01_City39="","",rng01_City39)</f>
        <v/>
      </c>
      <c r="L268" s="1731" t="str">
        <f>IF(rng01_Zip39="","",rng01_Zip39)</f>
        <v/>
      </c>
      <c r="M268" s="1701"/>
      <c r="N268" s="1701"/>
      <c r="O268" s="1701" t="e">
        <v>#N/A</v>
      </c>
      <c r="P268" s="1685"/>
      <c r="Q268" s="1685"/>
      <c r="R268" s="1685"/>
      <c r="S268" s="1685"/>
      <c r="T268" s="1685"/>
      <c r="U268" s="1685"/>
      <c r="V268" s="1685"/>
      <c r="W268" s="1685"/>
      <c r="X268" s="1685"/>
      <c r="Y268" s="1685"/>
      <c r="Z268" s="1685"/>
      <c r="AA268" s="1685"/>
      <c r="AB268" s="1685"/>
      <c r="AC268" s="1685"/>
      <c r="AD268" s="2069"/>
      <c r="AE268" s="2073"/>
      <c r="AF268" s="1685"/>
      <c r="AG268" s="1685"/>
      <c r="AM268" s="1703" t="str">
        <f t="shared" si="32"/>
        <v/>
      </c>
      <c r="AN268" s="1703"/>
      <c r="AO268" s="1703"/>
      <c r="AP268" s="1703" t="str">
        <f t="shared" si="30"/>
        <v/>
      </c>
      <c r="AQ268" s="1703" t="str">
        <f t="shared" si="31"/>
        <v/>
      </c>
      <c r="AR268" s="1703"/>
      <c r="AS268" s="1703"/>
      <c r="AT268" s="1703" t="e">
        <v>#N/A</v>
      </c>
      <c r="BQ268" s="1685"/>
      <c r="BW268" s="1703" t="str">
        <f t="shared" si="29"/>
        <v/>
      </c>
    </row>
    <row r="269" spans="1:75" ht="15">
      <c r="A269" s="1685"/>
      <c r="B269" s="1685"/>
      <c r="C269" s="1685"/>
      <c r="D269" s="1685"/>
      <c r="E269" s="1685"/>
      <c r="F269" s="1685">
        <v>40</v>
      </c>
      <c r="G269" s="1701" t="str">
        <f>IF(rng01_Address40="","",rng01_Address40)</f>
        <v/>
      </c>
      <c r="H269" s="1701"/>
      <c r="I269" s="1701"/>
      <c r="J269" s="1701"/>
      <c r="K269" s="1701" t="str">
        <f>IF(rng01_City40="","",rng01_City40)</f>
        <v/>
      </c>
      <c r="L269" s="1731" t="str">
        <f>IF(rng01_Zip40="","",rng01_Zip40)</f>
        <v/>
      </c>
      <c r="M269" s="1701"/>
      <c r="N269" s="1701"/>
      <c r="O269" s="1701" t="e">
        <v>#N/A</v>
      </c>
      <c r="P269" s="1685"/>
      <c r="Q269" s="1685"/>
      <c r="R269" s="1685"/>
      <c r="S269" s="1685"/>
      <c r="T269" s="1685"/>
      <c r="U269" s="1685"/>
      <c r="V269" s="1685"/>
      <c r="W269" s="1685"/>
      <c r="X269" s="1685"/>
      <c r="Y269" s="1685"/>
      <c r="Z269" s="1685"/>
      <c r="AA269" s="1685"/>
      <c r="AB269" s="1685"/>
      <c r="AC269" s="1685"/>
      <c r="AD269" s="2069"/>
      <c r="AE269" s="2073"/>
      <c r="AF269" s="1685"/>
      <c r="AG269" s="1685"/>
      <c r="AM269" s="1703" t="str">
        <f t="shared" si="32"/>
        <v/>
      </c>
      <c r="AN269" s="1703"/>
      <c r="AO269" s="1703"/>
      <c r="AP269" s="1703" t="str">
        <f t="shared" si="30"/>
        <v/>
      </c>
      <c r="AQ269" s="1703" t="str">
        <f t="shared" si="31"/>
        <v/>
      </c>
      <c r="AR269" s="1703"/>
      <c r="AS269" s="1703"/>
      <c r="AT269" s="1703" t="e">
        <v>#N/A</v>
      </c>
      <c r="BQ269" s="1685"/>
      <c r="BW269" s="1703" t="str">
        <f t="shared" si="29"/>
        <v/>
      </c>
    </row>
    <row r="270" spans="1:75" ht="15">
      <c r="A270" s="1685"/>
      <c r="B270" s="1685"/>
      <c r="C270" s="1685"/>
      <c r="D270" s="1685"/>
      <c r="E270" s="1685"/>
      <c r="F270" s="1685">
        <v>41</v>
      </c>
      <c r="G270" s="1701" t="str">
        <f>IF(rng01_Address41="","",rng01_Address41)</f>
        <v/>
      </c>
      <c r="H270" s="1701"/>
      <c r="I270" s="1701"/>
      <c r="J270" s="1701"/>
      <c r="K270" s="1701" t="str">
        <f>IF(rng01_City41="","",rng01_City41)</f>
        <v/>
      </c>
      <c r="L270" s="1731" t="str">
        <f>IF(rng01_Zip41="","",rng01_Zip41)</f>
        <v/>
      </c>
      <c r="M270" s="1701"/>
      <c r="N270" s="1701"/>
      <c r="O270" s="1701" t="e">
        <v>#N/A</v>
      </c>
      <c r="P270" s="1685"/>
      <c r="Q270" s="1685"/>
      <c r="R270" s="1685"/>
      <c r="S270" s="1685"/>
      <c r="T270" s="1685"/>
      <c r="U270" s="1685"/>
      <c r="V270" s="1685"/>
      <c r="W270" s="1685"/>
      <c r="X270" s="1685"/>
      <c r="Y270" s="1685"/>
      <c r="Z270" s="1685"/>
      <c r="AA270" s="1685"/>
      <c r="AB270" s="1685"/>
      <c r="AC270" s="1685"/>
      <c r="AD270" s="2069"/>
      <c r="AE270" s="2073"/>
      <c r="AF270" s="1685"/>
      <c r="AG270" s="1685"/>
      <c r="AM270" s="1703" t="str">
        <f t="shared" si="32"/>
        <v/>
      </c>
      <c r="AN270" s="1703"/>
      <c r="AO270" s="1703"/>
      <c r="AP270" s="1703" t="str">
        <f t="shared" si="30"/>
        <v/>
      </c>
      <c r="AQ270" s="1703" t="str">
        <f t="shared" si="31"/>
        <v/>
      </c>
      <c r="AR270" s="1703"/>
      <c r="AS270" s="1703"/>
      <c r="AT270" s="1703" t="e">
        <v>#N/A</v>
      </c>
      <c r="BQ270" s="1685"/>
      <c r="BW270" s="1703" t="str">
        <f t="shared" si="29"/>
        <v/>
      </c>
    </row>
    <row r="271" spans="1:75" ht="15">
      <c r="A271" s="1685"/>
      <c r="B271" s="1685"/>
      <c r="C271" s="1685"/>
      <c r="D271" s="1685"/>
      <c r="E271" s="1685"/>
      <c r="F271" s="1685">
        <v>42</v>
      </c>
      <c r="G271" s="1701" t="str">
        <f>IF(rng01_Address42="","",rng01_Address42)</f>
        <v/>
      </c>
      <c r="H271" s="1701"/>
      <c r="I271" s="1701"/>
      <c r="J271" s="1701"/>
      <c r="K271" s="1701" t="str">
        <f>IF(rng01_City42="","",rng01_City42)</f>
        <v/>
      </c>
      <c r="L271" s="1731" t="str">
        <f>IF(rng01_Zip42="","",rng01_Zip42)</f>
        <v/>
      </c>
      <c r="M271" s="1701"/>
      <c r="N271" s="1701"/>
      <c r="O271" s="1701" t="e">
        <v>#N/A</v>
      </c>
      <c r="P271" s="1685"/>
      <c r="Q271" s="1685"/>
      <c r="R271" s="1685"/>
      <c r="S271" s="1685"/>
      <c r="T271" s="1685"/>
      <c r="U271" s="1685"/>
      <c r="V271" s="1685"/>
      <c r="W271" s="1685"/>
      <c r="X271" s="1685"/>
      <c r="Y271" s="1685"/>
      <c r="Z271" s="1685"/>
      <c r="AA271" s="1685"/>
      <c r="AB271" s="1685"/>
      <c r="AC271" s="1685"/>
      <c r="AD271" s="2069"/>
      <c r="AE271" s="2073"/>
      <c r="AF271" s="1685"/>
      <c r="AG271" s="1685"/>
      <c r="AM271" s="1703" t="str">
        <f t="shared" si="32"/>
        <v/>
      </c>
      <c r="AN271" s="1703"/>
      <c r="AO271" s="1703"/>
      <c r="AP271" s="1703" t="str">
        <f t="shared" si="30"/>
        <v/>
      </c>
      <c r="AQ271" s="1703" t="str">
        <f t="shared" si="31"/>
        <v/>
      </c>
      <c r="AR271" s="1703"/>
      <c r="AS271" s="1703"/>
      <c r="AT271" s="1703" t="e">
        <v>#N/A</v>
      </c>
      <c r="BQ271" s="1685"/>
      <c r="BW271" s="1703" t="str">
        <f t="shared" si="29"/>
        <v/>
      </c>
    </row>
    <row r="272" spans="1:75" ht="15">
      <c r="A272" s="1685"/>
      <c r="B272" s="1685"/>
      <c r="C272" s="1685"/>
      <c r="D272" s="1685"/>
      <c r="E272" s="1685"/>
      <c r="F272" s="1685">
        <v>43</v>
      </c>
      <c r="G272" s="1701" t="str">
        <f>IF(rng01_Address43="","",rng01_Address43)</f>
        <v/>
      </c>
      <c r="H272" s="1701"/>
      <c r="I272" s="1701"/>
      <c r="J272" s="1701"/>
      <c r="K272" s="1701" t="str">
        <f>IF(rng01_City43="","",rng01_City43)</f>
        <v/>
      </c>
      <c r="L272" s="1731" t="str">
        <f>IF(rng01_Zip43="","",rng01_Zip43)</f>
        <v/>
      </c>
      <c r="M272" s="1701"/>
      <c r="N272" s="1701"/>
      <c r="O272" s="1701" t="e">
        <v>#N/A</v>
      </c>
      <c r="P272" s="1685"/>
      <c r="Q272" s="1685"/>
      <c r="R272" s="1685"/>
      <c r="S272" s="1685"/>
      <c r="T272" s="1685"/>
      <c r="U272" s="1685"/>
      <c r="V272" s="1685"/>
      <c r="W272" s="1685"/>
      <c r="X272" s="1685"/>
      <c r="Y272" s="1685"/>
      <c r="Z272" s="1685"/>
      <c r="AA272" s="1685"/>
      <c r="AB272" s="1685"/>
      <c r="AC272" s="1685"/>
      <c r="AD272" s="2069"/>
      <c r="AE272" s="2073"/>
      <c r="AF272" s="1685"/>
      <c r="AG272" s="1685"/>
      <c r="AM272" s="1703" t="str">
        <f t="shared" si="32"/>
        <v/>
      </c>
      <c r="AN272" s="1703"/>
      <c r="AO272" s="1703"/>
      <c r="AP272" s="1703" t="str">
        <f t="shared" si="30"/>
        <v/>
      </c>
      <c r="AQ272" s="1703" t="str">
        <f t="shared" si="31"/>
        <v/>
      </c>
      <c r="AR272" s="1703"/>
      <c r="AS272" s="1703"/>
      <c r="AT272" s="1703" t="e">
        <v>#N/A</v>
      </c>
      <c r="BQ272" s="1685"/>
      <c r="BW272" s="1703" t="str">
        <f t="shared" si="29"/>
        <v/>
      </c>
    </row>
    <row r="273" spans="1:75" ht="15">
      <c r="A273" s="1685"/>
      <c r="B273" s="1685"/>
      <c r="C273" s="1685"/>
      <c r="D273" s="1685"/>
      <c r="E273" s="1685"/>
      <c r="F273" s="1685">
        <v>44</v>
      </c>
      <c r="G273" s="1701" t="str">
        <f>IF(rng01_Address44="","",rng01_Address44)</f>
        <v/>
      </c>
      <c r="H273" s="1701"/>
      <c r="I273" s="1701"/>
      <c r="J273" s="1701"/>
      <c r="K273" s="1701" t="str">
        <f>IF(rng01_City44="","",rng01_City44)</f>
        <v/>
      </c>
      <c r="L273" s="1731" t="str">
        <f>IF(rng01_Zip44="","",rng01_Zip44)</f>
        <v/>
      </c>
      <c r="M273" s="1701"/>
      <c r="N273" s="1701"/>
      <c r="O273" s="1701" t="e">
        <v>#N/A</v>
      </c>
      <c r="P273" s="1685"/>
      <c r="Q273" s="1685"/>
      <c r="R273" s="1685"/>
      <c r="S273" s="1685"/>
      <c r="T273" s="1685"/>
      <c r="U273" s="1685"/>
      <c r="V273" s="1685"/>
      <c r="W273" s="1685"/>
      <c r="X273" s="1685"/>
      <c r="Y273" s="1685"/>
      <c r="Z273" s="1685"/>
      <c r="AA273" s="1685"/>
      <c r="AB273" s="1685"/>
      <c r="AC273" s="1685"/>
      <c r="AD273" s="2069"/>
      <c r="AE273" s="2073"/>
      <c r="AF273" s="1685"/>
      <c r="AG273" s="1685"/>
      <c r="AM273" s="1703" t="str">
        <f t="shared" si="32"/>
        <v/>
      </c>
      <c r="AN273" s="1703"/>
      <c r="AO273" s="1703"/>
      <c r="AP273" s="1703" t="str">
        <f t="shared" si="30"/>
        <v/>
      </c>
      <c r="AQ273" s="1703" t="str">
        <f t="shared" si="31"/>
        <v/>
      </c>
      <c r="AR273" s="1703"/>
      <c r="AS273" s="1703"/>
      <c r="AT273" s="1703" t="e">
        <v>#N/A</v>
      </c>
      <c r="BQ273" s="1685"/>
      <c r="BW273" s="1703" t="str">
        <f t="shared" si="29"/>
        <v/>
      </c>
    </row>
    <row r="274" spans="1:75" ht="15">
      <c r="A274" s="1685"/>
      <c r="B274" s="1685"/>
      <c r="C274" s="1685"/>
      <c r="D274" s="1685"/>
      <c r="E274" s="1685"/>
      <c r="F274" s="1685">
        <v>45</v>
      </c>
      <c r="G274" s="1701" t="str">
        <f>IF(rng01_Address45="","",rng01_Address45)</f>
        <v/>
      </c>
      <c r="H274" s="1701"/>
      <c r="I274" s="1701"/>
      <c r="J274" s="1701"/>
      <c r="K274" s="1701" t="str">
        <f>IF(rng01_City45="","",rng01_City45)</f>
        <v/>
      </c>
      <c r="L274" s="1731" t="str">
        <f>IF(rng01_Zip45="","",rng01_Zip45)</f>
        <v/>
      </c>
      <c r="M274" s="1701"/>
      <c r="N274" s="1701"/>
      <c r="O274" s="1701" t="e">
        <v>#N/A</v>
      </c>
      <c r="P274" s="1685"/>
      <c r="Q274" s="1685"/>
      <c r="R274" s="1685"/>
      <c r="S274" s="1685"/>
      <c r="T274" s="1685"/>
      <c r="U274" s="1685"/>
      <c r="V274" s="1685"/>
      <c r="W274" s="1685"/>
      <c r="X274" s="1685"/>
      <c r="Y274" s="1685"/>
      <c r="Z274" s="1685"/>
      <c r="AA274" s="1685"/>
      <c r="AB274" s="1685"/>
      <c r="AC274" s="1685"/>
      <c r="AD274" s="2069"/>
      <c r="AE274" s="2073"/>
      <c r="AF274" s="1685"/>
      <c r="AG274" s="1685"/>
      <c r="AM274" s="1703" t="str">
        <f t="shared" si="32"/>
        <v/>
      </c>
      <c r="AN274" s="1703"/>
      <c r="AO274" s="1703"/>
      <c r="AP274" s="1703" t="str">
        <f t="shared" si="30"/>
        <v/>
      </c>
      <c r="AQ274" s="1703" t="str">
        <f t="shared" si="31"/>
        <v/>
      </c>
      <c r="AR274" s="1703"/>
      <c r="AS274" s="1703"/>
      <c r="AT274" s="1703" t="e">
        <v>#N/A</v>
      </c>
      <c r="BQ274" s="1685"/>
      <c r="BW274" s="1703" t="str">
        <f t="shared" si="29"/>
        <v/>
      </c>
    </row>
    <row r="275" spans="1:75" ht="15">
      <c r="A275" s="1685"/>
      <c r="B275" s="1685"/>
      <c r="C275" s="1685"/>
      <c r="D275" s="1685"/>
      <c r="E275" s="1685"/>
      <c r="F275" s="1685">
        <v>46</v>
      </c>
      <c r="G275" s="1701" t="str">
        <f>IF(rng01_Address46="","",rng01_Address46)</f>
        <v/>
      </c>
      <c r="H275" s="1701"/>
      <c r="I275" s="1701"/>
      <c r="J275" s="1701"/>
      <c r="K275" s="1701" t="str">
        <f>IF(rng01_City46="","",rng01_City46)</f>
        <v/>
      </c>
      <c r="L275" s="1731" t="str">
        <f>IF(rng01_Zip46="","",rng01_Zip46)</f>
        <v/>
      </c>
      <c r="M275" s="1701"/>
      <c r="N275" s="1701"/>
      <c r="O275" s="1701" t="e">
        <v>#N/A</v>
      </c>
      <c r="P275" s="1685"/>
      <c r="Q275" s="1685"/>
      <c r="R275" s="1685"/>
      <c r="S275" s="1685"/>
      <c r="T275" s="1685"/>
      <c r="U275" s="1685"/>
      <c r="V275" s="1685"/>
      <c r="W275" s="1685"/>
      <c r="X275" s="1685"/>
      <c r="Y275" s="1685"/>
      <c r="Z275" s="1685"/>
      <c r="AA275" s="1685"/>
      <c r="AB275" s="1685"/>
      <c r="AC275" s="1685"/>
      <c r="AD275" s="2069"/>
      <c r="AE275" s="2073"/>
      <c r="AF275" s="1685"/>
      <c r="AG275" s="1685"/>
      <c r="AM275" s="1703" t="str">
        <f t="shared" si="32"/>
        <v/>
      </c>
      <c r="AN275" s="1703"/>
      <c r="AO275" s="1703"/>
      <c r="AP275" s="1703" t="str">
        <f t="shared" si="30"/>
        <v/>
      </c>
      <c r="AQ275" s="1703" t="str">
        <f t="shared" si="31"/>
        <v/>
      </c>
      <c r="AR275" s="1703"/>
      <c r="AS275" s="1703"/>
      <c r="AT275" s="1703" t="e">
        <v>#N/A</v>
      </c>
      <c r="BQ275" s="1685"/>
      <c r="BW275" s="1703" t="str">
        <f t="shared" si="29"/>
        <v/>
      </c>
    </row>
    <row r="276" spans="1:75" ht="15">
      <c r="A276" s="1685"/>
      <c r="B276" s="1685"/>
      <c r="C276" s="1685"/>
      <c r="D276" s="1685"/>
      <c r="E276" s="1685"/>
      <c r="F276" s="1685">
        <v>47</v>
      </c>
      <c r="G276" s="1701" t="str">
        <f>IF(rng01_Address47="","",rng01_Address47)</f>
        <v/>
      </c>
      <c r="H276" s="1701"/>
      <c r="I276" s="1701"/>
      <c r="J276" s="1701"/>
      <c r="K276" s="1701" t="str">
        <f>IF(rng01_City47="","",rng01_City47)</f>
        <v/>
      </c>
      <c r="L276" s="1731" t="str">
        <f>IF(rng01_Zip47="","",rng01_Zip47)</f>
        <v/>
      </c>
      <c r="M276" s="1701"/>
      <c r="N276" s="1701"/>
      <c r="O276" s="1701" t="e">
        <v>#N/A</v>
      </c>
      <c r="P276" s="1685"/>
      <c r="Q276" s="1685"/>
      <c r="R276" s="1685"/>
      <c r="S276" s="1685"/>
      <c r="T276" s="1685"/>
      <c r="U276" s="1685"/>
      <c r="V276" s="1685"/>
      <c r="W276" s="1685"/>
      <c r="X276" s="1685"/>
      <c r="Y276" s="1685"/>
      <c r="Z276" s="1685"/>
      <c r="AA276" s="1685"/>
      <c r="AB276" s="1685"/>
      <c r="AC276" s="1685"/>
      <c r="AD276" s="2069"/>
      <c r="AE276" s="2073"/>
      <c r="AF276" s="1685"/>
      <c r="AG276" s="1685"/>
      <c r="AM276" s="1703" t="str">
        <f t="shared" si="32"/>
        <v/>
      </c>
      <c r="AN276" s="1703"/>
      <c r="AO276" s="1703"/>
      <c r="AP276" s="1703" t="str">
        <f t="shared" si="30"/>
        <v/>
      </c>
      <c r="AQ276" s="1703" t="str">
        <f t="shared" si="31"/>
        <v/>
      </c>
      <c r="AR276" s="1703"/>
      <c r="AS276" s="1703"/>
      <c r="AT276" s="1703" t="e">
        <v>#N/A</v>
      </c>
      <c r="BQ276" s="1685"/>
      <c r="BW276" s="1703" t="str">
        <f t="shared" si="29"/>
        <v/>
      </c>
    </row>
    <row r="277" spans="1:75" ht="15">
      <c r="A277" s="1685"/>
      <c r="B277" s="1685"/>
      <c r="C277" s="1685"/>
      <c r="D277" s="1685"/>
      <c r="E277" s="1685"/>
      <c r="F277" s="1685">
        <v>48</v>
      </c>
      <c r="G277" s="1701" t="str">
        <f>IF(rng01_Address48="","",rng01_Address48)</f>
        <v/>
      </c>
      <c r="H277" s="1701"/>
      <c r="I277" s="1701"/>
      <c r="J277" s="1701"/>
      <c r="K277" s="1701" t="str">
        <f>IF(rng01_City48="","",rng01_City48)</f>
        <v/>
      </c>
      <c r="L277" s="1731" t="str">
        <f>IF(rng01_Zip48="","",rng01_Zip48)</f>
        <v/>
      </c>
      <c r="M277" s="1701"/>
      <c r="N277" s="1701"/>
      <c r="O277" s="1701" t="e">
        <v>#N/A</v>
      </c>
      <c r="P277" s="1685"/>
      <c r="Q277" s="1685"/>
      <c r="R277" s="1685"/>
      <c r="S277" s="1685"/>
      <c r="T277" s="1685"/>
      <c r="U277" s="1685"/>
      <c r="V277" s="1685"/>
      <c r="W277" s="1685"/>
      <c r="X277" s="1685"/>
      <c r="Y277" s="1685"/>
      <c r="Z277" s="1685"/>
      <c r="AA277" s="1685"/>
      <c r="AB277" s="1685"/>
      <c r="AC277" s="1685"/>
      <c r="AD277" s="2069"/>
      <c r="AE277" s="2073"/>
      <c r="AF277" s="1685"/>
      <c r="AG277" s="1685"/>
      <c r="AM277" s="1703" t="str">
        <f t="shared" si="32"/>
        <v/>
      </c>
      <c r="AN277" s="1703"/>
      <c r="AO277" s="1703"/>
      <c r="AP277" s="1703" t="str">
        <f t="shared" si="30"/>
        <v/>
      </c>
      <c r="AQ277" s="1703" t="str">
        <f t="shared" si="31"/>
        <v/>
      </c>
      <c r="AR277" s="1703"/>
      <c r="AS277" s="1703"/>
      <c r="AT277" s="1703" t="e">
        <v>#N/A</v>
      </c>
      <c r="BQ277" s="1685"/>
      <c r="BW277" s="1703" t="str">
        <f t="shared" si="29"/>
        <v/>
      </c>
    </row>
    <row r="278" spans="1:75" ht="15">
      <c r="A278" s="1685"/>
      <c r="B278" s="1685"/>
      <c r="C278" s="1685"/>
      <c r="D278" s="1685"/>
      <c r="E278" s="1685"/>
      <c r="F278" s="1685">
        <v>49</v>
      </c>
      <c r="G278" s="1701" t="str">
        <f>IF(rng01_Address49="","",rng01_Address49)</f>
        <v/>
      </c>
      <c r="H278" s="1701"/>
      <c r="I278" s="1701"/>
      <c r="J278" s="1701"/>
      <c r="K278" s="1701" t="str">
        <f>IF(rng01_City49="","",rng01_City49)</f>
        <v/>
      </c>
      <c r="L278" s="1731" t="str">
        <f>IF(rng01_Zip49="","",rng01_Zip49)</f>
        <v/>
      </c>
      <c r="M278" s="1701"/>
      <c r="N278" s="1701"/>
      <c r="O278" s="1701" t="e">
        <v>#N/A</v>
      </c>
      <c r="P278" s="1685"/>
      <c r="Q278" s="1685"/>
      <c r="R278" s="1685"/>
      <c r="S278" s="1685"/>
      <c r="T278" s="1685"/>
      <c r="U278" s="1685"/>
      <c r="V278" s="1685"/>
      <c r="W278" s="1685"/>
      <c r="X278" s="1685"/>
      <c r="Y278" s="1685"/>
      <c r="Z278" s="1685"/>
      <c r="AA278" s="1685"/>
      <c r="AB278" s="1685"/>
      <c r="AC278" s="1685"/>
      <c r="AD278" s="2069"/>
      <c r="AE278" s="2073"/>
      <c r="AF278" s="1685"/>
      <c r="AG278" s="1685"/>
      <c r="AM278" s="1703" t="str">
        <f t="shared" si="32"/>
        <v/>
      </c>
      <c r="AN278" s="1703"/>
      <c r="AO278" s="1703"/>
      <c r="AP278" s="1703" t="str">
        <f t="shared" si="30"/>
        <v/>
      </c>
      <c r="AQ278" s="1703" t="str">
        <f t="shared" si="31"/>
        <v/>
      </c>
      <c r="AR278" s="1703"/>
      <c r="AS278" s="1703"/>
      <c r="AT278" s="1703" t="e">
        <v>#N/A</v>
      </c>
      <c r="BQ278" s="1685"/>
      <c r="BW278" s="1703" t="str">
        <f t="shared" si="29"/>
        <v/>
      </c>
    </row>
    <row r="279" spans="1:75" ht="15">
      <c r="A279" s="1685"/>
      <c r="B279" s="1685"/>
      <c r="C279" s="1685"/>
      <c r="D279" s="1685"/>
      <c r="E279" s="1685"/>
      <c r="F279" s="1685">
        <v>50</v>
      </c>
      <c r="G279" s="1701" t="str">
        <f>IF(rng01_Address50="","",rng01_Address50)</f>
        <v/>
      </c>
      <c r="H279" s="1701"/>
      <c r="I279" s="1701"/>
      <c r="J279" s="1701"/>
      <c r="K279" s="1701" t="str">
        <f>IF(rng01_City50="","",rng01_City50)</f>
        <v/>
      </c>
      <c r="L279" s="1731" t="str">
        <f>IF(rng01_Zip50="","",rng01_Zip50)</f>
        <v/>
      </c>
      <c r="M279" s="1701"/>
      <c r="N279" s="1701"/>
      <c r="O279" s="1701" t="e">
        <v>#N/A</v>
      </c>
      <c r="P279" s="1685"/>
      <c r="Q279" s="1685"/>
      <c r="R279" s="1685"/>
      <c r="S279" s="1685"/>
      <c r="T279" s="1685"/>
      <c r="U279" s="1685"/>
      <c r="V279" s="1685"/>
      <c r="W279" s="1685"/>
      <c r="X279" s="1685"/>
      <c r="Y279" s="1685"/>
      <c r="Z279" s="1685"/>
      <c r="AA279" s="1685"/>
      <c r="AB279" s="1685"/>
      <c r="AC279" s="1685"/>
      <c r="AD279" s="2069"/>
      <c r="AE279" s="2073"/>
      <c r="AF279" s="1685"/>
      <c r="AG279" s="1685"/>
      <c r="AM279" s="1703" t="str">
        <f t="shared" si="32"/>
        <v/>
      </c>
      <c r="AN279" s="1703"/>
      <c r="AO279" s="1703"/>
      <c r="AP279" s="1703" t="str">
        <f t="shared" si="30"/>
        <v/>
      </c>
      <c r="AQ279" s="1703" t="str">
        <f t="shared" si="31"/>
        <v/>
      </c>
      <c r="AR279" s="1703"/>
      <c r="AS279" s="1703"/>
      <c r="AT279" s="1703" t="e">
        <v>#N/A</v>
      </c>
      <c r="BQ279" s="1685"/>
      <c r="BW279" s="1703" t="str">
        <f t="shared" si="29"/>
        <v/>
      </c>
    </row>
    <row r="280" spans="1:75" ht="15">
      <c r="A280" s="1685"/>
      <c r="B280" s="1685"/>
      <c r="C280" s="1685"/>
      <c r="D280" s="1685"/>
      <c r="E280" s="1685"/>
      <c r="F280" s="1685">
        <v>51</v>
      </c>
      <c r="G280" s="1701" t="str">
        <f>IF(rng01_Address51="","",rng01_Address51)</f>
        <v/>
      </c>
      <c r="H280" s="1701"/>
      <c r="I280" s="1701"/>
      <c r="J280" s="1701"/>
      <c r="K280" s="1701" t="str">
        <f>IF(rng01_City51="","",rng01_City51)</f>
        <v/>
      </c>
      <c r="L280" s="1731" t="str">
        <f>IF(rng01_Zip51="","",rng01_Zip51)</f>
        <v/>
      </c>
      <c r="M280" s="1701"/>
      <c r="N280" s="1701"/>
      <c r="O280" s="1701" t="e">
        <v>#N/A</v>
      </c>
      <c r="P280" s="1685"/>
      <c r="Q280" s="1685"/>
      <c r="R280" s="1685"/>
      <c r="S280" s="1685"/>
      <c r="T280" s="1685"/>
      <c r="U280" s="1685"/>
      <c r="V280" s="1685"/>
      <c r="W280" s="1685"/>
      <c r="X280" s="1685"/>
      <c r="Y280" s="1685"/>
      <c r="Z280" s="1685"/>
      <c r="AA280" s="1685"/>
      <c r="AB280" s="1685"/>
      <c r="AC280" s="1685"/>
      <c r="AD280" s="2069"/>
      <c r="AE280" s="2073"/>
      <c r="AF280" s="1685"/>
      <c r="AG280" s="1685"/>
      <c r="AM280" s="1703" t="str">
        <f t="shared" si="32"/>
        <v/>
      </c>
      <c r="AN280" s="1703"/>
      <c r="AO280" s="1703"/>
      <c r="AP280" s="1703" t="str">
        <f t="shared" si="30"/>
        <v/>
      </c>
      <c r="AQ280" s="1703" t="str">
        <f t="shared" si="31"/>
        <v/>
      </c>
      <c r="AR280" s="1703"/>
      <c r="AS280" s="1703"/>
      <c r="AT280" s="1703" t="e">
        <v>#N/A</v>
      </c>
      <c r="BQ280" s="1685"/>
      <c r="BW280" s="1703" t="str">
        <f t="shared" si="29"/>
        <v/>
      </c>
    </row>
    <row r="281" spans="1:75" ht="15">
      <c r="A281" s="1685"/>
      <c r="B281" s="1685"/>
      <c r="C281" s="1685"/>
      <c r="D281" s="1685"/>
      <c r="E281" s="1685"/>
      <c r="F281" s="1685">
        <v>52</v>
      </c>
      <c r="G281" s="1701" t="str">
        <f>IF(rng01_Address52="","",rng01_Address52)</f>
        <v/>
      </c>
      <c r="H281" s="1701"/>
      <c r="I281" s="1701"/>
      <c r="J281" s="1701"/>
      <c r="K281" s="1701" t="str">
        <f>IF(rng01_City52="","",rng01_City52)</f>
        <v/>
      </c>
      <c r="L281" s="1731" t="str">
        <f>IF(rng01_Zip52="","",rng01_Zip52)</f>
        <v/>
      </c>
      <c r="M281" s="1701"/>
      <c r="N281" s="1701"/>
      <c r="O281" s="1701" t="e">
        <v>#N/A</v>
      </c>
      <c r="P281" s="1685"/>
      <c r="Q281" s="1685"/>
      <c r="R281" s="1685"/>
      <c r="S281" s="1685"/>
      <c r="T281" s="1685"/>
      <c r="U281" s="1685"/>
      <c r="V281" s="1685"/>
      <c r="W281" s="1685"/>
      <c r="X281" s="1685"/>
      <c r="Y281" s="1685"/>
      <c r="Z281" s="1685"/>
      <c r="AA281" s="1685"/>
      <c r="AB281" s="1685"/>
      <c r="AC281" s="1685"/>
      <c r="AD281" s="2069"/>
      <c r="AE281" s="2073"/>
      <c r="AF281" s="1685"/>
      <c r="AG281" s="1685"/>
      <c r="AM281" s="1703" t="str">
        <f t="shared" si="32"/>
        <v/>
      </c>
      <c r="AN281" s="1703"/>
      <c r="AO281" s="1703"/>
      <c r="AP281" s="1703" t="str">
        <f t="shared" si="30"/>
        <v/>
      </c>
      <c r="AQ281" s="1703" t="str">
        <f t="shared" si="31"/>
        <v/>
      </c>
      <c r="AR281" s="1703"/>
      <c r="AS281" s="1703"/>
      <c r="AT281" s="1703" t="e">
        <v>#N/A</v>
      </c>
      <c r="BQ281" s="1685"/>
      <c r="BW281" s="1703" t="str">
        <f t="shared" si="29"/>
        <v/>
      </c>
    </row>
    <row r="282" spans="1:75" ht="15">
      <c r="A282" s="1685"/>
      <c r="B282" s="1685"/>
      <c r="C282" s="1685"/>
      <c r="D282" s="1685"/>
      <c r="E282" s="1685"/>
      <c r="F282" s="1685">
        <v>53</v>
      </c>
      <c r="G282" s="1701" t="str">
        <f>IF(rng01_Address53="","",rng01_Address53)</f>
        <v/>
      </c>
      <c r="H282" s="1701"/>
      <c r="I282" s="1701"/>
      <c r="J282" s="1701"/>
      <c r="K282" s="1701" t="str">
        <f>IF(rng01_City53="","",rng01_City53)</f>
        <v/>
      </c>
      <c r="L282" s="1731" t="str">
        <f>IF(rng01_Zip53="","",rng01_Zip53)</f>
        <v/>
      </c>
      <c r="M282" s="1701"/>
      <c r="N282" s="1701"/>
      <c r="O282" s="1701" t="e">
        <v>#N/A</v>
      </c>
      <c r="P282" s="1685"/>
      <c r="Q282" s="1685"/>
      <c r="R282" s="1685"/>
      <c r="S282" s="1685"/>
      <c r="T282" s="1685"/>
      <c r="U282" s="1685"/>
      <c r="V282" s="1685"/>
      <c r="W282" s="1685"/>
      <c r="X282" s="1685"/>
      <c r="Y282" s="1685"/>
      <c r="Z282" s="1685"/>
      <c r="AA282" s="1685"/>
      <c r="AB282" s="1685"/>
      <c r="AC282" s="1685"/>
      <c r="AD282" s="2069"/>
      <c r="AE282" s="2073"/>
      <c r="AF282" s="1685"/>
      <c r="AG282" s="1685"/>
      <c r="AM282" s="1703" t="str">
        <f t="shared" si="32"/>
        <v/>
      </c>
      <c r="AN282" s="1703"/>
      <c r="AO282" s="1703"/>
      <c r="AP282" s="1703" t="str">
        <f t="shared" si="30"/>
        <v/>
      </c>
      <c r="AQ282" s="1703" t="str">
        <f t="shared" si="31"/>
        <v/>
      </c>
      <c r="AR282" s="1703"/>
      <c r="AS282" s="1703"/>
      <c r="AT282" s="1703" t="e">
        <v>#N/A</v>
      </c>
      <c r="BQ282" s="1685"/>
      <c r="BW282" s="1703" t="str">
        <f t="shared" si="29"/>
        <v/>
      </c>
    </row>
    <row r="283" spans="1:75" ht="15">
      <c r="A283" s="1685"/>
      <c r="B283" s="1685"/>
      <c r="C283" s="1685"/>
      <c r="D283" s="1685"/>
      <c r="E283" s="1685"/>
      <c r="F283" s="1685">
        <v>54</v>
      </c>
      <c r="G283" s="1701" t="str">
        <f>IF(rng01_Address54="","",rng01_Address54)</f>
        <v/>
      </c>
      <c r="H283" s="1701"/>
      <c r="I283" s="1701"/>
      <c r="J283" s="1701"/>
      <c r="K283" s="1701" t="str">
        <f>IF(rng01_City54="","",rng01_City54)</f>
        <v/>
      </c>
      <c r="L283" s="1731" t="str">
        <f>IF(rng01_Zip54="","",rng01_Zip54)</f>
        <v/>
      </c>
      <c r="M283" s="1701"/>
      <c r="N283" s="1701"/>
      <c r="O283" s="1701" t="e">
        <v>#N/A</v>
      </c>
      <c r="P283" s="1685"/>
      <c r="Q283" s="1685"/>
      <c r="R283" s="1685"/>
      <c r="S283" s="1685"/>
      <c r="T283" s="1685"/>
      <c r="U283" s="1685"/>
      <c r="V283" s="1685"/>
      <c r="W283" s="1685"/>
      <c r="X283" s="1685"/>
      <c r="Y283" s="1685"/>
      <c r="Z283" s="1685"/>
      <c r="AA283" s="1685"/>
      <c r="AB283" s="1685"/>
      <c r="AC283" s="1685"/>
      <c r="AD283" s="2069"/>
      <c r="AE283" s="2073"/>
      <c r="AF283" s="1685"/>
      <c r="AG283" s="1685"/>
      <c r="AM283" s="1703" t="str">
        <f t="shared" si="32"/>
        <v/>
      </c>
      <c r="AN283" s="1703"/>
      <c r="AO283" s="1703"/>
      <c r="AP283" s="1703" t="str">
        <f t="shared" si="30"/>
        <v/>
      </c>
      <c r="AQ283" s="1703" t="str">
        <f t="shared" si="31"/>
        <v/>
      </c>
      <c r="AR283" s="1703"/>
      <c r="AS283" s="1703"/>
      <c r="AT283" s="1703" t="e">
        <v>#N/A</v>
      </c>
      <c r="BQ283" s="1685"/>
      <c r="BW283" s="1703" t="str">
        <f t="shared" si="29"/>
        <v/>
      </c>
    </row>
    <row r="284" spans="1:75" ht="15">
      <c r="A284" s="1685"/>
      <c r="B284" s="1685"/>
      <c r="C284" s="1685"/>
      <c r="D284" s="1685"/>
      <c r="E284" s="1685"/>
      <c r="F284" s="1685">
        <v>55</v>
      </c>
      <c r="G284" s="1701" t="str">
        <f>IF(rng01_Address55="","",rng01_Address55)</f>
        <v/>
      </c>
      <c r="H284" s="1701"/>
      <c r="I284" s="1701"/>
      <c r="J284" s="1701"/>
      <c r="K284" s="1701" t="str">
        <f>IF(rng01_City55="","",rng01_City55)</f>
        <v/>
      </c>
      <c r="L284" s="1731" t="str">
        <f>IF(rng01_Zip55="","",rng01_Zip55)</f>
        <v/>
      </c>
      <c r="M284" s="1701"/>
      <c r="N284" s="1701"/>
      <c r="O284" s="1701" t="e">
        <v>#N/A</v>
      </c>
      <c r="P284" s="1685"/>
      <c r="Q284" s="1685"/>
      <c r="R284" s="1685"/>
      <c r="S284" s="1685"/>
      <c r="T284" s="1685"/>
      <c r="U284" s="1685"/>
      <c r="V284" s="1685"/>
      <c r="W284" s="1685"/>
      <c r="X284" s="1685"/>
      <c r="Y284" s="1685"/>
      <c r="Z284" s="1685"/>
      <c r="AA284" s="1685"/>
      <c r="AB284" s="1685"/>
      <c r="AC284" s="1685"/>
      <c r="AD284" s="2069"/>
      <c r="AE284" s="2073"/>
      <c r="AF284" s="1685"/>
      <c r="AG284" s="1685"/>
      <c r="AM284" s="1703" t="str">
        <f t="shared" si="32"/>
        <v/>
      </c>
      <c r="AN284" s="1703"/>
      <c r="AO284" s="1703"/>
      <c r="AP284" s="1703" t="str">
        <f t="shared" si="30"/>
        <v/>
      </c>
      <c r="AQ284" s="1703" t="str">
        <f t="shared" si="31"/>
        <v/>
      </c>
      <c r="AR284" s="1703"/>
      <c r="AS284" s="1703"/>
      <c r="AT284" s="1703" t="e">
        <v>#N/A</v>
      </c>
      <c r="BQ284" s="1685"/>
      <c r="BW284" s="1703" t="str">
        <f t="shared" si="29"/>
        <v/>
      </c>
    </row>
    <row r="285" spans="1:75" ht="15">
      <c r="A285" s="1685"/>
      <c r="B285" s="1685"/>
      <c r="C285" s="1685"/>
      <c r="D285" s="1685"/>
      <c r="E285" s="1685"/>
      <c r="F285" s="1685">
        <v>56</v>
      </c>
      <c r="G285" s="1701" t="str">
        <f>IF(rng01_Address56="","",rng01_Address56)</f>
        <v/>
      </c>
      <c r="H285" s="1701"/>
      <c r="I285" s="1701"/>
      <c r="J285" s="1701"/>
      <c r="K285" s="1701" t="str">
        <f>IF(rng01_City56="","",rng01_City56)</f>
        <v/>
      </c>
      <c r="L285" s="1731" t="str">
        <f>IF(rng01_Zip56="","",rng01_Zip56)</f>
        <v/>
      </c>
      <c r="M285" s="1701"/>
      <c r="N285" s="1701"/>
      <c r="O285" s="1701" t="e">
        <v>#N/A</v>
      </c>
      <c r="P285" s="1685"/>
      <c r="Q285" s="1685"/>
      <c r="R285" s="1685"/>
      <c r="S285" s="1685"/>
      <c r="T285" s="1685"/>
      <c r="U285" s="1685"/>
      <c r="V285" s="1685"/>
      <c r="W285" s="1685"/>
      <c r="X285" s="1685"/>
      <c r="Y285" s="1685"/>
      <c r="Z285" s="1685"/>
      <c r="AA285" s="1685"/>
      <c r="AB285" s="1685"/>
      <c r="AC285" s="1685"/>
      <c r="AD285" s="2069"/>
      <c r="AE285" s="2073"/>
      <c r="AF285" s="1685"/>
      <c r="AG285" s="1685"/>
      <c r="AM285" s="1703" t="str">
        <f t="shared" si="32"/>
        <v/>
      </c>
      <c r="AN285" s="1703"/>
      <c r="AO285" s="1703"/>
      <c r="AP285" s="1703" t="str">
        <f t="shared" si="30"/>
        <v/>
      </c>
      <c r="AQ285" s="1703" t="str">
        <f t="shared" si="31"/>
        <v/>
      </c>
      <c r="AR285" s="1703"/>
      <c r="AS285" s="1703"/>
      <c r="AT285" s="1703" t="e">
        <v>#N/A</v>
      </c>
      <c r="BQ285" s="1685"/>
      <c r="BW285" s="1703" t="str">
        <f t="shared" si="29"/>
        <v/>
      </c>
    </row>
    <row r="286" spans="1:75" ht="15">
      <c r="A286" s="1685"/>
      <c r="B286" s="1685"/>
      <c r="C286" s="1685"/>
      <c r="D286" s="1685"/>
      <c r="E286" s="1685"/>
      <c r="F286" s="1685">
        <v>57</v>
      </c>
      <c r="G286" s="1701" t="str">
        <f>IF(rng01_Address57="","",rng01_Address57)</f>
        <v/>
      </c>
      <c r="H286" s="1701"/>
      <c r="I286" s="1701"/>
      <c r="J286" s="1701"/>
      <c r="K286" s="1701" t="str">
        <f>IF(rng01_City57="","",rng01_City57)</f>
        <v/>
      </c>
      <c r="L286" s="1731" t="str">
        <f>IF(rng01_Zip57="","",rng01_Zip57)</f>
        <v/>
      </c>
      <c r="M286" s="1701"/>
      <c r="N286" s="1701"/>
      <c r="O286" s="1701" t="e">
        <v>#N/A</v>
      </c>
      <c r="P286" s="1685"/>
      <c r="Q286" s="1685"/>
      <c r="R286" s="1685"/>
      <c r="S286" s="1685"/>
      <c r="T286" s="1685"/>
      <c r="U286" s="1685"/>
      <c r="V286" s="1685"/>
      <c r="W286" s="1685"/>
      <c r="X286" s="1685"/>
      <c r="Y286" s="1685"/>
      <c r="Z286" s="1685"/>
      <c r="AA286" s="1685"/>
      <c r="AB286" s="1685"/>
      <c r="AC286" s="1685"/>
      <c r="AD286" s="2069"/>
      <c r="AE286" s="2073"/>
      <c r="AF286" s="1685"/>
      <c r="AG286" s="1685"/>
      <c r="AM286" s="1703" t="str">
        <f t="shared" si="32"/>
        <v/>
      </c>
      <c r="AN286" s="1703"/>
      <c r="AO286" s="1703"/>
      <c r="AP286" s="1703" t="str">
        <f t="shared" si="30"/>
        <v/>
      </c>
      <c r="AQ286" s="1703" t="str">
        <f t="shared" si="31"/>
        <v/>
      </c>
      <c r="AR286" s="1703"/>
      <c r="AS286" s="1703"/>
      <c r="AT286" s="1703" t="e">
        <v>#N/A</v>
      </c>
      <c r="BQ286" s="1685"/>
      <c r="BW286" s="1703" t="str">
        <f t="shared" si="29"/>
        <v/>
      </c>
    </row>
    <row r="287" spans="1:75" ht="15">
      <c r="A287" s="1685"/>
      <c r="B287" s="1685"/>
      <c r="C287" s="1685"/>
      <c r="D287" s="1685"/>
      <c r="E287" s="1685"/>
      <c r="F287" s="1685">
        <v>58</v>
      </c>
      <c r="G287" s="1701" t="str">
        <f>IF(rng01_Address58="","",rng01_Address58)</f>
        <v/>
      </c>
      <c r="H287" s="1701"/>
      <c r="I287" s="1701"/>
      <c r="J287" s="1701"/>
      <c r="K287" s="1701" t="str">
        <f>IF(rng01_City58="","",rng01_City58)</f>
        <v/>
      </c>
      <c r="L287" s="1731" t="str">
        <f>IF(rng01_Zip58="","",rng01_Zip58)</f>
        <v/>
      </c>
      <c r="M287" s="1701"/>
      <c r="N287" s="1701"/>
      <c r="O287" s="1701" t="e">
        <v>#N/A</v>
      </c>
      <c r="P287" s="1685"/>
      <c r="Q287" s="1685"/>
      <c r="R287" s="1685"/>
      <c r="S287" s="1685"/>
      <c r="T287" s="1685"/>
      <c r="U287" s="1685"/>
      <c r="V287" s="1685"/>
      <c r="W287" s="1685"/>
      <c r="X287" s="1685"/>
      <c r="Y287" s="1685"/>
      <c r="Z287" s="1685"/>
      <c r="AA287" s="1685"/>
      <c r="AB287" s="1685"/>
      <c r="AC287" s="1685"/>
      <c r="AD287" s="2069"/>
      <c r="AE287" s="2073"/>
      <c r="AF287" s="1685"/>
      <c r="AG287" s="1685"/>
      <c r="AM287" s="1703" t="str">
        <f t="shared" si="32"/>
        <v/>
      </c>
      <c r="AN287" s="1703"/>
      <c r="AO287" s="1703"/>
      <c r="AP287" s="1703" t="str">
        <f t="shared" si="30"/>
        <v/>
      </c>
      <c r="AQ287" s="1703" t="str">
        <f t="shared" si="31"/>
        <v/>
      </c>
      <c r="AR287" s="1703"/>
      <c r="AS287" s="1703"/>
      <c r="AT287" s="1703" t="e">
        <v>#N/A</v>
      </c>
      <c r="BQ287" s="1685"/>
      <c r="BW287" s="1703" t="str">
        <f t="shared" si="29"/>
        <v/>
      </c>
    </row>
    <row r="288" spans="1:75" ht="15">
      <c r="A288" s="1685"/>
      <c r="B288" s="1685"/>
      <c r="C288" s="1685"/>
      <c r="D288" s="1685"/>
      <c r="E288" s="1685"/>
      <c r="F288" s="1685">
        <v>59</v>
      </c>
      <c r="G288" s="1701" t="str">
        <f>IF(rng01_Address59="","",rng01_Address59)</f>
        <v/>
      </c>
      <c r="H288" s="1701"/>
      <c r="I288" s="1701"/>
      <c r="J288" s="1701"/>
      <c r="K288" s="1701" t="str">
        <f>IF(rng01_City59="","",rng01_City59)</f>
        <v/>
      </c>
      <c r="L288" s="1731" t="str">
        <f>IF(rng01_Zip6="","",rng01_Zip6)</f>
        <v/>
      </c>
      <c r="M288" s="1701"/>
      <c r="N288" s="1701"/>
      <c r="O288" s="1701" t="e">
        <v>#N/A</v>
      </c>
      <c r="P288" s="1685"/>
      <c r="Q288" s="1685"/>
      <c r="R288" s="1685"/>
      <c r="S288" s="1685"/>
      <c r="T288" s="1685"/>
      <c r="U288" s="1685"/>
      <c r="V288" s="1685"/>
      <c r="W288" s="1685"/>
      <c r="X288" s="1685"/>
      <c r="Y288" s="1685"/>
      <c r="Z288" s="1685"/>
      <c r="AA288" s="1685"/>
      <c r="AB288" s="1685"/>
      <c r="AC288" s="1685"/>
      <c r="AD288" s="2069"/>
      <c r="AE288" s="2073"/>
      <c r="AF288" s="1685"/>
      <c r="AG288" s="1685"/>
      <c r="AM288" s="1703" t="str">
        <f t="shared" si="32"/>
        <v/>
      </c>
      <c r="AN288" s="1703"/>
      <c r="AO288" s="1703"/>
      <c r="AP288" s="1703" t="str">
        <f t="shared" si="30"/>
        <v/>
      </c>
      <c r="AQ288" s="1703" t="str">
        <f t="shared" si="31"/>
        <v/>
      </c>
      <c r="AR288" s="1703"/>
      <c r="AS288" s="1703"/>
      <c r="AT288" s="1703" t="e">
        <v>#N/A</v>
      </c>
      <c r="BQ288" s="1685"/>
      <c r="BW288" s="1703" t="str">
        <f t="shared" si="29"/>
        <v/>
      </c>
    </row>
    <row r="289" spans="1:75" ht="15">
      <c r="A289" s="1685"/>
      <c r="B289" s="1685"/>
      <c r="C289" s="1685"/>
      <c r="D289" s="1685"/>
      <c r="E289" s="1685"/>
      <c r="F289" s="1685">
        <v>60</v>
      </c>
      <c r="G289" s="1701" t="str">
        <f>IF(rng01_Address60="","",rng01_Address60)</f>
        <v/>
      </c>
      <c r="H289" s="1701"/>
      <c r="I289" s="1701"/>
      <c r="J289" s="1701"/>
      <c r="K289" s="1701" t="str">
        <f>IF(rng01_City60="","",rng01_City60)</f>
        <v/>
      </c>
      <c r="L289" s="1731" t="str">
        <f>IF(rng01_Zip60="","",rng01_Zip60)</f>
        <v/>
      </c>
      <c r="M289" s="1701"/>
      <c r="N289" s="1701"/>
      <c r="O289" s="1701" t="e">
        <v>#N/A</v>
      </c>
      <c r="P289" s="1685"/>
      <c r="Q289" s="1685"/>
      <c r="R289" s="1685"/>
      <c r="S289" s="1685"/>
      <c r="T289" s="1685"/>
      <c r="U289" s="1685"/>
      <c r="V289" s="1685"/>
      <c r="W289" s="1685"/>
      <c r="X289" s="1685"/>
      <c r="Y289" s="1685"/>
      <c r="Z289" s="1685"/>
      <c r="AA289" s="1685"/>
      <c r="AB289" s="1685"/>
      <c r="AC289" s="1685"/>
      <c r="AD289" s="2069"/>
      <c r="AE289" s="2073"/>
      <c r="AF289" s="1685"/>
      <c r="AG289" s="1685"/>
      <c r="AM289" s="1703" t="str">
        <f t="shared" si="32"/>
        <v/>
      </c>
      <c r="AN289" s="1703"/>
      <c r="AO289" s="1703"/>
      <c r="AP289" s="1703" t="str">
        <f t="shared" si="30"/>
        <v/>
      </c>
      <c r="AQ289" s="1703" t="str">
        <f t="shared" si="31"/>
        <v/>
      </c>
      <c r="AR289" s="1703"/>
      <c r="AS289" s="1703"/>
      <c r="AT289" s="1703" t="e">
        <v>#N/A</v>
      </c>
      <c r="BQ289" s="1685"/>
      <c r="BW289" s="1703" t="str">
        <f t="shared" si="29"/>
        <v/>
      </c>
    </row>
    <row r="290" spans="1:75" ht="15">
      <c r="A290" s="1685"/>
      <c r="B290" s="1685"/>
      <c r="C290" s="1685"/>
      <c r="D290" s="1685"/>
      <c r="E290" s="1685"/>
      <c r="F290" s="1685">
        <v>61</v>
      </c>
      <c r="G290" s="1701" t="str">
        <f>IF(rng01_Address61="","",rng01_Address61)</f>
        <v/>
      </c>
      <c r="H290" s="1701"/>
      <c r="I290" s="1701"/>
      <c r="J290" s="1701"/>
      <c r="K290" s="1701" t="str">
        <f>IF(rng01_City61="","",rng01_City61)</f>
        <v/>
      </c>
      <c r="L290" s="1731" t="str">
        <f>IF(rng01_Zip61="","",rng01_Zip61)</f>
        <v/>
      </c>
      <c r="M290" s="1701"/>
      <c r="N290" s="1701"/>
      <c r="O290" s="1701" t="e">
        <v>#N/A</v>
      </c>
      <c r="P290" s="1685"/>
      <c r="Q290" s="1685"/>
      <c r="R290" s="1685"/>
      <c r="S290" s="1685"/>
      <c r="T290" s="1685"/>
      <c r="U290" s="1685"/>
      <c r="V290" s="1685"/>
      <c r="W290" s="1685"/>
      <c r="X290" s="1685"/>
      <c r="Y290" s="1685"/>
      <c r="Z290" s="1685"/>
      <c r="AA290" s="1685"/>
      <c r="AB290" s="1685"/>
      <c r="AC290" s="1685"/>
      <c r="AD290" s="2069"/>
      <c r="AE290" s="2073"/>
      <c r="AF290" s="1685"/>
      <c r="AG290" s="1685"/>
      <c r="AM290" s="1703" t="str">
        <f t="shared" si="32"/>
        <v/>
      </c>
      <c r="AN290" s="1703"/>
      <c r="AO290" s="1703"/>
      <c r="AP290" s="1703" t="str">
        <f t="shared" si="30"/>
        <v/>
      </c>
      <c r="AQ290" s="1703" t="str">
        <f t="shared" si="31"/>
        <v/>
      </c>
      <c r="AR290" s="1703"/>
      <c r="AS290" s="1703"/>
      <c r="AT290" s="1703" t="e">
        <v>#N/A</v>
      </c>
      <c r="BQ290" s="1685"/>
      <c r="BW290" s="1703" t="str">
        <f t="shared" si="29"/>
        <v/>
      </c>
    </row>
    <row r="291" spans="1:75" ht="15">
      <c r="A291" s="1685"/>
      <c r="B291" s="1685"/>
      <c r="C291" s="1685"/>
      <c r="D291" s="1685"/>
      <c r="E291" s="1685"/>
      <c r="F291" s="1685">
        <v>62</v>
      </c>
      <c r="G291" s="1701" t="str">
        <f>IF(rng01_Address62="","",rng01_Address62)</f>
        <v/>
      </c>
      <c r="H291" s="1701"/>
      <c r="I291" s="1701"/>
      <c r="J291" s="1701"/>
      <c r="K291" s="1701" t="str">
        <f>IF(rng01_City62="","",rng01_City62)</f>
        <v/>
      </c>
      <c r="L291" s="1731" t="str">
        <f>IF(rng01_Zip62="","",rng01_Zip62)</f>
        <v/>
      </c>
      <c r="M291" s="1701"/>
      <c r="N291" s="1701"/>
      <c r="O291" s="1701" t="e">
        <v>#N/A</v>
      </c>
      <c r="P291" s="1685"/>
      <c r="Q291" s="1685"/>
      <c r="R291" s="1685"/>
      <c r="S291" s="1685"/>
      <c r="T291" s="1685"/>
      <c r="U291" s="1685"/>
      <c r="V291" s="1685"/>
      <c r="W291" s="1685"/>
      <c r="X291" s="1685"/>
      <c r="Y291" s="1685"/>
      <c r="Z291" s="1685"/>
      <c r="AA291" s="1685"/>
      <c r="AB291" s="1685"/>
      <c r="AC291" s="1685"/>
      <c r="AD291" s="2069"/>
      <c r="AE291" s="2073"/>
      <c r="AF291" s="1685"/>
      <c r="AG291" s="1685"/>
      <c r="AM291" s="1703" t="str">
        <f t="shared" si="32"/>
        <v/>
      </c>
      <c r="AN291" s="1703"/>
      <c r="AO291" s="1703"/>
      <c r="AP291" s="1703" t="str">
        <f t="shared" si="30"/>
        <v/>
      </c>
      <c r="AQ291" s="1703" t="str">
        <f t="shared" si="31"/>
        <v/>
      </c>
      <c r="AR291" s="1703"/>
      <c r="AS291" s="1703"/>
      <c r="AT291" s="1703" t="e">
        <v>#N/A</v>
      </c>
      <c r="BQ291" s="1685"/>
      <c r="BW291" s="1703" t="str">
        <f t="shared" si="29"/>
        <v/>
      </c>
    </row>
    <row r="292" spans="1:75" ht="15">
      <c r="A292" s="1685"/>
      <c r="B292" s="1685"/>
      <c r="C292" s="1685"/>
      <c r="D292" s="1685"/>
      <c r="E292" s="1685"/>
      <c r="F292" s="1685">
        <v>63</v>
      </c>
      <c r="G292" s="1701" t="str">
        <f>IF(rng01_Address63="","",rng01_Address63)</f>
        <v/>
      </c>
      <c r="H292" s="1701"/>
      <c r="I292" s="1701"/>
      <c r="J292" s="1701"/>
      <c r="K292" s="1701" t="str">
        <f>IF(rng01_City63="","",rng01_City63)</f>
        <v/>
      </c>
      <c r="L292" s="1731" t="str">
        <f>IF(rng01_Zip63="","",rng01_Zip63)</f>
        <v/>
      </c>
      <c r="M292" s="1701"/>
      <c r="N292" s="1701"/>
      <c r="O292" s="1701" t="e">
        <v>#N/A</v>
      </c>
      <c r="P292" s="1685"/>
      <c r="Q292" s="1685"/>
      <c r="R292" s="1685"/>
      <c r="S292" s="1685"/>
      <c r="T292" s="1685"/>
      <c r="U292" s="1685"/>
      <c r="V292" s="1685"/>
      <c r="W292" s="1685"/>
      <c r="X292" s="1685"/>
      <c r="Y292" s="1685"/>
      <c r="Z292" s="1685"/>
      <c r="AA292" s="1685"/>
      <c r="AB292" s="1685"/>
      <c r="AC292" s="1685"/>
      <c r="AD292" s="2069"/>
      <c r="AE292" s="2073"/>
      <c r="AF292" s="1685"/>
      <c r="AG292" s="1685"/>
      <c r="AM292" s="1703" t="str">
        <f t="shared" si="32"/>
        <v/>
      </c>
      <c r="AN292" s="1703"/>
      <c r="AO292" s="1703"/>
      <c r="AP292" s="1703" t="str">
        <f t="shared" si="30"/>
        <v/>
      </c>
      <c r="AQ292" s="1703" t="str">
        <f t="shared" si="31"/>
        <v/>
      </c>
      <c r="AR292" s="1703"/>
      <c r="AS292" s="1703"/>
      <c r="AT292" s="1703" t="e">
        <v>#N/A</v>
      </c>
      <c r="BQ292" s="1685"/>
      <c r="BW292" s="1703" t="str">
        <f t="shared" si="29"/>
        <v/>
      </c>
    </row>
    <row r="293" spans="1:75" ht="15">
      <c r="A293" s="1685"/>
      <c r="B293" s="1685"/>
      <c r="C293" s="1685"/>
      <c r="D293" s="1685"/>
      <c r="E293" s="1685"/>
      <c r="F293" s="1685">
        <v>64</v>
      </c>
      <c r="G293" s="1701" t="str">
        <f>IF(rng01_Address64="","",rng01_Address64)</f>
        <v/>
      </c>
      <c r="H293" s="1701"/>
      <c r="I293" s="1701"/>
      <c r="J293" s="1701"/>
      <c r="K293" s="1701" t="str">
        <f>IF(rng01_City64="","",rng01_City64)</f>
        <v/>
      </c>
      <c r="L293" s="1731" t="str">
        <f>IF(rng01_Zip64="","",rng01_Zip64)</f>
        <v/>
      </c>
      <c r="M293" s="1701"/>
      <c r="N293" s="1701"/>
      <c r="O293" s="1701" t="e">
        <v>#N/A</v>
      </c>
      <c r="P293" s="1685"/>
      <c r="Q293" s="1685"/>
      <c r="R293" s="1685"/>
      <c r="S293" s="1685"/>
      <c r="T293" s="1685"/>
      <c r="U293" s="1685"/>
      <c r="V293" s="1685"/>
      <c r="W293" s="1685"/>
      <c r="X293" s="1685"/>
      <c r="Y293" s="1685"/>
      <c r="Z293" s="1685"/>
      <c r="AA293" s="1685"/>
      <c r="AB293" s="1685"/>
      <c r="AC293" s="1685"/>
      <c r="AD293" s="2069"/>
      <c r="AE293" s="2073"/>
      <c r="AF293" s="1685"/>
      <c r="AG293" s="1685"/>
      <c r="AM293" s="1703" t="str">
        <f t="shared" si="32"/>
        <v/>
      </c>
      <c r="AN293" s="1703"/>
      <c r="AO293" s="1703"/>
      <c r="AP293" s="1703" t="str">
        <f t="shared" si="30"/>
        <v/>
      </c>
      <c r="AQ293" s="1703" t="str">
        <f t="shared" si="31"/>
        <v/>
      </c>
      <c r="AR293" s="1703"/>
      <c r="AS293" s="1703"/>
      <c r="AT293" s="1703" t="e">
        <v>#N/A</v>
      </c>
      <c r="BQ293" s="1685"/>
      <c r="BW293" s="1703" t="str">
        <f t="shared" si="29"/>
        <v/>
      </c>
    </row>
    <row r="294" spans="1:75" ht="15">
      <c r="A294" s="1685"/>
      <c r="B294" s="1685"/>
      <c r="C294" s="1685"/>
      <c r="D294" s="1685"/>
      <c r="E294" s="1685"/>
      <c r="F294" s="1685">
        <v>65</v>
      </c>
      <c r="G294" s="1701" t="str">
        <f>IF(rng01_Address65="","",rng01_Address65)</f>
        <v/>
      </c>
      <c r="H294" s="1701"/>
      <c r="I294" s="1701"/>
      <c r="J294" s="1701"/>
      <c r="K294" s="1701" t="str">
        <f>IF(rng01_City65="","",rng01_City65)</f>
        <v/>
      </c>
      <c r="L294" s="1731" t="str">
        <f>IF(rng01_Zip65="","",rng01_Zip65)</f>
        <v/>
      </c>
      <c r="M294" s="1701"/>
      <c r="N294" s="1701"/>
      <c r="O294" s="1701" t="e">
        <v>#N/A</v>
      </c>
      <c r="P294" s="1685"/>
      <c r="Q294" s="1685"/>
      <c r="R294" s="1685"/>
      <c r="S294" s="1685"/>
      <c r="T294" s="1685"/>
      <c r="U294" s="1685"/>
      <c r="V294" s="1685"/>
      <c r="W294" s="1685"/>
      <c r="X294" s="1685"/>
      <c r="Y294" s="1685"/>
      <c r="Z294" s="1685"/>
      <c r="AA294" s="1685"/>
      <c r="AB294" s="1685"/>
      <c r="AC294" s="1685"/>
      <c r="AD294" s="2069"/>
      <c r="AE294" s="2073"/>
      <c r="AF294" s="1685"/>
      <c r="AG294" s="1685"/>
      <c r="AM294" s="1703" t="str">
        <f t="shared" si="32"/>
        <v/>
      </c>
      <c r="AN294" s="1703"/>
      <c r="AO294" s="1703"/>
      <c r="AP294" s="1703" t="str">
        <f t="shared" ref="AP294:AP309" si="33">IF(TCATrigger="No","",IF(K294="","",K294))</f>
        <v/>
      </c>
      <c r="AQ294" s="1703" t="str">
        <f t="shared" ref="AQ294:AQ309" si="34">IF(TCATrigger="No","",IF(L294="","",L294))</f>
        <v/>
      </c>
      <c r="AR294" s="1703"/>
      <c r="AS294" s="1703"/>
      <c r="AT294" s="1703" t="e">
        <v>#N/A</v>
      </c>
      <c r="BQ294" s="1685"/>
      <c r="BW294" s="1703" t="str">
        <f t="shared" si="29"/>
        <v/>
      </c>
    </row>
    <row r="295" spans="1:75" ht="15">
      <c r="A295" s="1685"/>
      <c r="B295" s="1685"/>
      <c r="C295" s="1685"/>
      <c r="D295" s="1685"/>
      <c r="E295" s="1685"/>
      <c r="F295" s="1685">
        <v>66</v>
      </c>
      <c r="G295" s="1701" t="str">
        <f>IF(rng01_Address66="","",rng01_Address66)</f>
        <v/>
      </c>
      <c r="H295" s="1701"/>
      <c r="I295" s="1701"/>
      <c r="J295" s="1701"/>
      <c r="K295" s="1701" t="str">
        <f>IF(rng01_City66="","",rng01_City66)</f>
        <v/>
      </c>
      <c r="L295" s="1731" t="str">
        <f>IF(rng01_Zip66="","",rng01_Zip66)</f>
        <v/>
      </c>
      <c r="M295" s="1701"/>
      <c r="N295" s="1701"/>
      <c r="O295" s="1701" t="e">
        <v>#N/A</v>
      </c>
      <c r="P295" s="1685"/>
      <c r="Q295" s="1685"/>
      <c r="R295" s="1685"/>
      <c r="S295" s="1685"/>
      <c r="T295" s="1685"/>
      <c r="U295" s="1685"/>
      <c r="V295" s="1685"/>
      <c r="W295" s="1685"/>
      <c r="X295" s="1685"/>
      <c r="Y295" s="1685"/>
      <c r="Z295" s="1685"/>
      <c r="AA295" s="1685"/>
      <c r="AB295" s="1685"/>
      <c r="AC295" s="1685"/>
      <c r="AD295" s="2069"/>
      <c r="AE295" s="2073"/>
      <c r="AF295" s="1685"/>
      <c r="AG295" s="1685"/>
      <c r="AM295" s="1703" t="str">
        <f t="shared" ref="AM295:AM309" si="35">IF(TCATrigger="No","",IF(G295="","",G295))</f>
        <v/>
      </c>
      <c r="AN295" s="1703"/>
      <c r="AO295" s="1703"/>
      <c r="AP295" s="1703" t="str">
        <f t="shared" si="33"/>
        <v/>
      </c>
      <c r="AQ295" s="1703" t="str">
        <f t="shared" si="34"/>
        <v/>
      </c>
      <c r="AR295" s="1703"/>
      <c r="AS295" s="1703"/>
      <c r="AT295" s="1703" t="e">
        <v>#N/A</v>
      </c>
      <c r="BQ295" s="1685"/>
      <c r="BW295" s="1703" t="str">
        <f t="shared" ref="BW295:BW309" si="36">IF(TCATrigger="No","",IF(AQ295="","",AQ295))</f>
        <v/>
      </c>
    </row>
    <row r="296" spans="1:75" ht="15">
      <c r="A296" s="1685"/>
      <c r="B296" s="1685"/>
      <c r="C296" s="1685"/>
      <c r="D296" s="1685"/>
      <c r="E296" s="1685"/>
      <c r="F296" s="1685">
        <v>67</v>
      </c>
      <c r="G296" s="1701" t="str">
        <f>IF(rng01_Address67="","",rng01_Address67)</f>
        <v/>
      </c>
      <c r="H296" s="1701"/>
      <c r="I296" s="1701"/>
      <c r="J296" s="1701"/>
      <c r="K296" s="1701" t="str">
        <f>IF(rng01_City67="","",rng01_City67)</f>
        <v/>
      </c>
      <c r="L296" s="1731" t="str">
        <f>IF(rng01_Zip67="","",rng01_Zip67)</f>
        <v/>
      </c>
      <c r="M296" s="1701"/>
      <c r="N296" s="1701"/>
      <c r="O296" s="1701" t="e">
        <v>#N/A</v>
      </c>
      <c r="P296" s="1685"/>
      <c r="Q296" s="1685"/>
      <c r="R296" s="1685"/>
      <c r="S296" s="1685"/>
      <c r="T296" s="1685"/>
      <c r="U296" s="1685"/>
      <c r="V296" s="1685"/>
      <c r="W296" s="1685"/>
      <c r="X296" s="1685"/>
      <c r="Y296" s="1685"/>
      <c r="Z296" s="1685"/>
      <c r="AA296" s="1685"/>
      <c r="AB296" s="1685"/>
      <c r="AC296" s="1685"/>
      <c r="AD296" s="2069"/>
      <c r="AE296" s="2073"/>
      <c r="AF296" s="1685"/>
      <c r="AG296" s="1685"/>
      <c r="AM296" s="1703" t="str">
        <f t="shared" si="35"/>
        <v/>
      </c>
      <c r="AN296" s="1703"/>
      <c r="AO296" s="1703"/>
      <c r="AP296" s="1703" t="str">
        <f t="shared" si="33"/>
        <v/>
      </c>
      <c r="AQ296" s="1703" t="str">
        <f t="shared" si="34"/>
        <v/>
      </c>
      <c r="AR296" s="1703"/>
      <c r="AS296" s="1703"/>
      <c r="AT296" s="1703" t="e">
        <v>#N/A</v>
      </c>
      <c r="BQ296" s="1685"/>
      <c r="BW296" s="1703" t="str">
        <f t="shared" si="36"/>
        <v/>
      </c>
    </row>
    <row r="297" spans="1:75" ht="15">
      <c r="A297" s="1685"/>
      <c r="B297" s="1685"/>
      <c r="C297" s="1685"/>
      <c r="D297" s="1685"/>
      <c r="E297" s="1685"/>
      <c r="F297" s="1685">
        <v>68</v>
      </c>
      <c r="G297" s="1701" t="str">
        <f>IF(rng01_Address68="","",rng01_Address68)</f>
        <v/>
      </c>
      <c r="H297" s="1701"/>
      <c r="I297" s="1701"/>
      <c r="J297" s="1701"/>
      <c r="K297" s="1701" t="str">
        <f>IF(rng01_City68="","",rng01_City68)</f>
        <v/>
      </c>
      <c r="L297" s="1731" t="str">
        <f>IF(rng01_Zip68="","",rng01_Zip68)</f>
        <v/>
      </c>
      <c r="M297" s="1701"/>
      <c r="N297" s="1701"/>
      <c r="O297" s="1701" t="e">
        <v>#N/A</v>
      </c>
      <c r="P297" s="1685"/>
      <c r="Q297" s="1685"/>
      <c r="R297" s="1685"/>
      <c r="S297" s="1685"/>
      <c r="T297" s="1685"/>
      <c r="U297" s="1685"/>
      <c r="V297" s="1685"/>
      <c r="W297" s="1685"/>
      <c r="X297" s="1685"/>
      <c r="Y297" s="1685"/>
      <c r="Z297" s="1685"/>
      <c r="AA297" s="1685"/>
      <c r="AB297" s="1685"/>
      <c r="AC297" s="1685"/>
      <c r="AD297" s="2069"/>
      <c r="AE297" s="2073"/>
      <c r="AF297" s="1685"/>
      <c r="AG297" s="1685"/>
      <c r="AM297" s="1703" t="str">
        <f t="shared" si="35"/>
        <v/>
      </c>
      <c r="AN297" s="1703"/>
      <c r="AO297" s="1703"/>
      <c r="AP297" s="1703" t="str">
        <f t="shared" si="33"/>
        <v/>
      </c>
      <c r="AQ297" s="1703" t="str">
        <f t="shared" si="34"/>
        <v/>
      </c>
      <c r="AR297" s="1703"/>
      <c r="AS297" s="1703"/>
      <c r="AT297" s="1703" t="e">
        <v>#N/A</v>
      </c>
      <c r="BQ297" s="1685"/>
      <c r="BW297" s="1703" t="str">
        <f t="shared" si="36"/>
        <v/>
      </c>
    </row>
    <row r="298" spans="1:75" ht="15">
      <c r="A298" s="1685"/>
      <c r="B298" s="1685"/>
      <c r="C298" s="1685"/>
      <c r="D298" s="1685"/>
      <c r="E298" s="1685"/>
      <c r="F298" s="1685">
        <v>69</v>
      </c>
      <c r="G298" s="1701" t="str">
        <f>IF(rng01_Address69="","",rng01_Address69)</f>
        <v/>
      </c>
      <c r="H298" s="1701"/>
      <c r="I298" s="1701"/>
      <c r="J298" s="1701"/>
      <c r="K298" s="1701" t="str">
        <f>IF(rng01_City69="","",rng01_City69)</f>
        <v/>
      </c>
      <c r="L298" s="1731" t="str">
        <f>IF(rng01_Zip69="","",rng01_Zip69)</f>
        <v/>
      </c>
      <c r="M298" s="1701"/>
      <c r="N298" s="1701"/>
      <c r="O298" s="1701" t="e">
        <v>#N/A</v>
      </c>
      <c r="P298" s="1685"/>
      <c r="Q298" s="1685"/>
      <c r="R298" s="1685"/>
      <c r="S298" s="1685"/>
      <c r="T298" s="1685"/>
      <c r="U298" s="1685"/>
      <c r="V298" s="1685"/>
      <c r="W298" s="1685"/>
      <c r="X298" s="1685"/>
      <c r="Y298" s="1685"/>
      <c r="Z298" s="1685"/>
      <c r="AA298" s="1685"/>
      <c r="AB298" s="1685"/>
      <c r="AC298" s="1685"/>
      <c r="AD298" s="2069"/>
      <c r="AE298" s="2073"/>
      <c r="AF298" s="1685"/>
      <c r="AG298" s="1685"/>
      <c r="AM298" s="1703" t="str">
        <f t="shared" si="35"/>
        <v/>
      </c>
      <c r="AN298" s="1703"/>
      <c r="AO298" s="1703"/>
      <c r="AP298" s="1703" t="str">
        <f t="shared" si="33"/>
        <v/>
      </c>
      <c r="AQ298" s="1703" t="str">
        <f t="shared" si="34"/>
        <v/>
      </c>
      <c r="AR298" s="1703"/>
      <c r="AS298" s="1703"/>
      <c r="AT298" s="1703" t="e">
        <v>#N/A</v>
      </c>
      <c r="BQ298" s="1685"/>
      <c r="BW298" s="1703" t="str">
        <f t="shared" si="36"/>
        <v/>
      </c>
    </row>
    <row r="299" spans="1:75" ht="15">
      <c r="A299" s="1685"/>
      <c r="B299" s="1685"/>
      <c r="C299" s="1685"/>
      <c r="D299" s="1685"/>
      <c r="E299" s="1685"/>
      <c r="F299" s="1685">
        <v>70</v>
      </c>
      <c r="G299" s="1701" t="str">
        <f>IF(rng01_Address70="","",rng01_Address70)</f>
        <v/>
      </c>
      <c r="H299" s="1701"/>
      <c r="I299" s="1701"/>
      <c r="J299" s="1701"/>
      <c r="K299" s="1701" t="str">
        <f>IF(rng01_City70="","",rng01_City70)</f>
        <v/>
      </c>
      <c r="L299" s="1731" t="str">
        <f>IF(rng01_Zip70="","",rng01_Zip70)</f>
        <v/>
      </c>
      <c r="M299" s="1701"/>
      <c r="N299" s="1701"/>
      <c r="O299" s="1701" t="e">
        <v>#N/A</v>
      </c>
      <c r="P299" s="1685"/>
      <c r="Q299" s="1685"/>
      <c r="R299" s="1685"/>
      <c r="S299" s="1685"/>
      <c r="T299" s="1685"/>
      <c r="U299" s="1685"/>
      <c r="V299" s="1685"/>
      <c r="W299" s="1685"/>
      <c r="X299" s="1685"/>
      <c r="Y299" s="1685"/>
      <c r="Z299" s="1685"/>
      <c r="AA299" s="1685"/>
      <c r="AB299" s="1685"/>
      <c r="AC299" s="1685"/>
      <c r="AD299" s="2069"/>
      <c r="AE299" s="2073"/>
      <c r="AF299" s="1685"/>
      <c r="AG299" s="1685"/>
      <c r="AM299" s="1703" t="str">
        <f t="shared" si="35"/>
        <v/>
      </c>
      <c r="AN299" s="1703"/>
      <c r="AO299" s="1703"/>
      <c r="AP299" s="1703" t="str">
        <f t="shared" si="33"/>
        <v/>
      </c>
      <c r="AQ299" s="1703" t="str">
        <f t="shared" si="34"/>
        <v/>
      </c>
      <c r="AR299" s="1703"/>
      <c r="AS299" s="1703"/>
      <c r="AT299" s="1703" t="e">
        <v>#N/A</v>
      </c>
      <c r="BQ299" s="1685"/>
      <c r="BW299" s="1703" t="str">
        <f t="shared" si="36"/>
        <v/>
      </c>
    </row>
    <row r="300" spans="1:75" ht="15">
      <c r="A300" s="1685"/>
      <c r="B300" s="1685"/>
      <c r="C300" s="1685"/>
      <c r="D300" s="1685"/>
      <c r="E300" s="1685"/>
      <c r="F300" s="1685">
        <v>71</v>
      </c>
      <c r="G300" s="1701" t="str">
        <f>IF(rng01_Address71="","",rng01_Address71)</f>
        <v/>
      </c>
      <c r="H300" s="1701"/>
      <c r="I300" s="1701"/>
      <c r="J300" s="1701"/>
      <c r="K300" s="1701" t="str">
        <f>IF(rng01_City71="","",rng01_City71)</f>
        <v/>
      </c>
      <c r="L300" s="1731" t="str">
        <f>IF(rng01_Zip71="","",rng01_Zip71)</f>
        <v/>
      </c>
      <c r="M300" s="1701"/>
      <c r="N300" s="1701"/>
      <c r="O300" s="1701" t="e">
        <v>#N/A</v>
      </c>
      <c r="P300" s="1685"/>
      <c r="Q300" s="1685"/>
      <c r="R300" s="1685"/>
      <c r="S300" s="1685"/>
      <c r="T300" s="1685"/>
      <c r="U300" s="1685"/>
      <c r="V300" s="1685"/>
      <c r="W300" s="1685"/>
      <c r="X300" s="1685"/>
      <c r="Y300" s="1685"/>
      <c r="Z300" s="1685"/>
      <c r="AA300" s="1685"/>
      <c r="AB300" s="1685"/>
      <c r="AC300" s="1685"/>
      <c r="AD300" s="2069"/>
      <c r="AE300" s="2073"/>
      <c r="AF300" s="1685"/>
      <c r="AG300" s="1685"/>
      <c r="AM300" s="1703" t="str">
        <f t="shared" si="35"/>
        <v/>
      </c>
      <c r="AN300" s="1703"/>
      <c r="AO300" s="1703"/>
      <c r="AP300" s="1703" t="str">
        <f t="shared" si="33"/>
        <v/>
      </c>
      <c r="AQ300" s="1703" t="str">
        <f t="shared" si="34"/>
        <v/>
      </c>
      <c r="AR300" s="1703"/>
      <c r="AS300" s="1703"/>
      <c r="AT300" s="1703" t="e">
        <v>#N/A</v>
      </c>
      <c r="BQ300" s="1685"/>
      <c r="BW300" s="1703" t="str">
        <f t="shared" si="36"/>
        <v/>
      </c>
    </row>
    <row r="301" spans="1:75" ht="15">
      <c r="A301" s="1685"/>
      <c r="B301" s="1685"/>
      <c r="C301" s="1685"/>
      <c r="D301" s="1685"/>
      <c r="E301" s="1685"/>
      <c r="F301" s="1685">
        <v>72</v>
      </c>
      <c r="G301" s="1701" t="str">
        <f>IF(rng01_Address72="","",rng01_Address72)</f>
        <v/>
      </c>
      <c r="H301" s="1701"/>
      <c r="I301" s="1701"/>
      <c r="J301" s="1701"/>
      <c r="K301" s="1701" t="str">
        <f>IF(rng01_City72="","",rng01_City72)</f>
        <v/>
      </c>
      <c r="L301" s="1731" t="str">
        <f>IF(rng01_Zip72="","",rng01_Zip72)</f>
        <v/>
      </c>
      <c r="M301" s="1701"/>
      <c r="N301" s="1701"/>
      <c r="O301" s="1701" t="e">
        <v>#N/A</v>
      </c>
      <c r="P301" s="1685"/>
      <c r="Q301" s="1685"/>
      <c r="R301" s="1685"/>
      <c r="S301" s="1685"/>
      <c r="T301" s="1685"/>
      <c r="U301" s="1685"/>
      <c r="V301" s="1685"/>
      <c r="W301" s="1685"/>
      <c r="X301" s="1685"/>
      <c r="Y301" s="1685"/>
      <c r="Z301" s="1685"/>
      <c r="AA301" s="1685"/>
      <c r="AB301" s="1685"/>
      <c r="AC301" s="1685"/>
      <c r="AD301" s="2069"/>
      <c r="AE301" s="2073"/>
      <c r="AF301" s="1685"/>
      <c r="AG301" s="1685"/>
      <c r="AM301" s="1703" t="str">
        <f t="shared" si="35"/>
        <v/>
      </c>
      <c r="AN301" s="1703"/>
      <c r="AO301" s="1703"/>
      <c r="AP301" s="1703" t="str">
        <f t="shared" si="33"/>
        <v/>
      </c>
      <c r="AQ301" s="1703" t="str">
        <f t="shared" si="34"/>
        <v/>
      </c>
      <c r="AR301" s="1703"/>
      <c r="AS301" s="1703"/>
      <c r="AT301" s="1703" t="e">
        <v>#N/A</v>
      </c>
      <c r="BQ301" s="1685"/>
      <c r="BW301" s="1703" t="str">
        <f t="shared" si="36"/>
        <v/>
      </c>
    </row>
    <row r="302" spans="1:75" ht="15">
      <c r="A302" s="1685"/>
      <c r="B302" s="1685"/>
      <c r="C302" s="1685"/>
      <c r="D302" s="1685"/>
      <c r="E302" s="1685"/>
      <c r="F302" s="1685">
        <v>73</v>
      </c>
      <c r="G302" s="1701" t="str">
        <f>IF(rng01_Address73="","",rng01_Address73)</f>
        <v/>
      </c>
      <c r="H302" s="1701"/>
      <c r="I302" s="1701"/>
      <c r="J302" s="1701"/>
      <c r="K302" s="1701" t="str">
        <f>IF(rng01_City73="","",rng01_City73)</f>
        <v/>
      </c>
      <c r="L302" s="1731" t="str">
        <f>IF(rng01_Zip73="","",rng01_Zip73)</f>
        <v/>
      </c>
      <c r="M302" s="1701"/>
      <c r="N302" s="1701"/>
      <c r="O302" s="1701" t="e">
        <v>#N/A</v>
      </c>
      <c r="P302" s="1685"/>
      <c r="Q302" s="1685"/>
      <c r="R302" s="1685"/>
      <c r="S302" s="1685"/>
      <c r="T302" s="1685"/>
      <c r="U302" s="1685"/>
      <c r="V302" s="1685"/>
      <c r="W302" s="1685"/>
      <c r="X302" s="1685"/>
      <c r="Y302" s="1685"/>
      <c r="Z302" s="1685"/>
      <c r="AA302" s="1685"/>
      <c r="AB302" s="1685"/>
      <c r="AC302" s="1685"/>
      <c r="AD302" s="2069"/>
      <c r="AE302" s="2073"/>
      <c r="AF302" s="1685"/>
      <c r="AG302" s="1685"/>
      <c r="AM302" s="1703" t="str">
        <f t="shared" si="35"/>
        <v/>
      </c>
      <c r="AN302" s="1703"/>
      <c r="AO302" s="1703"/>
      <c r="AP302" s="1703" t="str">
        <f t="shared" si="33"/>
        <v/>
      </c>
      <c r="AQ302" s="1703" t="str">
        <f t="shared" si="34"/>
        <v/>
      </c>
      <c r="AR302" s="1703"/>
      <c r="AS302" s="1703"/>
      <c r="AT302" s="1703" t="e">
        <v>#N/A</v>
      </c>
      <c r="BQ302" s="1685"/>
      <c r="BW302" s="1703" t="str">
        <f t="shared" si="36"/>
        <v/>
      </c>
    </row>
    <row r="303" spans="1:75" ht="15">
      <c r="A303" s="1685"/>
      <c r="B303" s="1685"/>
      <c r="C303" s="1685"/>
      <c r="D303" s="1685"/>
      <c r="E303" s="1685"/>
      <c r="F303" s="1685">
        <v>74</v>
      </c>
      <c r="G303" s="1701" t="str">
        <f>IF(rng01_Address74="","",rng01_Address74)</f>
        <v/>
      </c>
      <c r="H303" s="1701"/>
      <c r="I303" s="1701"/>
      <c r="J303" s="1701"/>
      <c r="K303" s="1701" t="str">
        <f>IF(rng01_City74="","",rng01_City74)</f>
        <v/>
      </c>
      <c r="L303" s="1731" t="str">
        <f>IF(rng01_Zip74="","",rng01_Zip74)</f>
        <v/>
      </c>
      <c r="M303" s="1701"/>
      <c r="N303" s="1701"/>
      <c r="O303" s="1701" t="e">
        <v>#N/A</v>
      </c>
      <c r="P303" s="1685"/>
      <c r="Q303" s="1685"/>
      <c r="R303" s="1685"/>
      <c r="S303" s="1685"/>
      <c r="T303" s="1685"/>
      <c r="U303" s="1685"/>
      <c r="V303" s="1685"/>
      <c r="W303" s="1685"/>
      <c r="X303" s="1685"/>
      <c r="Y303" s="1685"/>
      <c r="Z303" s="1685"/>
      <c r="AA303" s="1685"/>
      <c r="AB303" s="1685"/>
      <c r="AC303" s="1685"/>
      <c r="AD303" s="2069"/>
      <c r="AE303" s="2073"/>
      <c r="AF303" s="1685"/>
      <c r="AG303" s="1685"/>
      <c r="AM303" s="1703" t="str">
        <f t="shared" si="35"/>
        <v/>
      </c>
      <c r="AN303" s="1703"/>
      <c r="AO303" s="1703"/>
      <c r="AP303" s="1703" t="str">
        <f t="shared" si="33"/>
        <v/>
      </c>
      <c r="AQ303" s="1703" t="str">
        <f t="shared" si="34"/>
        <v/>
      </c>
      <c r="AR303" s="1703"/>
      <c r="AS303" s="1703"/>
      <c r="AT303" s="1703" t="e">
        <v>#N/A</v>
      </c>
      <c r="BQ303" s="1685"/>
      <c r="BW303" s="1703" t="str">
        <f t="shared" si="36"/>
        <v/>
      </c>
    </row>
    <row r="304" spans="1:75" ht="15">
      <c r="A304" s="1685"/>
      <c r="B304" s="1685"/>
      <c r="C304" s="1685"/>
      <c r="D304" s="1685"/>
      <c r="E304" s="1685"/>
      <c r="F304" s="1685">
        <v>75</v>
      </c>
      <c r="G304" s="1701" t="str">
        <f>IF(rng01_Address75="","",rng01_Address75)</f>
        <v/>
      </c>
      <c r="H304" s="1701"/>
      <c r="I304" s="1701"/>
      <c r="J304" s="1701"/>
      <c r="K304" s="1701" t="str">
        <f>IF(rng01_City75="","",rng01_City75)</f>
        <v/>
      </c>
      <c r="L304" s="1731" t="str">
        <f>IF(rng01_Zip75="","",rng01_Zip75)</f>
        <v/>
      </c>
      <c r="M304" s="1701"/>
      <c r="N304" s="1701"/>
      <c r="O304" s="1701" t="e">
        <v>#N/A</v>
      </c>
      <c r="P304" s="1685"/>
      <c r="Q304" s="1685"/>
      <c r="R304" s="1685"/>
      <c r="S304" s="1685"/>
      <c r="T304" s="1685"/>
      <c r="U304" s="1685"/>
      <c r="V304" s="1685"/>
      <c r="W304" s="1685"/>
      <c r="X304" s="1685"/>
      <c r="Y304" s="1685"/>
      <c r="Z304" s="1685"/>
      <c r="AA304" s="1685"/>
      <c r="AB304" s="1685"/>
      <c r="AC304" s="1685"/>
      <c r="AD304" s="2069"/>
      <c r="AE304" s="2073"/>
      <c r="AF304" s="1685"/>
      <c r="AG304" s="1685"/>
      <c r="AM304" s="1703" t="str">
        <f t="shared" si="35"/>
        <v/>
      </c>
      <c r="AN304" s="1703"/>
      <c r="AO304" s="1703"/>
      <c r="AP304" s="1703" t="str">
        <f t="shared" si="33"/>
        <v/>
      </c>
      <c r="AQ304" s="1703" t="str">
        <f t="shared" si="34"/>
        <v/>
      </c>
      <c r="AR304" s="1703"/>
      <c r="AS304" s="1703"/>
      <c r="AT304" s="1703" t="e">
        <v>#N/A</v>
      </c>
      <c r="BQ304" s="1685"/>
      <c r="BW304" s="1703" t="str">
        <f t="shared" si="36"/>
        <v/>
      </c>
    </row>
    <row r="305" spans="1:75" ht="15">
      <c r="A305" s="1685"/>
      <c r="B305" s="1685"/>
      <c r="C305" s="1685"/>
      <c r="D305" s="1685"/>
      <c r="E305" s="1685"/>
      <c r="F305" s="1685">
        <v>76</v>
      </c>
      <c r="G305" s="1701" t="str">
        <f>IF(rng01_Address76="","",rng01_Address76)</f>
        <v/>
      </c>
      <c r="H305" s="1701"/>
      <c r="I305" s="1701"/>
      <c r="J305" s="1701"/>
      <c r="K305" s="1701" t="str">
        <f>IF(rng01_City76="","",rng01_City76)</f>
        <v/>
      </c>
      <c r="L305" s="1731" t="str">
        <f>IF(rng01_Zip76="","",rng01_Zip76)</f>
        <v/>
      </c>
      <c r="M305" s="1701"/>
      <c r="N305" s="1701"/>
      <c r="O305" s="1701" t="e">
        <v>#N/A</v>
      </c>
      <c r="P305" s="1685"/>
      <c r="Q305" s="1685"/>
      <c r="R305" s="1685"/>
      <c r="S305" s="1685"/>
      <c r="T305" s="1685"/>
      <c r="U305" s="1685"/>
      <c r="V305" s="1685"/>
      <c r="W305" s="1685"/>
      <c r="X305" s="1685"/>
      <c r="Y305" s="1685"/>
      <c r="Z305" s="1685"/>
      <c r="AA305" s="1685"/>
      <c r="AB305" s="1685"/>
      <c r="AC305" s="1685"/>
      <c r="AD305" s="2069"/>
      <c r="AE305" s="2073"/>
      <c r="AF305" s="1685"/>
      <c r="AG305" s="1685"/>
      <c r="AM305" s="1703" t="str">
        <f t="shared" si="35"/>
        <v/>
      </c>
      <c r="AN305" s="1703"/>
      <c r="AO305" s="1703"/>
      <c r="AP305" s="1703" t="str">
        <f t="shared" si="33"/>
        <v/>
      </c>
      <c r="AQ305" s="1703" t="str">
        <f t="shared" si="34"/>
        <v/>
      </c>
      <c r="AR305" s="1703"/>
      <c r="AS305" s="1703"/>
      <c r="AT305" s="1703" t="e">
        <v>#N/A</v>
      </c>
      <c r="BQ305" s="1685"/>
      <c r="BW305" s="1703" t="str">
        <f t="shared" si="36"/>
        <v/>
      </c>
    </row>
    <row r="306" spans="1:75" ht="15">
      <c r="A306" s="1685"/>
      <c r="B306" s="1685"/>
      <c r="C306" s="1685"/>
      <c r="D306" s="1685"/>
      <c r="E306" s="1685"/>
      <c r="F306" s="1685">
        <v>77</v>
      </c>
      <c r="G306" s="1701" t="str">
        <f>IF(rng01_Address77="","",rng01_Address77)</f>
        <v/>
      </c>
      <c r="H306" s="1701"/>
      <c r="I306" s="1701"/>
      <c r="J306" s="1701"/>
      <c r="K306" s="1701" t="str">
        <f>IF(rng01_City77="","",rng01_City77)</f>
        <v/>
      </c>
      <c r="L306" s="1731" t="str">
        <f>IF(rng01_Zip77="","",rng01_Zip77)</f>
        <v/>
      </c>
      <c r="M306" s="1701"/>
      <c r="N306" s="1701"/>
      <c r="O306" s="1701" t="e">
        <v>#N/A</v>
      </c>
      <c r="P306" s="1685"/>
      <c r="Q306" s="1685"/>
      <c r="R306" s="1685"/>
      <c r="S306" s="1685"/>
      <c r="T306" s="1685"/>
      <c r="U306" s="1685"/>
      <c r="V306" s="1685"/>
      <c r="W306" s="1685"/>
      <c r="X306" s="1685"/>
      <c r="Y306" s="1685"/>
      <c r="Z306" s="1685"/>
      <c r="AA306" s="1685"/>
      <c r="AB306" s="1685"/>
      <c r="AC306" s="1685"/>
      <c r="AD306" s="2069"/>
      <c r="AE306" s="2073"/>
      <c r="AF306" s="1685"/>
      <c r="AG306" s="1685"/>
      <c r="AM306" s="1703" t="str">
        <f t="shared" si="35"/>
        <v/>
      </c>
      <c r="AN306" s="1703"/>
      <c r="AO306" s="1703"/>
      <c r="AP306" s="1703" t="str">
        <f t="shared" si="33"/>
        <v/>
      </c>
      <c r="AQ306" s="1703" t="str">
        <f t="shared" si="34"/>
        <v/>
      </c>
      <c r="AR306" s="1703"/>
      <c r="AS306" s="1703"/>
      <c r="AT306" s="1703" t="e">
        <v>#N/A</v>
      </c>
      <c r="BQ306" s="1685"/>
      <c r="BW306" s="1703" t="str">
        <f t="shared" si="36"/>
        <v/>
      </c>
    </row>
    <row r="307" spans="1:75" ht="15">
      <c r="A307" s="1685"/>
      <c r="B307" s="1685"/>
      <c r="C307" s="1685"/>
      <c r="D307" s="1685"/>
      <c r="E307" s="1685"/>
      <c r="F307" s="1685">
        <v>78</v>
      </c>
      <c r="G307" s="1701" t="str">
        <f>IF(rng01_Address78="","",rng01_Address78)</f>
        <v/>
      </c>
      <c r="H307" s="1701"/>
      <c r="I307" s="1701"/>
      <c r="J307" s="1701"/>
      <c r="K307" s="1701" t="str">
        <f>IF(rng01_City78="","",rng01_City78)</f>
        <v/>
      </c>
      <c r="L307" s="1731" t="str">
        <f>IF(rng01_Zip78="","",rng01_Zip78)</f>
        <v/>
      </c>
      <c r="M307" s="1701"/>
      <c r="N307" s="1701"/>
      <c r="O307" s="1701" t="e">
        <v>#N/A</v>
      </c>
      <c r="P307" s="1685"/>
      <c r="Q307" s="1685"/>
      <c r="R307" s="1685"/>
      <c r="S307" s="1685"/>
      <c r="T307" s="1685"/>
      <c r="U307" s="1685"/>
      <c r="V307" s="1685"/>
      <c r="W307" s="1685"/>
      <c r="X307" s="1685"/>
      <c r="Y307" s="1685"/>
      <c r="Z307" s="1685"/>
      <c r="AA307" s="1685"/>
      <c r="AB307" s="1685"/>
      <c r="AC307" s="1685"/>
      <c r="AD307" s="2069"/>
      <c r="AE307" s="2073"/>
      <c r="AF307" s="1685"/>
      <c r="AG307" s="1685"/>
      <c r="AM307" s="1703" t="str">
        <f t="shared" si="35"/>
        <v/>
      </c>
      <c r="AN307" s="1703"/>
      <c r="AO307" s="1703"/>
      <c r="AP307" s="1703" t="str">
        <f t="shared" si="33"/>
        <v/>
      </c>
      <c r="AQ307" s="1703" t="str">
        <f t="shared" si="34"/>
        <v/>
      </c>
      <c r="AR307" s="1703"/>
      <c r="AS307" s="1703"/>
      <c r="AT307" s="1703" t="e">
        <v>#N/A</v>
      </c>
      <c r="BQ307" s="1685"/>
      <c r="BW307" s="1703" t="str">
        <f t="shared" si="36"/>
        <v/>
      </c>
    </row>
    <row r="308" spans="1:75" ht="15">
      <c r="A308" s="1685"/>
      <c r="B308" s="1685"/>
      <c r="C308" s="1685"/>
      <c r="D308" s="1685"/>
      <c r="E308" s="1685"/>
      <c r="F308" s="1685">
        <v>79</v>
      </c>
      <c r="G308" s="1701" t="str">
        <f>IF(rng01_Address79="","",rng01_Address79)</f>
        <v/>
      </c>
      <c r="H308" s="1701"/>
      <c r="I308" s="1701"/>
      <c r="J308" s="1701"/>
      <c r="K308" s="1701" t="str">
        <f>IF(rng01_City79="","",rng01_City79)</f>
        <v/>
      </c>
      <c r="L308" s="1731" t="str">
        <f>IF(rng01_Zip79="","",rng01_Zip79)</f>
        <v/>
      </c>
      <c r="M308" s="1701"/>
      <c r="N308" s="1701"/>
      <c r="O308" s="1701" t="e">
        <v>#N/A</v>
      </c>
      <c r="P308" s="1685"/>
      <c r="Q308" s="1685"/>
      <c r="R308" s="1685"/>
      <c r="S308" s="1685"/>
      <c r="T308" s="1685"/>
      <c r="U308" s="1685"/>
      <c r="V308" s="1685"/>
      <c r="W308" s="1685"/>
      <c r="X308" s="1685"/>
      <c r="Y308" s="1685"/>
      <c r="Z308" s="1685"/>
      <c r="AA308" s="1685"/>
      <c r="AB308" s="1685"/>
      <c r="AC308" s="1685"/>
      <c r="AD308" s="2069"/>
      <c r="AE308" s="2073"/>
      <c r="AF308" s="1685"/>
      <c r="AG308" s="1685"/>
      <c r="AM308" s="1703" t="str">
        <f t="shared" si="35"/>
        <v/>
      </c>
      <c r="AN308" s="1703"/>
      <c r="AO308" s="1703"/>
      <c r="AP308" s="1703" t="str">
        <f t="shared" si="33"/>
        <v/>
      </c>
      <c r="AQ308" s="1703" t="str">
        <f t="shared" si="34"/>
        <v/>
      </c>
      <c r="AR308" s="1703"/>
      <c r="AS308" s="1703"/>
      <c r="AT308" s="1703" t="e">
        <v>#N/A</v>
      </c>
      <c r="BQ308" s="1685"/>
      <c r="BW308" s="1703" t="str">
        <f t="shared" si="36"/>
        <v/>
      </c>
    </row>
    <row r="309" spans="1:75" ht="15">
      <c r="A309" s="1685"/>
      <c r="B309" s="1685"/>
      <c r="C309" s="1685"/>
      <c r="D309" s="1685"/>
      <c r="E309" s="1685"/>
      <c r="F309" s="1685">
        <v>80</v>
      </c>
      <c r="G309" s="1701" t="str">
        <f>IF(rng01_Address80="","",rng01_Address80)</f>
        <v/>
      </c>
      <c r="H309" s="1701"/>
      <c r="I309" s="1701"/>
      <c r="J309" s="1701"/>
      <c r="K309" s="1701" t="str">
        <f>IF(rng01_City80="","",rng01_City80)</f>
        <v/>
      </c>
      <c r="L309" s="1731" t="str">
        <f>IF(rng01_Zip80="","",rng01_Zip80)</f>
        <v/>
      </c>
      <c r="M309" s="1701"/>
      <c r="N309" s="1701"/>
      <c r="O309" s="1701" t="e">
        <v>#N/A</v>
      </c>
      <c r="P309" s="1685"/>
      <c r="Q309" s="1685"/>
      <c r="R309" s="1685"/>
      <c r="S309" s="1685"/>
      <c r="T309" s="1685"/>
      <c r="U309" s="1685"/>
      <c r="V309" s="1685"/>
      <c r="W309" s="1685"/>
      <c r="X309" s="1685"/>
      <c r="Y309" s="1685"/>
      <c r="Z309" s="1685"/>
      <c r="AA309" s="1685"/>
      <c r="AB309" s="1685"/>
      <c r="AC309" s="1685"/>
      <c r="AD309" s="2069"/>
      <c r="AE309" s="2073"/>
      <c r="AF309" s="1685"/>
      <c r="AG309" s="1685"/>
      <c r="AM309" s="1703" t="str">
        <f t="shared" si="35"/>
        <v/>
      </c>
      <c r="AN309" s="1703"/>
      <c r="AO309" s="1703"/>
      <c r="AP309" s="1703" t="str">
        <f t="shared" si="33"/>
        <v/>
      </c>
      <c r="AQ309" s="1703" t="str">
        <f t="shared" si="34"/>
        <v/>
      </c>
      <c r="AR309" s="1703"/>
      <c r="AS309" s="1703"/>
      <c r="AT309" s="1703" t="e">
        <v>#N/A</v>
      </c>
      <c r="BQ309" s="1685"/>
      <c r="BW309" s="1703" t="str">
        <f t="shared" si="36"/>
        <v/>
      </c>
    </row>
    <row r="310" spans="1:75" ht="15">
      <c r="A310" s="1685"/>
      <c r="B310" s="1685"/>
      <c r="C310" s="1685"/>
      <c r="D310" s="1685"/>
      <c r="E310" s="1685"/>
      <c r="F310" s="1685"/>
      <c r="G310" s="1701" t="s">
        <v>1030</v>
      </c>
      <c r="H310" s="1701">
        <v>0</v>
      </c>
      <c r="I310" s="1701"/>
      <c r="J310" s="1701">
        <v>0</v>
      </c>
      <c r="K310" s="1701"/>
      <c r="L310" s="1701"/>
      <c r="M310" s="1701"/>
      <c r="N310" s="1701"/>
      <c r="O310" s="1701"/>
      <c r="P310" s="1685"/>
      <c r="Q310" s="1685"/>
      <c r="R310" s="1685"/>
      <c r="S310" s="1685"/>
      <c r="T310" s="1685"/>
      <c r="U310" s="1685"/>
      <c r="V310" s="1685"/>
      <c r="W310" s="1685"/>
      <c r="X310" s="1685"/>
      <c r="Y310" s="1685"/>
      <c r="Z310" s="1685"/>
      <c r="AA310" s="1685"/>
      <c r="AB310" s="1685"/>
      <c r="AC310" s="1685"/>
      <c r="AD310" s="2069"/>
      <c r="AE310" s="2073"/>
      <c r="AF310" s="1685"/>
      <c r="AG310" s="1685"/>
      <c r="AM310" s="1703" t="s">
        <v>1030</v>
      </c>
      <c r="AN310" s="1703">
        <v>0</v>
      </c>
      <c r="AO310" s="1703">
        <v>0</v>
      </c>
      <c r="AP310" s="1703"/>
      <c r="AQ310" s="1703"/>
      <c r="AR310" s="1703"/>
      <c r="AS310" s="1703"/>
      <c r="AT310" s="1703"/>
      <c r="BQ310" s="1685"/>
      <c r="BW310" s="1703" t="s">
        <v>1030</v>
      </c>
    </row>
    <row r="311" spans="1:75" ht="15">
      <c r="A311" s="1685"/>
      <c r="B311" s="1685"/>
      <c r="C311" s="1685"/>
      <c r="D311" s="1685"/>
      <c r="E311" s="1685"/>
      <c r="F311" s="1685"/>
      <c r="G311" s="1685"/>
      <c r="H311" s="1685"/>
      <c r="I311" s="1685"/>
      <c r="J311" s="1685"/>
      <c r="K311" s="1685"/>
      <c r="L311" s="1685"/>
      <c r="M311" s="1685"/>
      <c r="N311" s="1685"/>
      <c r="O311" s="1685"/>
      <c r="P311" s="1685"/>
      <c r="Q311" s="1685"/>
      <c r="R311" s="1685"/>
      <c r="S311" s="1685"/>
      <c r="T311" s="1685"/>
      <c r="U311" s="1685"/>
      <c r="V311" s="1685"/>
      <c r="W311" s="1685"/>
      <c r="X311" s="1685"/>
      <c r="Y311" s="1685"/>
      <c r="Z311" s="1685"/>
      <c r="AA311" s="1685"/>
      <c r="AB311" s="1685"/>
      <c r="AC311" s="1685"/>
      <c r="AD311" s="2069"/>
      <c r="AE311" s="2073"/>
      <c r="AF311" s="1685"/>
      <c r="AG311" s="1685"/>
      <c r="BQ311" s="1685"/>
    </row>
    <row r="312" spans="1:75" ht="15">
      <c r="A312" s="1685"/>
      <c r="B312" s="1685"/>
      <c r="C312" s="1685"/>
      <c r="D312" s="1685"/>
      <c r="E312" s="1685"/>
      <c r="F312" s="1685"/>
      <c r="G312" s="1685"/>
      <c r="H312" s="1685"/>
      <c r="I312" s="1685"/>
      <c r="J312" s="1685"/>
      <c r="K312" s="1685"/>
      <c r="L312" s="1685"/>
      <c r="M312" s="1685"/>
      <c r="N312" s="1685"/>
      <c r="O312" s="1685"/>
      <c r="P312" s="1685"/>
      <c r="Q312" s="1685"/>
      <c r="R312" s="1685"/>
      <c r="S312" s="1685"/>
      <c r="T312" s="1685"/>
      <c r="U312" s="1685"/>
      <c r="V312" s="1685"/>
      <c r="W312" s="1685"/>
      <c r="X312" s="1685"/>
      <c r="Y312" s="1685"/>
      <c r="Z312" s="1685"/>
      <c r="AA312" s="1685"/>
      <c r="AB312" s="1685"/>
      <c r="AC312" s="1685"/>
      <c r="AD312" s="2069"/>
      <c r="AE312" s="2073"/>
      <c r="AF312" s="1685"/>
      <c r="AG312" s="1685"/>
      <c r="BQ312" s="1685"/>
    </row>
    <row r="313" spans="1:75" ht="15">
      <c r="A313" s="1685"/>
      <c r="B313" s="1685"/>
      <c r="C313" s="1685"/>
      <c r="D313" s="1685"/>
      <c r="E313" s="1685"/>
      <c r="F313" s="1685"/>
      <c r="G313" s="1685"/>
      <c r="H313" s="1685"/>
      <c r="I313" s="1685"/>
      <c r="J313" s="1685"/>
      <c r="K313" s="1685"/>
      <c r="L313" s="1685"/>
      <c r="M313" s="1685"/>
      <c r="N313" s="1685"/>
      <c r="O313" s="1685"/>
      <c r="P313" s="1685"/>
      <c r="Q313" s="1685"/>
      <c r="R313" s="1685"/>
      <c r="S313" s="1685"/>
      <c r="T313" s="1685"/>
      <c r="U313" s="1685"/>
      <c r="V313" s="1685"/>
      <c r="W313" s="1685"/>
      <c r="X313" s="1685"/>
      <c r="Y313" s="1685"/>
      <c r="Z313" s="1685"/>
      <c r="AA313" s="1685"/>
      <c r="AB313" s="1685"/>
      <c r="AC313" s="1685"/>
      <c r="AD313" s="2069"/>
      <c r="AE313" s="2073"/>
      <c r="AF313" s="1685"/>
      <c r="AG313" s="1685"/>
      <c r="BQ313" s="1685"/>
    </row>
    <row r="314" spans="1:75" ht="15">
      <c r="A314" s="1685"/>
      <c r="B314" s="1685"/>
      <c r="C314" s="1685"/>
      <c r="D314" s="1685"/>
      <c r="E314" s="1685"/>
      <c r="F314" s="1685"/>
      <c r="G314" s="1685"/>
      <c r="H314" s="1685"/>
      <c r="I314" s="1685"/>
      <c r="J314" s="1685"/>
      <c r="K314" s="1685"/>
      <c r="L314" s="1685"/>
      <c r="M314" s="1685"/>
      <c r="N314" s="1685"/>
      <c r="O314" s="1685"/>
      <c r="P314" s="1685"/>
      <c r="Q314" s="1685"/>
      <c r="R314" s="1685"/>
      <c r="S314" s="1685"/>
      <c r="T314" s="1685"/>
      <c r="U314" s="1685"/>
      <c r="V314" s="1685"/>
      <c r="W314" s="1685"/>
      <c r="X314" s="1685"/>
      <c r="Y314" s="1685"/>
      <c r="Z314" s="1685"/>
      <c r="AA314" s="1685"/>
      <c r="AB314" s="1685"/>
      <c r="AC314" s="1685"/>
      <c r="AD314" s="2069"/>
      <c r="AE314" s="2073"/>
      <c r="AF314" s="1685"/>
      <c r="AG314" s="1685"/>
      <c r="BQ314" s="1685"/>
    </row>
    <row r="315" spans="1:75" ht="15">
      <c r="A315" s="1685" t="s">
        <v>1031</v>
      </c>
      <c r="B315" s="1685" t="s">
        <v>1032</v>
      </c>
      <c r="C315" s="1685"/>
      <c r="D315" s="1685"/>
      <c r="E315" s="1685"/>
      <c r="F315" s="1685"/>
      <c r="G315" s="1685" t="s">
        <v>849</v>
      </c>
      <c r="H315" s="1685" t="str">
        <f>IF(H8="","",H8)</f>
        <v/>
      </c>
      <c r="I315" s="1685"/>
      <c r="J315" s="1685"/>
      <c r="K315" s="1685"/>
      <c r="L315" s="1685"/>
      <c r="M315" s="1685"/>
      <c r="N315" s="1685"/>
      <c r="O315" s="1685"/>
      <c r="P315" s="1685"/>
      <c r="Q315" s="1685"/>
      <c r="R315" s="1685"/>
      <c r="S315" s="1685"/>
      <c r="T315" s="1685"/>
      <c r="U315" s="1685"/>
      <c r="V315" s="1685"/>
      <c r="W315" s="1685"/>
      <c r="X315" s="1685"/>
      <c r="Y315" s="1685"/>
      <c r="Z315" s="1685"/>
      <c r="AA315" s="1685"/>
      <c r="AB315" s="1685"/>
      <c r="AC315" s="1685"/>
      <c r="AD315" s="2069"/>
      <c r="AE315" s="2073"/>
      <c r="AF315" s="1685"/>
      <c r="AG315" s="1685" t="s">
        <v>1031</v>
      </c>
      <c r="AH315" s="1677" t="s">
        <v>1032</v>
      </c>
      <c r="AM315" s="1677" t="s">
        <v>849</v>
      </c>
      <c r="AN315" s="1677" t="str">
        <f>$AN$8</f>
        <v/>
      </c>
      <c r="BQ315" s="1685" t="s">
        <v>1031</v>
      </c>
      <c r="BR315" s="1677" t="s">
        <v>1032</v>
      </c>
      <c r="BW315" s="1677" t="s">
        <v>849</v>
      </c>
    </row>
    <row r="316" spans="1:75" ht="15">
      <c r="A316" s="1685"/>
      <c r="B316" s="1685"/>
      <c r="C316" s="1685"/>
      <c r="D316" s="1685"/>
      <c r="E316" s="1685"/>
      <c r="F316" s="1685"/>
      <c r="G316" s="1685" t="s">
        <v>850</v>
      </c>
      <c r="H316" s="1685">
        <f>H9</f>
        <v>0</v>
      </c>
      <c r="I316" s="1685"/>
      <c r="J316" s="1685"/>
      <c r="K316" s="1685"/>
      <c r="L316" s="1685"/>
      <c r="M316" s="1685"/>
      <c r="N316" s="1685"/>
      <c r="O316" s="1685"/>
      <c r="P316" s="1685"/>
      <c r="Q316" s="1685"/>
      <c r="R316" s="1685"/>
      <c r="S316" s="1685"/>
      <c r="T316" s="1685"/>
      <c r="U316" s="1685"/>
      <c r="V316" s="1685"/>
      <c r="W316" s="1685"/>
      <c r="X316" s="1685"/>
      <c r="Y316" s="1685"/>
      <c r="Z316" s="1685"/>
      <c r="AA316" s="1685"/>
      <c r="AB316" s="1685"/>
      <c r="AC316" s="1685"/>
      <c r="AD316" s="2069"/>
      <c r="AE316" s="2073"/>
      <c r="AF316" s="1685"/>
      <c r="AG316" s="1685"/>
      <c r="AM316" s="1677" t="s">
        <v>850</v>
      </c>
      <c r="AN316" s="1677" t="str">
        <f>$AN$9</f>
        <v/>
      </c>
      <c r="BQ316" s="1685"/>
      <c r="BW316" s="1677" t="s">
        <v>850</v>
      </c>
    </row>
    <row r="317" spans="1:75" ht="15">
      <c r="A317" s="1685"/>
      <c r="B317" s="1685"/>
      <c r="C317" s="1685"/>
      <c r="D317" s="1685"/>
      <c r="E317" s="1685"/>
      <c r="F317" s="1685"/>
      <c r="G317" s="1685"/>
      <c r="H317" s="1685"/>
      <c r="I317" s="1685"/>
      <c r="J317" s="1685"/>
      <c r="K317" s="1685"/>
      <c r="L317" s="1685"/>
      <c r="M317" s="1685"/>
      <c r="N317" s="1685"/>
      <c r="O317" s="1685"/>
      <c r="P317" s="1685"/>
      <c r="Q317" s="1685"/>
      <c r="R317" s="1685"/>
      <c r="S317" s="1685"/>
      <c r="T317" s="1685"/>
      <c r="U317" s="1685"/>
      <c r="V317" s="1685"/>
      <c r="W317" s="1685"/>
      <c r="X317" s="1685"/>
      <c r="Y317" s="1685"/>
      <c r="Z317" s="1685"/>
      <c r="AA317" s="1685"/>
      <c r="AB317" s="1685"/>
      <c r="AC317" s="1685"/>
      <c r="AD317" s="2069"/>
      <c r="AE317" s="2073"/>
      <c r="AF317" s="1685"/>
      <c r="AG317" s="1685"/>
      <c r="BQ317" s="1685"/>
    </row>
    <row r="318" spans="1:75" ht="15">
      <c r="A318" s="1685"/>
      <c r="B318" s="1685"/>
      <c r="C318" s="1685"/>
      <c r="D318" s="1685"/>
      <c r="E318" s="1685"/>
      <c r="F318" s="1685"/>
      <c r="G318" s="1685"/>
      <c r="H318" s="1685"/>
      <c r="I318" s="1685"/>
      <c r="J318" s="1685"/>
      <c r="K318" s="1685"/>
      <c r="L318" s="1685"/>
      <c r="M318" s="1685"/>
      <c r="N318" s="1685"/>
      <c r="O318" s="1685"/>
      <c r="P318" s="1685"/>
      <c r="Q318" s="1685"/>
      <c r="R318" s="1685"/>
      <c r="S318" s="1685"/>
      <c r="T318" s="1685"/>
      <c r="U318" s="1685"/>
      <c r="V318" s="1685"/>
      <c r="W318" s="1685"/>
      <c r="X318" s="1685"/>
      <c r="Y318" s="1685"/>
      <c r="Z318" s="1685"/>
      <c r="AA318" s="1685"/>
      <c r="AB318" s="1685"/>
      <c r="AC318" s="1685"/>
      <c r="AD318" s="2069"/>
      <c r="AE318" s="2073"/>
      <c r="AF318" s="1685"/>
      <c r="AG318" s="1685"/>
      <c r="AM318" s="1685"/>
      <c r="AN318" s="1685"/>
      <c r="AO318" s="1686"/>
      <c r="AP318" s="1685"/>
      <c r="AQ318" s="1685"/>
      <c r="AR318" s="1685"/>
      <c r="AS318" s="1685"/>
      <c r="AT318" s="1685"/>
      <c r="AU318" s="1685"/>
      <c r="AV318" s="1685"/>
      <c r="AW318" s="1685"/>
      <c r="AX318" s="1685"/>
      <c r="AY318" s="1685"/>
      <c r="AZ318" s="1685"/>
      <c r="BA318" s="1685"/>
      <c r="BB318" s="1685"/>
      <c r="BC318" s="1685"/>
      <c r="BD318" s="1685"/>
      <c r="BE318" s="1685"/>
      <c r="BF318" s="1685"/>
      <c r="BG318" s="1685"/>
      <c r="BQ318" s="1685"/>
      <c r="BW318" s="1685"/>
    </row>
    <row r="319" spans="1:75" ht="15">
      <c r="A319" s="1685"/>
      <c r="B319" s="1685"/>
      <c r="C319" s="1685"/>
      <c r="D319" s="1685"/>
      <c r="E319" s="1685"/>
      <c r="F319" s="1699" t="s">
        <v>920</v>
      </c>
      <c r="G319" s="1685"/>
      <c r="H319" s="1685"/>
      <c r="I319" s="1686" t="s">
        <v>1033</v>
      </c>
      <c r="J319" s="1685"/>
      <c r="K319" s="1686" t="s">
        <v>1034</v>
      </c>
      <c r="L319" s="1686" t="s">
        <v>1035</v>
      </c>
      <c r="M319" s="1685"/>
      <c r="N319" s="1686" t="s">
        <v>1035</v>
      </c>
      <c r="O319" s="1686"/>
      <c r="P319" s="1686"/>
      <c r="Q319" s="1685"/>
      <c r="R319" s="1685"/>
      <c r="S319" s="1685"/>
      <c r="T319" s="1686" t="s">
        <v>1036</v>
      </c>
      <c r="U319" s="1686" t="s">
        <v>1037</v>
      </c>
      <c r="V319" s="1685"/>
      <c r="W319" s="1685"/>
      <c r="X319" s="1685"/>
      <c r="Y319" s="1732" t="s">
        <v>1038</v>
      </c>
      <c r="Z319" s="1685"/>
      <c r="AA319" s="1685"/>
      <c r="AB319" s="1685"/>
      <c r="AC319" s="1685"/>
      <c r="AD319" s="2069"/>
      <c r="AE319" s="2073"/>
      <c r="AF319" s="1685"/>
      <c r="AG319" s="1685"/>
      <c r="AM319" s="1685"/>
      <c r="AN319" s="1685"/>
      <c r="AO319" s="1686"/>
      <c r="AP319" s="1686"/>
      <c r="AQ319" s="1686"/>
      <c r="AR319" s="1686"/>
      <c r="AS319" s="1685"/>
      <c r="AT319" s="1686"/>
      <c r="AU319" s="1685"/>
      <c r="AV319" s="1685"/>
      <c r="AW319" s="1685"/>
      <c r="AX319" s="1685"/>
      <c r="AY319" s="1685"/>
      <c r="AZ319" s="1686"/>
      <c r="BA319" s="1686"/>
      <c r="BB319" s="1685"/>
      <c r="BC319" s="1685"/>
      <c r="BD319" s="1685"/>
      <c r="BE319" s="1685"/>
      <c r="BF319" s="1685"/>
      <c r="BG319" s="1685"/>
      <c r="BQ319" s="1685"/>
      <c r="BW319" s="1685"/>
    </row>
    <row r="320" spans="1:75" ht="15">
      <c r="A320" s="1685"/>
      <c r="B320" s="1685"/>
      <c r="C320" s="1685"/>
      <c r="D320" s="1685"/>
      <c r="E320" s="1685"/>
      <c r="F320" s="1685"/>
      <c r="G320" s="1685"/>
      <c r="H320" s="1685"/>
      <c r="I320" s="1716" t="s">
        <v>1039</v>
      </c>
      <c r="J320" s="1686" t="s">
        <v>1040</v>
      </c>
      <c r="K320" s="1686" t="s">
        <v>1041</v>
      </c>
      <c r="L320" s="1686" t="s">
        <v>1042</v>
      </c>
      <c r="M320" s="1685"/>
      <c r="N320" s="1686" t="s">
        <v>1043</v>
      </c>
      <c r="O320" s="1686"/>
      <c r="P320" s="1686"/>
      <c r="Q320" s="1685"/>
      <c r="R320" s="1685"/>
      <c r="S320" s="1685"/>
      <c r="T320" s="1686" t="s">
        <v>1044</v>
      </c>
      <c r="U320" s="1686" t="s">
        <v>1045</v>
      </c>
      <c r="V320" s="1685"/>
      <c r="W320" s="1685"/>
      <c r="X320" s="1685"/>
      <c r="Y320" s="1732" t="s">
        <v>246</v>
      </c>
      <c r="Z320" s="1685"/>
      <c r="AA320" s="1685"/>
      <c r="AB320" s="1685"/>
      <c r="AC320" s="1685"/>
      <c r="AD320" s="2069"/>
      <c r="AE320" s="2073"/>
      <c r="AF320" s="1685"/>
      <c r="AG320" s="1685"/>
      <c r="BQ320" s="1685"/>
    </row>
    <row r="321" spans="1:75" ht="15">
      <c r="A321" s="1685" t="s">
        <v>1031</v>
      </c>
      <c r="B321" s="1685" t="s">
        <v>1032</v>
      </c>
      <c r="C321" s="1685" t="s">
        <v>1032</v>
      </c>
      <c r="D321" s="1685" t="s">
        <v>1046</v>
      </c>
      <c r="E321" s="1685"/>
      <c r="F321" s="1685"/>
      <c r="G321" s="1701" t="s">
        <v>1046</v>
      </c>
      <c r="H321" s="1701"/>
      <c r="I321" s="1716"/>
      <c r="J321" s="1701"/>
      <c r="K321" s="1701"/>
      <c r="L321" s="1701"/>
      <c r="M321" s="1701"/>
      <c r="N321" s="1701"/>
      <c r="O321" s="1701"/>
      <c r="P321" s="1701"/>
      <c r="Q321" s="1701"/>
      <c r="R321" s="1701"/>
      <c r="S321" s="1701" t="s">
        <v>1047</v>
      </c>
      <c r="T321" s="1701" t="s">
        <v>1048</v>
      </c>
      <c r="U321" s="1701" t="s">
        <v>1049</v>
      </c>
      <c r="V321" s="1701"/>
      <c r="W321" s="1701"/>
      <c r="X321" s="1701"/>
      <c r="Y321" s="1701"/>
      <c r="Z321" s="1701"/>
      <c r="AA321" s="1701"/>
      <c r="AB321" s="1701"/>
      <c r="AC321" s="1685"/>
      <c r="AD321" s="2069"/>
      <c r="AE321" s="2073"/>
      <c r="AF321" s="1685"/>
      <c r="AG321" s="1685" t="s">
        <v>1031</v>
      </c>
      <c r="AH321" s="1677" t="s">
        <v>1032</v>
      </c>
      <c r="AI321" s="1677" t="s">
        <v>1032</v>
      </c>
      <c r="AJ321" s="1677" t="s">
        <v>1046</v>
      </c>
      <c r="AM321" s="1677" t="s">
        <v>1046</v>
      </c>
      <c r="AW321" s="1677" t="s">
        <v>1047</v>
      </c>
      <c r="AX321" s="1677" t="s">
        <v>1048</v>
      </c>
      <c r="AY321" s="1677" t="s">
        <v>1049</v>
      </c>
      <c r="BQ321" s="1685" t="s">
        <v>1031</v>
      </c>
      <c r="BR321" s="1677" t="s">
        <v>1032</v>
      </c>
      <c r="BS321" s="1677" t="s">
        <v>1032</v>
      </c>
      <c r="BW321" s="1677" t="s">
        <v>1046</v>
      </c>
    </row>
    <row r="322" spans="1:75" ht="15">
      <c r="A322" s="1685"/>
      <c r="B322" s="1685"/>
      <c r="C322" s="1685"/>
      <c r="D322" s="1685"/>
      <c r="E322" s="1685"/>
      <c r="F322" s="1685"/>
      <c r="G322" s="1699" t="s">
        <v>1050</v>
      </c>
      <c r="H322" s="1699" t="s">
        <v>1051</v>
      </c>
      <c r="I322" s="1699" t="s">
        <v>1052</v>
      </c>
      <c r="J322" s="1733" t="s">
        <v>114</v>
      </c>
      <c r="K322" s="1699" t="s">
        <v>51</v>
      </c>
      <c r="L322" s="1699" t="s">
        <v>54</v>
      </c>
      <c r="M322" s="2021" t="s">
        <v>2479</v>
      </c>
      <c r="N322" s="1699" t="s">
        <v>1053</v>
      </c>
      <c r="O322" s="1699" t="s">
        <v>131</v>
      </c>
      <c r="P322" s="1701" t="s">
        <v>1054</v>
      </c>
      <c r="Q322" s="1701" t="s">
        <v>1055</v>
      </c>
      <c r="R322" s="1701" t="s">
        <v>1056</v>
      </c>
      <c r="S322" s="1701"/>
      <c r="T322" s="1701"/>
      <c r="U322" s="1699" t="s">
        <v>1057</v>
      </c>
      <c r="V322" s="1699" t="s">
        <v>1058</v>
      </c>
      <c r="W322" s="1701" t="s">
        <v>1059</v>
      </c>
      <c r="X322" s="1701" t="s">
        <v>1060</v>
      </c>
      <c r="Y322" s="1701" t="s">
        <v>1061</v>
      </c>
      <c r="Z322" s="1701" t="s">
        <v>1062</v>
      </c>
      <c r="AA322" s="1701" t="s">
        <v>1063</v>
      </c>
      <c r="AB322" s="1701" t="s">
        <v>943</v>
      </c>
      <c r="AC322" s="1685"/>
      <c r="AD322" s="2069"/>
      <c r="AE322" s="2073"/>
      <c r="AF322" s="1685"/>
      <c r="AG322" s="1685"/>
      <c r="AM322" s="1734" t="s">
        <v>1050</v>
      </c>
      <c r="AN322" s="1734" t="s">
        <v>1051</v>
      </c>
      <c r="AO322" s="1699" t="s">
        <v>1052</v>
      </c>
      <c r="AP322" s="1734" t="s">
        <v>114</v>
      </c>
      <c r="AQ322" s="1734" t="s">
        <v>51</v>
      </c>
      <c r="AR322" s="1734" t="s">
        <v>54</v>
      </c>
      <c r="AS322" s="1735" t="s">
        <v>2479</v>
      </c>
      <c r="AT322" s="1734" t="s">
        <v>1053</v>
      </c>
      <c r="AU322" s="1734" t="s">
        <v>1064</v>
      </c>
      <c r="AV322" s="1734" t="s">
        <v>1054</v>
      </c>
      <c r="AW322" s="1734" t="s">
        <v>1055</v>
      </c>
      <c r="AX322" s="1734" t="s">
        <v>1056</v>
      </c>
      <c r="AY322" s="1734"/>
      <c r="AZ322" s="1734"/>
      <c r="BA322" s="1734" t="s">
        <v>1057</v>
      </c>
      <c r="BB322" s="1735" t="s">
        <v>1058</v>
      </c>
      <c r="BC322" s="1734" t="s">
        <v>1059</v>
      </c>
      <c r="BD322" s="1734" t="s">
        <v>1060</v>
      </c>
      <c r="BE322" s="1734" t="s">
        <v>1061</v>
      </c>
      <c r="BF322" s="1734" t="s">
        <v>1062</v>
      </c>
      <c r="BG322" s="1734" t="s">
        <v>1063</v>
      </c>
      <c r="BH322" s="1734" t="s">
        <v>943</v>
      </c>
      <c r="BK322" s="1683" t="s">
        <v>2240</v>
      </c>
      <c r="BQ322" s="1685"/>
      <c r="BW322" s="1734" t="s">
        <v>1050</v>
      </c>
    </row>
    <row r="323" spans="1:75" ht="15">
      <c r="A323" s="1685"/>
      <c r="B323" s="1685"/>
      <c r="C323" s="1685" t="s">
        <v>1065</v>
      </c>
      <c r="D323" s="1685"/>
      <c r="E323" s="1685"/>
      <c r="F323" s="1685">
        <v>1</v>
      </c>
      <c r="G323" s="1701" t="str">
        <f>IF(rng02_Res_Summary_NoBedrooms1="","",rng02_Res_Summary_NoBedrooms1)</f>
        <v/>
      </c>
      <c r="H323" s="1701" t="str">
        <f>IF(rng02_Res_Summary_NoBaths1="","",rng02_Res_Summary_NoBaths1)</f>
        <v/>
      </c>
      <c r="I323" s="1731" t="str">
        <f>IF(G323="","",IF(G323="SRO","SRO",IF(G323="EFF","Efficiency",G323&amp;"BR"&amp;","&amp;" "&amp;H323&amp;"BA")))</f>
        <v/>
      </c>
      <c r="J323" s="1736" t="str">
        <f>IF(rng02_Res_Summary_AMI1="","",rng02_Res_Summary_AMI1)</f>
        <v/>
      </c>
      <c r="K323" s="1701" t="str">
        <f>IF(rng02_Res_Summary_ConstType1="","",rng02_Res_Summary_ConstType1)</f>
        <v/>
      </c>
      <c r="L323" s="1731" t="str">
        <f>IF(rng02_Res_Summary_NoUnit1="","",rng02_Res_Summary_NoUnit1)</f>
        <v/>
      </c>
      <c r="M323" s="1653" t="str">
        <f>IF(ISBLANK(rng02_Res_Summary_DeedRestricted1),"FALSE", rng02_Res_Summary_DeedRestricted1)</f>
        <v>FALSE</v>
      </c>
      <c r="N323" s="1701" t="str">
        <f>IF(L323="","",rng02_Res_Summary_NRSFperUnit1)</f>
        <v/>
      </c>
      <c r="O323" s="1731" t="str">
        <f>IF(rng02_Res_Summary_ProjBasedSubsidy1="","",rng02_Res_Summary_ProjBasedSubsidy1)</f>
        <v/>
      </c>
      <c r="P323" s="1701"/>
      <c r="Q323" s="1701"/>
      <c r="R323" s="1701">
        <v>0</v>
      </c>
      <c r="S323" s="1701"/>
      <c r="T323" s="1701">
        <v>0</v>
      </c>
      <c r="U323" s="1701" t="str">
        <f>IF(rng02_Res_Summary_GrossMarketRent1="","",rng02_Res_Summary_GrossMarketRent1)</f>
        <v/>
      </c>
      <c r="V323" s="1701" t="str">
        <f>IF(rng02_Res_Summary_NetMarketRent1=0,"",rng02_Res_Summary_NetMarketRent1)</f>
        <v/>
      </c>
      <c r="W323" s="1701">
        <v>0</v>
      </c>
      <c r="X323" s="1701"/>
      <c r="Y323" s="1701">
        <v>0</v>
      </c>
      <c r="Z323" s="1701">
        <v>0</v>
      </c>
      <c r="AA323" s="1701">
        <v>0</v>
      </c>
      <c r="AB323" s="1701">
        <v>0</v>
      </c>
      <c r="AC323" s="1685"/>
      <c r="AD323" s="2069"/>
      <c r="AE323" s="2073"/>
      <c r="AF323" s="1685"/>
      <c r="AG323" s="1685"/>
      <c r="AI323" s="1677" t="s">
        <v>1065</v>
      </c>
      <c r="AM323" s="1702" t="str">
        <f t="shared" ref="AM323:AM352" si="37">IF(TCATrigger="No","",IF(G323="","",G323))</f>
        <v/>
      </c>
      <c r="AN323" s="1702" t="str">
        <f t="shared" ref="AN323:AN352" si="38">IF(TCATrigger="No","",IF(H323="","",H323))</f>
        <v/>
      </c>
      <c r="AO323" s="1885" t="str">
        <f t="shared" ref="AO323:AO352" si="39">IF(ISBLANK(I323), "", I323)</f>
        <v/>
      </c>
      <c r="AP323" s="1702" t="str">
        <f t="shared" ref="AP323:AP352" si="40">IF(TCATrigger="No","",IF(J323="","",J323))</f>
        <v/>
      </c>
      <c r="AQ323" s="1702" t="str">
        <f t="shared" ref="AQ323:AQ352" si="41">IF(TCATrigger="No","",IF(K323="","",K323))</f>
        <v/>
      </c>
      <c r="AR323" s="1702" t="str">
        <f t="shared" ref="AR323:AR352" si="42">IF(TCATrigger="No","",IF(L323="","",L323))</f>
        <v/>
      </c>
      <c r="AS323" s="1702"/>
      <c r="AT323" s="1702" t="str">
        <f t="shared" ref="AT323:AT336" si="43">IF(TCATrigger="No","",IF(N323="","",N323))</f>
        <v/>
      </c>
      <c r="AU323" s="1702" t="str">
        <f t="shared" ref="AU323:AU336" si="44">IF(TCATrigger="No","",IF(O323="","",O323))</f>
        <v/>
      </c>
      <c r="AV323" s="1702" t="str">
        <f t="shared" ref="AV323:AV336" si="45">IF(TCATrigger="No","",IF(P323="","",P323))</f>
        <v/>
      </c>
      <c r="AW323" s="1702" t="str">
        <f t="shared" ref="AW323:AW336" si="46">IF(TCATrigger="No","",IF(Q323="","",Q323))</f>
        <v/>
      </c>
      <c r="AX323" s="1702" t="str">
        <f t="shared" ref="AX323:AX336" si="47">IF(TCATrigger="No","",IF(R323="","",R323))</f>
        <v/>
      </c>
      <c r="AY323" s="1702" t="str">
        <f t="shared" ref="AY323:AY336" si="48">IF(TCATrigger="No","",IF(S323="","",S323))</f>
        <v/>
      </c>
      <c r="AZ323" s="1702" t="str">
        <f t="shared" ref="AZ323:AZ336" si="49">IF(TCATrigger="No","",IF(T323="","",T323))</f>
        <v/>
      </c>
      <c r="BA323" s="1702" t="str">
        <f t="shared" ref="BA323:BA336" si="50">IF(TCATrigger="No","",IF(U323="","",U323))</f>
        <v/>
      </c>
      <c r="BB323" s="1702" t="str">
        <f t="shared" ref="BB323:BB336" si="51">IF(TCATrigger="No","",IF(V323="","",V323))</f>
        <v/>
      </c>
      <c r="BC323" s="1702" t="str">
        <f t="shared" ref="BC323:BC336" si="52">IF(TCATrigger="No","",IF(W323="","",W323))</f>
        <v/>
      </c>
      <c r="BD323" s="1702" t="str">
        <f t="shared" ref="BD323:BD336" si="53">IF(TCATrigger="No","",IF(X323="","",X323))</f>
        <v/>
      </c>
      <c r="BE323" s="1702" t="str">
        <f t="shared" ref="BE323:BE336" si="54">IF(TCATrigger="No","",IF(Y323="","",Y323))</f>
        <v/>
      </c>
      <c r="BF323" s="1702" t="str">
        <f t="shared" ref="BF323:BF336" si="55">IF(TCATrigger="No","",IF(Z323="","",Z323))</f>
        <v/>
      </c>
      <c r="BG323" s="1702" t="str">
        <f t="shared" ref="BG323:BG336" si="56">IF(TCATrigger="No","",IF(AA323="","",AA323))</f>
        <v/>
      </c>
      <c r="BH323" s="1702" t="str">
        <f t="shared" ref="BH323:BH336" si="57">IF(TCATrigger="No","",IF(AB323="","",AB323))</f>
        <v/>
      </c>
      <c r="BQ323" s="1685"/>
      <c r="BS323" s="1677" t="s">
        <v>1065</v>
      </c>
      <c r="BW323" s="1702" t="str">
        <f t="shared" ref="BW323:BW352" si="58">IF(TCATrigger="No","",IF(AQ323="","",AQ323))</f>
        <v/>
      </c>
    </row>
    <row r="324" spans="1:75" ht="15">
      <c r="A324" s="1685"/>
      <c r="B324" s="1685"/>
      <c r="C324" s="1685"/>
      <c r="D324" s="1685"/>
      <c r="E324" s="1685"/>
      <c r="F324" s="1685">
        <v>2</v>
      </c>
      <c r="G324" s="1701" t="str">
        <f>IF(rng02_Res_Summary_NoBedrooms2="","",rng02_Res_Summary_NoBedrooms2)</f>
        <v/>
      </c>
      <c r="H324" s="1701" t="str">
        <f>IF(rng02_Res_Summary_NoBaths2="","",rng02_Res_Summary_NoBaths2)</f>
        <v/>
      </c>
      <c r="I324" s="1731" t="str">
        <f t="shared" ref="I324:I336" si="59">IF(G324="","",IF(G324="SRO","SRO",IF(G324="EFF","Efficiency",G324&amp;"BR"&amp;","&amp;" "&amp;H324&amp;"BA")))</f>
        <v/>
      </c>
      <c r="J324" s="1731" t="str">
        <f>IF(rng02_Res_Summary_AMI2="","",rng02_Res_Summary_AMI2)</f>
        <v/>
      </c>
      <c r="K324" s="1701" t="str">
        <f>IF(rng02_Res_Summary_ConstType2="","",rng02_Res_Summary_ConstType2)</f>
        <v/>
      </c>
      <c r="L324" s="1731" t="str">
        <f>IF(rng02_Res_Summary_NoUnit2="","",rng02_Res_Summary_NoUnit2)</f>
        <v/>
      </c>
      <c r="M324" s="2121" t="str">
        <f>IF(ISBLANK(rng02_Res_Summary_DeedRestricted2), "FALSE", rng02_Res_Summary_DeedRestricted2)</f>
        <v>FALSE</v>
      </c>
      <c r="N324" s="1701" t="str">
        <f>IF(L324="","",rng02_Res_Summary_NRSFperUnit2)</f>
        <v/>
      </c>
      <c r="O324" s="1701" t="str">
        <f>IF(rng02_Res_Summary_ProjBasedSubsidy2="","",rng02_Res_Summary_ProjBasedSubsidy2)</f>
        <v/>
      </c>
      <c r="P324" s="1701"/>
      <c r="Q324" s="1701"/>
      <c r="R324" s="1701">
        <v>0</v>
      </c>
      <c r="S324" s="1701"/>
      <c r="T324" s="1701">
        <v>0</v>
      </c>
      <c r="U324" s="1701" t="str">
        <f>IF(rng02_Res_Summary_GrossMarketRent2="","",rng02_Res_Summary_GrossMarketRent2)</f>
        <v/>
      </c>
      <c r="V324" s="1701" t="str">
        <f>IF(rng02_Res_Summary_NetMarketRent2=0,"",rng02_Res_Summary_NetMarketRent2)</f>
        <v/>
      </c>
      <c r="W324" s="1701">
        <v>0</v>
      </c>
      <c r="X324" s="1701"/>
      <c r="Y324" s="1701">
        <v>0</v>
      </c>
      <c r="Z324" s="1701">
        <v>0</v>
      </c>
      <c r="AA324" s="1701">
        <v>0</v>
      </c>
      <c r="AB324" s="1701">
        <v>0</v>
      </c>
      <c r="AC324" s="1685"/>
      <c r="AD324" s="2069"/>
      <c r="AE324" s="2073"/>
      <c r="AF324" s="1685"/>
      <c r="AG324" s="1685"/>
      <c r="AI324" s="1677" t="s">
        <v>1066</v>
      </c>
      <c r="AM324" s="1702" t="str">
        <f t="shared" si="37"/>
        <v/>
      </c>
      <c r="AN324" s="1702" t="str">
        <f t="shared" si="38"/>
        <v/>
      </c>
      <c r="AO324" s="1885" t="str">
        <f t="shared" si="39"/>
        <v/>
      </c>
      <c r="AP324" s="1702" t="str">
        <f t="shared" si="40"/>
        <v/>
      </c>
      <c r="AQ324" s="1702" t="str">
        <f t="shared" si="41"/>
        <v/>
      </c>
      <c r="AR324" s="1702" t="str">
        <f t="shared" si="42"/>
        <v/>
      </c>
      <c r="AS324" s="1702"/>
      <c r="AT324" s="1702" t="str">
        <f t="shared" si="43"/>
        <v/>
      </c>
      <c r="AU324" s="1702" t="str">
        <f t="shared" si="44"/>
        <v/>
      </c>
      <c r="AV324" s="1702" t="str">
        <f t="shared" si="45"/>
        <v/>
      </c>
      <c r="AW324" s="1702" t="str">
        <f t="shared" si="46"/>
        <v/>
      </c>
      <c r="AX324" s="1702" t="str">
        <f t="shared" si="47"/>
        <v/>
      </c>
      <c r="AY324" s="1702" t="str">
        <f t="shared" si="48"/>
        <v/>
      </c>
      <c r="AZ324" s="1702" t="str">
        <f t="shared" si="49"/>
        <v/>
      </c>
      <c r="BA324" s="1702" t="str">
        <f t="shared" si="50"/>
        <v/>
      </c>
      <c r="BB324" s="1702" t="str">
        <f t="shared" si="51"/>
        <v/>
      </c>
      <c r="BC324" s="1702" t="str">
        <f t="shared" si="52"/>
        <v/>
      </c>
      <c r="BD324" s="1702" t="str">
        <f t="shared" si="53"/>
        <v/>
      </c>
      <c r="BE324" s="1702" t="str">
        <f t="shared" si="54"/>
        <v/>
      </c>
      <c r="BF324" s="1702" t="str">
        <f t="shared" si="55"/>
        <v/>
      </c>
      <c r="BG324" s="1702" t="str">
        <f t="shared" si="56"/>
        <v/>
      </c>
      <c r="BH324" s="1702" t="str">
        <f t="shared" si="57"/>
        <v/>
      </c>
      <c r="BQ324" s="1685"/>
      <c r="BS324" s="1677" t="s">
        <v>1066</v>
      </c>
      <c r="BW324" s="1702" t="str">
        <f t="shared" si="58"/>
        <v/>
      </c>
    </row>
    <row r="325" spans="1:75" ht="15">
      <c r="A325" s="1685"/>
      <c r="B325" s="1685"/>
      <c r="C325" s="1685"/>
      <c r="D325" s="1685"/>
      <c r="E325" s="1685"/>
      <c r="F325" s="1685">
        <v>3</v>
      </c>
      <c r="G325" s="1701" t="str">
        <f>IF(rng02_Res_Summary_NoBedrooms3="","",rng02_Res_Summary_NoBedrooms3)</f>
        <v/>
      </c>
      <c r="H325" s="1701" t="str">
        <f>IF(rng02_Res_Summary_NoBaths3="","",rng02_Res_Summary_NoBaths3)</f>
        <v/>
      </c>
      <c r="I325" s="1731" t="str">
        <f t="shared" si="59"/>
        <v/>
      </c>
      <c r="J325" s="1731" t="str">
        <f>IF(rng02_Res_Summary_AMI3="","",rng02_Res_Summary_AMI3)</f>
        <v/>
      </c>
      <c r="K325" s="1701" t="str">
        <f>IF(rng02_Res_Summary_ConstType3="","",rng02_Res_Summary_ConstType3)</f>
        <v/>
      </c>
      <c r="L325" s="1731" t="str">
        <f>IF(rng02_Res_Summary_NoUnit3="","",rng02_Res_Summary_NoUnit3)</f>
        <v/>
      </c>
      <c r="M325" s="2122" t="str">
        <f>IF(ISBLANK(rng02_Res_Summary_DeedRestricted3), "FALSE", rng02_Res_Summary_DeedRestricted3)</f>
        <v>FALSE</v>
      </c>
      <c r="N325" s="1701" t="str">
        <f>IF(L325="","",rng02_Res_Summary_NRSFperUnit3)</f>
        <v/>
      </c>
      <c r="O325" s="1701" t="str">
        <f>IF(rng02_Res_Summary_ProjBasedSubsidy3="","",rng02_Res_Summary_ProjBasedSubsidy3)</f>
        <v/>
      </c>
      <c r="P325" s="1701"/>
      <c r="Q325" s="1701"/>
      <c r="R325" s="1701">
        <v>0</v>
      </c>
      <c r="S325" s="1701"/>
      <c r="T325" s="1701">
        <v>0</v>
      </c>
      <c r="U325" s="1701" t="str">
        <f>IF(rng02_Res_Summary_GrossMarketRent3="","",rng02_Res_Summary_GrossMarketRent3)</f>
        <v/>
      </c>
      <c r="V325" s="1701" t="str">
        <f>IF(rng02_Res_Summary_NetMarketRent3=0,"",rng02_Res_Summary_NetMarketRent3)</f>
        <v/>
      </c>
      <c r="W325" s="1701">
        <v>0</v>
      </c>
      <c r="X325" s="1701"/>
      <c r="Y325" s="1701">
        <v>0</v>
      </c>
      <c r="Z325" s="1701">
        <v>0</v>
      </c>
      <c r="AA325" s="1701">
        <v>0</v>
      </c>
      <c r="AB325" s="1701">
        <v>0</v>
      </c>
      <c r="AC325" s="1685"/>
      <c r="AD325" s="2069"/>
      <c r="AE325" s="2073"/>
      <c r="AF325" s="1685"/>
      <c r="AG325" s="1685"/>
      <c r="AI325" s="1677" t="s">
        <v>1067</v>
      </c>
      <c r="AM325" s="1702" t="str">
        <f t="shared" si="37"/>
        <v/>
      </c>
      <c r="AN325" s="1702" t="str">
        <f t="shared" si="38"/>
        <v/>
      </c>
      <c r="AO325" s="1885" t="str">
        <f t="shared" si="39"/>
        <v/>
      </c>
      <c r="AP325" s="1702" t="str">
        <f t="shared" si="40"/>
        <v/>
      </c>
      <c r="AQ325" s="1702" t="str">
        <f t="shared" si="41"/>
        <v/>
      </c>
      <c r="AR325" s="1702" t="str">
        <f t="shared" si="42"/>
        <v/>
      </c>
      <c r="AS325" s="1702"/>
      <c r="AT325" s="1702" t="str">
        <f t="shared" si="43"/>
        <v/>
      </c>
      <c r="AU325" s="1702" t="str">
        <f t="shared" si="44"/>
        <v/>
      </c>
      <c r="AV325" s="1702" t="str">
        <f t="shared" si="45"/>
        <v/>
      </c>
      <c r="AW325" s="1702" t="str">
        <f t="shared" si="46"/>
        <v/>
      </c>
      <c r="AX325" s="1702" t="str">
        <f t="shared" si="47"/>
        <v/>
      </c>
      <c r="AY325" s="1702" t="str">
        <f t="shared" si="48"/>
        <v/>
      </c>
      <c r="AZ325" s="1702" t="str">
        <f t="shared" si="49"/>
        <v/>
      </c>
      <c r="BA325" s="1702" t="str">
        <f t="shared" si="50"/>
        <v/>
      </c>
      <c r="BB325" s="1702" t="str">
        <f t="shared" si="51"/>
        <v/>
      </c>
      <c r="BC325" s="1702" t="str">
        <f t="shared" si="52"/>
        <v/>
      </c>
      <c r="BD325" s="1702" t="str">
        <f t="shared" si="53"/>
        <v/>
      </c>
      <c r="BE325" s="1702" t="str">
        <f t="shared" si="54"/>
        <v/>
      </c>
      <c r="BF325" s="1702" t="str">
        <f t="shared" si="55"/>
        <v/>
      </c>
      <c r="BG325" s="1702" t="str">
        <f t="shared" si="56"/>
        <v/>
      </c>
      <c r="BH325" s="1702" t="str">
        <f t="shared" si="57"/>
        <v/>
      </c>
      <c r="BQ325" s="1685"/>
      <c r="BS325" s="1677" t="s">
        <v>1067</v>
      </c>
      <c r="BW325" s="1702" t="str">
        <f t="shared" si="58"/>
        <v/>
      </c>
    </row>
    <row r="326" spans="1:75" ht="15">
      <c r="A326" s="1685"/>
      <c r="B326" s="1685"/>
      <c r="C326" s="1685"/>
      <c r="D326" s="1685"/>
      <c r="E326" s="1685"/>
      <c r="F326" s="1685">
        <v>4</v>
      </c>
      <c r="G326" s="1701" t="str">
        <f>IF(rng02_Res_Summary_NoBedrooms4="","",rng02_Res_Summary_NoBedrooms4)</f>
        <v/>
      </c>
      <c r="H326" s="1701" t="str">
        <f>IF(rng02_Res_Summary_NoBaths4="","",rng02_Res_Summary_NoBaths4)</f>
        <v/>
      </c>
      <c r="I326" s="1731" t="str">
        <f t="shared" si="59"/>
        <v/>
      </c>
      <c r="J326" s="1731" t="str">
        <f>IF(rng02_Res_Summary_AMI4="","",rng02_Res_Summary_AMI4)</f>
        <v/>
      </c>
      <c r="K326" s="1701" t="str">
        <f>IF(rng02_Res_Summary_ConstType4="","",rng02_Res_Summary_ConstType4)</f>
        <v/>
      </c>
      <c r="L326" s="1731" t="str">
        <f>IF(rng02_Res_Summary_NoUnit4="","",rng02_Res_Summary_NoUnit4)</f>
        <v/>
      </c>
      <c r="M326" s="2122" t="str">
        <f>IF(ISBLANK(rng02_Res_Summary_DeedRestricted4), "FALSE", rng02_Res_Summary_DeedRestricted4)</f>
        <v>FALSE</v>
      </c>
      <c r="N326" s="1701" t="str">
        <f>IF(L326="","",rng02_Res_Summary_NRSFperUnit4)</f>
        <v/>
      </c>
      <c r="O326" s="1701" t="str">
        <f>IF(rng02_Res_Summary_ProjBasedSubsidy4="","",rng02_Res_Summary_ProjBasedSubsidy4)</f>
        <v/>
      </c>
      <c r="P326" s="1701"/>
      <c r="Q326" s="1701"/>
      <c r="R326" s="1701">
        <v>0</v>
      </c>
      <c r="S326" s="1701"/>
      <c r="T326" s="1701">
        <v>0</v>
      </c>
      <c r="U326" s="1701" t="str">
        <f>IF(rng02_Res_Summary_GrossMarketRent4="","",rng02_Res_Summary_GrossMarketRent4)</f>
        <v/>
      </c>
      <c r="V326" s="1701" t="str">
        <f>IF(rng02_Res_Summary_NetMarketRent4=0,"",rng02_Res_Summary_NetMarketRent4)</f>
        <v/>
      </c>
      <c r="W326" s="1701">
        <v>0</v>
      </c>
      <c r="X326" s="1701"/>
      <c r="Y326" s="1701">
        <v>0</v>
      </c>
      <c r="Z326" s="1701">
        <v>0</v>
      </c>
      <c r="AA326" s="1701">
        <v>0</v>
      </c>
      <c r="AB326" s="1701">
        <v>0</v>
      </c>
      <c r="AC326" s="1685"/>
      <c r="AD326" s="2069"/>
      <c r="AE326" s="2073"/>
      <c r="AF326" s="1685"/>
      <c r="AG326" s="1685"/>
      <c r="AM326" s="1702" t="str">
        <f t="shared" si="37"/>
        <v/>
      </c>
      <c r="AN326" s="1702" t="str">
        <f t="shared" si="38"/>
        <v/>
      </c>
      <c r="AO326" s="1885" t="str">
        <f t="shared" si="39"/>
        <v/>
      </c>
      <c r="AP326" s="1702" t="str">
        <f t="shared" si="40"/>
        <v/>
      </c>
      <c r="AQ326" s="1702" t="str">
        <f t="shared" si="41"/>
        <v/>
      </c>
      <c r="AR326" s="1702" t="str">
        <f t="shared" si="42"/>
        <v/>
      </c>
      <c r="AS326" s="1702"/>
      <c r="AT326" s="1702" t="str">
        <f t="shared" si="43"/>
        <v/>
      </c>
      <c r="AU326" s="1702" t="str">
        <f t="shared" si="44"/>
        <v/>
      </c>
      <c r="AV326" s="1702" t="str">
        <f t="shared" si="45"/>
        <v/>
      </c>
      <c r="AW326" s="1702" t="str">
        <f t="shared" si="46"/>
        <v/>
      </c>
      <c r="AX326" s="1702" t="str">
        <f t="shared" si="47"/>
        <v/>
      </c>
      <c r="AY326" s="1702" t="str">
        <f t="shared" si="48"/>
        <v/>
      </c>
      <c r="AZ326" s="1702" t="str">
        <f t="shared" si="49"/>
        <v/>
      </c>
      <c r="BA326" s="1702" t="str">
        <f t="shared" si="50"/>
        <v/>
      </c>
      <c r="BB326" s="1702" t="str">
        <f t="shared" si="51"/>
        <v/>
      </c>
      <c r="BC326" s="1702" t="str">
        <f t="shared" si="52"/>
        <v/>
      </c>
      <c r="BD326" s="1702" t="str">
        <f t="shared" si="53"/>
        <v/>
      </c>
      <c r="BE326" s="1702" t="str">
        <f t="shared" si="54"/>
        <v/>
      </c>
      <c r="BF326" s="1702" t="str">
        <f t="shared" si="55"/>
        <v/>
      </c>
      <c r="BG326" s="1702" t="str">
        <f t="shared" si="56"/>
        <v/>
      </c>
      <c r="BH326" s="1702" t="str">
        <f t="shared" si="57"/>
        <v/>
      </c>
      <c r="BQ326" s="1685"/>
      <c r="BW326" s="1702" t="str">
        <f t="shared" si="58"/>
        <v/>
      </c>
    </row>
    <row r="327" spans="1:75" ht="15">
      <c r="A327" s="1685"/>
      <c r="B327" s="1685"/>
      <c r="C327" s="1685"/>
      <c r="D327" s="1685"/>
      <c r="E327" s="1685"/>
      <c r="F327" s="1685">
        <v>5</v>
      </c>
      <c r="G327" s="1701" t="str">
        <f>IF(rng02_Res_Summary_NoBedrooms5="","",rng02_Res_Summary_NoBedrooms5)</f>
        <v/>
      </c>
      <c r="H327" s="1701" t="str">
        <f>IF(rng02_Res_Summary_NoBaths5="","",rng02_Res_Summary_NoBaths5)</f>
        <v/>
      </c>
      <c r="I327" s="1731" t="str">
        <f t="shared" si="59"/>
        <v/>
      </c>
      <c r="J327" s="1731" t="str">
        <f>IF(rng02_Res_Summary_AMI5="","",rng02_Res_Summary_AMI5)</f>
        <v/>
      </c>
      <c r="K327" s="1701" t="str">
        <f>IF(rng02_Res_Summary_ConstType5="","",rng02_Res_Summary_ConstType5)</f>
        <v/>
      </c>
      <c r="L327" s="1731" t="str">
        <f>IF(rng02_Res_Summary_NoUnit5="","",rng02_Res_Summary_NoUnit5)</f>
        <v/>
      </c>
      <c r="M327" s="2122" t="str">
        <f>IF(ISBLANK(rng02_Res_Summary_DeedRestricted5), "FALSE", rng02_Res_Summary_DeedRestricted5)</f>
        <v>FALSE</v>
      </c>
      <c r="N327" s="1701" t="str">
        <f>IF(L327="","",rng02_Res_Summary_NRSFperUnit5)</f>
        <v/>
      </c>
      <c r="O327" s="1701" t="str">
        <f>IF(rng02_Res_Summary_ProjBasedSubsidy5="","",rng02_Res_Summary_ProjBasedSubsidy5)</f>
        <v/>
      </c>
      <c r="P327" s="1701"/>
      <c r="Q327" s="1701"/>
      <c r="R327" s="1701">
        <v>0</v>
      </c>
      <c r="S327" s="1701"/>
      <c r="T327" s="1701">
        <v>0</v>
      </c>
      <c r="U327" s="1701" t="str">
        <f>IF(rng02_Res_Summary_GrossMarketRent5="","",rng02_Res_Summary_GrossMarketRent5)</f>
        <v/>
      </c>
      <c r="V327" s="1701" t="str">
        <f>IF(rng02_Res_Summary_NetMarketRent5=0,"",rng02_Res_Summary_NetMarketRent5)</f>
        <v/>
      </c>
      <c r="W327" s="1701">
        <v>0</v>
      </c>
      <c r="X327" s="1701"/>
      <c r="Y327" s="1701">
        <v>0</v>
      </c>
      <c r="Z327" s="1701">
        <v>0</v>
      </c>
      <c r="AA327" s="1701">
        <v>0</v>
      </c>
      <c r="AB327" s="1701">
        <v>0</v>
      </c>
      <c r="AC327" s="1685"/>
      <c r="AD327" s="2069"/>
      <c r="AE327" s="2073"/>
      <c r="AF327" s="1685"/>
      <c r="AG327" s="1685"/>
      <c r="AI327" s="1679" t="s">
        <v>1068</v>
      </c>
      <c r="AM327" s="1702" t="str">
        <f t="shared" si="37"/>
        <v/>
      </c>
      <c r="AN327" s="1702" t="str">
        <f t="shared" si="38"/>
        <v/>
      </c>
      <c r="AO327" s="1885" t="str">
        <f t="shared" si="39"/>
        <v/>
      </c>
      <c r="AP327" s="1702" t="str">
        <f t="shared" si="40"/>
        <v/>
      </c>
      <c r="AQ327" s="1702" t="str">
        <f t="shared" si="41"/>
        <v/>
      </c>
      <c r="AR327" s="1702" t="str">
        <f t="shared" si="42"/>
        <v/>
      </c>
      <c r="AS327" s="1702"/>
      <c r="AT327" s="1702" t="str">
        <f t="shared" si="43"/>
        <v/>
      </c>
      <c r="AU327" s="1702" t="str">
        <f t="shared" si="44"/>
        <v/>
      </c>
      <c r="AV327" s="1702" t="str">
        <f t="shared" si="45"/>
        <v/>
      </c>
      <c r="AW327" s="1702" t="str">
        <f t="shared" si="46"/>
        <v/>
      </c>
      <c r="AX327" s="1702" t="str">
        <f t="shared" si="47"/>
        <v/>
      </c>
      <c r="AY327" s="1702" t="str">
        <f t="shared" si="48"/>
        <v/>
      </c>
      <c r="AZ327" s="1702" t="str">
        <f t="shared" si="49"/>
        <v/>
      </c>
      <c r="BA327" s="1702" t="str">
        <f t="shared" si="50"/>
        <v/>
      </c>
      <c r="BB327" s="1702" t="str">
        <f t="shared" si="51"/>
        <v/>
      </c>
      <c r="BC327" s="1702" t="str">
        <f t="shared" si="52"/>
        <v/>
      </c>
      <c r="BD327" s="1702" t="str">
        <f t="shared" si="53"/>
        <v/>
      </c>
      <c r="BE327" s="1702" t="str">
        <f t="shared" si="54"/>
        <v/>
      </c>
      <c r="BF327" s="1702" t="str">
        <f t="shared" si="55"/>
        <v/>
      </c>
      <c r="BG327" s="1702" t="str">
        <f t="shared" si="56"/>
        <v/>
      </c>
      <c r="BH327" s="1702" t="str">
        <f t="shared" si="57"/>
        <v/>
      </c>
      <c r="BQ327" s="1685"/>
      <c r="BS327" s="1679" t="s">
        <v>1068</v>
      </c>
      <c r="BW327" s="1702" t="str">
        <f t="shared" si="58"/>
        <v/>
      </c>
    </row>
    <row r="328" spans="1:75" ht="15">
      <c r="A328" s="1685"/>
      <c r="B328" s="1685"/>
      <c r="C328" s="1685"/>
      <c r="D328" s="1685"/>
      <c r="E328" s="1685"/>
      <c r="F328" s="1685">
        <v>6</v>
      </c>
      <c r="G328" s="1701" t="str">
        <f>IF(rng02_Res_Summary_NoBedrooms6="","",rng02_Res_Summary_NoBedrooms6)</f>
        <v/>
      </c>
      <c r="H328" s="1701" t="str">
        <f>IF(rng02_Res_Summary_NoBaths6="","",rng02_Res_Summary_NoBaths6)</f>
        <v/>
      </c>
      <c r="I328" s="1731" t="str">
        <f t="shared" si="59"/>
        <v/>
      </c>
      <c r="J328" s="1731" t="str">
        <f>IF(rng02_Res_Summary_AMI6="","",rng02_Res_Summary_AMI6)</f>
        <v/>
      </c>
      <c r="K328" s="1701" t="str">
        <f>IF(rng02_Res_Summary_ConstType6="","",rng02_Res_Summary_ConstType6)</f>
        <v/>
      </c>
      <c r="L328" s="1731" t="str">
        <f>IF(rng02_Res_Summary_NoUnit6="","",rng02_Res_Summary_NoUnit6)</f>
        <v/>
      </c>
      <c r="M328" s="2122" t="str">
        <f>IF(ISBLANK(rng02_Res_Summary_DeedRestricted6), "FALSE", rng02_Res_Summary_DeedRestricted6)</f>
        <v>FALSE</v>
      </c>
      <c r="N328" s="1701" t="str">
        <f>IF(L328="","",rng02_Res_Summary_NRSFperUnit6)</f>
        <v/>
      </c>
      <c r="O328" s="1701" t="str">
        <f>IF(rng02_Res_Summary_ProjBasedSubsidy6="","",rng02_Res_Summary_ProjBasedSubsidy6)</f>
        <v/>
      </c>
      <c r="P328" s="1701"/>
      <c r="Q328" s="1701"/>
      <c r="R328" s="1701">
        <v>0</v>
      </c>
      <c r="S328" s="1701"/>
      <c r="T328" s="1701">
        <v>0</v>
      </c>
      <c r="U328" s="1701" t="str">
        <f>IF(rng02_Res_Summary_GrossMarketRent6="","",rng02_Res_Summary_GrossMarketRent6)</f>
        <v/>
      </c>
      <c r="V328" s="1701" t="str">
        <f>IF(rng02_Res_Summary_NetMarketRent6=0,"",rng02_Res_Summary_NetMarketRent6)</f>
        <v/>
      </c>
      <c r="W328" s="1701">
        <v>0</v>
      </c>
      <c r="X328" s="1701"/>
      <c r="Y328" s="1701">
        <v>0</v>
      </c>
      <c r="Z328" s="1701">
        <v>0</v>
      </c>
      <c r="AA328" s="1701">
        <v>0</v>
      </c>
      <c r="AB328" s="1701">
        <v>0</v>
      </c>
      <c r="AC328" s="1685"/>
      <c r="AD328" s="2069"/>
      <c r="AE328" s="2073"/>
      <c r="AF328" s="1685"/>
      <c r="AG328" s="1685"/>
      <c r="AI328" s="1679" t="s">
        <v>1069</v>
      </c>
      <c r="AM328" s="1702" t="str">
        <f t="shared" si="37"/>
        <v/>
      </c>
      <c r="AN328" s="1702" t="str">
        <f t="shared" si="38"/>
        <v/>
      </c>
      <c r="AO328" s="1885" t="str">
        <f t="shared" si="39"/>
        <v/>
      </c>
      <c r="AP328" s="1702" t="str">
        <f t="shared" si="40"/>
        <v/>
      </c>
      <c r="AQ328" s="1702" t="str">
        <f t="shared" si="41"/>
        <v/>
      </c>
      <c r="AR328" s="1702" t="str">
        <f t="shared" si="42"/>
        <v/>
      </c>
      <c r="AS328" s="1702"/>
      <c r="AT328" s="1702" t="str">
        <f t="shared" si="43"/>
        <v/>
      </c>
      <c r="AU328" s="1702" t="str">
        <f t="shared" si="44"/>
        <v/>
      </c>
      <c r="AV328" s="1702" t="str">
        <f t="shared" si="45"/>
        <v/>
      </c>
      <c r="AW328" s="1702" t="str">
        <f t="shared" si="46"/>
        <v/>
      </c>
      <c r="AX328" s="1702" t="str">
        <f t="shared" si="47"/>
        <v/>
      </c>
      <c r="AY328" s="1702" t="str">
        <f t="shared" si="48"/>
        <v/>
      </c>
      <c r="AZ328" s="1702" t="str">
        <f t="shared" si="49"/>
        <v/>
      </c>
      <c r="BA328" s="1702" t="str">
        <f t="shared" si="50"/>
        <v/>
      </c>
      <c r="BB328" s="1702" t="str">
        <f t="shared" si="51"/>
        <v/>
      </c>
      <c r="BC328" s="1702" t="str">
        <f t="shared" si="52"/>
        <v/>
      </c>
      <c r="BD328" s="1702" t="str">
        <f t="shared" si="53"/>
        <v/>
      </c>
      <c r="BE328" s="1702" t="str">
        <f t="shared" si="54"/>
        <v/>
      </c>
      <c r="BF328" s="1702" t="str">
        <f t="shared" si="55"/>
        <v/>
      </c>
      <c r="BG328" s="1702" t="str">
        <f t="shared" si="56"/>
        <v/>
      </c>
      <c r="BH328" s="1702" t="str">
        <f t="shared" si="57"/>
        <v/>
      </c>
      <c r="BQ328" s="1685"/>
      <c r="BS328" s="1679" t="s">
        <v>1069</v>
      </c>
      <c r="BW328" s="1702" t="str">
        <f t="shared" si="58"/>
        <v/>
      </c>
    </row>
    <row r="329" spans="1:75" ht="15">
      <c r="A329" s="1685"/>
      <c r="B329" s="1685"/>
      <c r="C329" s="1685"/>
      <c r="D329" s="1685"/>
      <c r="E329" s="1685"/>
      <c r="F329" s="1685">
        <v>7</v>
      </c>
      <c r="G329" s="1701" t="str">
        <f>IF(rng02_Res_Summary_NoBedrooms7="","",rng02_Res_Summary_NoBedrooms7)</f>
        <v/>
      </c>
      <c r="H329" s="1701" t="str">
        <f>IF(rng02_Res_Summary_NoBaths7="","",rng02_Res_Summary_NoBaths7)</f>
        <v/>
      </c>
      <c r="I329" s="1731" t="str">
        <f t="shared" si="59"/>
        <v/>
      </c>
      <c r="J329" s="1731" t="str">
        <f>IF(rng02_Res_Summary_AMI7="","",rng02_Res_Summary_AMI7)</f>
        <v/>
      </c>
      <c r="K329" s="1701" t="str">
        <f>IF(rng02_Res_Summary_ConstType7="","",rng02_Res_Summary_ConstType7)</f>
        <v/>
      </c>
      <c r="L329" s="1731" t="str">
        <f>IF(rng02_Res_Summary_NoUnit7="","",rng02_Res_Summary_NoUnit7)</f>
        <v/>
      </c>
      <c r="M329" s="2122" t="str">
        <f>IF(ISBLANK(rng02_Res_Summary_DeedRestricted7), "FALSE", rng02_Res_Summary_DeedRestricted7)</f>
        <v>FALSE</v>
      </c>
      <c r="N329" s="1701" t="str">
        <f>IF(L329="","",rng02_Res_Summary_NRSFperUnit7)</f>
        <v/>
      </c>
      <c r="O329" s="1701" t="str">
        <f>IF(rng02_Res_Summary_ProjBasedSubsidy7="","",rng02_Res_Summary_ProjBasedSubsidy7)</f>
        <v/>
      </c>
      <c r="P329" s="1701"/>
      <c r="Q329" s="1701"/>
      <c r="R329" s="1701">
        <v>0</v>
      </c>
      <c r="S329" s="1701"/>
      <c r="T329" s="1701">
        <v>0</v>
      </c>
      <c r="U329" s="1701" t="str">
        <f>IF(rng02_Res_Summary_GrossMarketRent7="","",rng02_Res_Summary_GrossMarketRent7)</f>
        <v/>
      </c>
      <c r="V329" s="1701" t="str">
        <f>IF(rng02_Res_Summary_NetMarketRent7=0,"",rng02_Res_Summary_NetMarketRent7)</f>
        <v/>
      </c>
      <c r="W329" s="1701">
        <v>0</v>
      </c>
      <c r="X329" s="1701"/>
      <c r="Y329" s="1701">
        <v>0</v>
      </c>
      <c r="Z329" s="1701">
        <v>0</v>
      </c>
      <c r="AA329" s="1701">
        <v>0</v>
      </c>
      <c r="AB329" s="1701">
        <v>0</v>
      </c>
      <c r="AC329" s="1685"/>
      <c r="AD329" s="2069"/>
      <c r="AE329" s="2073"/>
      <c r="AF329" s="1685"/>
      <c r="AG329" s="1685"/>
      <c r="AM329" s="1702" t="str">
        <f t="shared" si="37"/>
        <v/>
      </c>
      <c r="AN329" s="1702" t="str">
        <f t="shared" si="38"/>
        <v/>
      </c>
      <c r="AO329" s="1885" t="str">
        <f t="shared" si="39"/>
        <v/>
      </c>
      <c r="AP329" s="1702" t="str">
        <f t="shared" si="40"/>
        <v/>
      </c>
      <c r="AQ329" s="1702" t="str">
        <f t="shared" si="41"/>
        <v/>
      </c>
      <c r="AR329" s="1702" t="str">
        <f t="shared" si="42"/>
        <v/>
      </c>
      <c r="AS329" s="1702"/>
      <c r="AT329" s="1702" t="str">
        <f t="shared" si="43"/>
        <v/>
      </c>
      <c r="AU329" s="1702" t="str">
        <f t="shared" si="44"/>
        <v/>
      </c>
      <c r="AV329" s="1702" t="str">
        <f t="shared" si="45"/>
        <v/>
      </c>
      <c r="AW329" s="1702" t="str">
        <f t="shared" si="46"/>
        <v/>
      </c>
      <c r="AX329" s="1702" t="str">
        <f t="shared" si="47"/>
        <v/>
      </c>
      <c r="AY329" s="1702" t="str">
        <f t="shared" si="48"/>
        <v/>
      </c>
      <c r="AZ329" s="1702" t="str">
        <f t="shared" si="49"/>
        <v/>
      </c>
      <c r="BA329" s="1702" t="str">
        <f t="shared" si="50"/>
        <v/>
      </c>
      <c r="BB329" s="1702" t="str">
        <f t="shared" si="51"/>
        <v/>
      </c>
      <c r="BC329" s="1702" t="str">
        <f t="shared" si="52"/>
        <v/>
      </c>
      <c r="BD329" s="1702" t="str">
        <f t="shared" si="53"/>
        <v/>
      </c>
      <c r="BE329" s="1702" t="str">
        <f t="shared" si="54"/>
        <v/>
      </c>
      <c r="BF329" s="1702" t="str">
        <f t="shared" si="55"/>
        <v/>
      </c>
      <c r="BG329" s="1702" t="str">
        <f t="shared" si="56"/>
        <v/>
      </c>
      <c r="BH329" s="1702" t="str">
        <f t="shared" si="57"/>
        <v/>
      </c>
      <c r="BQ329" s="1685"/>
      <c r="BW329" s="1702" t="str">
        <f t="shared" si="58"/>
        <v/>
      </c>
    </row>
    <row r="330" spans="1:75" ht="15">
      <c r="A330" s="1685"/>
      <c r="B330" s="1685"/>
      <c r="C330" s="1685"/>
      <c r="D330" s="1685"/>
      <c r="E330" s="1685"/>
      <c r="F330" s="1685">
        <v>8</v>
      </c>
      <c r="G330" s="1701" t="str">
        <f>IF(rng02_Res_Summary_NoBedrooms8="","",rng02_Res_Summary_NoBedrooms8)</f>
        <v/>
      </c>
      <c r="H330" s="1701" t="str">
        <f>IF(rng02_Res_Summary_NoBaths8="","",rng02_Res_Summary_NoBaths8)</f>
        <v/>
      </c>
      <c r="I330" s="1731" t="str">
        <f t="shared" si="59"/>
        <v/>
      </c>
      <c r="J330" s="1731" t="str">
        <f>IF(rng02_Res_Summary_AMI8="","",rng02_Res_Summary_AMI8)</f>
        <v/>
      </c>
      <c r="K330" s="1701" t="str">
        <f>IF(rng02_Res_Summary_ConstType8="","",rng02_Res_Summary_ConstType8)</f>
        <v/>
      </c>
      <c r="L330" s="1731" t="str">
        <f>IF(rng02_Res_Summary_NoUnit8="","",rng02_Res_Summary_NoUnit8)</f>
        <v/>
      </c>
      <c r="M330" s="2122" t="str">
        <f>IF(ISBLANK(rng02_Res_Summary_DeedRestricted8), "FALSE", rng02_Res_Summary_DeedRestricted8)</f>
        <v>FALSE</v>
      </c>
      <c r="N330" s="1701" t="str">
        <f>IF(L330="","",rng02_Res_Summary_NRSFperUnit8)</f>
        <v/>
      </c>
      <c r="O330" s="1701" t="str">
        <f>IF(rng02_Res_Summary_ProjBasedSubsidy8="","",rng02_Res_Summary_ProjBasedSubsidy8)</f>
        <v/>
      </c>
      <c r="P330" s="1701"/>
      <c r="Q330" s="1701"/>
      <c r="R330" s="1701">
        <v>0</v>
      </c>
      <c r="S330" s="1701"/>
      <c r="T330" s="1701">
        <v>0</v>
      </c>
      <c r="U330" s="1701" t="str">
        <f>IF(rng02_Res_Summary_GrossMarketRent8="","",rng02_Res_Summary_GrossMarketRent8)</f>
        <v/>
      </c>
      <c r="V330" s="1701" t="str">
        <f>IF(rng02_Res_Summary_NetMarketRent8=0,"",rng02_Res_Summary_NetMarketRent8)</f>
        <v/>
      </c>
      <c r="W330" s="1701">
        <v>0</v>
      </c>
      <c r="X330" s="1701"/>
      <c r="Y330" s="1701">
        <v>0</v>
      </c>
      <c r="Z330" s="1701">
        <v>0</v>
      </c>
      <c r="AA330" s="1701">
        <v>0</v>
      </c>
      <c r="AB330" s="1701">
        <v>0</v>
      </c>
      <c r="AC330" s="1685"/>
      <c r="AD330" s="2069"/>
      <c r="AE330" s="2073"/>
      <c r="AF330" s="1685"/>
      <c r="AG330" s="1685"/>
      <c r="AM330" s="1702" t="str">
        <f t="shared" si="37"/>
        <v/>
      </c>
      <c r="AN330" s="1702" t="str">
        <f t="shared" si="38"/>
        <v/>
      </c>
      <c r="AO330" s="1885" t="str">
        <f t="shared" si="39"/>
        <v/>
      </c>
      <c r="AP330" s="1702" t="str">
        <f t="shared" si="40"/>
        <v/>
      </c>
      <c r="AQ330" s="1702" t="str">
        <f t="shared" si="41"/>
        <v/>
      </c>
      <c r="AR330" s="1702" t="str">
        <f t="shared" si="42"/>
        <v/>
      </c>
      <c r="AS330" s="1702"/>
      <c r="AT330" s="1702" t="str">
        <f t="shared" si="43"/>
        <v/>
      </c>
      <c r="AU330" s="1702" t="str">
        <f t="shared" si="44"/>
        <v/>
      </c>
      <c r="AV330" s="1702" t="str">
        <f t="shared" si="45"/>
        <v/>
      </c>
      <c r="AW330" s="1702" t="str">
        <f t="shared" si="46"/>
        <v/>
      </c>
      <c r="AX330" s="1702" t="str">
        <f t="shared" si="47"/>
        <v/>
      </c>
      <c r="AY330" s="1702" t="str">
        <f t="shared" si="48"/>
        <v/>
      </c>
      <c r="AZ330" s="1702" t="str">
        <f t="shared" si="49"/>
        <v/>
      </c>
      <c r="BA330" s="1702" t="str">
        <f t="shared" si="50"/>
        <v/>
      </c>
      <c r="BB330" s="1702" t="str">
        <f t="shared" si="51"/>
        <v/>
      </c>
      <c r="BC330" s="1702" t="str">
        <f t="shared" si="52"/>
        <v/>
      </c>
      <c r="BD330" s="1702" t="str">
        <f t="shared" si="53"/>
        <v/>
      </c>
      <c r="BE330" s="1702" t="str">
        <f t="shared" si="54"/>
        <v/>
      </c>
      <c r="BF330" s="1702" t="str">
        <f t="shared" si="55"/>
        <v/>
      </c>
      <c r="BG330" s="1702" t="str">
        <f t="shared" si="56"/>
        <v/>
      </c>
      <c r="BH330" s="1702" t="str">
        <f t="shared" si="57"/>
        <v/>
      </c>
      <c r="BQ330" s="1685"/>
      <c r="BW330" s="1702" t="str">
        <f t="shared" si="58"/>
        <v/>
      </c>
    </row>
    <row r="331" spans="1:75" ht="15">
      <c r="A331" s="1685"/>
      <c r="B331" s="1685"/>
      <c r="C331" s="1685"/>
      <c r="D331" s="1685"/>
      <c r="E331" s="1685"/>
      <c r="F331" s="1685">
        <v>9</v>
      </c>
      <c r="G331" s="1701" t="str">
        <f>IF(rng02_Res_Summary_NoBedrooms9="","",rng02_Res_Summary_NoBedrooms9)</f>
        <v/>
      </c>
      <c r="H331" s="1701" t="str">
        <f>IF(rng02_Res_Summary_NoBaths9="","",rng02_Res_Summary_NoBaths9)</f>
        <v/>
      </c>
      <c r="I331" s="1731" t="str">
        <f t="shared" si="59"/>
        <v/>
      </c>
      <c r="J331" s="1731" t="str">
        <f>IF(rng02_Res_Summary_AMI9="","",rng02_Res_Summary_AMI9)</f>
        <v/>
      </c>
      <c r="K331" s="1701" t="str">
        <f>IF(rng02_Res_Summary_ConstType9="","",rng02_Res_Summary_ConstType9)</f>
        <v/>
      </c>
      <c r="L331" s="1731" t="str">
        <f>IF(rng02_Res_Summary_NoUnit9="","",rng02_Res_Summary_NoUnit9)</f>
        <v/>
      </c>
      <c r="M331" s="2122" t="str">
        <f>IF(ISBLANK(rng02_Res_Summary_DeedRestricted9), "FALSE", rng02_Res_Summary_DeedRestricted9)</f>
        <v>FALSE</v>
      </c>
      <c r="N331" s="1701" t="str">
        <f>IF(L331="","",rng02_Res_Summary_NRSFperUnit9)</f>
        <v/>
      </c>
      <c r="O331" s="1701" t="str">
        <f>IF(rng02_Res_Summary_ProjBasedSubsidy9="","",rng02_Res_Summary_ProjBasedSubsidy9)</f>
        <v/>
      </c>
      <c r="P331" s="1701"/>
      <c r="Q331" s="1701"/>
      <c r="R331" s="1701">
        <v>0</v>
      </c>
      <c r="S331" s="1701"/>
      <c r="T331" s="1701">
        <v>0</v>
      </c>
      <c r="U331" s="1701" t="str">
        <f>IF(rng02_Res_Summary_GrossMarketRent9="","",rng02_Res_Summary_GrossMarketRent9)</f>
        <v/>
      </c>
      <c r="V331" s="1701" t="str">
        <f>IF(rng02_Res_Summary_NetMarketRent9=0,"",rng02_Res_Summary_NetMarketRent9)</f>
        <v/>
      </c>
      <c r="W331" s="1701">
        <v>0</v>
      </c>
      <c r="X331" s="1701"/>
      <c r="Y331" s="1701">
        <v>0</v>
      </c>
      <c r="Z331" s="1701">
        <v>0</v>
      </c>
      <c r="AA331" s="1701">
        <v>0</v>
      </c>
      <c r="AB331" s="1701">
        <v>0</v>
      </c>
      <c r="AC331" s="1685"/>
      <c r="AD331" s="2069"/>
      <c r="AE331" s="2073"/>
      <c r="AF331" s="1685"/>
      <c r="AG331" s="1685"/>
      <c r="AM331" s="1702" t="str">
        <f t="shared" si="37"/>
        <v/>
      </c>
      <c r="AN331" s="1702" t="str">
        <f t="shared" si="38"/>
        <v/>
      </c>
      <c r="AO331" s="1885" t="str">
        <f t="shared" si="39"/>
        <v/>
      </c>
      <c r="AP331" s="1702" t="str">
        <f t="shared" si="40"/>
        <v/>
      </c>
      <c r="AQ331" s="1702" t="str">
        <f t="shared" si="41"/>
        <v/>
      </c>
      <c r="AR331" s="1702" t="str">
        <f t="shared" si="42"/>
        <v/>
      </c>
      <c r="AS331" s="1702"/>
      <c r="AT331" s="1702" t="str">
        <f t="shared" si="43"/>
        <v/>
      </c>
      <c r="AU331" s="1702" t="str">
        <f t="shared" si="44"/>
        <v/>
      </c>
      <c r="AV331" s="1702" t="str">
        <f t="shared" si="45"/>
        <v/>
      </c>
      <c r="AW331" s="1702" t="str">
        <f t="shared" si="46"/>
        <v/>
      </c>
      <c r="AX331" s="1702" t="str">
        <f t="shared" si="47"/>
        <v/>
      </c>
      <c r="AY331" s="1702" t="str">
        <f t="shared" si="48"/>
        <v/>
      </c>
      <c r="AZ331" s="1702" t="str">
        <f t="shared" si="49"/>
        <v/>
      </c>
      <c r="BA331" s="1702" t="str">
        <f t="shared" si="50"/>
        <v/>
      </c>
      <c r="BB331" s="1702" t="str">
        <f t="shared" si="51"/>
        <v/>
      </c>
      <c r="BC331" s="1702" t="str">
        <f t="shared" si="52"/>
        <v/>
      </c>
      <c r="BD331" s="1702" t="str">
        <f t="shared" si="53"/>
        <v/>
      </c>
      <c r="BE331" s="1702" t="str">
        <f t="shared" si="54"/>
        <v/>
      </c>
      <c r="BF331" s="1702" t="str">
        <f t="shared" si="55"/>
        <v/>
      </c>
      <c r="BG331" s="1702" t="str">
        <f t="shared" si="56"/>
        <v/>
      </c>
      <c r="BH331" s="1702" t="str">
        <f t="shared" si="57"/>
        <v/>
      </c>
      <c r="BQ331" s="1685"/>
      <c r="BW331" s="1702" t="str">
        <f t="shared" si="58"/>
        <v/>
      </c>
    </row>
    <row r="332" spans="1:75" ht="15">
      <c r="A332" s="1685"/>
      <c r="B332" s="1685"/>
      <c r="C332" s="1685"/>
      <c r="D332" s="1685"/>
      <c r="E332" s="1685"/>
      <c r="F332" s="1685">
        <v>10</v>
      </c>
      <c r="G332" s="1701" t="str">
        <f>IF(rng02_Res_Summary_NoBedrooms10="","",rng02_Res_Summary_NoBedrooms10)</f>
        <v/>
      </c>
      <c r="H332" s="1701" t="str">
        <f>IF(rng02_Res_Summary_NoBaths10="","",rng02_Res_Summary_NoBaths10)</f>
        <v/>
      </c>
      <c r="I332" s="1731" t="str">
        <f t="shared" si="59"/>
        <v/>
      </c>
      <c r="J332" s="1731" t="str">
        <f>IF(rng02_Res_Summary_AMI10="","",rng02_Res_Summary_AMI10)</f>
        <v/>
      </c>
      <c r="K332" s="1701" t="str">
        <f>IF(rng02_Res_Summary_ConstType10="","",rng02_Res_Summary_ConstType10)</f>
        <v/>
      </c>
      <c r="L332" s="1731" t="str">
        <f>IF(rng02_Res_Summary_NoUnit10="","",rng02_Res_Summary_NoUnit10)</f>
        <v/>
      </c>
      <c r="M332" s="2122" t="str">
        <f>IF(ISBLANK(rng02_Res_Summary_DeedRestricted10), "FALSE", rng02_Res_Summary_DeedRestricted10)</f>
        <v>FALSE</v>
      </c>
      <c r="N332" s="1701" t="str">
        <f>IF(L332="","",rng02_Res_Summary_NRSFperUnit10)</f>
        <v/>
      </c>
      <c r="O332" s="1701" t="str">
        <f>IF(rng02_Res_Summary_ProjBasedSubsidy10="","",rng02_Res_Summary_ProjBasedSubsidy10)</f>
        <v/>
      </c>
      <c r="P332" s="1701"/>
      <c r="Q332" s="1701"/>
      <c r="R332" s="1701">
        <v>0</v>
      </c>
      <c r="S332" s="1701"/>
      <c r="T332" s="1701">
        <v>0</v>
      </c>
      <c r="U332" s="1701" t="str">
        <f>IF(rng02_Res_Summary_GrossMarketRent10="","",rng02_Res_Summary_GrossMarketRent10)</f>
        <v/>
      </c>
      <c r="V332" s="1701" t="str">
        <f>IF(rng02_Res_Summary_NetMarketRent10=0,"",rng02_Res_Summary_NetMarketRent10)</f>
        <v/>
      </c>
      <c r="W332" s="1701">
        <v>0</v>
      </c>
      <c r="X332" s="1701"/>
      <c r="Y332" s="1701">
        <v>0</v>
      </c>
      <c r="Z332" s="1701">
        <v>0</v>
      </c>
      <c r="AA332" s="1701">
        <v>0</v>
      </c>
      <c r="AB332" s="1701">
        <v>0</v>
      </c>
      <c r="AC332" s="1685"/>
      <c r="AD332" s="2069"/>
      <c r="AE332" s="2073"/>
      <c r="AF332" s="1685"/>
      <c r="AG332" s="1685"/>
      <c r="AM332" s="1702" t="str">
        <f t="shared" si="37"/>
        <v/>
      </c>
      <c r="AN332" s="1702" t="str">
        <f t="shared" si="38"/>
        <v/>
      </c>
      <c r="AO332" s="1885" t="str">
        <f t="shared" si="39"/>
        <v/>
      </c>
      <c r="AP332" s="1702" t="str">
        <f t="shared" si="40"/>
        <v/>
      </c>
      <c r="AQ332" s="1702" t="str">
        <f t="shared" si="41"/>
        <v/>
      </c>
      <c r="AR332" s="1702" t="str">
        <f t="shared" si="42"/>
        <v/>
      </c>
      <c r="AS332" s="1702"/>
      <c r="AT332" s="1702" t="str">
        <f t="shared" si="43"/>
        <v/>
      </c>
      <c r="AU332" s="1702" t="str">
        <f t="shared" si="44"/>
        <v/>
      </c>
      <c r="AV332" s="1702" t="str">
        <f t="shared" si="45"/>
        <v/>
      </c>
      <c r="AW332" s="1702" t="str">
        <f t="shared" si="46"/>
        <v/>
      </c>
      <c r="AX332" s="1702" t="str">
        <f t="shared" si="47"/>
        <v/>
      </c>
      <c r="AY332" s="1702" t="str">
        <f t="shared" si="48"/>
        <v/>
      </c>
      <c r="AZ332" s="1702" t="str">
        <f t="shared" si="49"/>
        <v/>
      </c>
      <c r="BA332" s="1702" t="str">
        <f t="shared" si="50"/>
        <v/>
      </c>
      <c r="BB332" s="1702" t="str">
        <f t="shared" si="51"/>
        <v/>
      </c>
      <c r="BC332" s="1702" t="str">
        <f t="shared" si="52"/>
        <v/>
      </c>
      <c r="BD332" s="1702" t="str">
        <f t="shared" si="53"/>
        <v/>
      </c>
      <c r="BE332" s="1702" t="str">
        <f t="shared" si="54"/>
        <v/>
      </c>
      <c r="BF332" s="1702" t="str">
        <f t="shared" si="55"/>
        <v/>
      </c>
      <c r="BG332" s="1702" t="str">
        <f t="shared" si="56"/>
        <v/>
      </c>
      <c r="BH332" s="1702" t="str">
        <f t="shared" si="57"/>
        <v/>
      </c>
      <c r="BQ332" s="1685"/>
      <c r="BW332" s="1702" t="str">
        <f t="shared" si="58"/>
        <v/>
      </c>
    </row>
    <row r="333" spans="1:75" ht="15">
      <c r="A333" s="1685"/>
      <c r="B333" s="1685"/>
      <c r="C333" s="1685"/>
      <c r="D333" s="1685"/>
      <c r="E333" s="1685"/>
      <c r="F333" s="1685">
        <v>11</v>
      </c>
      <c r="G333" s="1701" t="str">
        <f>IF(rng02_Res_Summary_NoBedrooms11="","",rng02_Res_Summary_NoBedrooms11)</f>
        <v/>
      </c>
      <c r="H333" s="1701" t="str">
        <f>IF(rng02_Res_Summary_NoBaths11="","",rng02_Res_Summary_NoBaths11)</f>
        <v/>
      </c>
      <c r="I333" s="1731" t="str">
        <f t="shared" si="59"/>
        <v/>
      </c>
      <c r="J333" s="1731" t="str">
        <f>IF(rng02_Res_Summary_AMI11="","",rng02_Res_Summary_AMI11)</f>
        <v/>
      </c>
      <c r="K333" s="1701" t="str">
        <f>IF(rng02_Res_Summary_ConstType11="","",rng02_Res_Summary_ConstType11)</f>
        <v/>
      </c>
      <c r="L333" s="1731" t="str">
        <f>IF(rng02_Res_Summary_NoUnit11="","",rng02_Res_Summary_NoUnit11)</f>
        <v/>
      </c>
      <c r="M333" s="2122" t="str">
        <f>IF(ISBLANK(rng02_Res_Summary_DeedRestricted11), "FALSE", rng02_Res_Summary_DeedRestricted11)</f>
        <v>FALSE</v>
      </c>
      <c r="N333" s="1701" t="str">
        <f>IF(L333="","",rng02_Res_Summary_NRSFperUnit11)</f>
        <v/>
      </c>
      <c r="O333" s="1701" t="str">
        <f>IF(rng02_Res_Summary_ProjBasedSubsidy11="","",rng02_Res_Summary_ProjBasedSubsidy11)</f>
        <v/>
      </c>
      <c r="P333" s="1701"/>
      <c r="Q333" s="1701"/>
      <c r="R333" s="1701">
        <v>0</v>
      </c>
      <c r="S333" s="1701"/>
      <c r="T333" s="1701">
        <v>0</v>
      </c>
      <c r="U333" s="1701" t="str">
        <f>IF(rng02_Res_Summary_GrossMarketRent11="","",rng02_Res_Summary_GrossMarketRent11)</f>
        <v/>
      </c>
      <c r="V333" s="1701" t="str">
        <f>IF(rng02_Res_Summary_NetMarketRent11=0,"",rng02_Res_Summary_NetMarketRent11)</f>
        <v/>
      </c>
      <c r="W333" s="1701">
        <v>0</v>
      </c>
      <c r="X333" s="1701"/>
      <c r="Y333" s="1701">
        <v>0</v>
      </c>
      <c r="Z333" s="1701">
        <v>0</v>
      </c>
      <c r="AA333" s="1701">
        <v>0</v>
      </c>
      <c r="AB333" s="1701">
        <v>0</v>
      </c>
      <c r="AC333" s="1685"/>
      <c r="AD333" s="2069"/>
      <c r="AE333" s="2073"/>
      <c r="AF333" s="1685"/>
      <c r="AG333" s="1685"/>
      <c r="AM333" s="1702" t="str">
        <f t="shared" si="37"/>
        <v/>
      </c>
      <c r="AN333" s="1702" t="str">
        <f t="shared" si="38"/>
        <v/>
      </c>
      <c r="AO333" s="1885" t="str">
        <f t="shared" si="39"/>
        <v/>
      </c>
      <c r="AP333" s="1702" t="str">
        <f t="shared" si="40"/>
        <v/>
      </c>
      <c r="AQ333" s="1702" t="str">
        <f t="shared" si="41"/>
        <v/>
      </c>
      <c r="AR333" s="1702" t="str">
        <f t="shared" si="42"/>
        <v/>
      </c>
      <c r="AS333" s="1702"/>
      <c r="AT333" s="1702" t="str">
        <f t="shared" si="43"/>
        <v/>
      </c>
      <c r="AU333" s="1702" t="str">
        <f t="shared" si="44"/>
        <v/>
      </c>
      <c r="AV333" s="1702" t="str">
        <f t="shared" si="45"/>
        <v/>
      </c>
      <c r="AW333" s="1702" t="str">
        <f t="shared" si="46"/>
        <v/>
      </c>
      <c r="AX333" s="1702" t="str">
        <f t="shared" si="47"/>
        <v/>
      </c>
      <c r="AY333" s="1702" t="str">
        <f t="shared" si="48"/>
        <v/>
      </c>
      <c r="AZ333" s="1702" t="str">
        <f t="shared" si="49"/>
        <v/>
      </c>
      <c r="BA333" s="1702" t="str">
        <f t="shared" si="50"/>
        <v/>
      </c>
      <c r="BB333" s="1702" t="str">
        <f t="shared" si="51"/>
        <v/>
      </c>
      <c r="BC333" s="1702" t="str">
        <f t="shared" si="52"/>
        <v/>
      </c>
      <c r="BD333" s="1702" t="str">
        <f t="shared" si="53"/>
        <v/>
      </c>
      <c r="BE333" s="1702" t="str">
        <f t="shared" si="54"/>
        <v/>
      </c>
      <c r="BF333" s="1702" t="str">
        <f t="shared" si="55"/>
        <v/>
      </c>
      <c r="BG333" s="1702" t="str">
        <f t="shared" si="56"/>
        <v/>
      </c>
      <c r="BH333" s="1702" t="str">
        <f t="shared" si="57"/>
        <v/>
      </c>
      <c r="BQ333" s="1685"/>
      <c r="BW333" s="1702" t="str">
        <f t="shared" si="58"/>
        <v/>
      </c>
    </row>
    <row r="334" spans="1:75" ht="15">
      <c r="A334" s="1685"/>
      <c r="B334" s="1685"/>
      <c r="C334" s="1685"/>
      <c r="D334" s="1685"/>
      <c r="E334" s="1685"/>
      <c r="F334" s="1685">
        <v>12</v>
      </c>
      <c r="G334" s="1701" t="str">
        <f>IF(rng02_Res_Summary_NoBedrooms12="","",rng02_Res_Summary_NoBedrooms12)</f>
        <v/>
      </c>
      <c r="H334" s="1701" t="str">
        <f>IF(rng02_Res_Summary_NoBaths12="","",rng02_Res_Summary_NoBaths12)</f>
        <v/>
      </c>
      <c r="I334" s="1731" t="str">
        <f t="shared" si="59"/>
        <v/>
      </c>
      <c r="J334" s="1731" t="str">
        <f>IF(rng02_Res_Summary_AMI12="","",rng02_Res_Summary_AMI12)</f>
        <v/>
      </c>
      <c r="K334" s="1701" t="str">
        <f>IF(rng02_Res_Summary_ConstType12="","",rng02_Res_Summary_ConstType12)</f>
        <v/>
      </c>
      <c r="L334" s="1731" t="str">
        <f>IF(rng02_Res_Summary_NoUnit12="","",rng02_Res_Summary_NoUnit12)</f>
        <v/>
      </c>
      <c r="M334" s="2122" t="str">
        <f>IF(ISBLANK(rng02_Res_Summary_DeedRestricted12), "FALSE", rng02_Res_Summary_DeedRestricted12)</f>
        <v>FALSE</v>
      </c>
      <c r="N334" s="1701" t="str">
        <f>IF(L334="","",rng02_Res_Summary_NRSFperUnit12)</f>
        <v/>
      </c>
      <c r="O334" s="1701" t="str">
        <f>IF(rng02_Res_Summary_ProjBasedSubsidy12="","",rng02_Res_Summary_ProjBasedSubsidy12)</f>
        <v/>
      </c>
      <c r="P334" s="1701"/>
      <c r="Q334" s="1701"/>
      <c r="R334" s="1701">
        <v>0</v>
      </c>
      <c r="S334" s="1701"/>
      <c r="T334" s="1701">
        <v>0</v>
      </c>
      <c r="U334" s="1701" t="str">
        <f>IF(rng02_Res_Summary_GrossMarketRent12="","",rng02_Res_Summary_GrossMarketRent12)</f>
        <v/>
      </c>
      <c r="V334" s="1701" t="str">
        <f>IF(rng02_Res_Summary_NetMarketRent12=0,"",rng02_Res_Summary_NetMarketRent12)</f>
        <v/>
      </c>
      <c r="W334" s="1701">
        <v>0</v>
      </c>
      <c r="X334" s="1701"/>
      <c r="Y334" s="1701">
        <v>0</v>
      </c>
      <c r="Z334" s="1701">
        <v>0</v>
      </c>
      <c r="AA334" s="1701">
        <v>0</v>
      </c>
      <c r="AB334" s="1701">
        <v>0</v>
      </c>
      <c r="AC334" s="1685"/>
      <c r="AD334" s="2069"/>
      <c r="AE334" s="2073"/>
      <c r="AF334" s="1685"/>
      <c r="AG334" s="1685"/>
      <c r="AM334" s="1702" t="str">
        <f t="shared" si="37"/>
        <v/>
      </c>
      <c r="AN334" s="1702" t="str">
        <f t="shared" si="38"/>
        <v/>
      </c>
      <c r="AO334" s="1885" t="str">
        <f t="shared" si="39"/>
        <v/>
      </c>
      <c r="AP334" s="1702" t="str">
        <f t="shared" si="40"/>
        <v/>
      </c>
      <c r="AQ334" s="1702" t="str">
        <f t="shared" si="41"/>
        <v/>
      </c>
      <c r="AR334" s="1702" t="str">
        <f t="shared" si="42"/>
        <v/>
      </c>
      <c r="AS334" s="1702"/>
      <c r="AT334" s="1702" t="str">
        <f t="shared" si="43"/>
        <v/>
      </c>
      <c r="AU334" s="1702" t="str">
        <f t="shared" si="44"/>
        <v/>
      </c>
      <c r="AV334" s="1702" t="str">
        <f t="shared" si="45"/>
        <v/>
      </c>
      <c r="AW334" s="1702" t="str">
        <f t="shared" si="46"/>
        <v/>
      </c>
      <c r="AX334" s="1702" t="str">
        <f t="shared" si="47"/>
        <v/>
      </c>
      <c r="AY334" s="1702" t="str">
        <f t="shared" si="48"/>
        <v/>
      </c>
      <c r="AZ334" s="1702" t="str">
        <f t="shared" si="49"/>
        <v/>
      </c>
      <c r="BA334" s="1702" t="str">
        <f t="shared" si="50"/>
        <v/>
      </c>
      <c r="BB334" s="1702" t="str">
        <f t="shared" si="51"/>
        <v/>
      </c>
      <c r="BC334" s="1702" t="str">
        <f t="shared" si="52"/>
        <v/>
      </c>
      <c r="BD334" s="1702" t="str">
        <f t="shared" si="53"/>
        <v/>
      </c>
      <c r="BE334" s="1702" t="str">
        <f t="shared" si="54"/>
        <v/>
      </c>
      <c r="BF334" s="1702" t="str">
        <f t="shared" si="55"/>
        <v/>
      </c>
      <c r="BG334" s="1702" t="str">
        <f t="shared" si="56"/>
        <v/>
      </c>
      <c r="BH334" s="1702" t="str">
        <f t="shared" si="57"/>
        <v/>
      </c>
      <c r="BQ334" s="1685"/>
      <c r="BW334" s="1702" t="str">
        <f t="shared" si="58"/>
        <v/>
      </c>
    </row>
    <row r="335" spans="1:75" ht="15">
      <c r="A335" s="1685"/>
      <c r="B335" s="1685"/>
      <c r="C335" s="1685"/>
      <c r="D335" s="1685"/>
      <c r="E335" s="1685"/>
      <c r="F335" s="1685">
        <v>13</v>
      </c>
      <c r="G335" s="1701" t="str">
        <f>IF(rng02_Res_Summary_NoBedrooms13="","",rng02_Res_Summary_NoBedrooms13)</f>
        <v/>
      </c>
      <c r="H335" s="1701" t="str">
        <f>IF(rng02_Res_Summary_NoBaths13="","",rng02_Res_Summary_NoBaths13)</f>
        <v/>
      </c>
      <c r="I335" s="1731" t="str">
        <f t="shared" si="59"/>
        <v/>
      </c>
      <c r="J335" s="1731" t="str">
        <f>IF(rng02_Res_Summary_AMI13="","",rng02_Res_Summary_AMI13)</f>
        <v/>
      </c>
      <c r="K335" s="1701" t="str">
        <f>IF(rng02_Res_Summary_ConstType13="","",rng02_Res_Summary_ConstType13)</f>
        <v/>
      </c>
      <c r="L335" s="1731" t="str">
        <f>IF(rng02_Res_Summary_NoUnit13="","",rng02_Res_Summary_NoUnit13)</f>
        <v/>
      </c>
      <c r="M335" s="2122" t="str">
        <f>IF(ISBLANK(rng02_Res_Summary_DeedRestricted13), "FALSE", rng02_Res_Summary_DeedRestricted13)</f>
        <v>FALSE</v>
      </c>
      <c r="N335" s="1701" t="str">
        <f>IF(L335="","",rng02_Res_Summary_NRSFperUnit13)</f>
        <v/>
      </c>
      <c r="O335" s="1701" t="str">
        <f>IF(rng02_Res_Summary_ProjBasedSubsidy13="","",rng02_Res_Summary_ProjBasedSubsidy13)</f>
        <v/>
      </c>
      <c r="P335" s="1701"/>
      <c r="Q335" s="1701"/>
      <c r="R335" s="1701">
        <v>0</v>
      </c>
      <c r="S335" s="1701"/>
      <c r="T335" s="1701">
        <v>0</v>
      </c>
      <c r="U335" s="1701" t="str">
        <f>IF(rng02_Res_Summary_GrossMarketRent13="","",rng02_Res_Summary_GrossMarketRent13)</f>
        <v/>
      </c>
      <c r="V335" s="1701" t="str">
        <f>IF(rng02_Res_Summary_NetMarketRent13=0,"",rng02_Res_Summary_NetMarketRent13)</f>
        <v/>
      </c>
      <c r="W335" s="1701">
        <v>0</v>
      </c>
      <c r="X335" s="1701"/>
      <c r="Y335" s="1701">
        <v>0</v>
      </c>
      <c r="Z335" s="1701">
        <v>0</v>
      </c>
      <c r="AA335" s="1701">
        <v>0</v>
      </c>
      <c r="AB335" s="1701">
        <v>0</v>
      </c>
      <c r="AC335" s="1685"/>
      <c r="AD335" s="2069"/>
      <c r="AE335" s="2073"/>
      <c r="AF335" s="1685"/>
      <c r="AG335" s="1685"/>
      <c r="AM335" s="1702" t="str">
        <f t="shared" si="37"/>
        <v/>
      </c>
      <c r="AN335" s="1702" t="str">
        <f t="shared" si="38"/>
        <v/>
      </c>
      <c r="AO335" s="1885" t="str">
        <f t="shared" si="39"/>
        <v/>
      </c>
      <c r="AP335" s="1702" t="str">
        <f t="shared" si="40"/>
        <v/>
      </c>
      <c r="AQ335" s="1702" t="str">
        <f t="shared" si="41"/>
        <v/>
      </c>
      <c r="AR335" s="1702" t="str">
        <f t="shared" si="42"/>
        <v/>
      </c>
      <c r="AS335" s="1702"/>
      <c r="AT335" s="1702" t="str">
        <f t="shared" si="43"/>
        <v/>
      </c>
      <c r="AU335" s="1702" t="str">
        <f t="shared" si="44"/>
        <v/>
      </c>
      <c r="AV335" s="1702" t="str">
        <f t="shared" si="45"/>
        <v/>
      </c>
      <c r="AW335" s="1702" t="str">
        <f t="shared" si="46"/>
        <v/>
      </c>
      <c r="AX335" s="1702" t="str">
        <f t="shared" si="47"/>
        <v/>
      </c>
      <c r="AY335" s="1702" t="str">
        <f t="shared" si="48"/>
        <v/>
      </c>
      <c r="AZ335" s="1702" t="str">
        <f t="shared" si="49"/>
        <v/>
      </c>
      <c r="BA335" s="1702" t="str">
        <f t="shared" si="50"/>
        <v/>
      </c>
      <c r="BB335" s="1702" t="str">
        <f t="shared" si="51"/>
        <v/>
      </c>
      <c r="BC335" s="1702" t="str">
        <f t="shared" si="52"/>
        <v/>
      </c>
      <c r="BD335" s="1702" t="str">
        <f t="shared" si="53"/>
        <v/>
      </c>
      <c r="BE335" s="1702" t="str">
        <f t="shared" si="54"/>
        <v/>
      </c>
      <c r="BF335" s="1702" t="str">
        <f t="shared" si="55"/>
        <v/>
      </c>
      <c r="BG335" s="1702" t="str">
        <f t="shared" si="56"/>
        <v/>
      </c>
      <c r="BH335" s="1702" t="str">
        <f t="shared" si="57"/>
        <v/>
      </c>
      <c r="BQ335" s="1685"/>
      <c r="BW335" s="1702" t="str">
        <f t="shared" si="58"/>
        <v/>
      </c>
    </row>
    <row r="336" spans="1:75" ht="15">
      <c r="A336" s="1685"/>
      <c r="B336" s="1685"/>
      <c r="C336" s="1685"/>
      <c r="D336" s="1685"/>
      <c r="E336" s="1685"/>
      <c r="F336" s="1685">
        <v>14</v>
      </c>
      <c r="G336" s="1701" t="str">
        <f>IF(rng02_Res_Summary_NoBedrooms14="","",rng02_Res_Summary_NoBedrooms14)</f>
        <v/>
      </c>
      <c r="H336" s="1701" t="str">
        <f>IF(rng02_Res_Summary_NoBaths14="","",rng02_Res_Summary_NoBaths14)</f>
        <v/>
      </c>
      <c r="I336" s="1731" t="str">
        <f t="shared" si="59"/>
        <v/>
      </c>
      <c r="J336" s="1731" t="str">
        <f>IF(rng02_Res_Summary_AMI14="","",rng02_Res_Summary_AMI14)</f>
        <v/>
      </c>
      <c r="K336" s="1701" t="str">
        <f>IF(rng02_Res_Summary_ConstType14="","",rng02_Res_Summary_ConstType14)</f>
        <v/>
      </c>
      <c r="L336" s="1731" t="str">
        <f>IF(rng02_Res_Summary_NoUnit14="","",rng02_Res_Summary_NoUnit14)</f>
        <v/>
      </c>
      <c r="M336" s="2122" t="str">
        <f>IF(ISBLANK(rng02_Res_Summary_DeedRestricted14), "FALSE", rng02_Res_Summary_DeedRestricted14)</f>
        <v>FALSE</v>
      </c>
      <c r="N336" s="1701" t="str">
        <f>IF(L336="","",rng02_Res_Summary_NRSFperUnit14)</f>
        <v/>
      </c>
      <c r="O336" s="1701" t="str">
        <f>IF(rng02_Res_Summary_ProjBasedSubsidy14="","",rng02_Res_Summary_ProjBasedSubsidy14)</f>
        <v/>
      </c>
      <c r="P336" s="1701"/>
      <c r="Q336" s="1701"/>
      <c r="R336" s="1701">
        <v>0</v>
      </c>
      <c r="S336" s="1701"/>
      <c r="T336" s="1701">
        <v>0</v>
      </c>
      <c r="U336" s="1701" t="str">
        <f>IF(rng02_Res_Summary_GrossMarketRent14="","",rng02_Res_Summary_GrossMarketRent14)</f>
        <v/>
      </c>
      <c r="V336" s="1701" t="str">
        <f>IF(rng02_Res_Summary_NetMarketRent14=0,"",rng02_Res_Summary_NetMarketRent14)</f>
        <v/>
      </c>
      <c r="W336" s="1701">
        <v>0</v>
      </c>
      <c r="X336" s="1701"/>
      <c r="Y336" s="1701">
        <v>0</v>
      </c>
      <c r="Z336" s="1701">
        <v>0</v>
      </c>
      <c r="AA336" s="1701">
        <v>0</v>
      </c>
      <c r="AB336" s="1701">
        <v>0</v>
      </c>
      <c r="AC336" s="1685"/>
      <c r="AD336" s="2069"/>
      <c r="AE336" s="2073"/>
      <c r="AF336" s="1685"/>
      <c r="AG336" s="1685"/>
      <c r="AM336" s="1702" t="str">
        <f t="shared" si="37"/>
        <v/>
      </c>
      <c r="AN336" s="1702" t="str">
        <f t="shared" si="38"/>
        <v/>
      </c>
      <c r="AO336" s="1885" t="str">
        <f t="shared" si="39"/>
        <v/>
      </c>
      <c r="AP336" s="1702" t="str">
        <f t="shared" si="40"/>
        <v/>
      </c>
      <c r="AQ336" s="1702" t="str">
        <f t="shared" si="41"/>
        <v/>
      </c>
      <c r="AR336" s="1702" t="str">
        <f t="shared" si="42"/>
        <v/>
      </c>
      <c r="AS336" s="1702"/>
      <c r="AT336" s="1702" t="str">
        <f t="shared" si="43"/>
        <v/>
      </c>
      <c r="AU336" s="1702" t="str">
        <f t="shared" si="44"/>
        <v/>
      </c>
      <c r="AV336" s="1702" t="str">
        <f t="shared" si="45"/>
        <v/>
      </c>
      <c r="AW336" s="1702" t="str">
        <f t="shared" si="46"/>
        <v/>
      </c>
      <c r="AX336" s="1702" t="str">
        <f t="shared" si="47"/>
        <v/>
      </c>
      <c r="AY336" s="1702" t="str">
        <f t="shared" si="48"/>
        <v/>
      </c>
      <c r="AZ336" s="1702" t="str">
        <f t="shared" si="49"/>
        <v/>
      </c>
      <c r="BA336" s="1702" t="str">
        <f t="shared" si="50"/>
        <v/>
      </c>
      <c r="BB336" s="1702" t="str">
        <f t="shared" si="51"/>
        <v/>
      </c>
      <c r="BC336" s="1702" t="str">
        <f t="shared" si="52"/>
        <v/>
      </c>
      <c r="BD336" s="1702" t="str">
        <f t="shared" si="53"/>
        <v/>
      </c>
      <c r="BE336" s="1702" t="str">
        <f t="shared" si="54"/>
        <v/>
      </c>
      <c r="BF336" s="1702" t="str">
        <f t="shared" si="55"/>
        <v/>
      </c>
      <c r="BG336" s="1702" t="str">
        <f t="shared" si="56"/>
        <v/>
      </c>
      <c r="BH336" s="1702" t="str">
        <f t="shared" si="57"/>
        <v/>
      </c>
      <c r="BQ336" s="1685"/>
      <c r="BW336" s="1702" t="str">
        <f t="shared" si="58"/>
        <v/>
      </c>
    </row>
    <row r="337" spans="1:75" ht="15">
      <c r="A337" s="1685"/>
      <c r="B337" s="1685"/>
      <c r="C337" s="1685"/>
      <c r="D337" s="1685"/>
      <c r="E337" s="1685"/>
      <c r="F337" s="1685">
        <v>15</v>
      </c>
      <c r="G337" s="1701" t="str">
        <f>IF(rng02_Res_Summary_NoBedrooms15="","",rng02_Res_Summary_NoBedrooms15)</f>
        <v/>
      </c>
      <c r="H337" s="1701" t="str">
        <f>IF(rng02_Res_Summary_NoBaths15="","",rng02_Res_Summary_NoBaths15)</f>
        <v/>
      </c>
      <c r="I337" s="1737" t="str">
        <f t="shared" ref="I337:I352" si="60">IF(G337="","",IF(G337="SRO","SRO",IF(G337="EFF","Efficiency",G337&amp;"BR"&amp;","&amp;" "&amp;H337&amp;"BA")))</f>
        <v/>
      </c>
      <c r="J337" s="1737" t="str">
        <f>IF(rng02_Res_Summary_AMI15="","",rng02_Res_Summary_AMI15)</f>
        <v/>
      </c>
      <c r="K337" s="1701" t="str">
        <f>IF(rng02_Res_Summary_ConstType15="","",rng02_Res_Summary_ConstType15)</f>
        <v/>
      </c>
      <c r="L337" s="1738" t="str">
        <f>IF(rng02_Res_Summary_NoUnit15="","",rng02_Res_Summary_NoUnit15)</f>
        <v/>
      </c>
      <c r="M337" s="2123" t="str">
        <f>IF(ISBLANK(rng02_Res_Summary_DeedRestricted15), "FALSE", rng02_Res_Summary_DeedRestricted15)</f>
        <v>FALSE</v>
      </c>
      <c r="N337" s="1701" t="str">
        <f>IF(L337="","",rng02_Res_Summary_NRSFperUnit15)</f>
        <v/>
      </c>
      <c r="O337" s="1701" t="str">
        <f>IF(rng02_Res_Summary_ProjBasedSubsidy15="","",rng02_Res_Summary_ProjBasedSubsidy15)</f>
        <v/>
      </c>
      <c r="P337" s="1701"/>
      <c r="Q337" s="1701"/>
      <c r="R337" s="1701">
        <v>0</v>
      </c>
      <c r="S337" s="1701"/>
      <c r="T337" s="1701">
        <v>0</v>
      </c>
      <c r="U337" s="1701" t="str">
        <f>IF(rng02_Res_Summary_GrossMarketRent15="","",rng02_Res_Summary_GrossMarketRent15)</f>
        <v/>
      </c>
      <c r="V337" s="1701" t="str">
        <f>IF(rng02_Res_Summary_NetMarketRent15=0,"",rng02_Res_Summary_NetMarketRent15)</f>
        <v/>
      </c>
      <c r="W337" s="1701">
        <v>0</v>
      </c>
      <c r="X337" s="1701"/>
      <c r="Y337" s="1701">
        <v>0</v>
      </c>
      <c r="Z337" s="1701">
        <v>0</v>
      </c>
      <c r="AA337" s="1701">
        <v>0</v>
      </c>
      <c r="AB337" s="1701">
        <v>0</v>
      </c>
      <c r="AC337" s="1685"/>
      <c r="AD337" s="2069"/>
      <c r="AE337" s="2073"/>
      <c r="AF337" s="1685"/>
      <c r="AG337" s="1685"/>
      <c r="AM337" s="1702" t="str">
        <f t="shared" si="37"/>
        <v/>
      </c>
      <c r="AN337" s="1702" t="str">
        <f t="shared" si="38"/>
        <v/>
      </c>
      <c r="AO337" s="1885" t="str">
        <f t="shared" si="39"/>
        <v/>
      </c>
      <c r="AP337" s="1702" t="str">
        <f t="shared" si="40"/>
        <v/>
      </c>
      <c r="AQ337" s="1702" t="str">
        <f t="shared" si="41"/>
        <v/>
      </c>
      <c r="AR337" s="1702" t="str">
        <f t="shared" si="42"/>
        <v/>
      </c>
      <c r="AS337" s="1702"/>
      <c r="AT337" s="1702" t="str">
        <f t="shared" ref="AT337:AT352" si="61">IF(TCATrigger="No","",IF(N337="","",N337))</f>
        <v/>
      </c>
      <c r="AU337" s="1702" t="str">
        <f t="shared" ref="AU337:AU352" si="62">IF(TCATrigger="No","",IF(O337="","",O337))</f>
        <v/>
      </c>
      <c r="AV337" s="1702" t="str">
        <f t="shared" ref="AV337:AV352" si="63">IF(TCATrigger="No","",IF(P337="","",P337))</f>
        <v/>
      </c>
      <c r="AW337" s="1702" t="str">
        <f t="shared" ref="AW337:AW352" si="64">IF(TCATrigger="No","",IF(Q337="","",Q337))</f>
        <v/>
      </c>
      <c r="AX337" s="1702" t="str">
        <f t="shared" ref="AX337:AX352" si="65">IF(TCATrigger="No","",IF(R337="","",R337))</f>
        <v/>
      </c>
      <c r="AY337" s="1702" t="str">
        <f t="shared" ref="AY337:AY352" si="66">IF(TCATrigger="No","",IF(S337="","",S337))</f>
        <v/>
      </c>
      <c r="AZ337" s="1702" t="str">
        <f t="shared" ref="AZ337:AZ352" si="67">IF(TCATrigger="No","",IF(T337="","",T337))</f>
        <v/>
      </c>
      <c r="BA337" s="1702" t="str">
        <f t="shared" ref="BA337:BA352" si="68">IF(TCATrigger="No","",IF(U337="","",U337))</f>
        <v/>
      </c>
      <c r="BB337" s="1702" t="str">
        <f t="shared" ref="BB337:BH337" si="69">IF(TCATrigger="No","",IF(V341="","",V341))</f>
        <v/>
      </c>
      <c r="BC337" s="1702" t="str">
        <f t="shared" si="69"/>
        <v/>
      </c>
      <c r="BD337" s="1702" t="str">
        <f t="shared" si="69"/>
        <v/>
      </c>
      <c r="BE337" s="1702" t="str">
        <f t="shared" si="69"/>
        <v/>
      </c>
      <c r="BF337" s="1702" t="str">
        <f t="shared" si="69"/>
        <v/>
      </c>
      <c r="BG337" s="1702" t="str">
        <f t="shared" si="69"/>
        <v/>
      </c>
      <c r="BH337" s="1702" t="str">
        <f t="shared" si="69"/>
        <v/>
      </c>
      <c r="BQ337" s="1685"/>
      <c r="BW337" s="1702" t="str">
        <f t="shared" si="58"/>
        <v/>
      </c>
    </row>
    <row r="338" spans="1:75" ht="15">
      <c r="A338" s="1685"/>
      <c r="B338" s="1685"/>
      <c r="C338" s="1685"/>
      <c r="D338" s="1685"/>
      <c r="E338" s="1685"/>
      <c r="F338" s="1685">
        <v>16</v>
      </c>
      <c r="G338" s="1701" t="str">
        <f>IF(rng02_Res_Summary_NoBedrooms16="","",rng02_Res_Summary_NoBedrooms16)</f>
        <v/>
      </c>
      <c r="H338" s="1701" t="str">
        <f>IF(rng02_Res_Summary_NoBaths16="","",rng02_Res_Summary_NoBaths16)</f>
        <v/>
      </c>
      <c r="I338" s="1737" t="str">
        <f t="shared" si="60"/>
        <v/>
      </c>
      <c r="J338" s="1737" t="str">
        <f>IF(rng02_Res_Summary_AMI16="","",rng02_Res_Summary_AMI16)</f>
        <v/>
      </c>
      <c r="K338" s="1701" t="str">
        <f>IF(rng02_Res_Summary_ConstType16="","",rng02_Res_Summary_ConstType16)</f>
        <v/>
      </c>
      <c r="L338" s="1737" t="str">
        <f>IF(rng02_Res_Summary_NoUnit16="","",rng02_Res_Summary_NoUnit16)</f>
        <v/>
      </c>
      <c r="M338" s="2123" t="str">
        <f>IF(ISBLANK(rng02_Res_Summary_DeedRestricted16), "FALSE", rng02_Res_Summary_DeedRestricted16)</f>
        <v>FALSE</v>
      </c>
      <c r="N338" s="1701" t="str">
        <f>IF(L338="","",rng02_Res_Summary_NRSFperUnit16)</f>
        <v/>
      </c>
      <c r="O338" s="1701" t="str">
        <f>IF(rng02_Res_Summary_ProjBasedSubsidy16="","",rng02_Res_Summary_ProjBasedSubsidy16)</f>
        <v/>
      </c>
      <c r="P338" s="1701"/>
      <c r="Q338" s="1701"/>
      <c r="R338" s="1701"/>
      <c r="S338" s="1701"/>
      <c r="T338" s="1701"/>
      <c r="U338" s="1701" t="str">
        <f>IF(rng02_Res_Summary_GrossMarketRent16="","",rng02_Res_Summary_GrossMarketRent16)</f>
        <v/>
      </c>
      <c r="V338" s="1701" t="str">
        <f>IF(rng02_Res_Summary_NetMarketRent16=0,"",rng02_Res_Summary_NetMarketRent16)</f>
        <v/>
      </c>
      <c r="W338" s="1701"/>
      <c r="X338" s="1701"/>
      <c r="Y338" s="1701"/>
      <c r="Z338" s="1701"/>
      <c r="AA338" s="1701"/>
      <c r="AB338" s="1701"/>
      <c r="AC338" s="1685"/>
      <c r="AD338" s="2069"/>
      <c r="AE338" s="2073"/>
      <c r="AF338" s="1685"/>
      <c r="AG338" s="1685"/>
      <c r="AM338" s="1702" t="str">
        <f t="shared" si="37"/>
        <v/>
      </c>
      <c r="AN338" s="1702" t="str">
        <f t="shared" si="38"/>
        <v/>
      </c>
      <c r="AO338" s="1885" t="str">
        <f t="shared" si="39"/>
        <v/>
      </c>
      <c r="AP338" s="1702" t="str">
        <f t="shared" si="40"/>
        <v/>
      </c>
      <c r="AQ338" s="1702" t="str">
        <f t="shared" si="41"/>
        <v/>
      </c>
      <c r="AR338" s="1702" t="str">
        <f t="shared" si="42"/>
        <v/>
      </c>
      <c r="AS338" s="1702"/>
      <c r="AT338" s="1702" t="str">
        <f t="shared" si="61"/>
        <v/>
      </c>
      <c r="AU338" s="1702" t="str">
        <f t="shared" si="62"/>
        <v/>
      </c>
      <c r="AV338" s="1702" t="str">
        <f t="shared" si="63"/>
        <v/>
      </c>
      <c r="AW338" s="1702" t="str">
        <f t="shared" si="64"/>
        <v/>
      </c>
      <c r="AX338" s="1702" t="str">
        <f t="shared" si="65"/>
        <v/>
      </c>
      <c r="AY338" s="1702" t="str">
        <f t="shared" si="66"/>
        <v/>
      </c>
      <c r="AZ338" s="1702" t="str">
        <f t="shared" si="67"/>
        <v/>
      </c>
      <c r="BA338" s="1702" t="str">
        <f t="shared" si="68"/>
        <v/>
      </c>
      <c r="BB338" s="1702"/>
      <c r="BC338" s="1702" t="str">
        <f t="shared" ref="BC338:BC352" si="70">IF(TCATrigger="No","",IF(W342="","",W342))</f>
        <v/>
      </c>
      <c r="BD338" s="1702" t="str">
        <f t="shared" ref="BD338:BD352" si="71">IF(TCATrigger="No","",IF(X342="","",X342))</f>
        <v/>
      </c>
      <c r="BE338" s="1702" t="str">
        <f t="shared" ref="BE338:BE352" si="72">IF(TCATrigger="No","",IF(Y342="","",Y342))</f>
        <v/>
      </c>
      <c r="BF338" s="1702" t="str">
        <f t="shared" ref="BF338:BF352" si="73">IF(TCATrigger="No","",IF(Z342="","",Z342))</f>
        <v/>
      </c>
      <c r="BG338" s="1702" t="str">
        <f t="shared" ref="BG338:BG352" si="74">IF(TCATrigger="No","",IF(AA342="","",AA342))</f>
        <v/>
      </c>
      <c r="BH338" s="1702" t="str">
        <f t="shared" ref="BH338:BH352" si="75">IF(TCATrigger="No","",IF(AB342="","",AB342))</f>
        <v/>
      </c>
      <c r="BQ338" s="1685"/>
      <c r="BW338" s="1702" t="str">
        <f t="shared" si="58"/>
        <v/>
      </c>
    </row>
    <row r="339" spans="1:75" ht="15">
      <c r="A339" s="1685"/>
      <c r="B339" s="1685"/>
      <c r="C339" s="1685"/>
      <c r="D339" s="1685"/>
      <c r="E339" s="1685"/>
      <c r="F339" s="1685">
        <v>17</v>
      </c>
      <c r="G339" s="1701" t="str">
        <f>IF(rng02_Res_Summary_NoBedrooms17="","",rng02_Res_Summary_NoBedrooms17)</f>
        <v/>
      </c>
      <c r="H339" s="1701" t="str">
        <f>IF(rng02_Res_Summary_NoBaths17="","",rng02_Res_Summary_NoBaths17)</f>
        <v/>
      </c>
      <c r="I339" s="1737" t="str">
        <f t="shared" si="60"/>
        <v/>
      </c>
      <c r="J339" s="1737" t="str">
        <f>IF(rng02_Res_Summary_AMI17="","",rng02_Res_Summary_AMI17)</f>
        <v/>
      </c>
      <c r="K339" s="1701" t="str">
        <f>IF(rng02_Res_Summary_ConstType17="","",rng02_Res_Summary_ConstType17)</f>
        <v/>
      </c>
      <c r="L339" s="1737" t="str">
        <f>IF(rng02_Res_Summary_NoUnit17="","",rng02_Res_Summary_NoUnit17)</f>
        <v/>
      </c>
      <c r="M339" s="2123" t="str">
        <f>IF(ISBLANK(rng02_Res_Summary_DeedRestricted17), "FALSE", rng02_Res_Summary_DeedRestricted17)</f>
        <v>FALSE</v>
      </c>
      <c r="N339" s="1701" t="str">
        <f>IF(L339="","",rng02_Res_Summary_NRSFperUnit17)</f>
        <v/>
      </c>
      <c r="O339" s="1701" t="str">
        <f>IF(rng02_Res_Summary_ProjBasedSubsidy17="","",rng02_Res_Summary_ProjBasedSubsidy17)</f>
        <v/>
      </c>
      <c r="P339" s="1701"/>
      <c r="Q339" s="1701"/>
      <c r="R339" s="1701"/>
      <c r="S339" s="1701"/>
      <c r="T339" s="1701"/>
      <c r="U339" s="1701" t="str">
        <f>IF(rng02_Res_Summary_GrossMarketRent17="","",rng02_Res_Summary_GrossMarketRent17)</f>
        <v/>
      </c>
      <c r="V339" s="1701" t="str">
        <f>IF(rng02_Res_Summary_NetMarketRent17=0,"",rng02_Res_Summary_NetMarketRent17)</f>
        <v/>
      </c>
      <c r="W339" s="1701"/>
      <c r="X339" s="1701"/>
      <c r="Y339" s="1701"/>
      <c r="Z339" s="1701"/>
      <c r="AA339" s="1701"/>
      <c r="AB339" s="1701"/>
      <c r="AC339" s="1685"/>
      <c r="AD339" s="2069"/>
      <c r="AE339" s="2073"/>
      <c r="AF339" s="1685"/>
      <c r="AG339" s="1685"/>
      <c r="AM339" s="1702" t="str">
        <f t="shared" si="37"/>
        <v/>
      </c>
      <c r="AN339" s="1702" t="str">
        <f t="shared" si="38"/>
        <v/>
      </c>
      <c r="AO339" s="1885" t="str">
        <f t="shared" si="39"/>
        <v/>
      </c>
      <c r="AP339" s="1702" t="str">
        <f t="shared" si="40"/>
        <v/>
      </c>
      <c r="AQ339" s="1702" t="str">
        <f t="shared" si="41"/>
        <v/>
      </c>
      <c r="AR339" s="1702" t="str">
        <f t="shared" si="42"/>
        <v/>
      </c>
      <c r="AS339" s="1702"/>
      <c r="AT339" s="1702" t="str">
        <f t="shared" si="61"/>
        <v/>
      </c>
      <c r="AU339" s="1702" t="str">
        <f t="shared" si="62"/>
        <v/>
      </c>
      <c r="AV339" s="1702" t="str">
        <f t="shared" si="63"/>
        <v/>
      </c>
      <c r="AW339" s="1702" t="str">
        <f t="shared" si="64"/>
        <v/>
      </c>
      <c r="AX339" s="1702" t="str">
        <f t="shared" si="65"/>
        <v/>
      </c>
      <c r="AY339" s="1702" t="str">
        <f t="shared" si="66"/>
        <v/>
      </c>
      <c r="AZ339" s="1702" t="str">
        <f t="shared" si="67"/>
        <v/>
      </c>
      <c r="BA339" s="1702" t="str">
        <f t="shared" si="68"/>
        <v/>
      </c>
      <c r="BB339" s="1702"/>
      <c r="BC339" s="1702" t="str">
        <f t="shared" si="70"/>
        <v/>
      </c>
      <c r="BD339" s="1702" t="str">
        <f t="shared" si="71"/>
        <v/>
      </c>
      <c r="BE339" s="1702" t="str">
        <f t="shared" si="72"/>
        <v/>
      </c>
      <c r="BF339" s="1702" t="str">
        <f t="shared" si="73"/>
        <v/>
      </c>
      <c r="BG339" s="1702" t="str">
        <f t="shared" si="74"/>
        <v/>
      </c>
      <c r="BH339" s="1702" t="str">
        <f t="shared" si="75"/>
        <v/>
      </c>
      <c r="BQ339" s="1685"/>
      <c r="BW339" s="1702" t="str">
        <f t="shared" si="58"/>
        <v/>
      </c>
    </row>
    <row r="340" spans="1:75" ht="15">
      <c r="A340" s="1685"/>
      <c r="B340" s="1685"/>
      <c r="C340" s="1685"/>
      <c r="D340" s="1685"/>
      <c r="E340" s="1685"/>
      <c r="F340" s="1685">
        <v>18</v>
      </c>
      <c r="G340" s="1701" t="str">
        <f>IF(rng02_Res_Summary_NoBedrooms18="","",rng02_Res_Summary_NoBedrooms18)</f>
        <v/>
      </c>
      <c r="H340" s="1701" t="str">
        <f>IF(rng02_Res_Summary_NoBaths18="","",rng02_Res_Summary_NoBaths18)</f>
        <v/>
      </c>
      <c r="I340" s="1737" t="str">
        <f t="shared" si="60"/>
        <v/>
      </c>
      <c r="J340" s="1737" t="str">
        <f>IF(rng02_Res_Summary_AMI18="","",rng02_Res_Summary_AMI18)</f>
        <v/>
      </c>
      <c r="K340" s="1701" t="str">
        <f>IF(rng02_Res_Summary_ConstType18="","",rng02_Res_Summary_ConstType18)</f>
        <v/>
      </c>
      <c r="L340" s="1737" t="str">
        <f>IF(rng02_Res_Summary_NoUnit18="","",rng02_Res_Summary_NoUnit18)</f>
        <v/>
      </c>
      <c r="M340" s="2123" t="str">
        <f>IF(ISBLANK(rng02_Res_Summary_DeedRestricted18), "FALSE", rng02_Res_Summary_DeedRestricted18)</f>
        <v>FALSE</v>
      </c>
      <c r="N340" s="1701" t="str">
        <f>IF(L340="","",rng02_Res_Summary_NRSFperUnit18)</f>
        <v/>
      </c>
      <c r="O340" s="1701" t="str">
        <f>IF(rng02_Res_Summary_ProjBasedSubsidy18="","",rng02_Res_Summary_ProjBasedSubsidy18)</f>
        <v/>
      </c>
      <c r="P340" s="1701"/>
      <c r="Q340" s="1701"/>
      <c r="R340" s="1701"/>
      <c r="S340" s="1701"/>
      <c r="T340" s="1701"/>
      <c r="U340" s="1701" t="str">
        <f>IF(rng02_Res_Summary_GrossMarketRent18="","",rng02_Res_Summary_GrossMarketRent18)</f>
        <v/>
      </c>
      <c r="V340" s="1701" t="str">
        <f>IF(rng02_Res_Summary_NetMarketRent18=0,"",rng02_Res_Summary_NetMarketRent18)</f>
        <v/>
      </c>
      <c r="W340" s="1701"/>
      <c r="X340" s="1701"/>
      <c r="Y340" s="1701"/>
      <c r="Z340" s="1701"/>
      <c r="AA340" s="1701"/>
      <c r="AB340" s="1701"/>
      <c r="AC340" s="1685"/>
      <c r="AD340" s="2069"/>
      <c r="AE340" s="2073"/>
      <c r="AF340" s="1685"/>
      <c r="AG340" s="1685"/>
      <c r="AM340" s="1702" t="str">
        <f t="shared" si="37"/>
        <v/>
      </c>
      <c r="AN340" s="1702" t="str">
        <f t="shared" si="38"/>
        <v/>
      </c>
      <c r="AO340" s="1885" t="str">
        <f t="shared" si="39"/>
        <v/>
      </c>
      <c r="AP340" s="1702" t="str">
        <f t="shared" si="40"/>
        <v/>
      </c>
      <c r="AQ340" s="1702" t="str">
        <f t="shared" si="41"/>
        <v/>
      </c>
      <c r="AR340" s="1702" t="str">
        <f t="shared" si="42"/>
        <v/>
      </c>
      <c r="AS340" s="1702"/>
      <c r="AT340" s="1702" t="str">
        <f t="shared" si="61"/>
        <v/>
      </c>
      <c r="AU340" s="1702" t="str">
        <f t="shared" si="62"/>
        <v/>
      </c>
      <c r="AV340" s="1702" t="str">
        <f t="shared" si="63"/>
        <v/>
      </c>
      <c r="AW340" s="1702" t="str">
        <f t="shared" si="64"/>
        <v/>
      </c>
      <c r="AX340" s="1702" t="str">
        <f t="shared" si="65"/>
        <v/>
      </c>
      <c r="AY340" s="1702" t="str">
        <f t="shared" si="66"/>
        <v/>
      </c>
      <c r="AZ340" s="1702" t="str">
        <f t="shared" si="67"/>
        <v/>
      </c>
      <c r="BA340" s="1702" t="str">
        <f t="shared" si="68"/>
        <v/>
      </c>
      <c r="BB340" s="1702"/>
      <c r="BC340" s="1702" t="str">
        <f t="shared" si="70"/>
        <v/>
      </c>
      <c r="BD340" s="1702" t="str">
        <f t="shared" si="71"/>
        <v/>
      </c>
      <c r="BE340" s="1702" t="str">
        <f t="shared" si="72"/>
        <v/>
      </c>
      <c r="BF340" s="1702" t="str">
        <f t="shared" si="73"/>
        <v/>
      </c>
      <c r="BG340" s="1702" t="str">
        <f t="shared" si="74"/>
        <v/>
      </c>
      <c r="BH340" s="1702" t="str">
        <f t="shared" si="75"/>
        <v/>
      </c>
      <c r="BQ340" s="1685"/>
      <c r="BW340" s="1702" t="str">
        <f t="shared" si="58"/>
        <v/>
      </c>
    </row>
    <row r="341" spans="1:75" ht="15">
      <c r="A341" s="1685"/>
      <c r="B341" s="1685"/>
      <c r="C341" s="1685"/>
      <c r="D341" s="1685"/>
      <c r="E341" s="1685"/>
      <c r="F341" s="1685">
        <v>19</v>
      </c>
      <c r="G341" s="1701" t="str">
        <f>IF(rng02_Res_Summary_NoBedrooms19="","",rng02_Res_Summary_NoBedrooms19)</f>
        <v/>
      </c>
      <c r="H341" s="1701" t="str">
        <f>IF(rng02_Res_Summary_NoBaths19="","",rng02_Res_Summary_NoBaths19)</f>
        <v/>
      </c>
      <c r="I341" s="1737" t="str">
        <f t="shared" si="60"/>
        <v/>
      </c>
      <c r="J341" s="1737" t="str">
        <f>IF(rng02_Res_Summary_AMI19="","",rng02_Res_Summary_AMI19)</f>
        <v/>
      </c>
      <c r="K341" s="1701" t="str">
        <f>IF(rng02_Res_Summary_ConstType19="","",rng02_Res_Summary_ConstType19)</f>
        <v/>
      </c>
      <c r="L341" s="1737" t="str">
        <f>IF(rng02_Res_Summary_NoUnit19="","",rng02_Res_Summary_NoUnit19)</f>
        <v/>
      </c>
      <c r="M341" s="2123" t="str">
        <f>IF(ISBLANK(rng02_Res_Summary_DeedRestricted19), "FALSE", rng02_Res_Summary_DeedRestricted19)</f>
        <v>FALSE</v>
      </c>
      <c r="N341" s="1701" t="str">
        <f>IF(L341="","",rng02_Res_Summary_NRSFperUnit19)</f>
        <v/>
      </c>
      <c r="O341" s="1701" t="str">
        <f>IF(rng02_Res_Summary_ProjBasedSubsidy19="","",rng02_Res_Summary_ProjBasedSubsidy19)</f>
        <v/>
      </c>
      <c r="P341" s="1701"/>
      <c r="Q341" s="1701"/>
      <c r="R341" s="1701"/>
      <c r="S341" s="1701"/>
      <c r="T341" s="1701"/>
      <c r="U341" s="1701" t="str">
        <f>IF(rng02_Res_Summary_GrossMarketRent19="","",rng02_Res_Summary_GrossMarketRent19)</f>
        <v/>
      </c>
      <c r="V341" s="1701" t="str">
        <f>IF(rng02_Res_Summary_NetMarketRent19=0,"",rng02_Res_Summary_NetMarketRent19)</f>
        <v/>
      </c>
      <c r="W341" s="1701"/>
      <c r="X341" s="1701"/>
      <c r="Y341" s="1701"/>
      <c r="Z341" s="1701"/>
      <c r="AA341" s="1701"/>
      <c r="AB341" s="1701"/>
      <c r="AC341" s="1685"/>
      <c r="AD341" s="2069"/>
      <c r="AE341" s="2073"/>
      <c r="AF341" s="1685"/>
      <c r="AG341" s="1685"/>
      <c r="AM341" s="1702" t="str">
        <f t="shared" si="37"/>
        <v/>
      </c>
      <c r="AN341" s="1702" t="str">
        <f t="shared" si="38"/>
        <v/>
      </c>
      <c r="AO341" s="1885" t="str">
        <f t="shared" si="39"/>
        <v/>
      </c>
      <c r="AP341" s="1702" t="str">
        <f t="shared" si="40"/>
        <v/>
      </c>
      <c r="AQ341" s="1702" t="str">
        <f t="shared" si="41"/>
        <v/>
      </c>
      <c r="AR341" s="1702" t="str">
        <f t="shared" si="42"/>
        <v/>
      </c>
      <c r="AS341" s="1702"/>
      <c r="AT341" s="1702" t="str">
        <f t="shared" si="61"/>
        <v/>
      </c>
      <c r="AU341" s="1702" t="str">
        <f t="shared" si="62"/>
        <v/>
      </c>
      <c r="AV341" s="1702" t="str">
        <f t="shared" si="63"/>
        <v/>
      </c>
      <c r="AW341" s="1702" t="str">
        <f t="shared" si="64"/>
        <v/>
      </c>
      <c r="AX341" s="1702" t="str">
        <f t="shared" si="65"/>
        <v/>
      </c>
      <c r="AY341" s="1702" t="str">
        <f t="shared" si="66"/>
        <v/>
      </c>
      <c r="AZ341" s="1702" t="str">
        <f t="shared" si="67"/>
        <v/>
      </c>
      <c r="BA341" s="1702" t="str">
        <f t="shared" si="68"/>
        <v/>
      </c>
      <c r="BB341" s="1702"/>
      <c r="BC341" s="1702" t="str">
        <f t="shared" si="70"/>
        <v/>
      </c>
      <c r="BD341" s="1702" t="str">
        <f t="shared" si="71"/>
        <v/>
      </c>
      <c r="BE341" s="1702" t="str">
        <f t="shared" si="72"/>
        <v/>
      </c>
      <c r="BF341" s="1702" t="str">
        <f t="shared" si="73"/>
        <v/>
      </c>
      <c r="BG341" s="1702" t="str">
        <f t="shared" si="74"/>
        <v/>
      </c>
      <c r="BH341" s="1702" t="str">
        <f t="shared" si="75"/>
        <v/>
      </c>
      <c r="BQ341" s="1685"/>
      <c r="BW341" s="1702" t="str">
        <f t="shared" si="58"/>
        <v/>
      </c>
    </row>
    <row r="342" spans="1:75" ht="15">
      <c r="A342" s="1685"/>
      <c r="B342" s="1685"/>
      <c r="C342" s="1685"/>
      <c r="D342" s="1685"/>
      <c r="E342" s="1685"/>
      <c r="F342" s="1685">
        <v>20</v>
      </c>
      <c r="G342" s="1701" t="str">
        <f>IF(rng02_Res_Summary_NoBedrooms20="","",rng02_Res_Summary_NoBedrooms20)</f>
        <v/>
      </c>
      <c r="H342" s="1701" t="str">
        <f>IF(rng02_Res_Summary_NoBaths20="","",rng02_Res_Summary_NoBaths20)</f>
        <v/>
      </c>
      <c r="I342" s="1737" t="str">
        <f t="shared" si="60"/>
        <v/>
      </c>
      <c r="J342" s="1737" t="str">
        <f>IF(rng02_Res_Summary_AMI20="","",rng02_Res_Summary_AMI20)</f>
        <v/>
      </c>
      <c r="K342" s="1701" t="str">
        <f>IF(rng02_Res_Summary_ConstType20="","",rng02_Res_Summary_ConstType20)</f>
        <v/>
      </c>
      <c r="L342" s="1737" t="str">
        <f>IF(rng02_Res_Summary_NoUnit20="","",rng02_Res_Summary_NoUnit20)</f>
        <v/>
      </c>
      <c r="M342" s="2123" t="str">
        <f>IF(ISBLANK(rng02_Res_Summary_DeedRestricted20), "FALSE", rng02_Res_Summary_DeedRestricted20)</f>
        <v>FALSE</v>
      </c>
      <c r="N342" s="1701" t="str">
        <f>IF(L342="","",rng02_Res_Summary_NRSFperUnit20)</f>
        <v/>
      </c>
      <c r="O342" s="1701" t="str">
        <f>IF(rng02_Res_Summary_ProjBasedSubsidy20="","",rng02_Res_Summary_ProjBasedSubsidy20)</f>
        <v/>
      </c>
      <c r="P342" s="1701"/>
      <c r="Q342" s="1701"/>
      <c r="R342" s="1701"/>
      <c r="S342" s="1701"/>
      <c r="T342" s="1701"/>
      <c r="U342" s="1701" t="str">
        <f>IF(rng02_Res_Summary_GrossMarketRent20="","",rng02_Res_Summary_GrossMarketRent20)</f>
        <v/>
      </c>
      <c r="V342" s="1701" t="str">
        <f>IF(rng02_Res_Summary_NetMarketRent20=0,"",rng02_Res_Summary_NetMarketRent20)</f>
        <v/>
      </c>
      <c r="W342" s="1701"/>
      <c r="X342" s="1701"/>
      <c r="Y342" s="1701"/>
      <c r="Z342" s="1701"/>
      <c r="AA342" s="1701"/>
      <c r="AB342" s="1701"/>
      <c r="AC342" s="1685"/>
      <c r="AD342" s="2069"/>
      <c r="AE342" s="2073"/>
      <c r="AF342" s="1685"/>
      <c r="AG342" s="1685"/>
      <c r="AM342" s="1702" t="str">
        <f t="shared" si="37"/>
        <v/>
      </c>
      <c r="AN342" s="1702" t="str">
        <f t="shared" si="38"/>
        <v/>
      </c>
      <c r="AO342" s="1885" t="str">
        <f t="shared" si="39"/>
        <v/>
      </c>
      <c r="AP342" s="1702" t="str">
        <f t="shared" si="40"/>
        <v/>
      </c>
      <c r="AQ342" s="1702" t="str">
        <f t="shared" si="41"/>
        <v/>
      </c>
      <c r="AR342" s="1702" t="str">
        <f t="shared" si="42"/>
        <v/>
      </c>
      <c r="AS342" s="1702"/>
      <c r="AT342" s="1702" t="str">
        <f t="shared" si="61"/>
        <v/>
      </c>
      <c r="AU342" s="1702" t="str">
        <f t="shared" si="62"/>
        <v/>
      </c>
      <c r="AV342" s="1702" t="str">
        <f t="shared" si="63"/>
        <v/>
      </c>
      <c r="AW342" s="1702" t="str">
        <f t="shared" si="64"/>
        <v/>
      </c>
      <c r="AX342" s="1702" t="str">
        <f t="shared" si="65"/>
        <v/>
      </c>
      <c r="AY342" s="1702" t="str">
        <f t="shared" si="66"/>
        <v/>
      </c>
      <c r="AZ342" s="1702" t="str">
        <f t="shared" si="67"/>
        <v/>
      </c>
      <c r="BA342" s="1702" t="str">
        <f t="shared" si="68"/>
        <v/>
      </c>
      <c r="BB342" s="1702"/>
      <c r="BC342" s="1702" t="str">
        <f t="shared" si="70"/>
        <v/>
      </c>
      <c r="BD342" s="1702" t="str">
        <f t="shared" si="71"/>
        <v/>
      </c>
      <c r="BE342" s="1702" t="str">
        <f t="shared" si="72"/>
        <v/>
      </c>
      <c r="BF342" s="1702" t="str">
        <f t="shared" si="73"/>
        <v/>
      </c>
      <c r="BG342" s="1702" t="str">
        <f t="shared" si="74"/>
        <v/>
      </c>
      <c r="BH342" s="1702" t="str">
        <f t="shared" si="75"/>
        <v/>
      </c>
      <c r="BQ342" s="1685"/>
      <c r="BW342" s="1702" t="str">
        <f t="shared" si="58"/>
        <v/>
      </c>
    </row>
    <row r="343" spans="1:75" ht="15">
      <c r="A343" s="1685"/>
      <c r="B343" s="1685"/>
      <c r="C343" s="1685"/>
      <c r="D343" s="1685"/>
      <c r="E343" s="1685"/>
      <c r="F343" s="1685">
        <v>21</v>
      </c>
      <c r="G343" s="1701" t="str">
        <f>IF(rng02_Res_Summary_NoBedrooms21="","",rng02_Res_Summary_NoBedrooms21)</f>
        <v/>
      </c>
      <c r="H343" s="1701" t="str">
        <f>IF(rng02_Res_Summary_NoBaths21="","",rng02_Res_Summary_NoBaths21)</f>
        <v/>
      </c>
      <c r="I343" s="1737" t="str">
        <f t="shared" si="60"/>
        <v/>
      </c>
      <c r="J343" s="1737" t="str">
        <f>IF(rng02_Res_Summary_AMI21="","",rng02_Res_Summary_AMI21)</f>
        <v/>
      </c>
      <c r="K343" s="1701" t="str">
        <f>IF(rng02_Res_Summary_ConstType21="","",rng02_Res_Summary_ConstType21)</f>
        <v/>
      </c>
      <c r="L343" s="1737" t="str">
        <f>IF(rng02_Res_Summary_NoUnit21="","",rng02_Res_Summary_NoUnit21)</f>
        <v/>
      </c>
      <c r="M343" s="2123" t="str">
        <f>IF(ISBLANK(rng02_Res_Summary_DeedRestricted21), "FALSE", rng02_Res_Summary_DeedRestricted21)</f>
        <v>FALSE</v>
      </c>
      <c r="N343" s="1701" t="str">
        <f>IF(L343="","",rng02_Res_Summary_NRSFperUnit21)</f>
        <v/>
      </c>
      <c r="O343" s="1701" t="str">
        <f>IF(rng02_Res_Summary_ProjBasedSubsidy21="","",rng02_Res_Summary_ProjBasedSubsidy21)</f>
        <v/>
      </c>
      <c r="P343" s="1701"/>
      <c r="Q343" s="1701"/>
      <c r="R343" s="1701"/>
      <c r="S343" s="1701"/>
      <c r="T343" s="1701"/>
      <c r="U343" s="1701" t="str">
        <f>IF(rng02_Res_Summary_GrossMarketRent21="","",rng02_Res_Summary_GrossMarketRent21)</f>
        <v/>
      </c>
      <c r="V343" s="1701" t="str">
        <f>IF(rng02_Res_Summary_NetMarketRent21=0,"",rng02_Res_Summary_NetMarketRent21)</f>
        <v/>
      </c>
      <c r="W343" s="1701"/>
      <c r="X343" s="1701"/>
      <c r="Y343" s="1701"/>
      <c r="Z343" s="1701"/>
      <c r="AA343" s="1701"/>
      <c r="AB343" s="1701"/>
      <c r="AC343" s="1685"/>
      <c r="AD343" s="2069"/>
      <c r="AE343" s="2073"/>
      <c r="AF343" s="1685"/>
      <c r="AG343" s="1685"/>
      <c r="AM343" s="1702" t="str">
        <f t="shared" si="37"/>
        <v/>
      </c>
      <c r="AN343" s="1702" t="str">
        <f t="shared" si="38"/>
        <v/>
      </c>
      <c r="AO343" s="1885" t="str">
        <f t="shared" si="39"/>
        <v/>
      </c>
      <c r="AP343" s="1702" t="str">
        <f t="shared" si="40"/>
        <v/>
      </c>
      <c r="AQ343" s="1702" t="str">
        <f t="shared" si="41"/>
        <v/>
      </c>
      <c r="AR343" s="1702" t="str">
        <f t="shared" si="42"/>
        <v/>
      </c>
      <c r="AS343" s="1702"/>
      <c r="AT343" s="1702" t="str">
        <f t="shared" si="61"/>
        <v/>
      </c>
      <c r="AU343" s="1702" t="str">
        <f t="shared" si="62"/>
        <v/>
      </c>
      <c r="AV343" s="1702" t="str">
        <f t="shared" si="63"/>
        <v/>
      </c>
      <c r="AW343" s="1702" t="str">
        <f t="shared" si="64"/>
        <v/>
      </c>
      <c r="AX343" s="1702" t="str">
        <f t="shared" si="65"/>
        <v/>
      </c>
      <c r="AY343" s="1702" t="str">
        <f t="shared" si="66"/>
        <v/>
      </c>
      <c r="AZ343" s="1702" t="str">
        <f t="shared" si="67"/>
        <v/>
      </c>
      <c r="BA343" s="1702" t="str">
        <f t="shared" si="68"/>
        <v/>
      </c>
      <c r="BB343" s="1702"/>
      <c r="BC343" s="1702" t="str">
        <f t="shared" si="70"/>
        <v/>
      </c>
      <c r="BD343" s="1702" t="str">
        <f t="shared" si="71"/>
        <v/>
      </c>
      <c r="BE343" s="1702" t="str">
        <f t="shared" si="72"/>
        <v/>
      </c>
      <c r="BF343" s="1702" t="str">
        <f t="shared" si="73"/>
        <v/>
      </c>
      <c r="BG343" s="1702" t="str">
        <f t="shared" si="74"/>
        <v/>
      </c>
      <c r="BH343" s="1702" t="str">
        <f t="shared" si="75"/>
        <v/>
      </c>
      <c r="BQ343" s="1685"/>
      <c r="BW343" s="1702" t="str">
        <f t="shared" si="58"/>
        <v/>
      </c>
    </row>
    <row r="344" spans="1:75" ht="15">
      <c r="A344" s="1685"/>
      <c r="B344" s="1685"/>
      <c r="C344" s="1685"/>
      <c r="D344" s="1685"/>
      <c r="E344" s="1685"/>
      <c r="F344" s="1685">
        <v>22</v>
      </c>
      <c r="G344" s="1701" t="str">
        <f>IF(rng02_Res_Summary_NoBedrooms22="","",rng02_Res_Summary_NoBedrooms22)</f>
        <v/>
      </c>
      <c r="H344" s="1701" t="str">
        <f>IF(rng02_Res_Summary_NoBaths22="","",rng02_Res_Summary_NoBaths22)</f>
        <v/>
      </c>
      <c r="I344" s="1737" t="str">
        <f t="shared" si="60"/>
        <v/>
      </c>
      <c r="J344" s="1737" t="str">
        <f>IF(rng02_Res_Summary_AMI22="","",rng02_Res_Summary_AMI22)</f>
        <v/>
      </c>
      <c r="K344" s="1701" t="str">
        <f>IF(rng02_Res_Summary_ConstType22="","",rng02_Res_Summary_ConstType22)</f>
        <v/>
      </c>
      <c r="L344" s="1737" t="str">
        <f>IF(rng02_Res_Summary_NoUnit22="","",rng02_Res_Summary_NoUnit22)</f>
        <v/>
      </c>
      <c r="M344" s="2123" t="str">
        <f>IF(ISBLANK(rng02_Res_Summary_DeedRestricted22), "FALSE", rng02_Res_Summary_DeedRestricted22)</f>
        <v>FALSE</v>
      </c>
      <c r="N344" s="1701" t="str">
        <f>IF(L344="","",rng02_Res_Summary_NRSFperUnit22)</f>
        <v/>
      </c>
      <c r="O344" s="1701" t="str">
        <f>IF(rng02_Res_Summary_ProjBasedSubsidy22="","",rng02_Res_Summary_ProjBasedSubsidy22)</f>
        <v/>
      </c>
      <c r="P344" s="1701"/>
      <c r="Q344" s="1701"/>
      <c r="R344" s="1701"/>
      <c r="S344" s="1701"/>
      <c r="T344" s="1701"/>
      <c r="U344" s="1701" t="str">
        <f>IF(rng02_Res_Summary_GrossMarketRent22="","",rng02_Res_Summary_GrossMarketRent22)</f>
        <v/>
      </c>
      <c r="V344" s="1701" t="str">
        <f>IF(rng02_Res_Summary_NetMarketRent22=0,"",rng02_Res_Summary_NetMarketRent22)</f>
        <v/>
      </c>
      <c r="W344" s="1701"/>
      <c r="X344" s="1701"/>
      <c r="Y344" s="1701"/>
      <c r="Z344" s="1701"/>
      <c r="AA344" s="1701"/>
      <c r="AB344" s="1701"/>
      <c r="AC344" s="1685"/>
      <c r="AD344" s="2069"/>
      <c r="AE344" s="2073"/>
      <c r="AF344" s="1685"/>
      <c r="AG344" s="1685"/>
      <c r="AM344" s="1702" t="str">
        <f t="shared" si="37"/>
        <v/>
      </c>
      <c r="AN344" s="1702" t="str">
        <f t="shared" si="38"/>
        <v/>
      </c>
      <c r="AO344" s="1885" t="str">
        <f t="shared" si="39"/>
        <v/>
      </c>
      <c r="AP344" s="1702" t="str">
        <f t="shared" si="40"/>
        <v/>
      </c>
      <c r="AQ344" s="1702" t="str">
        <f t="shared" si="41"/>
        <v/>
      </c>
      <c r="AR344" s="1702" t="str">
        <f t="shared" si="42"/>
        <v/>
      </c>
      <c r="AS344" s="1702"/>
      <c r="AT344" s="1702" t="str">
        <f t="shared" si="61"/>
        <v/>
      </c>
      <c r="AU344" s="1702" t="str">
        <f t="shared" si="62"/>
        <v/>
      </c>
      <c r="AV344" s="1702" t="str">
        <f t="shared" si="63"/>
        <v/>
      </c>
      <c r="AW344" s="1702" t="str">
        <f t="shared" si="64"/>
        <v/>
      </c>
      <c r="AX344" s="1702" t="str">
        <f t="shared" si="65"/>
        <v/>
      </c>
      <c r="AY344" s="1702" t="str">
        <f t="shared" si="66"/>
        <v/>
      </c>
      <c r="AZ344" s="1702" t="str">
        <f t="shared" si="67"/>
        <v/>
      </c>
      <c r="BA344" s="1702" t="str">
        <f t="shared" si="68"/>
        <v/>
      </c>
      <c r="BB344" s="1702"/>
      <c r="BC344" s="1702" t="str">
        <f t="shared" si="70"/>
        <v/>
      </c>
      <c r="BD344" s="1702" t="str">
        <f t="shared" si="71"/>
        <v/>
      </c>
      <c r="BE344" s="1702" t="str">
        <f t="shared" si="72"/>
        <v/>
      </c>
      <c r="BF344" s="1702" t="str">
        <f t="shared" si="73"/>
        <v/>
      </c>
      <c r="BG344" s="1702" t="str">
        <f t="shared" si="74"/>
        <v/>
      </c>
      <c r="BH344" s="1702" t="str">
        <f t="shared" si="75"/>
        <v/>
      </c>
      <c r="BQ344" s="1685"/>
      <c r="BW344" s="1702" t="str">
        <f t="shared" si="58"/>
        <v/>
      </c>
    </row>
    <row r="345" spans="1:75" ht="15">
      <c r="A345" s="1685"/>
      <c r="B345" s="1685"/>
      <c r="C345" s="1685"/>
      <c r="D345" s="1685"/>
      <c r="E345" s="1685"/>
      <c r="F345" s="1685">
        <v>23</v>
      </c>
      <c r="G345" s="1701" t="str">
        <f>IF(rng02_Res_Summary_NoBedrooms23="","",rng02_Res_Summary_NoBedrooms23)</f>
        <v/>
      </c>
      <c r="H345" s="1701" t="str">
        <f>IF(rng02_Res_Summary_NoBaths23="","",rng02_Res_Summary_NoBaths23)</f>
        <v/>
      </c>
      <c r="I345" s="1737" t="str">
        <f t="shared" si="60"/>
        <v/>
      </c>
      <c r="J345" s="1737" t="str">
        <f>IF(rng02_Res_Summary_AMI23="","",rng02_Res_Summary_AMI23)</f>
        <v/>
      </c>
      <c r="K345" s="1701" t="str">
        <f>IF(rng02_Res_Summary_ConstType23="","",rng02_Res_Summary_ConstType23)</f>
        <v/>
      </c>
      <c r="L345" s="1737" t="str">
        <f>IF(rng02_Res_Summary_NoUnit23="","",rng02_Res_Summary_NoUnit23)</f>
        <v/>
      </c>
      <c r="M345" s="2123" t="str">
        <f>IF(ISBLANK(rng02_Res_Summary_DeedRestricted23), "FALSE", rng02_Res_Summary_DeedRestricted23)</f>
        <v>FALSE</v>
      </c>
      <c r="N345" s="1701" t="str">
        <f>IF(L345="","",rng02_Res_Summary_NRSFperUnit23)</f>
        <v/>
      </c>
      <c r="O345" s="1701" t="str">
        <f>IF(rng02_Res_Summary_ProjBasedSubsidy23="","",rng02_Res_Summary_ProjBasedSubsidy23)</f>
        <v/>
      </c>
      <c r="P345" s="1701"/>
      <c r="Q345" s="1701"/>
      <c r="R345" s="1701"/>
      <c r="S345" s="1701"/>
      <c r="T345" s="1701"/>
      <c r="U345" s="1701" t="str">
        <f>IF(rng02_Res_Summary_GrossMarketRent23="","",rng02_Res_Summary_GrossMarketRent23)</f>
        <v/>
      </c>
      <c r="V345" s="1701" t="str">
        <f>IF(rng02_Res_Summary_NetMarketRent23=0,"",rng02_Res_Summary_NetMarketRent23)</f>
        <v/>
      </c>
      <c r="W345" s="1701"/>
      <c r="X345" s="1701"/>
      <c r="Y345" s="1701"/>
      <c r="Z345" s="1701"/>
      <c r="AA345" s="1701"/>
      <c r="AB345" s="1701"/>
      <c r="AC345" s="1685"/>
      <c r="AD345" s="2069"/>
      <c r="AE345" s="2073"/>
      <c r="AF345" s="1685"/>
      <c r="AG345" s="1685"/>
      <c r="AM345" s="1702" t="str">
        <f t="shared" si="37"/>
        <v/>
      </c>
      <c r="AN345" s="1702" t="str">
        <f t="shared" si="38"/>
        <v/>
      </c>
      <c r="AO345" s="1885" t="str">
        <f t="shared" si="39"/>
        <v/>
      </c>
      <c r="AP345" s="1702" t="str">
        <f t="shared" si="40"/>
        <v/>
      </c>
      <c r="AQ345" s="1702" t="str">
        <f t="shared" si="41"/>
        <v/>
      </c>
      <c r="AR345" s="1702" t="str">
        <f t="shared" si="42"/>
        <v/>
      </c>
      <c r="AS345" s="1702"/>
      <c r="AT345" s="1702" t="str">
        <f t="shared" si="61"/>
        <v/>
      </c>
      <c r="AU345" s="1702" t="str">
        <f t="shared" si="62"/>
        <v/>
      </c>
      <c r="AV345" s="1702" t="str">
        <f t="shared" si="63"/>
        <v/>
      </c>
      <c r="AW345" s="1702" t="str">
        <f t="shared" si="64"/>
        <v/>
      </c>
      <c r="AX345" s="1702" t="str">
        <f t="shared" si="65"/>
        <v/>
      </c>
      <c r="AY345" s="1702" t="str">
        <f t="shared" si="66"/>
        <v/>
      </c>
      <c r="AZ345" s="1702" t="str">
        <f t="shared" si="67"/>
        <v/>
      </c>
      <c r="BA345" s="1702" t="str">
        <f t="shared" si="68"/>
        <v/>
      </c>
      <c r="BB345" s="1702"/>
      <c r="BC345" s="1702" t="str">
        <f t="shared" si="70"/>
        <v/>
      </c>
      <c r="BD345" s="1702" t="str">
        <f t="shared" si="71"/>
        <v/>
      </c>
      <c r="BE345" s="1702" t="str">
        <f t="shared" si="72"/>
        <v/>
      </c>
      <c r="BF345" s="1702" t="str">
        <f t="shared" si="73"/>
        <v/>
      </c>
      <c r="BG345" s="1702" t="str">
        <f t="shared" si="74"/>
        <v/>
      </c>
      <c r="BH345" s="1702" t="str">
        <f t="shared" si="75"/>
        <v/>
      </c>
      <c r="BQ345" s="1685"/>
      <c r="BW345" s="1702" t="str">
        <f t="shared" si="58"/>
        <v/>
      </c>
    </row>
    <row r="346" spans="1:75" ht="15">
      <c r="A346" s="1685"/>
      <c r="B346" s="1685"/>
      <c r="C346" s="1685"/>
      <c r="D346" s="1685"/>
      <c r="E346" s="1685"/>
      <c r="F346" s="1685">
        <v>24</v>
      </c>
      <c r="G346" s="1701" t="str">
        <f>IF(rng02_Res_Summary_NoBedrooms24="","",rng02_Res_Summary_NoBedrooms24)</f>
        <v/>
      </c>
      <c r="H346" s="1701" t="str">
        <f>IF(rng02_Res_Summary_NoBaths24="","",rng02_Res_Summary_NoBaths24)</f>
        <v/>
      </c>
      <c r="I346" s="1737" t="str">
        <f t="shared" si="60"/>
        <v/>
      </c>
      <c r="J346" s="1737" t="str">
        <f>IF(rng02_Res_Summary_AMI24="","",rng02_Res_Summary_AMI24)</f>
        <v/>
      </c>
      <c r="K346" s="1701" t="str">
        <f>IF(rng02_Res_Summary_ConstType24="","",rng02_Res_Summary_ConstType24)</f>
        <v/>
      </c>
      <c r="L346" s="1737" t="str">
        <f>IF(rng02_Res_Summary_NoUnit24="","",rng02_Res_Summary_NoUnit24)</f>
        <v/>
      </c>
      <c r="M346" s="2123" t="str">
        <f>IF(ISBLANK(rng02_Res_Summary_DeedRestricted24), "FALSE", rng02_Res_Summary_DeedRestricted24)</f>
        <v>FALSE</v>
      </c>
      <c r="N346" s="1701" t="str">
        <f>IF(L346="","",rng02_Res_Summary_NRSFperUnit24)</f>
        <v/>
      </c>
      <c r="O346" s="1701" t="str">
        <f>IF(rng02_Res_Summary_ProjBasedSubsidy24="","",rng02_Res_Summary_ProjBasedSubsidy24)</f>
        <v/>
      </c>
      <c r="P346" s="1701"/>
      <c r="Q346" s="1701"/>
      <c r="R346" s="1701"/>
      <c r="S346" s="1701"/>
      <c r="T346" s="1701"/>
      <c r="U346" s="1701" t="str">
        <f>IF(rng02_Res_Summary_GrossMarketRent24="","",rng02_Res_Summary_GrossMarketRent24)</f>
        <v/>
      </c>
      <c r="V346" s="1701" t="str">
        <f>IF(rng02_Res_Summary_NetMarketRent24=0,"",rng02_Res_Summary_NetMarketRent24)</f>
        <v/>
      </c>
      <c r="W346" s="1701"/>
      <c r="X346" s="1701"/>
      <c r="Y346" s="1701"/>
      <c r="Z346" s="1701"/>
      <c r="AA346" s="1701"/>
      <c r="AB346" s="1701"/>
      <c r="AC346" s="1685"/>
      <c r="AD346" s="2069"/>
      <c r="AE346" s="2073"/>
      <c r="AF346" s="1685"/>
      <c r="AG346" s="1685"/>
      <c r="AM346" s="1702" t="str">
        <f t="shared" si="37"/>
        <v/>
      </c>
      <c r="AN346" s="1702" t="str">
        <f t="shared" si="38"/>
        <v/>
      </c>
      <c r="AO346" s="1885" t="str">
        <f t="shared" si="39"/>
        <v/>
      </c>
      <c r="AP346" s="1702" t="str">
        <f t="shared" si="40"/>
        <v/>
      </c>
      <c r="AQ346" s="1702" t="str">
        <f t="shared" si="41"/>
        <v/>
      </c>
      <c r="AR346" s="1702" t="str">
        <f t="shared" si="42"/>
        <v/>
      </c>
      <c r="AS346" s="1702"/>
      <c r="AT346" s="1702" t="str">
        <f t="shared" si="61"/>
        <v/>
      </c>
      <c r="AU346" s="1702" t="str">
        <f t="shared" si="62"/>
        <v/>
      </c>
      <c r="AV346" s="1702" t="str">
        <f t="shared" si="63"/>
        <v/>
      </c>
      <c r="AW346" s="1702" t="str">
        <f t="shared" si="64"/>
        <v/>
      </c>
      <c r="AX346" s="1702" t="str">
        <f t="shared" si="65"/>
        <v/>
      </c>
      <c r="AY346" s="1702" t="str">
        <f t="shared" si="66"/>
        <v/>
      </c>
      <c r="AZ346" s="1702" t="str">
        <f t="shared" si="67"/>
        <v/>
      </c>
      <c r="BA346" s="1702" t="str">
        <f t="shared" si="68"/>
        <v/>
      </c>
      <c r="BB346" s="1702"/>
      <c r="BC346" s="1702" t="str">
        <f t="shared" si="70"/>
        <v/>
      </c>
      <c r="BD346" s="1702" t="str">
        <f t="shared" si="71"/>
        <v/>
      </c>
      <c r="BE346" s="1702" t="str">
        <f t="shared" si="72"/>
        <v/>
      </c>
      <c r="BF346" s="1702" t="str">
        <f t="shared" si="73"/>
        <v/>
      </c>
      <c r="BG346" s="1702" t="str">
        <f t="shared" si="74"/>
        <v/>
      </c>
      <c r="BH346" s="1702" t="str">
        <f t="shared" si="75"/>
        <v/>
      </c>
      <c r="BQ346" s="1685"/>
      <c r="BW346" s="1702" t="str">
        <f t="shared" si="58"/>
        <v/>
      </c>
    </row>
    <row r="347" spans="1:75" ht="15">
      <c r="A347" s="1685"/>
      <c r="B347" s="1685"/>
      <c r="C347" s="1685"/>
      <c r="D347" s="1685"/>
      <c r="E347" s="1685"/>
      <c r="F347" s="1685">
        <v>25</v>
      </c>
      <c r="G347" s="1701" t="str">
        <f>IF(rng02_Res_Summary_NoBedrooms25="","",rng02_Res_Summary_NoBedrooms25)</f>
        <v/>
      </c>
      <c r="H347" s="1701" t="str">
        <f>IF(rng02_Res_Summary_NoBaths25="","",rng02_Res_Summary_NoBaths25)</f>
        <v/>
      </c>
      <c r="I347" s="1737" t="str">
        <f t="shared" si="60"/>
        <v/>
      </c>
      <c r="J347" s="1737" t="str">
        <f>IF(rng02_Res_Summary_AMI25="","",rng02_Res_Summary_AMI25)</f>
        <v/>
      </c>
      <c r="K347" s="1701" t="str">
        <f>IF(rng02_Res_Summary_ConstType25="","",rng02_Res_Summary_ConstType25)</f>
        <v/>
      </c>
      <c r="L347" s="1737" t="str">
        <f>IF(rng02_Res_Summary_NoUnit25="","",rng02_Res_Summary_NoUnit25)</f>
        <v/>
      </c>
      <c r="M347" s="2123" t="str">
        <f>IF(ISBLANK(rng02_Res_Summary_DeedRestricted25), "FALSE", rng02_Res_Summary_DeedRestricted25)</f>
        <v>FALSE</v>
      </c>
      <c r="N347" s="1701" t="str">
        <f>IF(L347="","",rng02_Res_Summary_NRSFperUnit25)</f>
        <v/>
      </c>
      <c r="O347" s="1701" t="str">
        <f>IF(rng02_Res_Summary_ProjBasedSubsidy25="","",rng02_Res_Summary_ProjBasedSubsidy25)</f>
        <v/>
      </c>
      <c r="P347" s="1701"/>
      <c r="Q347" s="1701"/>
      <c r="R347" s="1701"/>
      <c r="S347" s="1701"/>
      <c r="T347" s="1701"/>
      <c r="U347" s="1701" t="str">
        <f>IF(rng02_Res_Summary_GrossMarketRent25="","",rng02_Res_Summary_GrossMarketRent25)</f>
        <v/>
      </c>
      <c r="V347" s="1701" t="str">
        <f>IF(rng02_Res_Summary_NetMarketRent25=0,"",rng02_Res_Summary_NetMarketRent25)</f>
        <v/>
      </c>
      <c r="W347" s="1701"/>
      <c r="X347" s="1701"/>
      <c r="Y347" s="1701"/>
      <c r="Z347" s="1701"/>
      <c r="AA347" s="1701"/>
      <c r="AB347" s="1701"/>
      <c r="AC347" s="1685"/>
      <c r="AD347" s="2069"/>
      <c r="AE347" s="2073"/>
      <c r="AF347" s="1685"/>
      <c r="AG347" s="1685"/>
      <c r="AM347" s="1702" t="str">
        <f t="shared" si="37"/>
        <v/>
      </c>
      <c r="AN347" s="1702" t="str">
        <f t="shared" si="38"/>
        <v/>
      </c>
      <c r="AO347" s="1885" t="str">
        <f t="shared" si="39"/>
        <v/>
      </c>
      <c r="AP347" s="1702" t="str">
        <f t="shared" si="40"/>
        <v/>
      </c>
      <c r="AQ347" s="1702" t="str">
        <f t="shared" si="41"/>
        <v/>
      </c>
      <c r="AR347" s="1702" t="str">
        <f t="shared" si="42"/>
        <v/>
      </c>
      <c r="AS347" s="1702"/>
      <c r="AT347" s="1702" t="str">
        <f t="shared" si="61"/>
        <v/>
      </c>
      <c r="AU347" s="1702" t="str">
        <f t="shared" si="62"/>
        <v/>
      </c>
      <c r="AV347" s="1702" t="str">
        <f t="shared" si="63"/>
        <v/>
      </c>
      <c r="AW347" s="1702" t="str">
        <f t="shared" si="64"/>
        <v/>
      </c>
      <c r="AX347" s="1702" t="str">
        <f t="shared" si="65"/>
        <v/>
      </c>
      <c r="AY347" s="1702" t="str">
        <f t="shared" si="66"/>
        <v/>
      </c>
      <c r="AZ347" s="1702" t="str">
        <f t="shared" si="67"/>
        <v/>
      </c>
      <c r="BA347" s="1702" t="str">
        <f t="shared" si="68"/>
        <v/>
      </c>
      <c r="BB347" s="1702"/>
      <c r="BC347" s="1702" t="str">
        <f t="shared" si="70"/>
        <v/>
      </c>
      <c r="BD347" s="1702" t="str">
        <f t="shared" si="71"/>
        <v/>
      </c>
      <c r="BE347" s="1702" t="str">
        <f t="shared" si="72"/>
        <v/>
      </c>
      <c r="BF347" s="1702" t="str">
        <f t="shared" si="73"/>
        <v/>
      </c>
      <c r="BG347" s="1702" t="str">
        <f t="shared" si="74"/>
        <v/>
      </c>
      <c r="BH347" s="1702" t="str">
        <f t="shared" si="75"/>
        <v/>
      </c>
      <c r="BQ347" s="1685"/>
      <c r="BW347" s="1702" t="str">
        <f t="shared" si="58"/>
        <v/>
      </c>
    </row>
    <row r="348" spans="1:75" ht="15">
      <c r="A348" s="1685"/>
      <c r="B348" s="1685"/>
      <c r="C348" s="1685"/>
      <c r="D348" s="1685"/>
      <c r="E348" s="1685"/>
      <c r="F348" s="1685">
        <v>26</v>
      </c>
      <c r="G348" s="1701" t="str">
        <f>IF(rng02_Res_Summary_NoBedrooms26="","",rng02_Res_Summary_NoBedrooms26)</f>
        <v/>
      </c>
      <c r="H348" s="1701" t="str">
        <f>IF(rng02_Res_Summary_NoBaths26="","",rng02_Res_Summary_NoBaths26)</f>
        <v/>
      </c>
      <c r="I348" s="1737" t="str">
        <f t="shared" si="60"/>
        <v/>
      </c>
      <c r="J348" s="1737" t="str">
        <f>IF(rng02_Res_Summary_AMI26="","",rng02_Res_Summary_AMI26)</f>
        <v/>
      </c>
      <c r="K348" s="1701" t="str">
        <f>IF(rng02_Res_Summary_ConstType26="","",rng02_Res_Summary_ConstType26)</f>
        <v/>
      </c>
      <c r="L348" s="1737" t="str">
        <f>IF(rng02_Res_Summary_NoUnit26="","",rng02_Res_Summary_NoUnit26)</f>
        <v/>
      </c>
      <c r="M348" s="2123" t="str">
        <f>IF(ISBLANK(rng02_Res_Summary_DeedRestricted26), "FALSE", rng02_Res_Summary_DeedRestricted26)</f>
        <v>FALSE</v>
      </c>
      <c r="N348" s="1701" t="str">
        <f>IF(L348="","",rng02_Res_Summary_NRSFperUnit26)</f>
        <v/>
      </c>
      <c r="O348" s="1701" t="str">
        <f>IF(rng02_Res_Summary_ProjBasedSubsidy26="","",rng02_Res_Summary_ProjBasedSubsidy26)</f>
        <v/>
      </c>
      <c r="P348" s="1701"/>
      <c r="Q348" s="1701"/>
      <c r="R348" s="1701"/>
      <c r="S348" s="1701"/>
      <c r="T348" s="1701"/>
      <c r="U348" s="1701" t="str">
        <f>IF(rng02_Res_Summary_GrossMarketRent26="","",rng02_Res_Summary_GrossMarketRent26)</f>
        <v/>
      </c>
      <c r="V348" s="1701" t="str">
        <f>IF(rng02_Res_Summary_NetMarketRent26=0,"",rng02_Res_Summary_NetMarketRent26)</f>
        <v/>
      </c>
      <c r="W348" s="1701"/>
      <c r="X348" s="1701"/>
      <c r="Y348" s="1701"/>
      <c r="Z348" s="1701"/>
      <c r="AA348" s="1701"/>
      <c r="AB348" s="1701"/>
      <c r="AC348" s="1685"/>
      <c r="AD348" s="2069"/>
      <c r="AE348" s="2073"/>
      <c r="AF348" s="1685"/>
      <c r="AG348" s="1685"/>
      <c r="AM348" s="1702" t="str">
        <f t="shared" si="37"/>
        <v/>
      </c>
      <c r="AN348" s="1702" t="str">
        <f t="shared" si="38"/>
        <v/>
      </c>
      <c r="AO348" s="1885" t="str">
        <f t="shared" si="39"/>
        <v/>
      </c>
      <c r="AP348" s="1702" t="str">
        <f t="shared" si="40"/>
        <v/>
      </c>
      <c r="AQ348" s="1702" t="str">
        <f t="shared" si="41"/>
        <v/>
      </c>
      <c r="AR348" s="1702" t="str">
        <f t="shared" si="42"/>
        <v/>
      </c>
      <c r="AS348" s="1702"/>
      <c r="AT348" s="1702" t="str">
        <f t="shared" si="61"/>
        <v/>
      </c>
      <c r="AU348" s="1702" t="str">
        <f t="shared" si="62"/>
        <v/>
      </c>
      <c r="AV348" s="1702" t="str">
        <f t="shared" si="63"/>
        <v/>
      </c>
      <c r="AW348" s="1702" t="str">
        <f t="shared" si="64"/>
        <v/>
      </c>
      <c r="AX348" s="1702" t="str">
        <f t="shared" si="65"/>
        <v/>
      </c>
      <c r="AY348" s="1702" t="str">
        <f t="shared" si="66"/>
        <v/>
      </c>
      <c r="AZ348" s="1702" t="str">
        <f t="shared" si="67"/>
        <v/>
      </c>
      <c r="BA348" s="1702" t="str">
        <f t="shared" si="68"/>
        <v/>
      </c>
      <c r="BB348" s="1702"/>
      <c r="BC348" s="1702" t="str">
        <f t="shared" si="70"/>
        <v/>
      </c>
      <c r="BD348" s="1702" t="str">
        <f t="shared" si="71"/>
        <v/>
      </c>
      <c r="BE348" s="1702" t="str">
        <f t="shared" si="72"/>
        <v/>
      </c>
      <c r="BF348" s="1702" t="str">
        <f t="shared" si="73"/>
        <v/>
      </c>
      <c r="BG348" s="1702" t="str">
        <f t="shared" si="74"/>
        <v/>
      </c>
      <c r="BH348" s="1702" t="str">
        <f t="shared" si="75"/>
        <v/>
      </c>
      <c r="BQ348" s="1685"/>
      <c r="BW348" s="1702" t="str">
        <f t="shared" si="58"/>
        <v/>
      </c>
    </row>
    <row r="349" spans="1:75" ht="15">
      <c r="A349" s="1685"/>
      <c r="B349" s="1685"/>
      <c r="C349" s="1685"/>
      <c r="D349" s="1685"/>
      <c r="E349" s="1685"/>
      <c r="F349" s="1685">
        <v>27</v>
      </c>
      <c r="G349" s="1701" t="str">
        <f>IF(rng02_Res_Summary_NoBedrooms27="","",rng02_Res_Summary_NoBedrooms27)</f>
        <v/>
      </c>
      <c r="H349" s="1701" t="str">
        <f>IF(rng02_Res_Summary_NoBaths27="","",rng02_Res_Summary_NoBaths27)</f>
        <v/>
      </c>
      <c r="I349" s="1737" t="str">
        <f t="shared" si="60"/>
        <v/>
      </c>
      <c r="J349" s="1737" t="str">
        <f>IF(rng02_Res_Summary_AMI27="","",rng02_Res_Summary_AMI27)</f>
        <v/>
      </c>
      <c r="K349" s="1701" t="str">
        <f>IF(rng02_Res_Summary_ConstType27="","",rng02_Res_Summary_ConstType27)</f>
        <v/>
      </c>
      <c r="L349" s="1737" t="str">
        <f>IF(rng02_Res_Summary_NoUnit27="","",rng02_Res_Summary_NoUnit27)</f>
        <v/>
      </c>
      <c r="M349" s="2123" t="str">
        <f>IF(ISBLANK(rng02_Res_Summary_DeedRestricted27), "FALSE", rng02_Res_Summary_DeedRestricted27)</f>
        <v>FALSE</v>
      </c>
      <c r="N349" s="1701" t="str">
        <f>IF(L349="","",rng02_Res_Summary_NRSFperUnit27)</f>
        <v/>
      </c>
      <c r="O349" s="1701" t="str">
        <f>IF(rng02_Res_Summary_ProjBasedSubsidy27="","",rng02_Res_Summary_ProjBasedSubsidy27)</f>
        <v/>
      </c>
      <c r="P349" s="1701"/>
      <c r="Q349" s="1701"/>
      <c r="R349" s="1701"/>
      <c r="S349" s="1701"/>
      <c r="T349" s="1701"/>
      <c r="U349" s="1701" t="str">
        <f>IF(rng02_Res_Summary_GrossMarketRent27="","",rng02_Res_Summary_GrossMarketRent27)</f>
        <v/>
      </c>
      <c r="V349" s="1701" t="str">
        <f>IF(rng02_Res_Summary_NetMarketRent27=0,"",rng02_Res_Summary_NetMarketRent27)</f>
        <v/>
      </c>
      <c r="W349" s="1701"/>
      <c r="X349" s="1701"/>
      <c r="Y349" s="1701"/>
      <c r="Z349" s="1701"/>
      <c r="AA349" s="1701"/>
      <c r="AB349" s="1701"/>
      <c r="AC349" s="1685"/>
      <c r="AD349" s="2069"/>
      <c r="AE349" s="2073"/>
      <c r="AF349" s="1685"/>
      <c r="AG349" s="1685"/>
      <c r="AM349" s="1702" t="str">
        <f t="shared" si="37"/>
        <v/>
      </c>
      <c r="AN349" s="1702" t="str">
        <f t="shared" si="38"/>
        <v/>
      </c>
      <c r="AO349" s="1885" t="str">
        <f t="shared" si="39"/>
        <v/>
      </c>
      <c r="AP349" s="1702" t="str">
        <f t="shared" si="40"/>
        <v/>
      </c>
      <c r="AQ349" s="1702" t="str">
        <f t="shared" si="41"/>
        <v/>
      </c>
      <c r="AR349" s="1702" t="str">
        <f t="shared" si="42"/>
        <v/>
      </c>
      <c r="AS349" s="1702"/>
      <c r="AT349" s="1702" t="str">
        <f t="shared" si="61"/>
        <v/>
      </c>
      <c r="AU349" s="1702" t="str">
        <f t="shared" si="62"/>
        <v/>
      </c>
      <c r="AV349" s="1702" t="str">
        <f t="shared" si="63"/>
        <v/>
      </c>
      <c r="AW349" s="1702" t="str">
        <f t="shared" si="64"/>
        <v/>
      </c>
      <c r="AX349" s="1702" t="str">
        <f t="shared" si="65"/>
        <v/>
      </c>
      <c r="AY349" s="1702" t="str">
        <f t="shared" si="66"/>
        <v/>
      </c>
      <c r="AZ349" s="1702" t="str">
        <f t="shared" si="67"/>
        <v/>
      </c>
      <c r="BA349" s="1702" t="str">
        <f t="shared" si="68"/>
        <v/>
      </c>
      <c r="BB349" s="1702"/>
      <c r="BC349" s="1702" t="str">
        <f t="shared" si="70"/>
        <v/>
      </c>
      <c r="BD349" s="1702" t="str">
        <f t="shared" si="71"/>
        <v/>
      </c>
      <c r="BE349" s="1702" t="str">
        <f t="shared" si="72"/>
        <v/>
      </c>
      <c r="BF349" s="1702" t="str">
        <f t="shared" si="73"/>
        <v/>
      </c>
      <c r="BG349" s="1702" t="str">
        <f t="shared" si="74"/>
        <v/>
      </c>
      <c r="BH349" s="1702" t="str">
        <f t="shared" si="75"/>
        <v/>
      </c>
      <c r="BQ349" s="1685"/>
      <c r="BW349" s="1702" t="str">
        <f t="shared" si="58"/>
        <v/>
      </c>
    </row>
    <row r="350" spans="1:75" ht="15">
      <c r="A350" s="1685"/>
      <c r="B350" s="1685"/>
      <c r="C350" s="1685"/>
      <c r="D350" s="1685"/>
      <c r="E350" s="1685"/>
      <c r="F350" s="1685">
        <v>28</v>
      </c>
      <c r="G350" s="1701" t="str">
        <f>IF(rng02_Res_Summary_NoBedrooms28="","",rng02_Res_Summary_NoBedrooms28)</f>
        <v/>
      </c>
      <c r="H350" s="1701" t="str">
        <f>IF(rng02_Res_Summary_NoBaths28="","",rng02_Res_Summary_NoBaths28)</f>
        <v/>
      </c>
      <c r="I350" s="1737" t="str">
        <f t="shared" si="60"/>
        <v/>
      </c>
      <c r="J350" s="1737" t="str">
        <f>IF(rng02_Res_Summary_AMI28="","",rng02_Res_Summary_AMI28)</f>
        <v/>
      </c>
      <c r="K350" s="1701" t="str">
        <f>IF(rng02_Res_Summary_ConstType28="","",rng02_Res_Summary_ConstType28)</f>
        <v/>
      </c>
      <c r="L350" s="1737" t="str">
        <f>IF(rng02_Res_Summary_NoUnit28="","",rng02_Res_Summary_NoUnit28)</f>
        <v/>
      </c>
      <c r="M350" s="2123" t="str">
        <f>IF(ISBLANK(rng02_Res_Summary_DeedRestricted28), "FALSE", rng02_Res_Summary_DeedRestricted28)</f>
        <v>FALSE</v>
      </c>
      <c r="N350" s="1701" t="str">
        <f>IF(L350="","",rng02_Res_Summary_NRSFperUnit28)</f>
        <v/>
      </c>
      <c r="O350" s="1701" t="str">
        <f>IF(rng02_Res_Summary_ProjBasedSubsidy28="","",rng02_Res_Summary_ProjBasedSubsidy28)</f>
        <v/>
      </c>
      <c r="P350" s="1701"/>
      <c r="Q350" s="1701"/>
      <c r="R350" s="1701"/>
      <c r="S350" s="1701"/>
      <c r="T350" s="1701"/>
      <c r="U350" s="1701" t="str">
        <f>IF(rng02_Res_Summary_GrossMarketRent28="","",rng02_Res_Summary_GrossMarketRent28)</f>
        <v/>
      </c>
      <c r="V350" s="1701" t="str">
        <f>IF(rng02_Res_Summary_NetMarketRent28=0,"",rng02_Res_Summary_NetMarketRent28)</f>
        <v/>
      </c>
      <c r="W350" s="1701"/>
      <c r="X350" s="1701"/>
      <c r="Y350" s="1701"/>
      <c r="Z350" s="1701"/>
      <c r="AA350" s="1701"/>
      <c r="AB350" s="1701"/>
      <c r="AC350" s="1685"/>
      <c r="AD350" s="2069"/>
      <c r="AE350" s="2073"/>
      <c r="AF350" s="1685"/>
      <c r="AG350" s="1685"/>
      <c r="AM350" s="1702" t="str">
        <f t="shared" si="37"/>
        <v/>
      </c>
      <c r="AN350" s="1702" t="str">
        <f t="shared" si="38"/>
        <v/>
      </c>
      <c r="AO350" s="1885" t="str">
        <f t="shared" si="39"/>
        <v/>
      </c>
      <c r="AP350" s="1702" t="str">
        <f t="shared" si="40"/>
        <v/>
      </c>
      <c r="AQ350" s="1702" t="str">
        <f t="shared" si="41"/>
        <v/>
      </c>
      <c r="AR350" s="1702" t="str">
        <f t="shared" si="42"/>
        <v/>
      </c>
      <c r="AS350" s="1702"/>
      <c r="AT350" s="1702" t="str">
        <f t="shared" si="61"/>
        <v/>
      </c>
      <c r="AU350" s="1702" t="str">
        <f t="shared" si="62"/>
        <v/>
      </c>
      <c r="AV350" s="1702" t="str">
        <f t="shared" si="63"/>
        <v/>
      </c>
      <c r="AW350" s="1702" t="str">
        <f t="shared" si="64"/>
        <v/>
      </c>
      <c r="AX350" s="1702" t="str">
        <f t="shared" si="65"/>
        <v/>
      </c>
      <c r="AY350" s="1702" t="str">
        <f t="shared" si="66"/>
        <v/>
      </c>
      <c r="AZ350" s="1702" t="str">
        <f t="shared" si="67"/>
        <v/>
      </c>
      <c r="BA350" s="1702" t="str">
        <f t="shared" si="68"/>
        <v/>
      </c>
      <c r="BB350" s="1702"/>
      <c r="BC350" s="1702" t="str">
        <f t="shared" si="70"/>
        <v/>
      </c>
      <c r="BD350" s="1702" t="str">
        <f t="shared" si="71"/>
        <v/>
      </c>
      <c r="BE350" s="1702" t="str">
        <f t="shared" si="72"/>
        <v/>
      </c>
      <c r="BF350" s="1702" t="str">
        <f t="shared" si="73"/>
        <v/>
      </c>
      <c r="BG350" s="1702" t="str">
        <f t="shared" si="74"/>
        <v/>
      </c>
      <c r="BH350" s="1702" t="str">
        <f t="shared" si="75"/>
        <v/>
      </c>
      <c r="BQ350" s="1685"/>
      <c r="BW350" s="1702" t="str">
        <f t="shared" si="58"/>
        <v/>
      </c>
    </row>
    <row r="351" spans="1:75" ht="15">
      <c r="A351" s="1685"/>
      <c r="B351" s="1685"/>
      <c r="C351" s="1685"/>
      <c r="D351" s="1685"/>
      <c r="E351" s="1685"/>
      <c r="F351" s="1685">
        <v>29</v>
      </c>
      <c r="G351" s="1701" t="str">
        <f>IF(rng02_Res_Summary_NoBedrooms29="","",rng02_Res_Summary_NoBedrooms29)</f>
        <v/>
      </c>
      <c r="H351" s="1701" t="str">
        <f>IF(rng02_Res_Summary_NoBaths29="","",rng02_Res_Summary_NoBaths29)</f>
        <v/>
      </c>
      <c r="I351" s="1737" t="str">
        <f t="shared" si="60"/>
        <v/>
      </c>
      <c r="J351" s="1737" t="str">
        <f>IF(rng02_Res_Summary_AMI29="","",rng02_Res_Summary_AMI29)</f>
        <v/>
      </c>
      <c r="K351" s="1701" t="str">
        <f>IF(rng02_Res_Summary_ConstType29="","",rng02_Res_Summary_ConstType29)</f>
        <v/>
      </c>
      <c r="L351" s="1737" t="str">
        <f>IF(rng02_Res_Summary_NoUnit29="","",rng02_Res_Summary_NoUnit29)</f>
        <v/>
      </c>
      <c r="M351" s="2123" t="str">
        <f>IF(ISBLANK(rng02_Res_Summary_DeedRestricted29), "FALSE", rng02_Res_Summary_DeedRestricted29)</f>
        <v>FALSE</v>
      </c>
      <c r="N351" s="1701" t="str">
        <f>IF(L351="","",rng02_Res_Summary_NRSFperUnit29)</f>
        <v/>
      </c>
      <c r="O351" s="1701" t="str">
        <f>IF(rng02_Res_Summary_ProjBasedSubsidy29="","",rng02_Res_Summary_ProjBasedSubsidy29)</f>
        <v/>
      </c>
      <c r="P351" s="1701"/>
      <c r="Q351" s="1701"/>
      <c r="R351" s="1701"/>
      <c r="S351" s="1701"/>
      <c r="T351" s="1701"/>
      <c r="U351" s="1701" t="str">
        <f>IF(rng02_Res_Summary_GrossMarketRent29="","",rng02_Res_Summary_GrossMarketRent29)</f>
        <v/>
      </c>
      <c r="V351" s="1701" t="str">
        <f>IF(rng02_Res_Summary_NetMarketRent29=0,"",rng02_Res_Summary_NetMarketRent29)</f>
        <v/>
      </c>
      <c r="W351" s="1701"/>
      <c r="X351" s="1701"/>
      <c r="Y351" s="1701"/>
      <c r="Z351" s="1701"/>
      <c r="AA351" s="1701"/>
      <c r="AB351" s="1701"/>
      <c r="AC351" s="1685"/>
      <c r="AD351" s="2069"/>
      <c r="AE351" s="2073"/>
      <c r="AF351" s="1685"/>
      <c r="AG351" s="1685"/>
      <c r="AM351" s="1702" t="str">
        <f t="shared" si="37"/>
        <v/>
      </c>
      <c r="AN351" s="1702" t="str">
        <f t="shared" si="38"/>
        <v/>
      </c>
      <c r="AO351" s="1885" t="str">
        <f t="shared" si="39"/>
        <v/>
      </c>
      <c r="AP351" s="1702" t="str">
        <f t="shared" si="40"/>
        <v/>
      </c>
      <c r="AQ351" s="1702" t="str">
        <f t="shared" si="41"/>
        <v/>
      </c>
      <c r="AR351" s="1702" t="str">
        <f t="shared" si="42"/>
        <v/>
      </c>
      <c r="AS351" s="1702"/>
      <c r="AT351" s="1702" t="str">
        <f t="shared" si="61"/>
        <v/>
      </c>
      <c r="AU351" s="1702" t="str">
        <f t="shared" si="62"/>
        <v/>
      </c>
      <c r="AV351" s="1702" t="str">
        <f t="shared" si="63"/>
        <v/>
      </c>
      <c r="AW351" s="1702" t="str">
        <f t="shared" si="64"/>
        <v/>
      </c>
      <c r="AX351" s="1702" t="str">
        <f t="shared" si="65"/>
        <v/>
      </c>
      <c r="AY351" s="1702" t="str">
        <f t="shared" si="66"/>
        <v/>
      </c>
      <c r="AZ351" s="1702" t="str">
        <f t="shared" si="67"/>
        <v/>
      </c>
      <c r="BA351" s="1702" t="str">
        <f t="shared" si="68"/>
        <v/>
      </c>
      <c r="BB351" s="1702"/>
      <c r="BC351" s="1702" t="str">
        <f t="shared" si="70"/>
        <v/>
      </c>
      <c r="BD351" s="1702" t="str">
        <f t="shared" si="71"/>
        <v/>
      </c>
      <c r="BE351" s="1702" t="str">
        <f t="shared" si="72"/>
        <v/>
      </c>
      <c r="BF351" s="1702" t="str">
        <f t="shared" si="73"/>
        <v/>
      </c>
      <c r="BG351" s="1702" t="str">
        <f t="shared" si="74"/>
        <v/>
      </c>
      <c r="BH351" s="1702" t="str">
        <f t="shared" si="75"/>
        <v/>
      </c>
      <c r="BQ351" s="1685"/>
      <c r="BW351" s="1702" t="str">
        <f t="shared" si="58"/>
        <v/>
      </c>
    </row>
    <row r="352" spans="1:75" ht="15">
      <c r="A352" s="1685"/>
      <c r="B352" s="1685"/>
      <c r="C352" s="1685"/>
      <c r="D352" s="1685"/>
      <c r="E352" s="1685"/>
      <c r="F352" s="1685">
        <v>30</v>
      </c>
      <c r="G352" s="1701" t="str">
        <f>IF(rng02_Res_Summary_NoBedrooms30="","",rng02_Res_Summary_NoBedrooms30)</f>
        <v/>
      </c>
      <c r="H352" s="1701" t="str">
        <f>IF(rng02_Res_Summary_NoBaths30="","",rng02_Res_Summary_NoBaths30)</f>
        <v/>
      </c>
      <c r="I352" s="1737" t="str">
        <f t="shared" si="60"/>
        <v/>
      </c>
      <c r="J352" s="1737" t="str">
        <f>IF(rng02_Res_Summary_AMI30="","",rng02_Res_Summary_AMI30)</f>
        <v/>
      </c>
      <c r="K352" s="1701" t="str">
        <f>IF(rng02_Res_Summary_ConstType30="","",rng02_Res_Summary_ConstType30)</f>
        <v/>
      </c>
      <c r="L352" s="1737" t="str">
        <f>IF(rng02_Res_Summary_NoUnit30="","",rng02_Res_Summary_NoUnit30)</f>
        <v/>
      </c>
      <c r="M352" s="2123" t="str">
        <f>IF(ISBLANK(rng02_Res_Summary_DeedRestricted30), "FALSE", rng02_Res_Summary_DeedRestricted30)</f>
        <v>FALSE</v>
      </c>
      <c r="N352" s="1701" t="str">
        <f>IF(L352="","",rng02_Res_Summary_NRSFperUnit30)</f>
        <v/>
      </c>
      <c r="O352" s="1701" t="str">
        <f>IF(rng02_Res_Summary_ProjBasedSubsidy30="","",rng02_Res_Summary_ProjBasedSubsidy30)</f>
        <v/>
      </c>
      <c r="P352" s="1701"/>
      <c r="Q352" s="1701"/>
      <c r="R352" s="1701"/>
      <c r="S352" s="1701"/>
      <c r="T352" s="1701"/>
      <c r="U352" s="1701" t="str">
        <f>IF(rng02_Res_Summary_GrossMarketRent30="","",rng02_Res_Summary_GrossMarketRent30)</f>
        <v/>
      </c>
      <c r="V352" s="1701" t="str">
        <f>IF(rng02_Res_Summary_NetMarketRent30=0,"",rng02_Res_Summary_NetMarketRent30)</f>
        <v/>
      </c>
      <c r="W352" s="1701"/>
      <c r="X352" s="1701"/>
      <c r="Y352" s="1701"/>
      <c r="Z352" s="1701"/>
      <c r="AA352" s="1701"/>
      <c r="AB352" s="1701"/>
      <c r="AC352" s="1685"/>
      <c r="AD352" s="2069"/>
      <c r="AE352" s="2073"/>
      <c r="AF352" s="1685"/>
      <c r="AG352" s="1685"/>
      <c r="AM352" s="1702" t="str">
        <f t="shared" si="37"/>
        <v/>
      </c>
      <c r="AN352" s="1702" t="str">
        <f t="shared" si="38"/>
        <v/>
      </c>
      <c r="AO352" s="1885" t="str">
        <f t="shared" si="39"/>
        <v/>
      </c>
      <c r="AP352" s="1702" t="str">
        <f t="shared" si="40"/>
        <v/>
      </c>
      <c r="AQ352" s="1702" t="str">
        <f t="shared" si="41"/>
        <v/>
      </c>
      <c r="AR352" s="1702" t="str">
        <f t="shared" si="42"/>
        <v/>
      </c>
      <c r="AS352" s="1702"/>
      <c r="AT352" s="1702" t="str">
        <f t="shared" si="61"/>
        <v/>
      </c>
      <c r="AU352" s="1702" t="str">
        <f t="shared" si="62"/>
        <v/>
      </c>
      <c r="AV352" s="1702" t="str">
        <f t="shared" si="63"/>
        <v/>
      </c>
      <c r="AW352" s="1702" t="str">
        <f t="shared" si="64"/>
        <v/>
      </c>
      <c r="AX352" s="1702" t="str">
        <f t="shared" si="65"/>
        <v/>
      </c>
      <c r="AY352" s="1702" t="str">
        <f t="shared" si="66"/>
        <v/>
      </c>
      <c r="AZ352" s="1702" t="str">
        <f t="shared" si="67"/>
        <v/>
      </c>
      <c r="BA352" s="1702" t="str">
        <f t="shared" si="68"/>
        <v/>
      </c>
      <c r="BB352" s="1702"/>
      <c r="BC352" s="1702" t="str">
        <f t="shared" si="70"/>
        <v/>
      </c>
      <c r="BD352" s="1702" t="str">
        <f t="shared" si="71"/>
        <v/>
      </c>
      <c r="BE352" s="1702" t="str">
        <f t="shared" si="72"/>
        <v/>
      </c>
      <c r="BF352" s="1702" t="str">
        <f t="shared" si="73"/>
        <v/>
      </c>
      <c r="BG352" s="1702" t="str">
        <f t="shared" si="74"/>
        <v/>
      </c>
      <c r="BH352" s="1702" t="str">
        <f t="shared" si="75"/>
        <v/>
      </c>
      <c r="BQ352" s="1685"/>
      <c r="BW352" s="1702" t="str">
        <f t="shared" si="58"/>
        <v/>
      </c>
    </row>
    <row r="353" spans="1:75" ht="15">
      <c r="A353" s="1685"/>
      <c r="B353" s="1685"/>
      <c r="C353" s="1685"/>
      <c r="D353" s="1685"/>
      <c r="E353" s="1685"/>
      <c r="F353" s="1685"/>
      <c r="G353" s="1701" t="s">
        <v>1070</v>
      </c>
      <c r="H353" s="1701"/>
      <c r="I353" s="1731"/>
      <c r="J353" s="1731"/>
      <c r="K353" s="1701"/>
      <c r="L353" s="1737">
        <f>SUM(L323:L352)</f>
        <v>0</v>
      </c>
      <c r="M353" s="2022">
        <f>SUMIF(M323:M352, "True",L323:L352)</f>
        <v>0</v>
      </c>
      <c r="N353" s="1701"/>
      <c r="O353" s="1701"/>
      <c r="P353" s="1701"/>
      <c r="Q353" s="1701"/>
      <c r="R353" s="1701">
        <v>0</v>
      </c>
      <c r="S353" s="1701">
        <v>0</v>
      </c>
      <c r="T353" s="1701">
        <v>0</v>
      </c>
      <c r="U353" s="1701">
        <v>0</v>
      </c>
      <c r="V353" s="1701">
        <v>0</v>
      </c>
      <c r="W353" s="1701" t="e">
        <v>#DIV/0!</v>
      </c>
      <c r="X353" s="1701">
        <v>0</v>
      </c>
      <c r="Y353" s="1701">
        <v>0</v>
      </c>
      <c r="Z353" s="1701">
        <v>0</v>
      </c>
      <c r="AA353" s="1701" t="e">
        <v>#DIV/0!</v>
      </c>
      <c r="AB353" s="1701">
        <v>0</v>
      </c>
      <c r="AC353" s="1685"/>
      <c r="AD353" s="2069"/>
      <c r="AE353" s="2073"/>
      <c r="AF353" s="1685"/>
      <c r="AG353" s="1685"/>
      <c r="AM353" s="1702" t="s">
        <v>1070</v>
      </c>
      <c r="AN353" s="1702"/>
      <c r="AO353" s="1702"/>
      <c r="AP353" s="1702"/>
      <c r="AQ353" s="1702"/>
      <c r="AR353" s="1702">
        <f>SUM(AR323:AR352)</f>
        <v>0</v>
      </c>
      <c r="AS353" s="1702"/>
      <c r="AT353" s="1702"/>
      <c r="AU353" s="1702"/>
      <c r="AV353" s="1702"/>
      <c r="AW353" s="1702"/>
      <c r="AX353" s="1702">
        <v>0</v>
      </c>
      <c r="AY353" s="1702">
        <v>0</v>
      </c>
      <c r="AZ353" s="1702">
        <v>0</v>
      </c>
      <c r="BA353" s="1702">
        <v>0</v>
      </c>
      <c r="BB353" s="1702">
        <v>0</v>
      </c>
      <c r="BC353" s="1702" t="e">
        <v>#DIV/0!</v>
      </c>
      <c r="BD353" s="1702">
        <v>0</v>
      </c>
      <c r="BE353" s="1702">
        <v>0</v>
      </c>
      <c r="BF353" s="1702">
        <v>0</v>
      </c>
      <c r="BG353" s="1702" t="e">
        <v>#DIV/0!</v>
      </c>
      <c r="BH353" s="1702">
        <v>0</v>
      </c>
      <c r="BQ353" s="1685"/>
      <c r="BW353" s="1702" t="s">
        <v>1070</v>
      </c>
    </row>
    <row r="354" spans="1:75" ht="15">
      <c r="A354" s="1685"/>
      <c r="B354" s="1685"/>
      <c r="C354" s="1685"/>
      <c r="D354" s="1685"/>
      <c r="E354" s="1685"/>
      <c r="F354" s="1685"/>
      <c r="G354" s="1701" t="s">
        <v>1071</v>
      </c>
      <c r="H354" s="1701"/>
      <c r="I354" s="1701"/>
      <c r="J354" s="1701"/>
      <c r="K354" s="1701"/>
      <c r="L354" s="1701"/>
      <c r="M354" s="1701"/>
      <c r="N354" s="1701"/>
      <c r="O354" s="1701"/>
      <c r="P354" s="1701"/>
      <c r="Q354" s="1701"/>
      <c r="R354" s="1701"/>
      <c r="S354" s="1701"/>
      <c r="T354" s="1701">
        <v>0</v>
      </c>
      <c r="U354" s="1701"/>
      <c r="V354" s="1701"/>
      <c r="W354" s="1701"/>
      <c r="X354" s="1701"/>
      <c r="Y354" s="1701"/>
      <c r="Z354" s="1701"/>
      <c r="AA354" s="1701"/>
      <c r="AB354" s="1701"/>
      <c r="AC354" s="1685"/>
      <c r="AD354" s="2069"/>
      <c r="AE354" s="2073"/>
      <c r="AF354" s="1685"/>
      <c r="AG354" s="1685"/>
      <c r="AM354" s="1702" t="s">
        <v>1071</v>
      </c>
      <c r="AN354" s="1702"/>
      <c r="AO354" s="1702"/>
      <c r="AP354" s="1702"/>
      <c r="AQ354" s="1702"/>
      <c r="AR354" s="1702"/>
      <c r="AS354" s="1702"/>
      <c r="AT354" s="1702"/>
      <c r="AU354" s="1702"/>
      <c r="AV354" s="1702"/>
      <c r="AW354" s="1702"/>
      <c r="AX354" s="1702"/>
      <c r="AY354" s="1702"/>
      <c r="AZ354" s="1702">
        <v>0</v>
      </c>
      <c r="BA354" s="1702"/>
      <c r="BB354" s="1702"/>
      <c r="BC354" s="1702"/>
      <c r="BD354" s="1702"/>
      <c r="BE354" s="1702"/>
      <c r="BF354" s="1702"/>
      <c r="BG354" s="1702"/>
      <c r="BH354" s="1702"/>
      <c r="BQ354" s="1685"/>
      <c r="BW354" s="1702" t="s">
        <v>1071</v>
      </c>
    </row>
    <row r="355" spans="1:75" ht="15">
      <c r="A355" s="1685"/>
      <c r="B355" s="1685"/>
      <c r="C355" s="1685"/>
      <c r="D355" s="1685"/>
      <c r="E355" s="1685"/>
      <c r="F355" s="1685"/>
      <c r="G355" s="1701" t="s">
        <v>1072</v>
      </c>
      <c r="H355" s="1701"/>
      <c r="I355" s="1701"/>
      <c r="J355" s="1701"/>
      <c r="K355" s="1701"/>
      <c r="L355" s="1701"/>
      <c r="M355" s="1701"/>
      <c r="N355" s="1701"/>
      <c r="O355" s="1701"/>
      <c r="P355" s="1701"/>
      <c r="Q355" s="1701"/>
      <c r="R355" s="1701"/>
      <c r="S355" s="1701"/>
      <c r="T355" s="1701">
        <v>0</v>
      </c>
      <c r="U355" s="1701"/>
      <c r="V355" s="1701"/>
      <c r="W355" s="1701"/>
      <c r="X355" s="1701"/>
      <c r="Y355" s="1701"/>
      <c r="Z355" s="1701"/>
      <c r="AA355" s="1701"/>
      <c r="AB355" s="1701"/>
      <c r="AC355" s="1685"/>
      <c r="AD355" s="2069"/>
      <c r="AE355" s="2073"/>
      <c r="AF355" s="1685"/>
      <c r="AG355" s="1685"/>
      <c r="AM355" s="1702" t="s">
        <v>1072</v>
      </c>
      <c r="AN355" s="1702"/>
      <c r="AO355" s="1702"/>
      <c r="AP355" s="1702"/>
      <c r="AQ355" s="1702"/>
      <c r="AR355" s="1702"/>
      <c r="AS355" s="1702"/>
      <c r="AT355" s="1702"/>
      <c r="AU355" s="1702"/>
      <c r="AV355" s="1702"/>
      <c r="AW355" s="1702"/>
      <c r="AX355" s="1702"/>
      <c r="AY355" s="1702"/>
      <c r="AZ355" s="1702">
        <v>0</v>
      </c>
      <c r="BA355" s="1702"/>
      <c r="BB355" s="1702"/>
      <c r="BC355" s="1702"/>
      <c r="BD355" s="1702"/>
      <c r="BE355" s="1702"/>
      <c r="BF355" s="1702"/>
      <c r="BG355" s="1702"/>
      <c r="BH355" s="1702"/>
      <c r="BQ355" s="1685"/>
      <c r="BW355" s="1702" t="s">
        <v>1072</v>
      </c>
    </row>
    <row r="356" spans="1:75" ht="15">
      <c r="A356" s="1685"/>
      <c r="B356" s="1685"/>
      <c r="C356" s="1685"/>
      <c r="D356" s="1685"/>
      <c r="E356" s="1685"/>
      <c r="F356" s="1685"/>
      <c r="G356" s="1701" t="s">
        <v>1073</v>
      </c>
      <c r="H356" s="1701"/>
      <c r="I356" s="1701"/>
      <c r="J356" s="1701"/>
      <c r="K356" s="1701"/>
      <c r="L356" s="1701"/>
      <c r="M356" s="1701"/>
      <c r="N356" s="1701"/>
      <c r="O356" s="1701"/>
      <c r="P356" s="1701"/>
      <c r="Q356" s="1701"/>
      <c r="R356" s="1701"/>
      <c r="S356" s="1701"/>
      <c r="T356" s="1701">
        <v>0</v>
      </c>
      <c r="U356" s="1701"/>
      <c r="V356" s="1701"/>
      <c r="W356" s="1701"/>
      <c r="X356" s="1701"/>
      <c r="Y356" s="1701"/>
      <c r="Z356" s="1701"/>
      <c r="AA356" s="1701"/>
      <c r="AB356" s="1701"/>
      <c r="AC356" s="1685"/>
      <c r="AD356" s="2069"/>
      <c r="AE356" s="2073"/>
      <c r="AF356" s="1685"/>
      <c r="AG356" s="1685"/>
      <c r="AM356" s="1702" t="s">
        <v>1073</v>
      </c>
      <c r="AN356" s="1702"/>
      <c r="AO356" s="1702"/>
      <c r="AP356" s="1702"/>
      <c r="AQ356" s="1702"/>
      <c r="AR356" s="1702"/>
      <c r="AS356" s="1702"/>
      <c r="AT356" s="1702"/>
      <c r="AU356" s="1702"/>
      <c r="AV356" s="1702"/>
      <c r="AW356" s="1702"/>
      <c r="AX356" s="1702"/>
      <c r="AY356" s="1702"/>
      <c r="AZ356" s="1702">
        <v>0</v>
      </c>
      <c r="BA356" s="1702"/>
      <c r="BB356" s="1702"/>
      <c r="BC356" s="1702"/>
      <c r="BD356" s="1702"/>
      <c r="BE356" s="1702"/>
      <c r="BF356" s="1702"/>
      <c r="BG356" s="1702"/>
      <c r="BH356" s="1702"/>
      <c r="BQ356" s="1685"/>
      <c r="BW356" s="1702" t="s">
        <v>1073</v>
      </c>
    </row>
    <row r="357" spans="1:75" ht="15">
      <c r="A357" s="1685"/>
      <c r="B357" s="1685"/>
      <c r="C357" s="1685"/>
      <c r="D357" s="1685"/>
      <c r="E357" s="1685"/>
      <c r="F357" s="1685"/>
      <c r="G357" s="1685"/>
      <c r="H357" s="1685"/>
      <c r="I357" s="1728" t="s">
        <v>2282</v>
      </c>
      <c r="J357" s="1688">
        <f>L353</f>
        <v>0</v>
      </c>
      <c r="K357" s="1685"/>
      <c r="L357" s="1685"/>
      <c r="M357" s="1685"/>
      <c r="N357" s="1685"/>
      <c r="O357" s="1685"/>
      <c r="P357" s="1685"/>
      <c r="Q357" s="1685"/>
      <c r="R357" s="1685"/>
      <c r="S357" s="1685"/>
      <c r="T357" s="1685"/>
      <c r="U357" s="1685"/>
      <c r="V357" s="1685"/>
      <c r="W357" s="1685"/>
      <c r="X357" s="1685"/>
      <c r="Y357" s="1685"/>
      <c r="Z357" s="1685"/>
      <c r="AA357" s="1685"/>
      <c r="AB357" s="1685"/>
      <c r="AC357" s="1685"/>
      <c r="AD357" s="2069"/>
      <c r="AE357" s="2073"/>
      <c r="AF357" s="1685"/>
      <c r="AG357" s="1685"/>
      <c r="BQ357" s="1685"/>
    </row>
    <row r="358" spans="1:75" ht="15">
      <c r="A358" s="1685"/>
      <c r="B358" s="1685"/>
      <c r="C358" s="1685"/>
      <c r="D358" s="1685"/>
      <c r="E358" s="1685"/>
      <c r="F358" s="1685"/>
      <c r="G358" s="1685"/>
      <c r="H358" s="1685"/>
      <c r="I358" s="1685"/>
      <c r="J358" s="1685"/>
      <c r="K358" s="1685"/>
      <c r="L358" s="1685"/>
      <c r="M358" s="1685"/>
      <c r="N358" s="1685"/>
      <c r="O358" s="1685"/>
      <c r="P358" s="1685"/>
      <c r="Q358" s="1685"/>
      <c r="R358" s="1685"/>
      <c r="S358" s="1685"/>
      <c r="T358" s="1685"/>
      <c r="U358" s="1685"/>
      <c r="V358" s="1685"/>
      <c r="W358" s="1685"/>
      <c r="X358" s="1685"/>
      <c r="Y358" s="1685"/>
      <c r="Z358" s="1685"/>
      <c r="AA358" s="1685"/>
      <c r="AB358" s="1685"/>
      <c r="AC358" s="1685"/>
      <c r="AD358" s="2069"/>
      <c r="AE358" s="2073"/>
      <c r="AF358" s="1685"/>
      <c r="AG358" s="1685"/>
      <c r="BQ358" s="1685"/>
    </row>
    <row r="359" spans="1:75" ht="15">
      <c r="A359" s="1685"/>
      <c r="B359" s="1685"/>
      <c r="C359" s="1685"/>
      <c r="D359" s="1685"/>
      <c r="E359" s="1685"/>
      <c r="F359" s="1685"/>
      <c r="G359" s="1685"/>
      <c r="H359" s="1685"/>
      <c r="I359" s="1686"/>
      <c r="J359" s="1685"/>
      <c r="K359" s="1685"/>
      <c r="L359" s="1685"/>
      <c r="M359" s="1685"/>
      <c r="N359" s="1685"/>
      <c r="O359" s="1685"/>
      <c r="P359" s="1685"/>
      <c r="Q359" s="1685"/>
      <c r="R359" s="1685"/>
      <c r="S359" s="1685"/>
      <c r="T359" s="1685"/>
      <c r="U359" s="1685"/>
      <c r="V359" s="1685"/>
      <c r="W359" s="1685"/>
      <c r="X359" s="1685"/>
      <c r="Y359" s="1685"/>
      <c r="Z359" s="1685"/>
      <c r="AA359" s="1685"/>
      <c r="AB359" s="1685"/>
      <c r="AC359" s="1685"/>
      <c r="AD359" s="2069"/>
      <c r="AE359" s="2073"/>
      <c r="AF359" s="1685"/>
      <c r="AG359" s="1685"/>
      <c r="BQ359" s="1685"/>
    </row>
    <row r="360" spans="1:75" ht="15">
      <c r="A360" s="1685"/>
      <c r="B360" s="1685"/>
      <c r="C360" s="1685"/>
      <c r="D360" s="1685"/>
      <c r="E360" s="1739" t="s">
        <v>1074</v>
      </c>
      <c r="F360" s="1685"/>
      <c r="G360" s="1685"/>
      <c r="H360" s="1685"/>
      <c r="I360" s="1685"/>
      <c r="J360" s="1685"/>
      <c r="K360" s="1686" t="s">
        <v>1035</v>
      </c>
      <c r="L360" s="1685"/>
      <c r="M360" s="1732" t="s">
        <v>1036</v>
      </c>
      <c r="N360" s="1685"/>
      <c r="O360" s="1685"/>
      <c r="P360" s="1685"/>
      <c r="Q360" s="1685"/>
      <c r="R360" s="1685"/>
      <c r="S360" s="1685"/>
      <c r="T360" s="1685"/>
      <c r="U360" s="1685"/>
      <c r="V360" s="1685"/>
      <c r="W360" s="1685"/>
      <c r="X360" s="1685"/>
      <c r="Y360" s="1685"/>
      <c r="Z360" s="1685"/>
      <c r="AA360" s="1685"/>
      <c r="AB360" s="1685"/>
      <c r="AC360" s="1685"/>
      <c r="AD360" s="2069"/>
      <c r="AE360" s="2073"/>
      <c r="AF360" s="1685"/>
      <c r="AG360" s="1685"/>
      <c r="BQ360" s="1685"/>
    </row>
    <row r="361" spans="1:75" ht="15">
      <c r="A361" s="1685"/>
      <c r="B361" s="1685"/>
      <c r="C361" s="1685"/>
      <c r="D361" s="1685"/>
      <c r="E361" s="1685"/>
      <c r="F361" s="1685"/>
      <c r="G361" s="1685"/>
      <c r="H361" s="1685"/>
      <c r="I361" s="1685"/>
      <c r="J361" s="1685"/>
      <c r="K361" s="1686" t="s">
        <v>1042</v>
      </c>
      <c r="L361" s="1685"/>
      <c r="M361" s="1732" t="s">
        <v>1044</v>
      </c>
      <c r="N361" s="1685"/>
      <c r="O361" s="1685"/>
      <c r="P361" s="1685"/>
      <c r="Q361" s="1685"/>
      <c r="R361" s="1685"/>
      <c r="S361" s="1685"/>
      <c r="T361" s="1685"/>
      <c r="U361" s="1685"/>
      <c r="V361" s="1685"/>
      <c r="W361" s="1685"/>
      <c r="X361" s="1685"/>
      <c r="Y361" s="1685"/>
      <c r="Z361" s="1685"/>
      <c r="AA361" s="1685"/>
      <c r="AB361" s="1685"/>
      <c r="AC361" s="1685"/>
      <c r="AD361" s="2069"/>
      <c r="AE361" s="2073"/>
      <c r="AF361" s="1685"/>
      <c r="AG361" s="1685"/>
      <c r="BQ361" s="1685"/>
    </row>
    <row r="362" spans="1:75" ht="15">
      <c r="A362" s="1685" t="s">
        <v>1031</v>
      </c>
      <c r="B362" s="1685" t="s">
        <v>1032</v>
      </c>
      <c r="C362" s="1685" t="s">
        <v>1075</v>
      </c>
      <c r="D362" s="1685"/>
      <c r="E362" s="1685"/>
      <c r="F362" s="1685"/>
      <c r="G362" s="1701" t="s">
        <v>1075</v>
      </c>
      <c r="H362" s="1701"/>
      <c r="I362" s="1701"/>
      <c r="J362" s="1701"/>
      <c r="K362" s="1701"/>
      <c r="L362" s="1685"/>
      <c r="M362" s="1685"/>
      <c r="N362" s="1685"/>
      <c r="O362" s="1685"/>
      <c r="P362" s="1685"/>
      <c r="Q362" s="1685"/>
      <c r="R362" s="1685"/>
      <c r="S362" s="1685"/>
      <c r="T362" s="1685"/>
      <c r="U362" s="1685"/>
      <c r="V362" s="1685"/>
      <c r="W362" s="1685"/>
      <c r="X362" s="1685"/>
      <c r="Y362" s="1685"/>
      <c r="Z362" s="1685"/>
      <c r="AA362" s="1685"/>
      <c r="AB362" s="1685"/>
      <c r="AC362" s="1685"/>
      <c r="AD362" s="2069"/>
      <c r="AE362" s="2073"/>
      <c r="AF362" s="1685"/>
      <c r="AG362" s="1685" t="s">
        <v>1031</v>
      </c>
      <c r="AH362" s="1677" t="s">
        <v>1032</v>
      </c>
      <c r="AI362" s="1677" t="s">
        <v>1075</v>
      </c>
      <c r="AM362" s="1677" t="s">
        <v>1075</v>
      </c>
      <c r="BQ362" s="1685" t="s">
        <v>1031</v>
      </c>
      <c r="BR362" s="1677" t="s">
        <v>1032</v>
      </c>
      <c r="BS362" s="1677" t="s">
        <v>1075</v>
      </c>
      <c r="BW362" s="1677" t="s">
        <v>1075</v>
      </c>
    </row>
    <row r="363" spans="1:75" ht="15">
      <c r="A363" s="1685"/>
      <c r="B363" s="1678" t="s">
        <v>1076</v>
      </c>
      <c r="C363" s="1685"/>
      <c r="D363" s="1685"/>
      <c r="E363" s="1685"/>
      <c r="F363" s="1685"/>
      <c r="G363" s="1701" t="s">
        <v>1077</v>
      </c>
      <c r="H363" s="1701"/>
      <c r="I363" s="1701"/>
      <c r="J363" s="1701"/>
      <c r="K363" s="1701"/>
      <c r="L363" s="1685"/>
      <c r="M363" s="1685"/>
      <c r="N363" s="1685"/>
      <c r="O363" s="1685"/>
      <c r="P363" s="1685"/>
      <c r="Q363" s="1685"/>
      <c r="R363" s="1685"/>
      <c r="S363" s="1685"/>
      <c r="T363" s="1685"/>
      <c r="U363" s="1685"/>
      <c r="V363" s="1685"/>
      <c r="W363" s="1685"/>
      <c r="X363" s="1685"/>
      <c r="Y363" s="1685"/>
      <c r="Z363" s="1685"/>
      <c r="AA363" s="1685"/>
      <c r="AB363" s="1685"/>
      <c r="AC363" s="1685"/>
      <c r="AD363" s="2069"/>
      <c r="AE363" s="2073"/>
      <c r="AF363" s="1685"/>
      <c r="AG363" s="1685"/>
      <c r="AH363" s="1677" t="s">
        <v>1076</v>
      </c>
      <c r="AM363" s="1677" t="s">
        <v>1077</v>
      </c>
      <c r="BQ363" s="1685"/>
      <c r="BR363" s="1677" t="s">
        <v>1076</v>
      </c>
      <c r="BW363" s="1677" t="s">
        <v>1077</v>
      </c>
    </row>
    <row r="364" spans="1:75" ht="15">
      <c r="A364" s="1685"/>
      <c r="B364" s="1685"/>
      <c r="C364" s="1685"/>
      <c r="D364" s="1685"/>
      <c r="E364" s="1685"/>
      <c r="F364" s="1685"/>
      <c r="G364" s="1701" t="s">
        <v>1078</v>
      </c>
      <c r="H364" s="1701"/>
      <c r="I364" s="1701"/>
      <c r="J364" s="1701"/>
      <c r="K364" s="1701"/>
      <c r="L364" s="1685"/>
      <c r="M364" s="1685"/>
      <c r="N364" s="1685"/>
      <c r="O364" s="1685"/>
      <c r="P364" s="1685"/>
      <c r="Q364" s="1685"/>
      <c r="R364" s="1685"/>
      <c r="S364" s="1685"/>
      <c r="T364" s="1685"/>
      <c r="U364" s="1685"/>
      <c r="V364" s="1685"/>
      <c r="W364" s="1685"/>
      <c r="X364" s="1685"/>
      <c r="Y364" s="1685"/>
      <c r="Z364" s="1685"/>
      <c r="AA364" s="1685"/>
      <c r="AB364" s="1685"/>
      <c r="AC364" s="1685"/>
      <c r="AD364" s="2069"/>
      <c r="AE364" s="2073"/>
      <c r="AF364" s="1685"/>
      <c r="AG364" s="1685"/>
      <c r="AM364" s="1677" t="s">
        <v>1078</v>
      </c>
      <c r="BQ364" s="1685"/>
      <c r="BW364" s="1677" t="s">
        <v>1078</v>
      </c>
    </row>
    <row r="365" spans="1:75" ht="15">
      <c r="A365" s="1685"/>
      <c r="B365" s="1685"/>
      <c r="C365" s="1685"/>
      <c r="D365" s="1685"/>
      <c r="E365" s="1678" t="s">
        <v>1079</v>
      </c>
      <c r="F365" s="1685"/>
      <c r="G365" s="1701"/>
      <c r="H365" s="1701"/>
      <c r="I365" s="1701"/>
      <c r="J365" s="1701"/>
      <c r="K365" s="1701"/>
      <c r="L365" s="1685"/>
      <c r="M365" s="1685"/>
      <c r="N365" s="1685"/>
      <c r="O365" s="1685"/>
      <c r="P365" s="1685"/>
      <c r="Q365" s="1685"/>
      <c r="R365" s="1685"/>
      <c r="S365" s="1685"/>
      <c r="T365" s="1685"/>
      <c r="U365" s="1685"/>
      <c r="V365" s="1685"/>
      <c r="W365" s="1685"/>
      <c r="X365" s="1685"/>
      <c r="Y365" s="1685"/>
      <c r="Z365" s="1685"/>
      <c r="AA365" s="1685"/>
      <c r="AB365" s="1685"/>
      <c r="AC365" s="1685"/>
      <c r="AD365" s="2069"/>
      <c r="AE365" s="2073"/>
      <c r="AF365" s="1685"/>
      <c r="AG365" s="1685"/>
      <c r="BQ365" s="1685"/>
    </row>
    <row r="366" spans="1:75" ht="15">
      <c r="A366" s="1685"/>
      <c r="B366" s="1685"/>
      <c r="C366" s="1685"/>
      <c r="D366" s="1685"/>
      <c r="E366" s="1678" t="s">
        <v>1080</v>
      </c>
      <c r="F366" s="1686"/>
      <c r="G366" s="1701" t="s">
        <v>1081</v>
      </c>
      <c r="H366" s="1701" t="s">
        <v>54</v>
      </c>
      <c r="I366" s="1701" t="s">
        <v>1082</v>
      </c>
      <c r="J366" s="1716" t="s">
        <v>1083</v>
      </c>
      <c r="K366" s="1701" t="s">
        <v>1084</v>
      </c>
      <c r="L366" s="1685"/>
      <c r="M366" s="1685"/>
      <c r="N366" s="1685"/>
      <c r="O366" s="1685"/>
      <c r="P366" s="1685"/>
      <c r="Q366" s="1685"/>
      <c r="R366" s="1685"/>
      <c r="S366" s="1685"/>
      <c r="T366" s="1685"/>
      <c r="U366" s="1685"/>
      <c r="V366" s="1685"/>
      <c r="W366" s="1685"/>
      <c r="X366" s="1685"/>
      <c r="Y366" s="1685"/>
      <c r="Z366" s="1685"/>
      <c r="AA366" s="1685"/>
      <c r="AB366" s="1685"/>
      <c r="AC366" s="1685"/>
      <c r="AD366" s="2069"/>
      <c r="AE366" s="2073"/>
      <c r="AF366" s="1685"/>
      <c r="AG366" s="1685"/>
      <c r="AM366" s="1702" t="s">
        <v>1081</v>
      </c>
      <c r="AN366" s="1702" t="s">
        <v>54</v>
      </c>
      <c r="AO366" s="1702" t="s">
        <v>1082</v>
      </c>
      <c r="AP366" s="1702" t="s">
        <v>1083</v>
      </c>
      <c r="AQ366" s="1702" t="s">
        <v>1084</v>
      </c>
      <c r="BQ366" s="1685"/>
      <c r="BW366" s="1702" t="s">
        <v>1081</v>
      </c>
    </row>
    <row r="367" spans="1:75" ht="15">
      <c r="A367" s="1685"/>
      <c r="B367" s="1685"/>
      <c r="C367" s="1685"/>
      <c r="D367" s="1685"/>
      <c r="E367" s="1685"/>
      <c r="F367" s="1685"/>
      <c r="G367" s="1731"/>
      <c r="H367" s="1701" t="str">
        <f>IF(rng02_Comm_Income_Type1_NoOfUnits="","",rng02_Comm_Income_Type1_NoOfUnits)</f>
        <v/>
      </c>
      <c r="I367" s="1701"/>
      <c r="J367" s="1701"/>
      <c r="K367" s="1701">
        <v>0</v>
      </c>
      <c r="L367" s="1685"/>
      <c r="M367" s="1685"/>
      <c r="N367" s="1685"/>
      <c r="O367" s="1685"/>
      <c r="P367" s="1685"/>
      <c r="Q367" s="1685"/>
      <c r="R367" s="1685"/>
      <c r="S367" s="1685"/>
      <c r="T367" s="1685"/>
      <c r="U367" s="1685"/>
      <c r="V367" s="1685"/>
      <c r="W367" s="1685"/>
      <c r="X367" s="1685"/>
      <c r="Y367" s="1685"/>
      <c r="Z367" s="1685"/>
      <c r="AA367" s="1685"/>
      <c r="AB367" s="1685"/>
      <c r="AC367" s="1685"/>
      <c r="AD367" s="2069"/>
      <c r="AE367" s="2073"/>
      <c r="AF367" s="1685"/>
      <c r="AG367" s="1685"/>
      <c r="AM367" s="1702" t="str">
        <f t="shared" ref="AM367:AM378" si="76">IF(TCATrigger="No","",IF(G367="","",G367))</f>
        <v/>
      </c>
      <c r="AN367" s="1702" t="str">
        <f t="shared" ref="AN367:AN378" si="77">IF(TCATrigger="No","",IF(H367="","",H367))</f>
        <v/>
      </c>
      <c r="AO367" s="1702" t="str">
        <f t="shared" ref="AO367:AO378" si="78">IF(TCATrigger="No","",IF(I367="","",I367))</f>
        <v/>
      </c>
      <c r="AP367" s="1702" t="str">
        <f t="shared" ref="AP367:AP378" si="79">IF(TCATrigger="No","",IF(J367="","",J367))</f>
        <v/>
      </c>
      <c r="AQ367" s="1702" t="str">
        <f t="shared" ref="AQ367:AQ378" si="80">IF(TCATrigger="No","",IF(K367="","",K367))</f>
        <v/>
      </c>
      <c r="BQ367" s="1685"/>
      <c r="BW367" s="1702" t="str">
        <f t="shared" ref="BW367:BW378" si="81">IF(TCATrigger="No","",IF(AQ367="","",AQ367))</f>
        <v/>
      </c>
    </row>
    <row r="368" spans="1:75" ht="15">
      <c r="A368" s="1685"/>
      <c r="B368" s="1685"/>
      <c r="C368" s="1685"/>
      <c r="D368" s="1685"/>
      <c r="E368" s="1685"/>
      <c r="F368" s="1685"/>
      <c r="G368" s="1701"/>
      <c r="H368" s="1701" t="str">
        <f>IF(rng02_Comm_Income_Type2_NoOfUnits="","",rng02_Comm_Income_Type2_NoOfUnits)</f>
        <v/>
      </c>
      <c r="I368" s="1701"/>
      <c r="J368" s="1701"/>
      <c r="K368" s="1701">
        <v>0</v>
      </c>
      <c r="L368" s="1685"/>
      <c r="M368" s="1685"/>
      <c r="N368" s="1685"/>
      <c r="O368" s="1685"/>
      <c r="P368" s="1685"/>
      <c r="Q368" s="1685"/>
      <c r="R368" s="1685"/>
      <c r="S368" s="1685"/>
      <c r="T368" s="1685"/>
      <c r="U368" s="1685"/>
      <c r="V368" s="1685"/>
      <c r="W368" s="1685"/>
      <c r="X368" s="1685"/>
      <c r="Y368" s="1685"/>
      <c r="Z368" s="1685"/>
      <c r="AA368" s="1685"/>
      <c r="AB368" s="1685"/>
      <c r="AC368" s="1685"/>
      <c r="AD368" s="2069"/>
      <c r="AE368" s="2073"/>
      <c r="AF368" s="1685"/>
      <c r="AG368" s="1685"/>
      <c r="AM368" s="1702" t="str">
        <f t="shared" si="76"/>
        <v/>
      </c>
      <c r="AN368" s="1702" t="str">
        <f t="shared" si="77"/>
        <v/>
      </c>
      <c r="AO368" s="1702" t="str">
        <f t="shared" si="78"/>
        <v/>
      </c>
      <c r="AP368" s="1702" t="str">
        <f t="shared" si="79"/>
        <v/>
      </c>
      <c r="AQ368" s="1702" t="str">
        <f t="shared" si="80"/>
        <v/>
      </c>
      <c r="BQ368" s="1685"/>
      <c r="BW368" s="1702" t="str">
        <f t="shared" si="81"/>
        <v/>
      </c>
    </row>
    <row r="369" spans="1:75" ht="15">
      <c r="A369" s="1685"/>
      <c r="B369" s="1685"/>
      <c r="C369" s="1685"/>
      <c r="D369" s="1685"/>
      <c r="E369" s="1685"/>
      <c r="F369" s="1685"/>
      <c r="G369" s="1701"/>
      <c r="H369" s="1701" t="str">
        <f>IF(rng02_Comm_Income_Type3_NoOfUnits="","",rng02_Comm_Income_Type3_NoOfUnits)</f>
        <v/>
      </c>
      <c r="I369" s="1701"/>
      <c r="J369" s="1701"/>
      <c r="K369" s="1701">
        <v>0</v>
      </c>
      <c r="L369" s="1685"/>
      <c r="M369" s="1685"/>
      <c r="N369" s="1685"/>
      <c r="O369" s="1685"/>
      <c r="P369" s="1685"/>
      <c r="Q369" s="1685"/>
      <c r="R369" s="1685"/>
      <c r="S369" s="1685"/>
      <c r="T369" s="1685"/>
      <c r="U369" s="1685"/>
      <c r="V369" s="1685"/>
      <c r="W369" s="1685"/>
      <c r="X369" s="1685"/>
      <c r="Y369" s="1685"/>
      <c r="Z369" s="1685"/>
      <c r="AA369" s="1685"/>
      <c r="AB369" s="1685"/>
      <c r="AC369" s="1685"/>
      <c r="AD369" s="2069"/>
      <c r="AE369" s="2073"/>
      <c r="AF369" s="1685"/>
      <c r="AG369" s="1685"/>
      <c r="AM369" s="1702" t="str">
        <f t="shared" si="76"/>
        <v/>
      </c>
      <c r="AN369" s="1702" t="str">
        <f t="shared" si="77"/>
        <v/>
      </c>
      <c r="AO369" s="1702" t="str">
        <f t="shared" si="78"/>
        <v/>
      </c>
      <c r="AP369" s="1702" t="str">
        <f t="shared" si="79"/>
        <v/>
      </c>
      <c r="AQ369" s="1702" t="str">
        <f t="shared" si="80"/>
        <v/>
      </c>
      <c r="BQ369" s="1685"/>
      <c r="BW369" s="1702" t="str">
        <f t="shared" si="81"/>
        <v/>
      </c>
    </row>
    <row r="370" spans="1:75" ht="15">
      <c r="A370" s="1685"/>
      <c r="B370" s="1685"/>
      <c r="C370" s="1685"/>
      <c r="D370" s="1685"/>
      <c r="E370" s="1685"/>
      <c r="F370" s="1685"/>
      <c r="G370" s="1701"/>
      <c r="H370" s="1701" t="str">
        <f>IF(rng02_Comm_Income_Type4_NoOfUnits="","",rng02_Comm_Income_Type4_NoOfUnits)</f>
        <v/>
      </c>
      <c r="I370" s="1701"/>
      <c r="J370" s="1701"/>
      <c r="K370" s="1701">
        <v>0</v>
      </c>
      <c r="L370" s="1685"/>
      <c r="M370" s="1685"/>
      <c r="N370" s="1685"/>
      <c r="O370" s="1685"/>
      <c r="P370" s="1685"/>
      <c r="Q370" s="1685"/>
      <c r="R370" s="1685"/>
      <c r="S370" s="1685"/>
      <c r="T370" s="1685"/>
      <c r="U370" s="1685"/>
      <c r="V370" s="1685"/>
      <c r="W370" s="1685"/>
      <c r="X370" s="1685"/>
      <c r="Y370" s="1685"/>
      <c r="Z370" s="1685"/>
      <c r="AA370" s="1685"/>
      <c r="AB370" s="1685"/>
      <c r="AC370" s="1685"/>
      <c r="AD370" s="2069"/>
      <c r="AE370" s="2073"/>
      <c r="AF370" s="1685"/>
      <c r="AG370" s="1685"/>
      <c r="AM370" s="1702" t="str">
        <f t="shared" si="76"/>
        <v/>
      </c>
      <c r="AN370" s="1702" t="str">
        <f t="shared" si="77"/>
        <v/>
      </c>
      <c r="AO370" s="1702" t="str">
        <f t="shared" si="78"/>
        <v/>
      </c>
      <c r="AP370" s="1702" t="str">
        <f t="shared" si="79"/>
        <v/>
      </c>
      <c r="AQ370" s="1702" t="str">
        <f t="shared" si="80"/>
        <v/>
      </c>
      <c r="BQ370" s="1685"/>
      <c r="BW370" s="1702" t="str">
        <f t="shared" si="81"/>
        <v/>
      </c>
    </row>
    <row r="371" spans="1:75" ht="15">
      <c r="A371" s="1685"/>
      <c r="B371" s="1685"/>
      <c r="C371" s="1685"/>
      <c r="D371" s="1685"/>
      <c r="E371" s="1685"/>
      <c r="F371" s="1685"/>
      <c r="G371" s="1701"/>
      <c r="H371" s="1701" t="str">
        <f>IF(rng02_Comm_Income_Type5_NoOfUnits="","",rng02_Comm_Income_Type5_NoOfUnits)</f>
        <v/>
      </c>
      <c r="I371" s="1701"/>
      <c r="J371" s="1701"/>
      <c r="K371" s="1701">
        <v>0</v>
      </c>
      <c r="L371" s="1685"/>
      <c r="M371" s="1685"/>
      <c r="N371" s="1685"/>
      <c r="O371" s="1685"/>
      <c r="P371" s="1685"/>
      <c r="Q371" s="1685"/>
      <c r="R371" s="1685"/>
      <c r="S371" s="1685"/>
      <c r="T371" s="1685"/>
      <c r="U371" s="1685"/>
      <c r="V371" s="1685"/>
      <c r="W371" s="1685"/>
      <c r="X371" s="1685"/>
      <c r="Y371" s="1685"/>
      <c r="Z371" s="1685"/>
      <c r="AA371" s="1685"/>
      <c r="AB371" s="1685"/>
      <c r="AC371" s="1685"/>
      <c r="AD371" s="2069"/>
      <c r="AE371" s="2073"/>
      <c r="AF371" s="1685"/>
      <c r="AG371" s="1685"/>
      <c r="AM371" s="1702" t="str">
        <f t="shared" si="76"/>
        <v/>
      </c>
      <c r="AN371" s="1702" t="str">
        <f t="shared" si="77"/>
        <v/>
      </c>
      <c r="AO371" s="1702" t="str">
        <f t="shared" si="78"/>
        <v/>
      </c>
      <c r="AP371" s="1702" t="str">
        <f t="shared" si="79"/>
        <v/>
      </c>
      <c r="AQ371" s="1702" t="str">
        <f t="shared" si="80"/>
        <v/>
      </c>
      <c r="BQ371" s="1685"/>
      <c r="BW371" s="1702" t="str">
        <f t="shared" si="81"/>
        <v/>
      </c>
    </row>
    <row r="372" spans="1:75" ht="15">
      <c r="A372" s="1685"/>
      <c r="B372" s="1685"/>
      <c r="C372" s="1685"/>
      <c r="D372" s="1685"/>
      <c r="E372" s="1685"/>
      <c r="F372" s="1685"/>
      <c r="G372" s="1701"/>
      <c r="H372" s="1701" t="str">
        <f>IF(rng02_Comm_Income_Type6_NoOfUnits="","",rng02_Comm_Income_Type6_NoOfUnits)</f>
        <v/>
      </c>
      <c r="I372" s="1701"/>
      <c r="J372" s="1701"/>
      <c r="K372" s="1701">
        <v>0</v>
      </c>
      <c r="L372" s="1685"/>
      <c r="M372" s="1685"/>
      <c r="N372" s="1685"/>
      <c r="O372" s="1685"/>
      <c r="P372" s="1685"/>
      <c r="Q372" s="1685"/>
      <c r="R372" s="1685"/>
      <c r="S372" s="1685"/>
      <c r="T372" s="1685"/>
      <c r="U372" s="1685"/>
      <c r="V372" s="1685"/>
      <c r="W372" s="1685"/>
      <c r="X372" s="1685"/>
      <c r="Y372" s="1685"/>
      <c r="Z372" s="1685"/>
      <c r="AA372" s="1685"/>
      <c r="AB372" s="1685"/>
      <c r="AC372" s="1685"/>
      <c r="AD372" s="2069"/>
      <c r="AE372" s="2073"/>
      <c r="AF372" s="1685"/>
      <c r="AG372" s="1685"/>
      <c r="AM372" s="1702" t="str">
        <f t="shared" si="76"/>
        <v/>
      </c>
      <c r="AN372" s="1702" t="str">
        <f t="shared" si="77"/>
        <v/>
      </c>
      <c r="AO372" s="1702" t="str">
        <f t="shared" si="78"/>
        <v/>
      </c>
      <c r="AP372" s="1702" t="str">
        <f t="shared" si="79"/>
        <v/>
      </c>
      <c r="AQ372" s="1702" t="str">
        <f t="shared" si="80"/>
        <v/>
      </c>
      <c r="BQ372" s="1685"/>
      <c r="BW372" s="1702" t="str">
        <f t="shared" si="81"/>
        <v/>
      </c>
    </row>
    <row r="373" spans="1:75" ht="15">
      <c r="A373" s="1685"/>
      <c r="B373" s="1685"/>
      <c r="C373" s="1685"/>
      <c r="D373" s="1685"/>
      <c r="E373" s="1685"/>
      <c r="F373" s="1685"/>
      <c r="G373" s="1701"/>
      <c r="H373" s="1701" t="str">
        <f>IF(rng02_Comm_Income_Type7_NoOfUnits="","",rng02_Comm_Income_Type7_NoOfUnits)</f>
        <v/>
      </c>
      <c r="I373" s="1701"/>
      <c r="J373" s="1701"/>
      <c r="K373" s="1701">
        <v>0</v>
      </c>
      <c r="L373" s="1685"/>
      <c r="M373" s="1685"/>
      <c r="N373" s="1685"/>
      <c r="O373" s="1685"/>
      <c r="P373" s="1685"/>
      <c r="Q373" s="1685"/>
      <c r="R373" s="1685"/>
      <c r="S373" s="1685"/>
      <c r="T373" s="1685"/>
      <c r="U373" s="1685"/>
      <c r="V373" s="1685"/>
      <c r="W373" s="1685"/>
      <c r="X373" s="1685"/>
      <c r="Y373" s="1685"/>
      <c r="Z373" s="1685"/>
      <c r="AA373" s="1685"/>
      <c r="AB373" s="1685"/>
      <c r="AC373" s="1685"/>
      <c r="AD373" s="2069"/>
      <c r="AE373" s="2073"/>
      <c r="AF373" s="1685"/>
      <c r="AG373" s="1685"/>
      <c r="AM373" s="1702" t="str">
        <f t="shared" si="76"/>
        <v/>
      </c>
      <c r="AN373" s="1702" t="str">
        <f t="shared" si="77"/>
        <v/>
      </c>
      <c r="AO373" s="1702" t="str">
        <f t="shared" si="78"/>
        <v/>
      </c>
      <c r="AP373" s="1702" t="str">
        <f t="shared" si="79"/>
        <v/>
      </c>
      <c r="AQ373" s="1702" t="str">
        <f t="shared" si="80"/>
        <v/>
      </c>
      <c r="BQ373" s="1685"/>
      <c r="BW373" s="1702" t="str">
        <f t="shared" si="81"/>
        <v/>
      </c>
    </row>
    <row r="374" spans="1:75" ht="15">
      <c r="A374" s="1685"/>
      <c r="B374" s="1685"/>
      <c r="C374" s="1685"/>
      <c r="D374" s="1685"/>
      <c r="E374" s="1685"/>
      <c r="F374" s="1685"/>
      <c r="G374" s="1701"/>
      <c r="H374" s="1701" t="str">
        <f>IF(rng02_Comm_Income_Type8_NoOfUnits="","",rng02_Comm_Income_Type8_NoOfUnits)</f>
        <v/>
      </c>
      <c r="I374" s="1701"/>
      <c r="J374" s="1701"/>
      <c r="K374" s="1701">
        <v>0</v>
      </c>
      <c r="L374" s="1685"/>
      <c r="M374" s="1685"/>
      <c r="N374" s="1685"/>
      <c r="O374" s="1685"/>
      <c r="P374" s="1685"/>
      <c r="Q374" s="1685"/>
      <c r="R374" s="1685"/>
      <c r="S374" s="1685"/>
      <c r="T374" s="1685"/>
      <c r="U374" s="1685"/>
      <c r="V374" s="1685"/>
      <c r="W374" s="1685"/>
      <c r="X374" s="1685"/>
      <c r="Y374" s="1685"/>
      <c r="Z374" s="1685"/>
      <c r="AA374" s="1685"/>
      <c r="AB374" s="1685"/>
      <c r="AC374" s="1685"/>
      <c r="AD374" s="2069"/>
      <c r="AE374" s="2073"/>
      <c r="AF374" s="1685"/>
      <c r="AG374" s="1685"/>
      <c r="AM374" s="1702" t="str">
        <f t="shared" si="76"/>
        <v/>
      </c>
      <c r="AN374" s="1702" t="str">
        <f t="shared" si="77"/>
        <v/>
      </c>
      <c r="AO374" s="1702" t="str">
        <f t="shared" si="78"/>
        <v/>
      </c>
      <c r="AP374" s="1702" t="str">
        <f t="shared" si="79"/>
        <v/>
      </c>
      <c r="AQ374" s="1702" t="str">
        <f t="shared" si="80"/>
        <v/>
      </c>
      <c r="BQ374" s="1685"/>
      <c r="BW374" s="1702" t="str">
        <f t="shared" si="81"/>
        <v/>
      </c>
    </row>
    <row r="375" spans="1:75" ht="15">
      <c r="A375" s="1685"/>
      <c r="B375" s="1685"/>
      <c r="C375" s="1685"/>
      <c r="D375" s="1685"/>
      <c r="E375" s="1685"/>
      <c r="F375" s="1685"/>
      <c r="G375" s="1701"/>
      <c r="H375" s="1701" t="str">
        <f>IF(rng02_Comm_Income_Type9_NoOfUnits="","",rng02_Comm_Income_Type9_NoOfUnits)</f>
        <v/>
      </c>
      <c r="I375" s="1701"/>
      <c r="J375" s="1701"/>
      <c r="K375" s="1701">
        <v>0</v>
      </c>
      <c r="L375" s="1685"/>
      <c r="M375" s="1685"/>
      <c r="N375" s="1685"/>
      <c r="O375" s="1685"/>
      <c r="P375" s="1685"/>
      <c r="Q375" s="1685"/>
      <c r="R375" s="1685"/>
      <c r="S375" s="1685"/>
      <c r="T375" s="1685"/>
      <c r="U375" s="1685"/>
      <c r="V375" s="1685"/>
      <c r="W375" s="1685"/>
      <c r="X375" s="1685"/>
      <c r="Y375" s="1685"/>
      <c r="Z375" s="1685"/>
      <c r="AA375" s="1685"/>
      <c r="AB375" s="1685"/>
      <c r="AC375" s="1685"/>
      <c r="AD375" s="2069"/>
      <c r="AE375" s="2073"/>
      <c r="AF375" s="1685"/>
      <c r="AG375" s="1685"/>
      <c r="AM375" s="1702" t="str">
        <f t="shared" si="76"/>
        <v/>
      </c>
      <c r="AN375" s="1702" t="str">
        <f t="shared" si="77"/>
        <v/>
      </c>
      <c r="AO375" s="1702" t="str">
        <f t="shared" si="78"/>
        <v/>
      </c>
      <c r="AP375" s="1702" t="str">
        <f t="shared" si="79"/>
        <v/>
      </c>
      <c r="AQ375" s="1702" t="str">
        <f t="shared" si="80"/>
        <v/>
      </c>
      <c r="BQ375" s="1685"/>
      <c r="BW375" s="1702" t="str">
        <f t="shared" si="81"/>
        <v/>
      </c>
    </row>
    <row r="376" spans="1:75" ht="15">
      <c r="A376" s="1685"/>
      <c r="B376" s="1685"/>
      <c r="C376" s="1685"/>
      <c r="D376" s="1685"/>
      <c r="E376" s="1685"/>
      <c r="F376" s="1685"/>
      <c r="G376" s="1701"/>
      <c r="H376" s="1701" t="str">
        <f>IF(rng02_Comm_Income_Type10_NoOfUnits="","",rng02_Comm_Income_Type10_NoOfUnits)</f>
        <v/>
      </c>
      <c r="I376" s="1701"/>
      <c r="J376" s="1701"/>
      <c r="K376" s="1701">
        <v>0</v>
      </c>
      <c r="L376" s="1685"/>
      <c r="M376" s="1685"/>
      <c r="N376" s="1685"/>
      <c r="O376" s="1685"/>
      <c r="P376" s="1685"/>
      <c r="Q376" s="1685"/>
      <c r="R376" s="1685"/>
      <c r="S376" s="1685"/>
      <c r="T376" s="1685"/>
      <c r="U376" s="1685"/>
      <c r="V376" s="1685"/>
      <c r="W376" s="1685"/>
      <c r="X376" s="1685"/>
      <c r="Y376" s="1685"/>
      <c r="Z376" s="1685"/>
      <c r="AA376" s="1685"/>
      <c r="AB376" s="1685"/>
      <c r="AC376" s="1685"/>
      <c r="AD376" s="2069"/>
      <c r="AE376" s="2073"/>
      <c r="AF376" s="1685"/>
      <c r="AG376" s="1685"/>
      <c r="AM376" s="1702" t="str">
        <f t="shared" si="76"/>
        <v/>
      </c>
      <c r="AN376" s="1702" t="str">
        <f t="shared" si="77"/>
        <v/>
      </c>
      <c r="AO376" s="1702" t="str">
        <f t="shared" si="78"/>
        <v/>
      </c>
      <c r="AP376" s="1702" t="str">
        <f t="shared" si="79"/>
        <v/>
      </c>
      <c r="AQ376" s="1702" t="str">
        <f t="shared" si="80"/>
        <v/>
      </c>
      <c r="BQ376" s="1685"/>
      <c r="BW376" s="1702" t="str">
        <f t="shared" si="81"/>
        <v/>
      </c>
    </row>
    <row r="377" spans="1:75" ht="15">
      <c r="A377" s="1685"/>
      <c r="B377" s="1685"/>
      <c r="C377" s="1685"/>
      <c r="D377" s="1685"/>
      <c r="E377" s="1685"/>
      <c r="F377" s="1685"/>
      <c r="G377" s="1701"/>
      <c r="H377" s="1701" t="str">
        <f>IF(rng02_Comm_Income_Type11_NoOfUnits="","",rng02_Comm_Income_Type11_NoOfUnits)</f>
        <v/>
      </c>
      <c r="I377" s="1701"/>
      <c r="J377" s="1701"/>
      <c r="K377" s="1701">
        <v>0</v>
      </c>
      <c r="L377" s="1685"/>
      <c r="M377" s="1685"/>
      <c r="N377" s="1685"/>
      <c r="O377" s="1685"/>
      <c r="P377" s="1685"/>
      <c r="Q377" s="1685"/>
      <c r="R377" s="1685"/>
      <c r="S377" s="1685"/>
      <c r="T377" s="1685"/>
      <c r="U377" s="1685"/>
      <c r="V377" s="1685"/>
      <c r="W377" s="1685"/>
      <c r="X377" s="1685"/>
      <c r="Y377" s="1685"/>
      <c r="Z377" s="1685"/>
      <c r="AA377" s="1685"/>
      <c r="AB377" s="1685"/>
      <c r="AC377" s="1685"/>
      <c r="AD377" s="2069"/>
      <c r="AE377" s="2073"/>
      <c r="AF377" s="1685"/>
      <c r="AG377" s="1685"/>
      <c r="AM377" s="1702" t="str">
        <f t="shared" si="76"/>
        <v/>
      </c>
      <c r="AN377" s="1702" t="str">
        <f t="shared" si="77"/>
        <v/>
      </c>
      <c r="AO377" s="1702" t="str">
        <f t="shared" si="78"/>
        <v/>
      </c>
      <c r="AP377" s="1702" t="str">
        <f t="shared" si="79"/>
        <v/>
      </c>
      <c r="AQ377" s="1702" t="str">
        <f t="shared" si="80"/>
        <v/>
      </c>
      <c r="BQ377" s="1685"/>
      <c r="BW377" s="1702" t="str">
        <f t="shared" si="81"/>
        <v/>
      </c>
    </row>
    <row r="378" spans="1:75" ht="15">
      <c r="A378" s="1685"/>
      <c r="B378" s="1685"/>
      <c r="C378" s="1685"/>
      <c r="D378" s="1685"/>
      <c r="E378" s="1685"/>
      <c r="F378" s="1685"/>
      <c r="G378" s="1740"/>
      <c r="H378" s="1701" t="str">
        <f>IF(rng02_Comm_Income_Type12_NoOfUnits="","",rng02_Comm_Income_Type12_NoOfUnits)</f>
        <v/>
      </c>
      <c r="I378" s="1701"/>
      <c r="J378" s="1701"/>
      <c r="K378" s="1701">
        <v>0</v>
      </c>
      <c r="L378" s="1685"/>
      <c r="M378" s="1685"/>
      <c r="N378" s="1685"/>
      <c r="O378" s="1685"/>
      <c r="P378" s="1685"/>
      <c r="Q378" s="1685"/>
      <c r="R378" s="1685"/>
      <c r="S378" s="1685"/>
      <c r="T378" s="1685"/>
      <c r="U378" s="1685"/>
      <c r="V378" s="1685"/>
      <c r="W378" s="1685"/>
      <c r="X378" s="1685"/>
      <c r="Y378" s="1685"/>
      <c r="Z378" s="1685"/>
      <c r="AA378" s="1685"/>
      <c r="AB378" s="1685"/>
      <c r="AC378" s="1685"/>
      <c r="AD378" s="2069"/>
      <c r="AE378" s="2073"/>
      <c r="AF378" s="1685"/>
      <c r="AG378" s="1685"/>
      <c r="AM378" s="1702" t="str">
        <f t="shared" si="76"/>
        <v/>
      </c>
      <c r="AN378" s="1702" t="str">
        <f t="shared" si="77"/>
        <v/>
      </c>
      <c r="AO378" s="1702" t="str">
        <f t="shared" si="78"/>
        <v/>
      </c>
      <c r="AP378" s="1702" t="str">
        <f t="shared" si="79"/>
        <v/>
      </c>
      <c r="AQ378" s="1702" t="str">
        <f t="shared" si="80"/>
        <v/>
      </c>
      <c r="BQ378" s="1685"/>
      <c r="BW378" s="1702" t="str">
        <f t="shared" si="81"/>
        <v/>
      </c>
    </row>
    <row r="379" spans="1:75" ht="15">
      <c r="A379" s="1685"/>
      <c r="B379" s="1685"/>
      <c r="C379" s="1685"/>
      <c r="D379" s="1685"/>
      <c r="E379" s="1685"/>
      <c r="F379" s="1685"/>
      <c r="G379" s="1701" t="s">
        <v>1030</v>
      </c>
      <c r="H379" s="1701">
        <v>0</v>
      </c>
      <c r="I379" s="1701">
        <v>0</v>
      </c>
      <c r="J379" s="1701" t="s">
        <v>1085</v>
      </c>
      <c r="K379" s="1701">
        <v>0</v>
      </c>
      <c r="L379" s="1685"/>
      <c r="M379" s="1685"/>
      <c r="N379" s="1685"/>
      <c r="O379" s="1685"/>
      <c r="P379" s="1685"/>
      <c r="Q379" s="1685"/>
      <c r="R379" s="1685"/>
      <c r="S379" s="1685"/>
      <c r="T379" s="1685"/>
      <c r="U379" s="1685"/>
      <c r="V379" s="1685"/>
      <c r="W379" s="1685"/>
      <c r="X379" s="1685"/>
      <c r="Y379" s="1685"/>
      <c r="Z379" s="1685"/>
      <c r="AA379" s="1685"/>
      <c r="AB379" s="1685"/>
      <c r="AC379" s="1685"/>
      <c r="AD379" s="2069"/>
      <c r="AE379" s="2073"/>
      <c r="AF379" s="1685"/>
      <c r="AG379" s="1685"/>
      <c r="AM379" s="1702" t="s">
        <v>1030</v>
      </c>
      <c r="AN379" s="1702">
        <v>0</v>
      </c>
      <c r="AO379" s="1702">
        <v>0</v>
      </c>
      <c r="AP379" s="1702" t="s">
        <v>1085</v>
      </c>
      <c r="AQ379" s="1702">
        <v>0</v>
      </c>
      <c r="BQ379" s="1685"/>
      <c r="BW379" s="1702" t="s">
        <v>1030</v>
      </c>
    </row>
    <row r="380" spans="1:75" ht="15">
      <c r="A380" s="1685"/>
      <c r="B380" s="1685"/>
      <c r="C380" s="1685"/>
      <c r="D380" s="1685"/>
      <c r="E380" s="1685"/>
      <c r="F380" s="1685"/>
      <c r="G380" s="1701" t="s">
        <v>1086</v>
      </c>
      <c r="H380" s="1701"/>
      <c r="I380" s="1701"/>
      <c r="J380" s="1701"/>
      <c r="K380" s="1701">
        <v>0</v>
      </c>
      <c r="L380" s="1685"/>
      <c r="M380" s="1685"/>
      <c r="N380" s="1685"/>
      <c r="O380" s="1685"/>
      <c r="P380" s="1685"/>
      <c r="Q380" s="1685"/>
      <c r="R380" s="1685"/>
      <c r="S380" s="1685"/>
      <c r="T380" s="1685"/>
      <c r="U380" s="1685"/>
      <c r="V380" s="1685"/>
      <c r="W380" s="1685"/>
      <c r="X380" s="1685"/>
      <c r="Y380" s="1685"/>
      <c r="Z380" s="1685"/>
      <c r="AA380" s="1685"/>
      <c r="AB380" s="1685"/>
      <c r="AC380" s="1685"/>
      <c r="AD380" s="2069"/>
      <c r="AE380" s="2073"/>
      <c r="AF380" s="1685"/>
      <c r="AG380" s="1685"/>
      <c r="AM380" s="1702" t="s">
        <v>1086</v>
      </c>
      <c r="AN380" s="1702"/>
      <c r="AO380" s="1702"/>
      <c r="AP380" s="1702"/>
      <c r="AQ380" s="1702">
        <v>0</v>
      </c>
      <c r="BQ380" s="1685"/>
      <c r="BW380" s="1702" t="s">
        <v>1086</v>
      </c>
    </row>
    <row r="381" spans="1:75" ht="15">
      <c r="A381" s="1685"/>
      <c r="B381" s="1685"/>
      <c r="C381" s="1685"/>
      <c r="D381" s="1685"/>
      <c r="E381" s="1685"/>
      <c r="F381" s="1685"/>
      <c r="G381" s="1701" t="s">
        <v>1073</v>
      </c>
      <c r="H381" s="1701"/>
      <c r="I381" s="1701"/>
      <c r="J381" s="1701"/>
      <c r="K381" s="1701">
        <v>0</v>
      </c>
      <c r="L381" s="1685"/>
      <c r="M381" s="1685"/>
      <c r="N381" s="1685"/>
      <c r="O381" s="1685"/>
      <c r="P381" s="1685"/>
      <c r="Q381" s="1685"/>
      <c r="R381" s="1685"/>
      <c r="S381" s="1685"/>
      <c r="T381" s="1685"/>
      <c r="U381" s="1685"/>
      <c r="V381" s="1685"/>
      <c r="W381" s="1685"/>
      <c r="X381" s="1685"/>
      <c r="Y381" s="1685"/>
      <c r="Z381" s="1685"/>
      <c r="AA381" s="1685"/>
      <c r="AB381" s="1685"/>
      <c r="AC381" s="1685"/>
      <c r="AD381" s="2069"/>
      <c r="AE381" s="2073"/>
      <c r="AF381" s="1685"/>
      <c r="AG381" s="1685"/>
      <c r="AM381" s="1702" t="s">
        <v>1073</v>
      </c>
      <c r="AN381" s="1702"/>
      <c r="AO381" s="1702"/>
      <c r="AP381" s="1702"/>
      <c r="AQ381" s="1702">
        <v>0</v>
      </c>
      <c r="BQ381" s="1685"/>
      <c r="BW381" s="1702" t="s">
        <v>1073</v>
      </c>
    </row>
    <row r="382" spans="1:75" ht="15">
      <c r="A382" s="1685"/>
      <c r="B382" s="1685"/>
      <c r="C382" s="1685"/>
      <c r="D382" s="1685"/>
      <c r="E382" s="1685"/>
      <c r="F382" s="1685"/>
      <c r="G382" s="1685"/>
      <c r="H382" s="1685"/>
      <c r="I382" s="1685"/>
      <c r="J382" s="1685"/>
      <c r="K382" s="1685"/>
      <c r="L382" s="1685"/>
      <c r="M382" s="1685"/>
      <c r="N382" s="1685"/>
      <c r="O382" s="1685"/>
      <c r="P382" s="1685"/>
      <c r="Q382" s="1685"/>
      <c r="R382" s="1685"/>
      <c r="S382" s="1685"/>
      <c r="T382" s="1685"/>
      <c r="U382" s="1685"/>
      <c r="V382" s="1685"/>
      <c r="W382" s="1685"/>
      <c r="X382" s="1685"/>
      <c r="Y382" s="1685"/>
      <c r="Z382" s="1685"/>
      <c r="AA382" s="1685"/>
      <c r="AB382" s="1685"/>
      <c r="AC382" s="1685"/>
      <c r="AD382" s="2069"/>
      <c r="AE382" s="2073"/>
      <c r="AF382" s="1685"/>
      <c r="AG382" s="1685"/>
      <c r="BQ382" s="1685"/>
    </row>
    <row r="383" spans="1:75" ht="15">
      <c r="A383" s="1685"/>
      <c r="B383" s="1685"/>
      <c r="C383" s="1685"/>
      <c r="D383" s="1685"/>
      <c r="E383" s="1685"/>
      <c r="F383" s="1685"/>
      <c r="G383" s="1685"/>
      <c r="H383" s="1685"/>
      <c r="I383" s="1685"/>
      <c r="J383" s="1685"/>
      <c r="K383" s="1685"/>
      <c r="L383" s="1685"/>
      <c r="M383" s="1685"/>
      <c r="N383" s="1685"/>
      <c r="O383" s="1685"/>
      <c r="P383" s="1685"/>
      <c r="Q383" s="1685"/>
      <c r="R383" s="1685"/>
      <c r="S383" s="1685"/>
      <c r="T383" s="1685"/>
      <c r="U383" s="1685"/>
      <c r="V383" s="1685"/>
      <c r="W383" s="1685"/>
      <c r="X383" s="1685"/>
      <c r="Y383" s="1685"/>
      <c r="Z383" s="1685"/>
      <c r="AA383" s="1685"/>
      <c r="AB383" s="1685"/>
      <c r="AC383" s="1685"/>
      <c r="AD383" s="2069"/>
      <c r="AE383" s="2073"/>
      <c r="AF383" s="1685"/>
      <c r="AG383" s="1685"/>
      <c r="BQ383" s="1685"/>
    </row>
    <row r="384" spans="1:75" ht="15">
      <c r="A384" s="1685" t="s">
        <v>1031</v>
      </c>
      <c r="B384" s="1685" t="s">
        <v>1032</v>
      </c>
      <c r="C384" s="1685"/>
      <c r="D384" s="1685"/>
      <c r="E384" s="1685"/>
      <c r="F384" s="1685"/>
      <c r="G384" s="1685" t="s">
        <v>1087</v>
      </c>
      <c r="H384" s="1685">
        <v>0</v>
      </c>
      <c r="I384" s="1685"/>
      <c r="J384" s="1685"/>
      <c r="K384" s="1685"/>
      <c r="L384" s="1685"/>
      <c r="M384" s="1685"/>
      <c r="N384" s="1685"/>
      <c r="O384" s="1685"/>
      <c r="P384" s="1685"/>
      <c r="Q384" s="1685"/>
      <c r="R384" s="1685"/>
      <c r="S384" s="1685"/>
      <c r="T384" s="1685"/>
      <c r="U384" s="1685"/>
      <c r="V384" s="1685"/>
      <c r="W384" s="1685"/>
      <c r="X384" s="1685"/>
      <c r="Y384" s="1685"/>
      <c r="Z384" s="1685"/>
      <c r="AA384" s="1685"/>
      <c r="AB384" s="1685"/>
      <c r="AC384" s="1685"/>
      <c r="AD384" s="2069"/>
      <c r="AE384" s="2073"/>
      <c r="AF384" s="1685"/>
      <c r="AG384" s="1685" t="s">
        <v>1031</v>
      </c>
      <c r="AH384" s="1677" t="s">
        <v>1032</v>
      </c>
      <c r="AM384" s="1677" t="s">
        <v>1087</v>
      </c>
      <c r="AN384" s="1677">
        <f>IF(TCATrigger="No",H384,"")</f>
        <v>0</v>
      </c>
      <c r="BQ384" s="1685" t="s">
        <v>1031</v>
      </c>
      <c r="BR384" s="1677" t="s">
        <v>1032</v>
      </c>
      <c r="BW384" s="1677" t="s">
        <v>1087</v>
      </c>
    </row>
    <row r="385" spans="1:75" ht="15">
      <c r="A385" s="1685"/>
      <c r="B385" s="1685"/>
      <c r="C385" s="1685"/>
      <c r="D385" s="1685"/>
      <c r="E385" s="1685"/>
      <c r="F385" s="1685"/>
      <c r="G385" s="1685" t="s">
        <v>1088</v>
      </c>
      <c r="H385" s="1685">
        <v>0</v>
      </c>
      <c r="I385" s="1685"/>
      <c r="J385" s="1685"/>
      <c r="K385" s="1685"/>
      <c r="L385" s="1685"/>
      <c r="M385" s="1685"/>
      <c r="N385" s="1685"/>
      <c r="O385" s="1685"/>
      <c r="P385" s="1685"/>
      <c r="Q385" s="1685"/>
      <c r="R385" s="1685"/>
      <c r="S385" s="1685"/>
      <c r="T385" s="1685"/>
      <c r="U385" s="1685"/>
      <c r="V385" s="1685"/>
      <c r="W385" s="1685"/>
      <c r="X385" s="1685"/>
      <c r="Y385" s="1685"/>
      <c r="Z385" s="1685"/>
      <c r="AA385" s="1685"/>
      <c r="AB385" s="1685"/>
      <c r="AC385" s="1685"/>
      <c r="AD385" s="2069"/>
      <c r="AE385" s="2073"/>
      <c r="AF385" s="1685"/>
      <c r="AG385" s="1685"/>
      <c r="AM385" s="1677" t="s">
        <v>1088</v>
      </c>
      <c r="AN385" s="1677">
        <f>IF(TCATrigger="No",H385,"")</f>
        <v>0</v>
      </c>
      <c r="BQ385" s="1685"/>
      <c r="BW385" s="1677" t="s">
        <v>1088</v>
      </c>
    </row>
    <row r="386" spans="1:75" ht="15">
      <c r="A386" s="1685"/>
      <c r="B386" s="1685"/>
      <c r="C386" s="1685"/>
      <c r="D386" s="1685"/>
      <c r="E386" s="1685"/>
      <c r="F386" s="1685"/>
      <c r="G386" s="1685"/>
      <c r="H386" s="1685"/>
      <c r="I386" s="1685"/>
      <c r="J386" s="1685"/>
      <c r="K386" s="1685"/>
      <c r="L386" s="1685"/>
      <c r="M386" s="1685"/>
      <c r="N386" s="1685"/>
      <c r="O386" s="1685"/>
      <c r="P386" s="1685"/>
      <c r="Q386" s="1685"/>
      <c r="R386" s="1685"/>
      <c r="S386" s="1685"/>
      <c r="T386" s="1685"/>
      <c r="U386" s="1685"/>
      <c r="V386" s="1685"/>
      <c r="W386" s="1685"/>
      <c r="X386" s="1685"/>
      <c r="Y386" s="1685"/>
      <c r="Z386" s="1685"/>
      <c r="AA386" s="1685"/>
      <c r="AB386" s="1685"/>
      <c r="AC386" s="1685"/>
      <c r="AD386" s="2069"/>
      <c r="AE386" s="2073"/>
      <c r="AF386" s="1685"/>
      <c r="AG386" s="1685"/>
      <c r="BQ386" s="1685"/>
    </row>
    <row r="387" spans="1:75" ht="15">
      <c r="A387" s="1685" t="s">
        <v>1031</v>
      </c>
      <c r="B387" s="1685" t="s">
        <v>1032</v>
      </c>
      <c r="C387" s="1685"/>
      <c r="D387" s="1685"/>
      <c r="E387" s="1685"/>
      <c r="F387" s="1685"/>
      <c r="G387" s="1685" t="s">
        <v>1089</v>
      </c>
      <c r="H387" s="1685">
        <v>0</v>
      </c>
      <c r="I387" s="1685"/>
      <c r="J387" s="1685"/>
      <c r="K387" s="1685"/>
      <c r="L387" s="1685"/>
      <c r="M387" s="1685"/>
      <c r="N387" s="1685"/>
      <c r="O387" s="1685"/>
      <c r="P387" s="1685"/>
      <c r="Q387" s="1685"/>
      <c r="R387" s="1685"/>
      <c r="S387" s="1685"/>
      <c r="T387" s="1685"/>
      <c r="U387" s="1685"/>
      <c r="V387" s="1685"/>
      <c r="W387" s="1685"/>
      <c r="X387" s="1685"/>
      <c r="Y387" s="1685"/>
      <c r="Z387" s="1685"/>
      <c r="AA387" s="1685"/>
      <c r="AB387" s="1685"/>
      <c r="AC387" s="1685"/>
      <c r="AD387" s="2069"/>
      <c r="AE387" s="2073"/>
      <c r="AF387" s="1685"/>
      <c r="AG387" s="1685" t="s">
        <v>1031</v>
      </c>
      <c r="AH387" s="1677" t="s">
        <v>1032</v>
      </c>
      <c r="AM387" s="1677" t="s">
        <v>1089</v>
      </c>
      <c r="AN387" s="1677">
        <f>IF(TCATrigger="No",H387,"")</f>
        <v>0</v>
      </c>
      <c r="BQ387" s="1685" t="s">
        <v>1031</v>
      </c>
      <c r="BR387" s="1677" t="s">
        <v>1032</v>
      </c>
      <c r="BW387" s="1677" t="s">
        <v>1089</v>
      </c>
    </row>
    <row r="388" spans="1:75" ht="15">
      <c r="A388" s="1685"/>
      <c r="B388" s="1685"/>
      <c r="C388" s="1685"/>
      <c r="D388" s="1685"/>
      <c r="E388" s="1685"/>
      <c r="F388" s="1685"/>
      <c r="G388" s="1685" t="s">
        <v>1090</v>
      </c>
      <c r="H388" s="1685">
        <v>0</v>
      </c>
      <c r="I388" s="1685"/>
      <c r="J388" s="1685"/>
      <c r="K388" s="1685"/>
      <c r="L388" s="1685"/>
      <c r="M388" s="1685"/>
      <c r="N388" s="1685"/>
      <c r="O388" s="1685"/>
      <c r="P388" s="1685"/>
      <c r="Q388" s="1685"/>
      <c r="R388" s="1685"/>
      <c r="S388" s="1685"/>
      <c r="T388" s="1685"/>
      <c r="U388" s="1685"/>
      <c r="V388" s="1685"/>
      <c r="W388" s="1685"/>
      <c r="X388" s="1685"/>
      <c r="Y388" s="1685"/>
      <c r="Z388" s="1685"/>
      <c r="AA388" s="1685"/>
      <c r="AB388" s="1685"/>
      <c r="AC388" s="1685"/>
      <c r="AD388" s="2069"/>
      <c r="AE388" s="2073"/>
      <c r="AF388" s="1685"/>
      <c r="AG388" s="1685"/>
      <c r="AM388" s="1677" t="s">
        <v>1090</v>
      </c>
      <c r="AN388" s="1677">
        <f>IF(TCATrigger="No",H388,"")</f>
        <v>0</v>
      </c>
      <c r="BQ388" s="1685"/>
      <c r="BW388" s="1677" t="s">
        <v>1090</v>
      </c>
    </row>
    <row r="389" spans="1:75" ht="15">
      <c r="A389" s="1685"/>
      <c r="B389" s="1685"/>
      <c r="C389" s="1685"/>
      <c r="D389" s="1685"/>
      <c r="E389" s="1685"/>
      <c r="F389" s="1685"/>
      <c r="G389" s="1685"/>
      <c r="H389" s="1685"/>
      <c r="I389" s="1685"/>
      <c r="J389" s="1685"/>
      <c r="K389" s="1685"/>
      <c r="L389" s="1685"/>
      <c r="M389" s="1685"/>
      <c r="N389" s="1685"/>
      <c r="O389" s="1685"/>
      <c r="P389" s="1685"/>
      <c r="Q389" s="1685"/>
      <c r="R389" s="1685"/>
      <c r="S389" s="1685"/>
      <c r="T389" s="1685"/>
      <c r="U389" s="1685"/>
      <c r="V389" s="1685"/>
      <c r="W389" s="1685"/>
      <c r="X389" s="1685"/>
      <c r="Y389" s="1685"/>
      <c r="Z389" s="1685"/>
      <c r="AA389" s="1685"/>
      <c r="AB389" s="1685"/>
      <c r="AC389" s="1685"/>
      <c r="AD389" s="2069"/>
      <c r="AE389" s="2073"/>
      <c r="AF389" s="1685"/>
      <c r="AG389" s="1685"/>
      <c r="BQ389" s="1685"/>
    </row>
    <row r="390" spans="1:75" ht="15">
      <c r="A390" s="1685"/>
      <c r="B390" s="1685"/>
      <c r="C390" s="1685"/>
      <c r="D390" s="1685"/>
      <c r="E390" s="1685"/>
      <c r="F390" s="1685"/>
      <c r="G390" s="1685"/>
      <c r="H390" s="1685"/>
      <c r="I390" s="1686"/>
      <c r="J390" s="1686"/>
      <c r="K390" s="1686"/>
      <c r="L390" s="1685"/>
      <c r="M390" s="1685"/>
      <c r="N390" s="1685"/>
      <c r="O390" s="1685"/>
      <c r="P390" s="1685"/>
      <c r="Q390" s="1685"/>
      <c r="R390" s="1685"/>
      <c r="S390" s="1685"/>
      <c r="T390" s="1685"/>
      <c r="U390" s="1685"/>
      <c r="V390" s="1685"/>
      <c r="W390" s="1685"/>
      <c r="X390" s="1685"/>
      <c r="Y390" s="1685"/>
      <c r="Z390" s="1685"/>
      <c r="AA390" s="1685"/>
      <c r="AB390" s="1685"/>
      <c r="AC390" s="1685"/>
      <c r="AD390" s="2069"/>
      <c r="AE390" s="2073"/>
      <c r="AF390" s="1685"/>
      <c r="AG390" s="1685"/>
      <c r="BQ390" s="1685"/>
    </row>
    <row r="391" spans="1:75" ht="15">
      <c r="A391" s="1685"/>
      <c r="B391" s="1685"/>
      <c r="C391" s="1685"/>
      <c r="D391" s="1685"/>
      <c r="E391" s="1685"/>
      <c r="F391" s="1685"/>
      <c r="G391" s="1686" t="s">
        <v>1091</v>
      </c>
      <c r="H391" s="1741" t="s">
        <v>1092</v>
      </c>
      <c r="I391" s="1685"/>
      <c r="J391" s="1685"/>
      <c r="K391" s="1685"/>
      <c r="L391" s="1685"/>
      <c r="M391" s="1685"/>
      <c r="N391" s="1685"/>
      <c r="O391" s="1685"/>
      <c r="P391" s="1685"/>
      <c r="Q391" s="1685"/>
      <c r="R391" s="1685"/>
      <c r="S391" s="1685"/>
      <c r="T391" s="1685"/>
      <c r="U391" s="1685"/>
      <c r="V391" s="1685"/>
      <c r="W391" s="1685"/>
      <c r="X391" s="1685"/>
      <c r="Y391" s="1685"/>
      <c r="Z391" s="1685"/>
      <c r="AA391" s="1685"/>
      <c r="AB391" s="1685"/>
      <c r="AC391" s="1685"/>
      <c r="AD391" s="2069"/>
      <c r="AE391" s="2073"/>
      <c r="AF391" s="1685"/>
      <c r="AG391" s="1685"/>
      <c r="BQ391" s="1685"/>
    </row>
    <row r="392" spans="1:75" ht="15">
      <c r="A392" s="1685" t="s">
        <v>1031</v>
      </c>
      <c r="B392" s="1685" t="s">
        <v>1032</v>
      </c>
      <c r="C392" s="1685" t="s">
        <v>1093</v>
      </c>
      <c r="D392" s="1685"/>
      <c r="E392" s="1685"/>
      <c r="F392" s="1685"/>
      <c r="G392" s="1701" t="s">
        <v>1093</v>
      </c>
      <c r="H392" s="1701"/>
      <c r="I392" s="1701"/>
      <c r="J392" s="1701"/>
      <c r="K392" s="1701"/>
      <c r="L392" s="1701"/>
      <c r="M392" s="1701"/>
      <c r="N392" s="1701"/>
      <c r="O392" s="1701"/>
      <c r="P392" s="1701"/>
      <c r="Q392" s="1685"/>
      <c r="R392" s="1685"/>
      <c r="S392" s="1685"/>
      <c r="T392" s="1685"/>
      <c r="U392" s="1685"/>
      <c r="V392" s="1685"/>
      <c r="W392" s="1685"/>
      <c r="X392" s="1685"/>
      <c r="Y392" s="1685"/>
      <c r="Z392" s="1685"/>
      <c r="AA392" s="1685"/>
      <c r="AB392" s="1685"/>
      <c r="AC392" s="1685"/>
      <c r="AD392" s="2069"/>
      <c r="AE392" s="2073"/>
      <c r="AF392" s="1685"/>
      <c r="AG392" s="1685" t="s">
        <v>1031</v>
      </c>
      <c r="AH392" s="1677" t="s">
        <v>1032</v>
      </c>
      <c r="AI392" s="1677" t="s">
        <v>1093</v>
      </c>
      <c r="AM392" s="1677" t="s">
        <v>1093</v>
      </c>
      <c r="BQ392" s="1685" t="s">
        <v>1031</v>
      </c>
      <c r="BR392" s="1677" t="s">
        <v>1032</v>
      </c>
      <c r="BS392" s="1677" t="s">
        <v>1093</v>
      </c>
      <c r="BW392" s="1677" t="s">
        <v>1093</v>
      </c>
    </row>
    <row r="393" spans="1:75" ht="15">
      <c r="A393" s="1685"/>
      <c r="B393" s="1685"/>
      <c r="C393" s="1685"/>
      <c r="D393" s="1685"/>
      <c r="E393" s="1685"/>
      <c r="F393" s="1685"/>
      <c r="G393" s="1701" t="s">
        <v>122</v>
      </c>
      <c r="H393" s="1701" t="s">
        <v>141</v>
      </c>
      <c r="I393" s="1701" t="s">
        <v>168</v>
      </c>
      <c r="J393" s="1701">
        <v>1</v>
      </c>
      <c r="K393" s="1701">
        <v>2</v>
      </c>
      <c r="L393" s="1701">
        <v>3</v>
      </c>
      <c r="M393" s="1701">
        <v>4</v>
      </c>
      <c r="N393" s="1701">
        <v>5</v>
      </c>
      <c r="O393" s="1701" t="s">
        <v>1094</v>
      </c>
      <c r="P393" s="1701" t="s">
        <v>1095</v>
      </c>
      <c r="Q393" s="1685"/>
      <c r="R393" s="1685"/>
      <c r="S393" s="1685"/>
      <c r="T393" s="1685"/>
      <c r="U393" s="1685"/>
      <c r="V393" s="1685"/>
      <c r="W393" s="1685"/>
      <c r="X393" s="1685"/>
      <c r="Y393" s="1685"/>
      <c r="Z393" s="1685"/>
      <c r="AA393" s="1685"/>
      <c r="AB393" s="1685"/>
      <c r="AC393" s="1685"/>
      <c r="AD393" s="2069"/>
      <c r="AE393" s="2073"/>
      <c r="AF393" s="1685"/>
      <c r="AG393" s="1685"/>
      <c r="AM393" s="1702" t="s">
        <v>122</v>
      </c>
      <c r="AN393" s="1702" t="s">
        <v>141</v>
      </c>
      <c r="AO393" s="1702" t="s">
        <v>168</v>
      </c>
      <c r="AP393" s="1702">
        <v>1</v>
      </c>
      <c r="AQ393" s="1702">
        <v>2</v>
      </c>
      <c r="AR393" s="1702">
        <v>3</v>
      </c>
      <c r="AS393" s="1702">
        <v>4</v>
      </c>
      <c r="AT393" s="1702">
        <v>5</v>
      </c>
      <c r="AU393" s="1702" t="s">
        <v>1094</v>
      </c>
      <c r="AV393" s="1702" t="s">
        <v>1095</v>
      </c>
      <c r="BQ393" s="1685"/>
      <c r="BW393" s="1702" t="s">
        <v>122</v>
      </c>
    </row>
    <row r="394" spans="1:75" ht="15">
      <c r="A394" s="1685"/>
      <c r="B394" s="1685"/>
      <c r="C394" s="1685"/>
      <c r="D394" s="1685"/>
      <c r="E394" s="1685"/>
      <c r="F394" s="1685"/>
      <c r="G394" s="1701" t="str">
        <f>IF(rng02_Utilities_Table_UtilType1="","",rng02_Utilities_Table_UtilType1)</f>
        <v/>
      </c>
      <c r="H394" s="1701" t="str">
        <f>IF(rng02_Utilities_Table_SRO1="","",rng02_Utilities_Table_SRO1)</f>
        <v/>
      </c>
      <c r="I394" s="1701" t="str">
        <f>IF(rng02_Utilities_Table_EFF1="","",rng02_Utilities_Table_EFF1)</f>
        <v/>
      </c>
      <c r="J394" s="1701" t="str">
        <f>IF(rng02_Utilities_Table_1_1BedUnit="","",rng02_Utilities_Table_1_1BedUnit)</f>
        <v/>
      </c>
      <c r="K394" s="1701" t="str">
        <f>IF(rng02_Utilities_Table_1_2BedUnit="","",rng02_Utilities_Table_1_2BedUnit)</f>
        <v/>
      </c>
      <c r="L394" s="1701" t="str">
        <f>IF(rng02_Utilities_Table_1_3BedUnit="","",rng02_Utilities_Table_1_3BedUnit)</f>
        <v/>
      </c>
      <c r="M394" s="1701" t="str">
        <f>IF(rng02_Utilities_Table_1_4BedUnit="","",rng02_Utilities_Table_1_4BedUnit)</f>
        <v/>
      </c>
      <c r="N394" s="1701" t="str">
        <f>IF(rng02_Utilities_Table_1_5BedUnit="","",rng02_Utilities_Table_1_5BedUnit)</f>
        <v/>
      </c>
      <c r="O394" s="1701" t="str">
        <f>IF(rng02_Utilities_Table_TenantPaid1="","",rng02_Utilities_Table_TenantPaid1)</f>
        <v/>
      </c>
      <c r="P394" s="1701" t="str">
        <f>IF(rng02_Utilities_Table_DataYear1="","",rng02_Utilities_Table_DataYear1)</f>
        <v/>
      </c>
      <c r="Q394" s="1685"/>
      <c r="R394" s="1685"/>
      <c r="S394" s="1685"/>
      <c r="T394" s="1685"/>
      <c r="U394" s="1685"/>
      <c r="V394" s="1685"/>
      <c r="W394" s="1685"/>
      <c r="X394" s="1685"/>
      <c r="Y394" s="1685"/>
      <c r="Z394" s="1685"/>
      <c r="AA394" s="1685"/>
      <c r="AB394" s="1685"/>
      <c r="AC394" s="1685"/>
      <c r="AD394" s="2069"/>
      <c r="AE394" s="2073"/>
      <c r="AF394" s="1685"/>
      <c r="AG394" s="1685"/>
      <c r="AM394" s="1702" t="str">
        <f t="shared" ref="AM394:AM404" si="82">IF(TCATrigger="No","",IF(G394="","",G394))</f>
        <v/>
      </c>
      <c r="AN394" s="1702" t="str">
        <f t="shared" ref="AN394:AN404" si="83">IF(TCATrigger="No","",IF(H394="","",H394))</f>
        <v/>
      </c>
      <c r="AO394" s="1702" t="str">
        <f t="shared" ref="AO394:AO404" si="84">IF(TCATrigger="No","",IF(I394="","",I394))</f>
        <v/>
      </c>
      <c r="AP394" s="1702" t="str">
        <f t="shared" ref="AP394:AP404" si="85">IF(TCATrigger="No","",IF(J394="","",J394))</f>
        <v/>
      </c>
      <c r="AQ394" s="1702" t="str">
        <f t="shared" ref="AQ394:AQ404" si="86">IF(TCATrigger="No","",IF(K394="","",K394))</f>
        <v/>
      </c>
      <c r="AR394" s="1702" t="str">
        <f t="shared" ref="AR394:AR404" si="87">IF(TCATrigger="No","",IF(L394="","",L394))</f>
        <v/>
      </c>
      <c r="AS394" s="1702" t="str">
        <f t="shared" ref="AS394:AS404" si="88">IF(TCATrigger="No","",IF(M394="","",M394))</f>
        <v/>
      </c>
      <c r="AT394" s="1702" t="str">
        <f t="shared" ref="AT394:AT404" si="89">IF(TCATrigger="No","",IF(N394="","",N394))</f>
        <v/>
      </c>
      <c r="AU394" s="1702" t="str">
        <f t="shared" ref="AU394:AU404" si="90">IF(TCATrigger="No","",IF(O394="","",O394))</f>
        <v/>
      </c>
      <c r="AV394" s="1702" t="str">
        <f t="shared" ref="AV394:AV404" si="91">IF(TCATrigger="No","",IF(P394="","",P394))</f>
        <v/>
      </c>
      <c r="BQ394" s="1685"/>
      <c r="BW394" s="1702" t="str">
        <f t="shared" ref="BW394:BW404" si="92">IF(TCATrigger="No","",IF(AQ394="","",AQ394))</f>
        <v/>
      </c>
    </row>
    <row r="395" spans="1:75" ht="15">
      <c r="A395" s="1685"/>
      <c r="B395" s="1685"/>
      <c r="C395" s="1685"/>
      <c r="D395" s="1685"/>
      <c r="E395" s="1685"/>
      <c r="F395" s="1685"/>
      <c r="G395" s="1701" t="str">
        <f>IF(rng02_Utilities_Table_UtilType2="","",rng02_Utilities_Table_UtilType2)</f>
        <v/>
      </c>
      <c r="H395" s="1701" t="str">
        <f>IF(rng02_Utilities_Table_SRO2="","",rng02_Utilities_Table_SRO2)</f>
        <v/>
      </c>
      <c r="I395" s="1701" t="str">
        <f>IF(rng02_Utilities_Table_EFF2="","",rng02_Utilities_Table_EFF2)</f>
        <v/>
      </c>
      <c r="J395" s="1701" t="str">
        <f>IF(rng02_Utilities_Table_2_1BedUnit="","",rng02_Utilities_Table_2_1BedUnit)</f>
        <v/>
      </c>
      <c r="K395" s="1701" t="str">
        <f>IF(rng02_Utilities_Table_2_2BedUnit="","",rng02_Utilities_Table_2_2BedUnit)</f>
        <v/>
      </c>
      <c r="L395" s="1701" t="str">
        <f>IF(rng02_Utilities_Table_2_3BedUnit="","",rng02_Utilities_Table_2_3BedUnit)</f>
        <v/>
      </c>
      <c r="M395" s="1701" t="str">
        <f>IF(rng02_Utilities_Table_2_4BedUnit="","",rng02_Utilities_Table_2_4BedUnit)</f>
        <v/>
      </c>
      <c r="N395" s="1701" t="str">
        <f>IF(rng02_Utilities_Table_2_5BedUnit="","",rng02_Utilities_Table_2_5BedUnit)</f>
        <v/>
      </c>
      <c r="O395" s="1701" t="str">
        <f>IF(rng02_Utilities_Table_TenantPaid2="","",rng02_Utilities_Table_TenantPaid2)</f>
        <v/>
      </c>
      <c r="P395" s="1701" t="str">
        <f>IF(rng02_Utilities_Table_DataYear2="","",rng02_Utilities_Table_DataYear2)</f>
        <v/>
      </c>
      <c r="Q395" s="1685"/>
      <c r="R395" s="1685"/>
      <c r="S395" s="1685"/>
      <c r="T395" s="1685"/>
      <c r="U395" s="1685"/>
      <c r="V395" s="1685"/>
      <c r="W395" s="1685"/>
      <c r="X395" s="1685"/>
      <c r="Y395" s="1685"/>
      <c r="Z395" s="1685"/>
      <c r="AA395" s="1685"/>
      <c r="AB395" s="1685"/>
      <c r="AC395" s="1685"/>
      <c r="AD395" s="2069"/>
      <c r="AE395" s="2073"/>
      <c r="AF395" s="1685"/>
      <c r="AG395" s="1685"/>
      <c r="AM395" s="1702" t="str">
        <f t="shared" si="82"/>
        <v/>
      </c>
      <c r="AN395" s="1702" t="str">
        <f t="shared" si="83"/>
        <v/>
      </c>
      <c r="AO395" s="1702" t="str">
        <f t="shared" si="84"/>
        <v/>
      </c>
      <c r="AP395" s="1702" t="str">
        <f t="shared" si="85"/>
        <v/>
      </c>
      <c r="AQ395" s="1702" t="str">
        <f t="shared" si="86"/>
        <v/>
      </c>
      <c r="AR395" s="1702" t="str">
        <f t="shared" si="87"/>
        <v/>
      </c>
      <c r="AS395" s="1702" t="str">
        <f t="shared" si="88"/>
        <v/>
      </c>
      <c r="AT395" s="1702" t="str">
        <f t="shared" si="89"/>
        <v/>
      </c>
      <c r="AU395" s="1702" t="str">
        <f t="shared" si="90"/>
        <v/>
      </c>
      <c r="AV395" s="1702" t="str">
        <f t="shared" si="91"/>
        <v/>
      </c>
      <c r="BQ395" s="1685"/>
      <c r="BW395" s="1702" t="str">
        <f t="shared" si="92"/>
        <v/>
      </c>
    </row>
    <row r="396" spans="1:75" ht="15">
      <c r="A396" s="1685"/>
      <c r="B396" s="1685"/>
      <c r="C396" s="1685"/>
      <c r="D396" s="1685"/>
      <c r="E396" s="1685"/>
      <c r="F396" s="1685"/>
      <c r="G396" s="1701" t="str">
        <f>IF(rng02_Utilities_Table_UtilType3="","",rng02_Utilities_Table_UtilType3)</f>
        <v/>
      </c>
      <c r="H396" s="1701" t="str">
        <f>IF(rng02_Utilities_Table_SRO3="","",rng02_Utilities_Table_SRO3)</f>
        <v/>
      </c>
      <c r="I396" s="1701" t="str">
        <f>IF(rng02_Utilities_Table_EFF3="","",rng02_Utilities_Table_EFF3)</f>
        <v/>
      </c>
      <c r="J396" s="1701" t="str">
        <f>IF(rng02_Utilities_Table_3_1BedUnit="","",rng02_Utilities_Table_3_1BedUnit)</f>
        <v/>
      </c>
      <c r="K396" s="1701" t="str">
        <f>IF(rng02_Utilities_Table_3_2BedUnit="","",rng02_Utilities_Table_3_2BedUnit)</f>
        <v/>
      </c>
      <c r="L396" s="1701" t="str">
        <f>IF(rng02_Utilities_Table_3_3BedUnit="","",rng02_Utilities_Table_3_3BedUnit)</f>
        <v/>
      </c>
      <c r="M396" s="1701" t="str">
        <f>IF(rng02_Utilities_Table_3_4BedUnit="","",rng02_Utilities_Table_3_4BedUnit)</f>
        <v/>
      </c>
      <c r="N396" s="1701" t="str">
        <f>IF(rng02_Utilities_Table_3_5BedUnit="","",rng02_Utilities_Table_3_5BedUnit)</f>
        <v/>
      </c>
      <c r="O396" s="1701" t="str">
        <f>IF(rng02_Utilities_Table_TenantPaid3="","",rng02_Utilities_Table_TenantPaid3)</f>
        <v/>
      </c>
      <c r="P396" s="1701" t="str">
        <f>IF(rng02_Utilities_Table_DataYear3="","",rng02_Utilities_Table_DataYear3)</f>
        <v/>
      </c>
      <c r="Q396" s="1685"/>
      <c r="R396" s="1685"/>
      <c r="S396" s="1685"/>
      <c r="T396" s="1685"/>
      <c r="U396" s="1685"/>
      <c r="V396" s="1685"/>
      <c r="W396" s="1685"/>
      <c r="X396" s="1685"/>
      <c r="Y396" s="1685"/>
      <c r="Z396" s="1685"/>
      <c r="AA396" s="1685"/>
      <c r="AB396" s="1685"/>
      <c r="AC396" s="1685"/>
      <c r="AD396" s="2069"/>
      <c r="AE396" s="2073"/>
      <c r="AF396" s="1685"/>
      <c r="AG396" s="1685"/>
      <c r="AM396" s="1702" t="str">
        <f t="shared" si="82"/>
        <v/>
      </c>
      <c r="AN396" s="1702" t="str">
        <f t="shared" si="83"/>
        <v/>
      </c>
      <c r="AO396" s="1702" t="str">
        <f t="shared" si="84"/>
        <v/>
      </c>
      <c r="AP396" s="1702" t="str">
        <f t="shared" si="85"/>
        <v/>
      </c>
      <c r="AQ396" s="1702" t="str">
        <f t="shared" si="86"/>
        <v/>
      </c>
      <c r="AR396" s="1702" t="str">
        <f t="shared" si="87"/>
        <v/>
      </c>
      <c r="AS396" s="1702" t="str">
        <f t="shared" si="88"/>
        <v/>
      </c>
      <c r="AT396" s="1702" t="str">
        <f t="shared" si="89"/>
        <v/>
      </c>
      <c r="AU396" s="1702" t="str">
        <f t="shared" si="90"/>
        <v/>
      </c>
      <c r="AV396" s="1702" t="str">
        <f t="shared" si="91"/>
        <v/>
      </c>
      <c r="BQ396" s="1685"/>
      <c r="BW396" s="1702" t="str">
        <f t="shared" si="92"/>
        <v/>
      </c>
    </row>
    <row r="397" spans="1:75" ht="15">
      <c r="A397" s="1685"/>
      <c r="B397" s="1685"/>
      <c r="C397" s="1685"/>
      <c r="D397" s="1685"/>
      <c r="E397" s="1685"/>
      <c r="F397" s="1685"/>
      <c r="G397" s="1701" t="str">
        <f>IF(rng02_Utilities_Table_UtilType4="","",rng02_Utilities_Table_UtilType4)</f>
        <v/>
      </c>
      <c r="H397" s="1701" t="str">
        <f>IF(rng02_Utilities_Table_SRO4="","",rng02_Utilities_Table_SRO4)</f>
        <v/>
      </c>
      <c r="I397" s="1701" t="str">
        <f>IF(rng02_Utilities_Table_EFF4="","",rng02_Utilities_Table_EFF4)</f>
        <v/>
      </c>
      <c r="J397" s="1701" t="str">
        <f>IF(rng02_Utilities_Table_4_1BedUnit="","",rng02_Utilities_Table_4_1BedUnit)</f>
        <v/>
      </c>
      <c r="K397" s="1701" t="str">
        <f>IF(rng02_Utilities_Table_4_2BedUnit="","",rng02_Utilities_Table_4_2BedUnit)</f>
        <v/>
      </c>
      <c r="L397" s="1701" t="str">
        <f>IF(rng02_Utilities_Table_4_3BedUnit="","",rng02_Utilities_Table_4_3BedUnit)</f>
        <v/>
      </c>
      <c r="M397" s="1701" t="str">
        <f>IF(rng02_Utilities_Table_4_4BedUnit="","",rng02_Utilities_Table_4_4BedUnit)</f>
        <v/>
      </c>
      <c r="N397" s="1701" t="str">
        <f>IF(rng02_Utilities_Table_4_5BedUnit="","",rng02_Utilities_Table_4_5BedUnit)</f>
        <v/>
      </c>
      <c r="O397" s="1701" t="str">
        <f>IF(rng02_Utilities_Table_TenantPaid4="","",rng02_Utilities_Table_TenantPaid4)</f>
        <v/>
      </c>
      <c r="P397" s="1701" t="str">
        <f>IF(rng02_Utilities_Table_DataYear4="","",rng02_Utilities_Table_DataYear4)</f>
        <v/>
      </c>
      <c r="Q397" s="1685"/>
      <c r="R397" s="1685"/>
      <c r="S397" s="1685"/>
      <c r="T397" s="1685"/>
      <c r="U397" s="1685"/>
      <c r="V397" s="1685"/>
      <c r="W397" s="1685"/>
      <c r="X397" s="1685"/>
      <c r="Y397" s="1685"/>
      <c r="Z397" s="1685"/>
      <c r="AA397" s="1685"/>
      <c r="AB397" s="1685"/>
      <c r="AC397" s="1685"/>
      <c r="AD397" s="2069"/>
      <c r="AE397" s="2073"/>
      <c r="AF397" s="1685"/>
      <c r="AG397" s="1685"/>
      <c r="AM397" s="1702" t="str">
        <f t="shared" si="82"/>
        <v/>
      </c>
      <c r="AN397" s="1702" t="str">
        <f t="shared" si="83"/>
        <v/>
      </c>
      <c r="AO397" s="1702" t="str">
        <f t="shared" si="84"/>
        <v/>
      </c>
      <c r="AP397" s="1702" t="str">
        <f t="shared" si="85"/>
        <v/>
      </c>
      <c r="AQ397" s="1702" t="str">
        <f t="shared" si="86"/>
        <v/>
      </c>
      <c r="AR397" s="1702" t="str">
        <f t="shared" si="87"/>
        <v/>
      </c>
      <c r="AS397" s="1702" t="str">
        <f t="shared" si="88"/>
        <v/>
      </c>
      <c r="AT397" s="1702" t="str">
        <f t="shared" si="89"/>
        <v/>
      </c>
      <c r="AU397" s="1702" t="str">
        <f t="shared" si="90"/>
        <v/>
      </c>
      <c r="AV397" s="1702" t="str">
        <f t="shared" si="91"/>
        <v/>
      </c>
      <c r="BQ397" s="1685"/>
      <c r="BW397" s="1702" t="str">
        <f t="shared" si="92"/>
        <v/>
      </c>
    </row>
    <row r="398" spans="1:75" ht="15">
      <c r="A398" s="1685"/>
      <c r="B398" s="1685"/>
      <c r="C398" s="1685"/>
      <c r="D398" s="1685"/>
      <c r="E398" s="1685"/>
      <c r="F398" s="1685"/>
      <c r="G398" s="1701" t="str">
        <f>IF(rng02_Utilities_Table_UtilType5="","",rng02_Utilities_Table_UtilType5)</f>
        <v/>
      </c>
      <c r="H398" s="1701" t="str">
        <f>IF(rng02_Utilities_Table_SRO5="","",rng02_Utilities_Table_SRO5)</f>
        <v/>
      </c>
      <c r="I398" s="1701" t="str">
        <f>IF(rng02_Utilities_Table_EFF5="","",rng02_Utilities_Table_EFF5)</f>
        <v/>
      </c>
      <c r="J398" s="1701" t="str">
        <f>IF(rng02_Utilities_Table_5_1BedUnit="","",rng02_Utilities_Table_5_1BedUnit)</f>
        <v/>
      </c>
      <c r="K398" s="1701" t="str">
        <f>IF(rng02_Utilities_Table_5_2BedUnit="","",rng02_Utilities_Table_5_2BedUnit)</f>
        <v/>
      </c>
      <c r="L398" s="1701" t="str">
        <f>IF(rng02_Utilities_Table_5_3BedUnit="","",rng02_Utilities_Table_5_3BedUnit)</f>
        <v/>
      </c>
      <c r="M398" s="1701" t="str">
        <f>IF(rng02_Utilities_Table_5_4BedUnit="","",rng02_Utilities_Table_5_4BedUnit)</f>
        <v/>
      </c>
      <c r="N398" s="1701" t="str">
        <f>IF(rng02_Utilities_Table_5_5BedUnit="","",rng02_Utilities_Table_5_5BedUnit)</f>
        <v/>
      </c>
      <c r="O398" s="1701" t="str">
        <f>IF(rng02_Utilities_Table_TenantPaid5="","",rng02_Utilities_Table_TenantPaid5)</f>
        <v/>
      </c>
      <c r="P398" s="1701" t="str">
        <f>IF(rng02_Utilities_Table_DataYear5="","",rng02_Utilities_Table_DataYear5)</f>
        <v/>
      </c>
      <c r="Q398" s="1685"/>
      <c r="R398" s="1685"/>
      <c r="S398" s="1685"/>
      <c r="T398" s="1685"/>
      <c r="U398" s="1685"/>
      <c r="V398" s="1685"/>
      <c r="W398" s="1685"/>
      <c r="X398" s="1685"/>
      <c r="Y398" s="1685"/>
      <c r="Z398" s="1685"/>
      <c r="AA398" s="1685"/>
      <c r="AB398" s="1685"/>
      <c r="AC398" s="1685"/>
      <c r="AD398" s="2069"/>
      <c r="AE398" s="2073"/>
      <c r="AF398" s="1685"/>
      <c r="AG398" s="1685"/>
      <c r="AM398" s="1702" t="str">
        <f t="shared" si="82"/>
        <v/>
      </c>
      <c r="AN398" s="1702" t="str">
        <f t="shared" si="83"/>
        <v/>
      </c>
      <c r="AO398" s="1702" t="str">
        <f t="shared" si="84"/>
        <v/>
      </c>
      <c r="AP398" s="1702" t="str">
        <f t="shared" si="85"/>
        <v/>
      </c>
      <c r="AQ398" s="1702" t="str">
        <f t="shared" si="86"/>
        <v/>
      </c>
      <c r="AR398" s="1702" t="str">
        <f t="shared" si="87"/>
        <v/>
      </c>
      <c r="AS398" s="1702" t="str">
        <f t="shared" si="88"/>
        <v/>
      </c>
      <c r="AT398" s="1702" t="str">
        <f t="shared" si="89"/>
        <v/>
      </c>
      <c r="AU398" s="1702" t="str">
        <f t="shared" si="90"/>
        <v/>
      </c>
      <c r="AV398" s="1702" t="str">
        <f t="shared" si="91"/>
        <v/>
      </c>
      <c r="BQ398" s="1685"/>
      <c r="BW398" s="1702" t="str">
        <f t="shared" si="92"/>
        <v/>
      </c>
    </row>
    <row r="399" spans="1:75" ht="15">
      <c r="A399" s="1685"/>
      <c r="B399" s="1685"/>
      <c r="C399" s="1685"/>
      <c r="D399" s="1685"/>
      <c r="E399" s="1685"/>
      <c r="F399" s="1685"/>
      <c r="G399" s="1701" t="str">
        <f>IF(rng02_Utilities_Table_UtilType6="","",rng02_Utilities_Table_UtilType6)</f>
        <v/>
      </c>
      <c r="H399" s="1701" t="str">
        <f>IF(rng02_Utilities_Table_SRO6="","",rng02_Utilities_Table_SRO6)</f>
        <v/>
      </c>
      <c r="I399" s="1701" t="str">
        <f>IF(rng02_Utilities_Table_EFF6="","",rng02_Utilities_Table_EFF6)</f>
        <v/>
      </c>
      <c r="J399" s="1701" t="str">
        <f>IF(rng02_Utilities_Table_6_1BedUnit="","",rng02_Utilities_Table_6_1BedUnit)</f>
        <v/>
      </c>
      <c r="K399" s="1701" t="str">
        <f>IF(rng02_Utilities_Table_6_2BedUnit="","",rng02_Utilities_Table_6_2BedUnit)</f>
        <v/>
      </c>
      <c r="L399" s="1701" t="str">
        <f>IF(rng02_Utilities_Table_6_3BedUnit="","",rng02_Utilities_Table_6_3BedUnit)</f>
        <v/>
      </c>
      <c r="M399" s="1701" t="str">
        <f>IF(rng02_Utilities_Table_6_4BedUnit="","",rng02_Utilities_Table_6_4BedUnit)</f>
        <v/>
      </c>
      <c r="N399" s="1701" t="str">
        <f>IF(rng02_Utilities_Table_6_5BedUnit="","",rng02_Utilities_Table_6_5BedUnit)</f>
        <v/>
      </c>
      <c r="O399" s="1701" t="str">
        <f>IF(rng02_Utilities_Table_TenantPaid6="","",rng02_Utilities_Table_TenantPaid6)</f>
        <v/>
      </c>
      <c r="P399" s="1701" t="str">
        <f>IF(rng02_Utilities_Table_DataYear6="","",rng02_Utilities_Table_DataYear6)</f>
        <v/>
      </c>
      <c r="Q399" s="1685"/>
      <c r="R399" s="1685"/>
      <c r="S399" s="1685"/>
      <c r="T399" s="1685"/>
      <c r="U399" s="1685"/>
      <c r="V399" s="1685"/>
      <c r="W399" s="1685"/>
      <c r="X399" s="1685"/>
      <c r="Y399" s="1685"/>
      <c r="Z399" s="1685"/>
      <c r="AA399" s="1685"/>
      <c r="AB399" s="1685"/>
      <c r="AC399" s="1685"/>
      <c r="AD399" s="2069"/>
      <c r="AE399" s="2073"/>
      <c r="AF399" s="1685"/>
      <c r="AG399" s="1685"/>
      <c r="AM399" s="1702" t="str">
        <f t="shared" si="82"/>
        <v/>
      </c>
      <c r="AN399" s="1702" t="str">
        <f t="shared" si="83"/>
        <v/>
      </c>
      <c r="AO399" s="1702" t="str">
        <f t="shared" si="84"/>
        <v/>
      </c>
      <c r="AP399" s="1702" t="str">
        <f t="shared" si="85"/>
        <v/>
      </c>
      <c r="AQ399" s="1702" t="str">
        <f t="shared" si="86"/>
        <v/>
      </c>
      <c r="AR399" s="1702" t="str">
        <f t="shared" si="87"/>
        <v/>
      </c>
      <c r="AS399" s="1702" t="str">
        <f t="shared" si="88"/>
        <v/>
      </c>
      <c r="AT399" s="1702" t="str">
        <f t="shared" si="89"/>
        <v/>
      </c>
      <c r="AU399" s="1702" t="str">
        <f t="shared" si="90"/>
        <v/>
      </c>
      <c r="AV399" s="1702" t="str">
        <f t="shared" si="91"/>
        <v/>
      </c>
      <c r="BQ399" s="1685"/>
      <c r="BW399" s="1702" t="str">
        <f t="shared" si="92"/>
        <v/>
      </c>
    </row>
    <row r="400" spans="1:75" ht="15">
      <c r="A400" s="1685"/>
      <c r="B400" s="1685"/>
      <c r="C400" s="1685"/>
      <c r="D400" s="1685"/>
      <c r="E400" s="1685"/>
      <c r="F400" s="1685"/>
      <c r="G400" s="1701" t="str">
        <f>IF(rng02_Utilities_Table_UtilType7="","",rng02_Utilities_Table_UtilType7)</f>
        <v/>
      </c>
      <c r="H400" s="1701" t="str">
        <f>IF(rng02_Utilities_Table_SRO7="","",rng02_Utilities_Table_SRO7)</f>
        <v/>
      </c>
      <c r="I400" s="1701" t="str">
        <f>IF(rng02_Utilities_Table_EFF7="","",rng02_Utilities_Table_EFF7)</f>
        <v/>
      </c>
      <c r="J400" s="1701" t="str">
        <f>IF(rng02_Utilities_Table_7_1BedUnit="","",rng02_Utilities_Table_7_1BedUnit)</f>
        <v/>
      </c>
      <c r="K400" s="1701" t="str">
        <f>IF(rng02_Utilities_Table_7_2BedUnit="","",rng02_Utilities_Table_7_2BedUnit)</f>
        <v/>
      </c>
      <c r="L400" s="1701" t="str">
        <f>IF(rng02_Utilities_Table_7_3BedUnit="","",rng02_Utilities_Table_7_3BedUnit)</f>
        <v/>
      </c>
      <c r="M400" s="1701" t="str">
        <f>IF(rng02_Utilities_Table_7_4BedUnit="","",rng02_Utilities_Table_7_4BedUnit)</f>
        <v/>
      </c>
      <c r="N400" s="1701" t="str">
        <f>IF(rng02_Utilities_Table_7_5BedUnit="","",rng02_Utilities_Table_7_5BedUnit)</f>
        <v/>
      </c>
      <c r="O400" s="1701" t="str">
        <f>IF(rng02_Utilities_Table_TenantPaid7="","",rng02_Utilities_Table_TenantPaid7)</f>
        <v/>
      </c>
      <c r="P400" s="1701" t="str">
        <f>IF(rng02_Utilities_Table_DataYear7="","",rng02_Utilities_Table_DataYear7)</f>
        <v/>
      </c>
      <c r="Q400" s="1685"/>
      <c r="R400" s="1685"/>
      <c r="S400" s="1685"/>
      <c r="T400" s="1685"/>
      <c r="U400" s="1685"/>
      <c r="V400" s="1685"/>
      <c r="W400" s="1685"/>
      <c r="X400" s="1685"/>
      <c r="Y400" s="1685"/>
      <c r="Z400" s="1685"/>
      <c r="AA400" s="1685"/>
      <c r="AB400" s="1685"/>
      <c r="AC400" s="1685"/>
      <c r="AD400" s="2069"/>
      <c r="AE400" s="2073"/>
      <c r="AF400" s="1685"/>
      <c r="AG400" s="1685"/>
      <c r="AM400" s="1702" t="str">
        <f t="shared" si="82"/>
        <v/>
      </c>
      <c r="AN400" s="1702" t="str">
        <f t="shared" si="83"/>
        <v/>
      </c>
      <c r="AO400" s="1702" t="str">
        <f t="shared" si="84"/>
        <v/>
      </c>
      <c r="AP400" s="1702" t="str">
        <f t="shared" si="85"/>
        <v/>
      </c>
      <c r="AQ400" s="1702" t="str">
        <f t="shared" si="86"/>
        <v/>
      </c>
      <c r="AR400" s="1702" t="str">
        <f t="shared" si="87"/>
        <v/>
      </c>
      <c r="AS400" s="1702" t="str">
        <f t="shared" si="88"/>
        <v/>
      </c>
      <c r="AT400" s="1702" t="str">
        <f t="shared" si="89"/>
        <v/>
      </c>
      <c r="AU400" s="1702" t="str">
        <f t="shared" si="90"/>
        <v/>
      </c>
      <c r="AV400" s="1702" t="str">
        <f t="shared" si="91"/>
        <v/>
      </c>
      <c r="BQ400" s="1685"/>
      <c r="BW400" s="1702" t="str">
        <f t="shared" si="92"/>
        <v/>
      </c>
    </row>
    <row r="401" spans="1:75" ht="15">
      <c r="A401" s="1685"/>
      <c r="B401" s="1685"/>
      <c r="C401" s="1685"/>
      <c r="D401" s="1685"/>
      <c r="E401" s="1685"/>
      <c r="F401" s="1685"/>
      <c r="G401" s="1701" t="str">
        <f>IF(rng02_Utilities_Table_UtilType8="","",rng02_Utilities_Table_UtilType8)</f>
        <v/>
      </c>
      <c r="H401" s="1701" t="str">
        <f>IF(rng02_Utilities_Table_SRO8="","",rng02_Utilities_Table_SRO8)</f>
        <v/>
      </c>
      <c r="I401" s="1701" t="str">
        <f>IF(rng02_Utilities_Table_EFF8="","",rng02_Utilities_Table_EFF8)</f>
        <v/>
      </c>
      <c r="J401" s="1701" t="str">
        <f>IF(rng02_Utilities_Table_8_1BedUnit="","",rng02_Utilities_Table_8_1BedUnit)</f>
        <v/>
      </c>
      <c r="K401" s="1701" t="str">
        <f>IF(rng02_Utilities_Table_8_2BedUnit="","",rng02_Utilities_Table_8_2BedUnit)</f>
        <v/>
      </c>
      <c r="L401" s="1701" t="str">
        <f>IF(rng02_Utilities_Table_8_3BedUnit="","",rng02_Utilities_Table_8_3BedUnit)</f>
        <v/>
      </c>
      <c r="M401" s="1701" t="str">
        <f>IF(rng02_Utilities_Table_8_4BedUnit="","",rng02_Utilities_Table_8_4BedUnit)</f>
        <v/>
      </c>
      <c r="N401" s="1701" t="str">
        <f>IF(rng02_Utilities_Table_8_5BedUnit="","",rng02_Utilities_Table_8_5BedUnit)</f>
        <v/>
      </c>
      <c r="O401" s="1701" t="str">
        <f>IF(rng02_Utilities_Table_TenantPaid8="","",rng02_Utilities_Table_TenantPaid8)</f>
        <v/>
      </c>
      <c r="P401" s="1701" t="str">
        <f>IF(rng02_Utilities_Table_DataYear8="","",rng02_Utilities_Table_DataYear8)</f>
        <v/>
      </c>
      <c r="Q401" s="1685"/>
      <c r="R401" s="1685"/>
      <c r="S401" s="1685"/>
      <c r="T401" s="1685"/>
      <c r="U401" s="1685"/>
      <c r="V401" s="1685"/>
      <c r="W401" s="1685"/>
      <c r="X401" s="1685"/>
      <c r="Y401" s="1685"/>
      <c r="Z401" s="1685"/>
      <c r="AA401" s="1685"/>
      <c r="AB401" s="1685"/>
      <c r="AC401" s="1685"/>
      <c r="AD401" s="2069"/>
      <c r="AE401" s="2073"/>
      <c r="AF401" s="1685"/>
      <c r="AG401" s="1685"/>
      <c r="AM401" s="1702" t="str">
        <f t="shared" si="82"/>
        <v/>
      </c>
      <c r="AN401" s="1702" t="str">
        <f t="shared" si="83"/>
        <v/>
      </c>
      <c r="AO401" s="1702" t="str">
        <f t="shared" si="84"/>
        <v/>
      </c>
      <c r="AP401" s="1702" t="str">
        <f t="shared" si="85"/>
        <v/>
      </c>
      <c r="AQ401" s="1702" t="str">
        <f t="shared" si="86"/>
        <v/>
      </c>
      <c r="AR401" s="1702" t="str">
        <f t="shared" si="87"/>
        <v/>
      </c>
      <c r="AS401" s="1702" t="str">
        <f t="shared" si="88"/>
        <v/>
      </c>
      <c r="AT401" s="1702" t="str">
        <f t="shared" si="89"/>
        <v/>
      </c>
      <c r="AU401" s="1702" t="str">
        <f t="shared" si="90"/>
        <v/>
      </c>
      <c r="AV401" s="1702" t="str">
        <f t="shared" si="91"/>
        <v/>
      </c>
      <c r="BQ401" s="1685"/>
      <c r="BW401" s="1702" t="str">
        <f t="shared" si="92"/>
        <v/>
      </c>
    </row>
    <row r="402" spans="1:75" ht="15">
      <c r="A402" s="1685"/>
      <c r="B402" s="1685"/>
      <c r="C402" s="1685"/>
      <c r="D402" s="1685"/>
      <c r="E402" s="1685"/>
      <c r="F402" s="1685"/>
      <c r="G402" s="1701" t="str">
        <f>IF(rng02_Utilities_Table_UtilType9="","",rng02_Utilities_Table_UtilType9)</f>
        <v/>
      </c>
      <c r="H402" s="1701" t="str">
        <f>IF(rng02_Utilities_Table_SRO9="","",rng02_Utilities_Table_SRO9)</f>
        <v/>
      </c>
      <c r="I402" s="1701" t="str">
        <f>IF(rng02_Utilities_Table_EFF9="","",rng02_Utilities_Table_EFF9)</f>
        <v/>
      </c>
      <c r="J402" s="1701" t="str">
        <f>IF(rng02_Utilities_Table_9_1BedUnit="","",rng02_Utilities_Table_9_1BedUnit)</f>
        <v/>
      </c>
      <c r="K402" s="1701" t="str">
        <f>IF(rng02_Utilities_Table_9_2BedUnit="","",rng02_Utilities_Table_9_2BedUnit)</f>
        <v/>
      </c>
      <c r="L402" s="1701" t="str">
        <f>IF(rng02_Utilities_Table_9_3BedUnit="","",rng02_Utilities_Table_9_3BedUnit)</f>
        <v/>
      </c>
      <c r="M402" s="1701" t="str">
        <f>IF(rng02_Utilities_Table_9_4BedUnit="","",rng02_Utilities_Table_9_4BedUnit)</f>
        <v/>
      </c>
      <c r="N402" s="1701" t="str">
        <f>IF(rng02_Utilities_Table_9_5BedUnit="","",rng02_Utilities_Table_9_5BedUnit)</f>
        <v/>
      </c>
      <c r="O402" s="1701" t="str">
        <f>IF(rng02_Utilities_Table_TenantPaid9="","",rng02_Utilities_Table_TenantPaid9)</f>
        <v/>
      </c>
      <c r="P402" s="1701" t="str">
        <f>IF(rng02_Utilities_Table_DataYear9="","",rng02_Utilities_Table_DataYear9)</f>
        <v/>
      </c>
      <c r="Q402" s="1685"/>
      <c r="R402" s="1685"/>
      <c r="S402" s="1685"/>
      <c r="T402" s="1685"/>
      <c r="U402" s="1685"/>
      <c r="V402" s="1685"/>
      <c r="W402" s="1685"/>
      <c r="X402" s="1685"/>
      <c r="Y402" s="1685"/>
      <c r="Z402" s="1685"/>
      <c r="AA402" s="1685"/>
      <c r="AB402" s="1685"/>
      <c r="AC402" s="1685"/>
      <c r="AD402" s="2069"/>
      <c r="AE402" s="2073"/>
      <c r="AF402" s="1685"/>
      <c r="AG402" s="1685"/>
      <c r="AM402" s="1702" t="str">
        <f t="shared" si="82"/>
        <v/>
      </c>
      <c r="AN402" s="1702" t="str">
        <f t="shared" si="83"/>
        <v/>
      </c>
      <c r="AO402" s="1702" t="str">
        <f t="shared" si="84"/>
        <v/>
      </c>
      <c r="AP402" s="1702" t="str">
        <f t="shared" si="85"/>
        <v/>
      </c>
      <c r="AQ402" s="1702" t="str">
        <f t="shared" si="86"/>
        <v/>
      </c>
      <c r="AR402" s="1702" t="str">
        <f t="shared" si="87"/>
        <v/>
      </c>
      <c r="AS402" s="1702" t="str">
        <f t="shared" si="88"/>
        <v/>
      </c>
      <c r="AT402" s="1702" t="str">
        <f t="shared" si="89"/>
        <v/>
      </c>
      <c r="AU402" s="1702" t="str">
        <f t="shared" si="90"/>
        <v/>
      </c>
      <c r="AV402" s="1702" t="str">
        <f t="shared" si="91"/>
        <v/>
      </c>
      <c r="BQ402" s="1685"/>
      <c r="BW402" s="1702" t="str">
        <f t="shared" si="92"/>
        <v/>
      </c>
    </row>
    <row r="403" spans="1:75" ht="15">
      <c r="A403" s="1685"/>
      <c r="B403" s="1685"/>
      <c r="C403" s="1685"/>
      <c r="D403" s="1685"/>
      <c r="E403" s="1685"/>
      <c r="F403" s="1685"/>
      <c r="G403" s="1701" t="str">
        <f>IF(rng02_Utilities_Table_UtilType10="","",rng02_Utilities_Table_UtilType10)</f>
        <v/>
      </c>
      <c r="H403" s="1701" t="str">
        <f>IF(rng02_Utilities_Table_SRO10="","",rng02_Utilities_Table_SRO10)</f>
        <v/>
      </c>
      <c r="I403" s="1701" t="str">
        <f>IF(rng02_Utilities_Table_EFF10="","",rng02_Utilities_Table_EFF10)</f>
        <v/>
      </c>
      <c r="J403" s="1701" t="str">
        <f>IF(rng02_Utilities_Table_10_1BedUnit="","",rng02_Utilities_Table_10_1BedUnit)</f>
        <v/>
      </c>
      <c r="K403" s="1701" t="str">
        <f>IF(rng02_Utilities_Table_10_2BedUnit="","",rng02_Utilities_Table_10_2BedUnit)</f>
        <v/>
      </c>
      <c r="L403" s="1701" t="str">
        <f>IF(rng02_Utilities_Table_10_3BedUnit="","",rng02_Utilities_Table_10_3BedUnit)</f>
        <v/>
      </c>
      <c r="M403" s="1701" t="str">
        <f>IF(rng02_Utilities_Table_10_4BedUnit="","",rng02_Utilities_Table_10_4BedUnit)</f>
        <v/>
      </c>
      <c r="N403" s="1701" t="str">
        <f>IF(rng02_Utilities_Table_10_5BedUnit="","",rng02_Utilities_Table_10_5BedUnit)</f>
        <v/>
      </c>
      <c r="O403" s="1701" t="str">
        <f>IF(rng02_Utilities_Table_TenantPaid10="","",rng02_Utilities_Table_TenantPaid10)</f>
        <v/>
      </c>
      <c r="P403" s="1701" t="str">
        <f>IF(rng02_Utilities_Table_DataYear10="","",rng02_Utilities_Table_DataYear10)</f>
        <v/>
      </c>
      <c r="Q403" s="1685"/>
      <c r="R403" s="1685"/>
      <c r="S403" s="1685"/>
      <c r="T403" s="1685"/>
      <c r="U403" s="1685"/>
      <c r="V403" s="1685"/>
      <c r="W403" s="1685"/>
      <c r="X403" s="1685"/>
      <c r="Y403" s="1685"/>
      <c r="Z403" s="1685"/>
      <c r="AA403" s="1685"/>
      <c r="AB403" s="1685"/>
      <c r="AC403" s="1685"/>
      <c r="AD403" s="2069"/>
      <c r="AE403" s="2073"/>
      <c r="AF403" s="1685"/>
      <c r="AG403" s="1685"/>
      <c r="AM403" s="1702" t="str">
        <f t="shared" si="82"/>
        <v/>
      </c>
      <c r="AN403" s="1702" t="str">
        <f t="shared" si="83"/>
        <v/>
      </c>
      <c r="AO403" s="1702" t="str">
        <f t="shared" si="84"/>
        <v/>
      </c>
      <c r="AP403" s="1702" t="str">
        <f t="shared" si="85"/>
        <v/>
      </c>
      <c r="AQ403" s="1702" t="str">
        <f t="shared" si="86"/>
        <v/>
      </c>
      <c r="AR403" s="1702" t="str">
        <f t="shared" si="87"/>
        <v/>
      </c>
      <c r="AS403" s="1702" t="str">
        <f t="shared" si="88"/>
        <v/>
      </c>
      <c r="AT403" s="1702" t="str">
        <f t="shared" si="89"/>
        <v/>
      </c>
      <c r="AU403" s="1702" t="str">
        <f t="shared" si="90"/>
        <v/>
      </c>
      <c r="AV403" s="1702" t="str">
        <f t="shared" si="91"/>
        <v/>
      </c>
      <c r="BQ403" s="1685"/>
      <c r="BW403" s="1702" t="str">
        <f t="shared" si="92"/>
        <v/>
      </c>
    </row>
    <row r="404" spans="1:75" ht="15">
      <c r="A404" s="1685"/>
      <c r="B404" s="1685"/>
      <c r="C404" s="1685"/>
      <c r="D404" s="1685"/>
      <c r="E404" s="1685"/>
      <c r="F404" s="1685"/>
      <c r="G404" s="1701" t="str">
        <f>IF(rng02_Utilities_Table_UtilType11="","",rng02_Utilities_Table_UtilType11)</f>
        <v/>
      </c>
      <c r="H404" s="1701" t="str">
        <f>IF(rng02_Utilities_Table_SRO11="","",rng02_Utilities_Table_SRO11)</f>
        <v/>
      </c>
      <c r="I404" s="1701" t="str">
        <f>IF(rng02_Utilities_Table_EFF11="","",rng02_Utilities_Table_EFF11)</f>
        <v/>
      </c>
      <c r="J404" s="1701" t="str">
        <f>IF(rng02_Utilities_Table_11_1BedUnit="","",rng02_Utilities_Table_11_1BedUnit)</f>
        <v/>
      </c>
      <c r="K404" s="1701" t="str">
        <f>IF(rng02_Utilities_Table_11_2BedUnit="","",rng02_Utilities_Table_11_2BedUnit)</f>
        <v/>
      </c>
      <c r="L404" s="1701" t="str">
        <f>IF(rng02_Utilities_Table_11_3BedUnit="","",rng02_Utilities_Table_11_3BedUnit)</f>
        <v/>
      </c>
      <c r="M404" s="1701">
        <f>IF(rng02_Utilities_Table_11_4BedUnit="","",rng02_Utilities_Table_11_4BedUnit)</f>
        <v>0</v>
      </c>
      <c r="N404" s="1701" t="str">
        <f>IF(rng02_Utilities_Table_11_5BedUnit="","",rng02_Utilities_Table_11_5BedUnit)</f>
        <v/>
      </c>
      <c r="O404" s="1701" t="str">
        <f>IF(rng02_Utilities_Table_TenantPaid11="","",rng02_Utilities_Table_TenantPaid11)</f>
        <v/>
      </c>
      <c r="P404" s="1701" t="str">
        <f>IF(rng02_Utilities_Table_DataYear11="","",rng02_Utilities_Table_DataYear11)</f>
        <v/>
      </c>
      <c r="Q404" s="1685"/>
      <c r="R404" s="1685"/>
      <c r="S404" s="1685"/>
      <c r="T404" s="1685"/>
      <c r="U404" s="1685"/>
      <c r="V404" s="1685"/>
      <c r="W404" s="1685"/>
      <c r="X404" s="1685"/>
      <c r="Y404" s="1685"/>
      <c r="Z404" s="1685"/>
      <c r="AA404" s="1685"/>
      <c r="AB404" s="1685"/>
      <c r="AC404" s="1685"/>
      <c r="AD404" s="2069"/>
      <c r="AE404" s="2073"/>
      <c r="AF404" s="1685"/>
      <c r="AG404" s="1685"/>
      <c r="AM404" s="1702" t="str">
        <f t="shared" si="82"/>
        <v/>
      </c>
      <c r="AN404" s="1702" t="str">
        <f t="shared" si="83"/>
        <v/>
      </c>
      <c r="AO404" s="1702" t="str">
        <f t="shared" si="84"/>
        <v/>
      </c>
      <c r="AP404" s="1702" t="str">
        <f t="shared" si="85"/>
        <v/>
      </c>
      <c r="AQ404" s="1702" t="str">
        <f t="shared" si="86"/>
        <v/>
      </c>
      <c r="AR404" s="1702" t="str">
        <f t="shared" si="87"/>
        <v/>
      </c>
      <c r="AS404" s="1702" t="str">
        <f t="shared" si="88"/>
        <v/>
      </c>
      <c r="AT404" s="1702" t="str">
        <f t="shared" si="89"/>
        <v/>
      </c>
      <c r="AU404" s="1702" t="str">
        <f t="shared" si="90"/>
        <v/>
      </c>
      <c r="AV404" s="1702" t="str">
        <f t="shared" si="91"/>
        <v/>
      </c>
      <c r="BQ404" s="1685"/>
      <c r="BW404" s="1702" t="str">
        <f t="shared" si="92"/>
        <v/>
      </c>
    </row>
    <row r="405" spans="1:75" ht="15">
      <c r="A405" s="1685"/>
      <c r="B405" s="1685"/>
      <c r="C405" s="1685"/>
      <c r="D405" s="1685"/>
      <c r="E405" s="1685"/>
      <c r="F405" s="1685"/>
      <c r="G405" s="1701" t="s">
        <v>1096</v>
      </c>
      <c r="H405" s="1701">
        <v>0</v>
      </c>
      <c r="I405" s="1701">
        <v>0</v>
      </c>
      <c r="J405" s="1701">
        <v>0</v>
      </c>
      <c r="K405" s="1701">
        <v>0</v>
      </c>
      <c r="L405" s="1701">
        <v>0</v>
      </c>
      <c r="M405" s="1701">
        <v>0</v>
      </c>
      <c r="N405" s="1701">
        <v>0</v>
      </c>
      <c r="O405" s="1701"/>
      <c r="P405" s="1701"/>
      <c r="Q405" s="1685"/>
      <c r="R405" s="1685"/>
      <c r="S405" s="1685"/>
      <c r="T405" s="1685"/>
      <c r="U405" s="1685"/>
      <c r="V405" s="1685"/>
      <c r="W405" s="1685"/>
      <c r="X405" s="1685"/>
      <c r="Y405" s="1685"/>
      <c r="Z405" s="1685"/>
      <c r="AA405" s="1685"/>
      <c r="AB405" s="1685"/>
      <c r="AC405" s="1685"/>
      <c r="AD405" s="2069"/>
      <c r="AE405" s="2073"/>
      <c r="AF405" s="1685"/>
      <c r="AG405" s="1685"/>
      <c r="AM405" s="1702" t="s">
        <v>1096</v>
      </c>
      <c r="AN405" s="1702">
        <v>0</v>
      </c>
      <c r="AO405" s="1702">
        <v>0</v>
      </c>
      <c r="AP405" s="1702">
        <v>0</v>
      </c>
      <c r="AQ405" s="1702">
        <v>0</v>
      </c>
      <c r="AR405" s="1702">
        <v>0</v>
      </c>
      <c r="AS405" s="1702">
        <v>0</v>
      </c>
      <c r="AT405" s="1702">
        <v>0</v>
      </c>
      <c r="AU405" s="1702"/>
      <c r="AV405" s="1702"/>
      <c r="BQ405" s="1685"/>
      <c r="BW405" s="1702" t="s">
        <v>1096</v>
      </c>
    </row>
    <row r="406" spans="1:75" ht="15">
      <c r="A406" s="1685"/>
      <c r="B406" s="1685"/>
      <c r="C406" s="1685"/>
      <c r="D406" s="1685"/>
      <c r="E406" s="1685"/>
      <c r="F406" s="1685"/>
      <c r="G406" s="1685"/>
      <c r="H406" s="1685"/>
      <c r="I406" s="1685"/>
      <c r="J406" s="1685"/>
      <c r="K406" s="1685"/>
      <c r="L406" s="1685"/>
      <c r="M406" s="1685"/>
      <c r="N406" s="1685"/>
      <c r="O406" s="1685"/>
      <c r="P406" s="1685"/>
      <c r="Q406" s="1685"/>
      <c r="R406" s="1685"/>
      <c r="S406" s="1685"/>
      <c r="T406" s="1685"/>
      <c r="U406" s="1685"/>
      <c r="V406" s="1685"/>
      <c r="W406" s="1685"/>
      <c r="X406" s="1685"/>
      <c r="Y406" s="1685"/>
      <c r="Z406" s="1685"/>
      <c r="AA406" s="1685"/>
      <c r="AB406" s="1685"/>
      <c r="AC406" s="1685"/>
      <c r="AD406" s="2069"/>
      <c r="AE406" s="2073"/>
      <c r="AF406" s="1685"/>
      <c r="AG406" s="1685"/>
      <c r="BQ406" s="1685"/>
    </row>
    <row r="407" spans="1:75" ht="15">
      <c r="A407" s="1685"/>
      <c r="B407" s="1685"/>
      <c r="C407" s="1685"/>
      <c r="D407" s="1685"/>
      <c r="E407" s="1685"/>
      <c r="F407" s="1685"/>
      <c r="G407" s="1685"/>
      <c r="H407" s="1742" t="s">
        <v>1097</v>
      </c>
      <c r="I407" s="1685"/>
      <c r="J407" s="1685"/>
      <c r="K407" s="1685"/>
      <c r="L407" s="1685"/>
      <c r="M407" s="1685"/>
      <c r="N407" s="1685"/>
      <c r="O407" s="1685"/>
      <c r="P407" s="1685"/>
      <c r="Q407" s="1685"/>
      <c r="R407" s="1685"/>
      <c r="S407" s="1685"/>
      <c r="T407" s="1685"/>
      <c r="U407" s="1685"/>
      <c r="V407" s="1685"/>
      <c r="W407" s="1685"/>
      <c r="X407" s="1685"/>
      <c r="Y407" s="1685"/>
      <c r="Z407" s="1685"/>
      <c r="AA407" s="1685"/>
      <c r="AB407" s="1685"/>
      <c r="AC407" s="1685"/>
      <c r="AD407" s="2069"/>
      <c r="AE407" s="2073"/>
      <c r="AF407" s="1685"/>
      <c r="AG407" s="1685"/>
      <c r="BQ407" s="1685"/>
    </row>
    <row r="408" spans="1:75" ht="15">
      <c r="A408" s="1685" t="s">
        <v>1031</v>
      </c>
      <c r="B408" s="1686" t="s">
        <v>1032</v>
      </c>
      <c r="C408" s="1685" t="s">
        <v>1098</v>
      </c>
      <c r="D408" s="1685"/>
      <c r="E408" s="1685"/>
      <c r="F408" s="1685"/>
      <c r="G408" s="1701" t="s">
        <v>1098</v>
      </c>
      <c r="H408" s="1701"/>
      <c r="I408" s="1701"/>
      <c r="J408" s="1701"/>
      <c r="K408" s="1685"/>
      <c r="L408" s="1685"/>
      <c r="M408" s="1685"/>
      <c r="N408" s="1685"/>
      <c r="O408" s="1685"/>
      <c r="P408" s="1685"/>
      <c r="Q408" s="1685"/>
      <c r="R408" s="1685"/>
      <c r="S408" s="1685"/>
      <c r="T408" s="1685"/>
      <c r="U408" s="1685"/>
      <c r="V408" s="1685"/>
      <c r="W408" s="1685"/>
      <c r="X408" s="1685"/>
      <c r="Y408" s="1685"/>
      <c r="Z408" s="1685"/>
      <c r="AA408" s="1685"/>
      <c r="AB408" s="1685"/>
      <c r="AC408" s="1685"/>
      <c r="AD408" s="2069"/>
      <c r="AE408" s="2073"/>
      <c r="AF408" s="1685"/>
      <c r="AG408" s="1685" t="s">
        <v>1031</v>
      </c>
      <c r="AH408" s="1677" t="s">
        <v>1032</v>
      </c>
      <c r="AI408" s="1677" t="s">
        <v>1098</v>
      </c>
      <c r="AM408" s="1677" t="s">
        <v>1098</v>
      </c>
      <c r="BQ408" s="1685" t="s">
        <v>1031</v>
      </c>
      <c r="BR408" s="1677" t="s">
        <v>1032</v>
      </c>
      <c r="BS408" s="1677" t="s">
        <v>1098</v>
      </c>
      <c r="BW408" s="1677" t="s">
        <v>1098</v>
      </c>
    </row>
    <row r="409" spans="1:75" ht="15">
      <c r="A409" s="1685"/>
      <c r="B409" s="1685"/>
      <c r="C409" s="1685"/>
      <c r="D409" s="1685"/>
      <c r="E409" s="1685"/>
      <c r="F409" s="1685"/>
      <c r="G409" s="1701" t="s">
        <v>969</v>
      </c>
      <c r="H409" s="1701" t="s">
        <v>971</v>
      </c>
      <c r="I409" s="1701" t="s">
        <v>972</v>
      </c>
      <c r="J409" s="1701" t="s">
        <v>111</v>
      </c>
      <c r="K409" s="1685"/>
      <c r="L409" s="1685"/>
      <c r="M409" s="1685"/>
      <c r="N409" s="1685"/>
      <c r="O409" s="1685"/>
      <c r="P409" s="1685"/>
      <c r="Q409" s="1685"/>
      <c r="R409" s="1685"/>
      <c r="S409" s="1685"/>
      <c r="T409" s="1685"/>
      <c r="U409" s="1685"/>
      <c r="V409" s="1685"/>
      <c r="W409" s="1685"/>
      <c r="X409" s="1685"/>
      <c r="Y409" s="1685"/>
      <c r="Z409" s="1685"/>
      <c r="AA409" s="1685"/>
      <c r="AB409" s="1685"/>
      <c r="AC409" s="1685"/>
      <c r="AD409" s="2069"/>
      <c r="AE409" s="2073"/>
      <c r="AF409" s="1685"/>
      <c r="AG409" s="1685"/>
      <c r="AM409" s="1702" t="s">
        <v>969</v>
      </c>
      <c r="AN409" s="1702" t="s">
        <v>971</v>
      </c>
      <c r="AO409" s="1702" t="s">
        <v>972</v>
      </c>
      <c r="AP409" s="1702" t="s">
        <v>111</v>
      </c>
      <c r="BQ409" s="1685"/>
      <c r="BW409" s="1702" t="s">
        <v>969</v>
      </c>
    </row>
    <row r="410" spans="1:75" ht="15">
      <c r="A410" s="1685"/>
      <c r="B410" s="1685"/>
      <c r="C410" s="1685"/>
      <c r="D410" s="1685"/>
      <c r="E410" s="1685"/>
      <c r="F410" s="1685"/>
      <c r="G410" s="1701" t="s">
        <v>974</v>
      </c>
      <c r="H410" s="1701" t="str">
        <f t="shared" ref="H410:J417" si="93">IF(I163="Yes",I163,"")</f>
        <v/>
      </c>
      <c r="I410" s="1701" t="str">
        <f t="shared" si="93"/>
        <v/>
      </c>
      <c r="J410" s="1701" t="str">
        <f t="shared" si="93"/>
        <v/>
      </c>
      <c r="K410" s="1685"/>
      <c r="L410" s="1685"/>
      <c r="M410" s="1701" t="s">
        <v>974</v>
      </c>
      <c r="N410" s="1685"/>
      <c r="O410" s="1685"/>
      <c r="P410" s="1685"/>
      <c r="Q410" s="1685"/>
      <c r="R410" s="1685"/>
      <c r="S410" s="1685"/>
      <c r="T410" s="1685"/>
      <c r="U410" s="1685"/>
      <c r="V410" s="1685"/>
      <c r="W410" s="1685"/>
      <c r="X410" s="1685"/>
      <c r="Y410" s="1685"/>
      <c r="Z410" s="1685"/>
      <c r="AA410" s="1685"/>
      <c r="AB410" s="1685"/>
      <c r="AC410" s="1685"/>
      <c r="AD410" s="2069"/>
      <c r="AE410" s="2073"/>
      <c r="AF410" s="1685"/>
      <c r="AG410" s="1685"/>
      <c r="AM410" s="1702" t="s">
        <v>974</v>
      </c>
      <c r="AN410" s="1702" t="str">
        <f t="shared" ref="AN410:AP417" si="94">IF(TCATrigger="No","",IF(H410="","",H410))</f>
        <v/>
      </c>
      <c r="AO410" s="1702" t="str">
        <f t="shared" si="94"/>
        <v/>
      </c>
      <c r="AP410" s="1702" t="str">
        <f t="shared" si="94"/>
        <v/>
      </c>
      <c r="BQ410" s="1685"/>
      <c r="BW410" s="1702" t="s">
        <v>974</v>
      </c>
    </row>
    <row r="411" spans="1:75" ht="15">
      <c r="A411" s="1685"/>
      <c r="B411" s="1685"/>
      <c r="C411" s="1685"/>
      <c r="D411" s="1685"/>
      <c r="E411" s="1685"/>
      <c r="F411" s="1685"/>
      <c r="G411" s="1701" t="s">
        <v>975</v>
      </c>
      <c r="H411" s="1701" t="str">
        <f t="shared" si="93"/>
        <v/>
      </c>
      <c r="I411" s="1701" t="str">
        <f t="shared" si="93"/>
        <v/>
      </c>
      <c r="J411" s="1701" t="str">
        <f t="shared" si="93"/>
        <v/>
      </c>
      <c r="K411" s="1685"/>
      <c r="L411" s="1685"/>
      <c r="M411" s="1701" t="s">
        <v>975</v>
      </c>
      <c r="N411" s="1685"/>
      <c r="O411" s="1685"/>
      <c r="P411" s="1685"/>
      <c r="Q411" s="1685"/>
      <c r="R411" s="1685"/>
      <c r="S411" s="1685"/>
      <c r="T411" s="1685"/>
      <c r="U411" s="1685"/>
      <c r="V411" s="1685"/>
      <c r="W411" s="1685"/>
      <c r="X411" s="1685"/>
      <c r="Y411" s="1685"/>
      <c r="Z411" s="1685"/>
      <c r="AA411" s="1685"/>
      <c r="AB411" s="1685"/>
      <c r="AC411" s="1685"/>
      <c r="AD411" s="2069"/>
      <c r="AE411" s="2073"/>
      <c r="AF411" s="1685"/>
      <c r="AG411" s="1685"/>
      <c r="AM411" s="1702" t="s">
        <v>975</v>
      </c>
      <c r="AN411" s="1702" t="str">
        <f t="shared" si="94"/>
        <v/>
      </c>
      <c r="AO411" s="1702" t="str">
        <f t="shared" si="94"/>
        <v/>
      </c>
      <c r="AP411" s="1702" t="str">
        <f t="shared" si="94"/>
        <v/>
      </c>
      <c r="BQ411" s="1685"/>
      <c r="BW411" s="1702" t="s">
        <v>975</v>
      </c>
    </row>
    <row r="412" spans="1:75" ht="15">
      <c r="A412" s="1685"/>
      <c r="B412" s="1685"/>
      <c r="C412" s="1685"/>
      <c r="D412" s="1685"/>
      <c r="E412" s="1685"/>
      <c r="F412" s="1685"/>
      <c r="G412" s="1701" t="s">
        <v>977</v>
      </c>
      <c r="H412" s="1701" t="str">
        <f t="shared" si="93"/>
        <v/>
      </c>
      <c r="I412" s="1701" t="str">
        <f t="shared" si="93"/>
        <v/>
      </c>
      <c r="J412" s="1701" t="str">
        <f t="shared" si="93"/>
        <v/>
      </c>
      <c r="K412" s="1685"/>
      <c r="L412" s="1685"/>
      <c r="M412" s="1701" t="s">
        <v>977</v>
      </c>
      <c r="N412" s="1685"/>
      <c r="O412" s="1685"/>
      <c r="P412" s="1685"/>
      <c r="Q412" s="1685"/>
      <c r="R412" s="1685"/>
      <c r="S412" s="1685"/>
      <c r="T412" s="1685"/>
      <c r="U412" s="1685"/>
      <c r="V412" s="1685"/>
      <c r="W412" s="1685"/>
      <c r="X412" s="1685"/>
      <c r="Y412" s="1685"/>
      <c r="Z412" s="1685"/>
      <c r="AA412" s="1685"/>
      <c r="AB412" s="1685"/>
      <c r="AC412" s="1685"/>
      <c r="AD412" s="2069"/>
      <c r="AE412" s="2073"/>
      <c r="AF412" s="1685"/>
      <c r="AG412" s="1685"/>
      <c r="AM412" s="1702" t="s">
        <v>977</v>
      </c>
      <c r="AN412" s="1702" t="str">
        <f t="shared" si="94"/>
        <v/>
      </c>
      <c r="AO412" s="1702" t="str">
        <f t="shared" si="94"/>
        <v/>
      </c>
      <c r="AP412" s="1702" t="str">
        <f t="shared" si="94"/>
        <v/>
      </c>
      <c r="BQ412" s="1685"/>
      <c r="BW412" s="1702" t="s">
        <v>977</v>
      </c>
    </row>
    <row r="413" spans="1:75" ht="15">
      <c r="A413" s="1685"/>
      <c r="B413" s="1685"/>
      <c r="C413" s="1685"/>
      <c r="D413" s="1685"/>
      <c r="E413" s="1685"/>
      <c r="F413" s="1685"/>
      <c r="G413" s="1701" t="s">
        <v>979</v>
      </c>
      <c r="H413" s="1701" t="str">
        <f t="shared" si="93"/>
        <v/>
      </c>
      <c r="I413" s="1701" t="str">
        <f t="shared" si="93"/>
        <v/>
      </c>
      <c r="J413" s="1701" t="str">
        <f t="shared" si="93"/>
        <v/>
      </c>
      <c r="K413" s="1685"/>
      <c r="L413" s="1685"/>
      <c r="M413" s="1701" t="s">
        <v>979</v>
      </c>
      <c r="N413" s="1685"/>
      <c r="O413" s="1685"/>
      <c r="P413" s="1685"/>
      <c r="Q413" s="1685"/>
      <c r="R413" s="1685"/>
      <c r="S413" s="1685"/>
      <c r="T413" s="1685"/>
      <c r="U413" s="1685"/>
      <c r="V413" s="1685"/>
      <c r="W413" s="1685"/>
      <c r="X413" s="1685"/>
      <c r="Y413" s="1685"/>
      <c r="Z413" s="1685"/>
      <c r="AA413" s="1685"/>
      <c r="AB413" s="1685"/>
      <c r="AC413" s="1685"/>
      <c r="AD413" s="2069"/>
      <c r="AE413" s="2073"/>
      <c r="AF413" s="1685"/>
      <c r="AG413" s="1685"/>
      <c r="AM413" s="1702" t="s">
        <v>979</v>
      </c>
      <c r="AN413" s="1702" t="str">
        <f t="shared" si="94"/>
        <v/>
      </c>
      <c r="AO413" s="1702" t="str">
        <f t="shared" si="94"/>
        <v/>
      </c>
      <c r="AP413" s="1702" t="str">
        <f t="shared" si="94"/>
        <v/>
      </c>
      <c r="BQ413" s="1685"/>
      <c r="BW413" s="1702" t="s">
        <v>979</v>
      </c>
    </row>
    <row r="414" spans="1:75" ht="15">
      <c r="A414" s="1685"/>
      <c r="B414" s="1685"/>
      <c r="C414" s="1685"/>
      <c r="D414" s="1685"/>
      <c r="E414" s="1685"/>
      <c r="F414" s="1685"/>
      <c r="G414" s="1701" t="s">
        <v>982</v>
      </c>
      <c r="H414" s="1701" t="str">
        <f t="shared" si="93"/>
        <v/>
      </c>
      <c r="I414" s="1701" t="str">
        <f t="shared" si="93"/>
        <v/>
      </c>
      <c r="J414" s="1701" t="str">
        <f t="shared" si="93"/>
        <v/>
      </c>
      <c r="K414" s="1685"/>
      <c r="L414" s="1685"/>
      <c r="M414" s="1701" t="s">
        <v>982</v>
      </c>
      <c r="N414" s="1685"/>
      <c r="O414" s="1685"/>
      <c r="P414" s="1685"/>
      <c r="Q414" s="1685"/>
      <c r="R414" s="1685"/>
      <c r="S414" s="1685"/>
      <c r="T414" s="1685"/>
      <c r="U414" s="1685"/>
      <c r="V414" s="1685"/>
      <c r="W414" s="1685"/>
      <c r="X414" s="1685"/>
      <c r="Y414" s="1685"/>
      <c r="Z414" s="1685"/>
      <c r="AA414" s="1685"/>
      <c r="AB414" s="1685"/>
      <c r="AC414" s="1685"/>
      <c r="AD414" s="2069"/>
      <c r="AE414" s="2073"/>
      <c r="AF414" s="1685"/>
      <c r="AG414" s="1685"/>
      <c r="AM414" s="1702" t="s">
        <v>982</v>
      </c>
      <c r="AN414" s="1702" t="str">
        <f t="shared" si="94"/>
        <v/>
      </c>
      <c r="AO414" s="1702" t="str">
        <f t="shared" si="94"/>
        <v/>
      </c>
      <c r="AP414" s="1702" t="str">
        <f t="shared" si="94"/>
        <v/>
      </c>
      <c r="BQ414" s="1685"/>
      <c r="BW414" s="1702" t="s">
        <v>982</v>
      </c>
    </row>
    <row r="415" spans="1:75" ht="15">
      <c r="A415" s="1685"/>
      <c r="B415" s="1685"/>
      <c r="C415" s="1685"/>
      <c r="D415" s="1685"/>
      <c r="E415" s="1685"/>
      <c r="F415" s="1685"/>
      <c r="G415" s="1701" t="s">
        <v>984</v>
      </c>
      <c r="H415" s="1701" t="str">
        <f t="shared" si="93"/>
        <v/>
      </c>
      <c r="I415" s="1701" t="str">
        <f t="shared" si="93"/>
        <v/>
      </c>
      <c r="J415" s="1701" t="str">
        <f t="shared" si="93"/>
        <v/>
      </c>
      <c r="K415" s="1685"/>
      <c r="L415" s="1685"/>
      <c r="M415" s="1701" t="s">
        <v>984</v>
      </c>
      <c r="N415" s="1685"/>
      <c r="O415" s="1685"/>
      <c r="P415" s="1685"/>
      <c r="Q415" s="1685"/>
      <c r="R415" s="1685"/>
      <c r="S415" s="1685"/>
      <c r="T415" s="1685"/>
      <c r="U415" s="1685"/>
      <c r="V415" s="1685"/>
      <c r="W415" s="1685"/>
      <c r="X415" s="1685"/>
      <c r="Y415" s="1685"/>
      <c r="Z415" s="1685"/>
      <c r="AA415" s="1685"/>
      <c r="AB415" s="1685"/>
      <c r="AC415" s="1685"/>
      <c r="AD415" s="2069"/>
      <c r="AE415" s="2073"/>
      <c r="AF415" s="1685"/>
      <c r="AG415" s="1685"/>
      <c r="AM415" s="1702" t="s">
        <v>984</v>
      </c>
      <c r="AN415" s="1702" t="str">
        <f t="shared" si="94"/>
        <v/>
      </c>
      <c r="AO415" s="1702" t="str">
        <f t="shared" si="94"/>
        <v/>
      </c>
      <c r="AP415" s="1702" t="str">
        <f t="shared" si="94"/>
        <v/>
      </c>
      <c r="BQ415" s="1685"/>
      <c r="BW415" s="1702" t="s">
        <v>984</v>
      </c>
    </row>
    <row r="416" spans="1:75" ht="15">
      <c r="A416" s="1685"/>
      <c r="B416" s="1685"/>
      <c r="C416" s="1685"/>
      <c r="D416" s="1685"/>
      <c r="E416" s="1685"/>
      <c r="F416" s="1685"/>
      <c r="G416" s="1701" t="s">
        <v>197</v>
      </c>
      <c r="H416" s="1701" t="str">
        <f t="shared" si="93"/>
        <v/>
      </c>
      <c r="I416" s="1701" t="str">
        <f t="shared" si="93"/>
        <v/>
      </c>
      <c r="J416" s="1701" t="str">
        <f t="shared" si="93"/>
        <v/>
      </c>
      <c r="K416" s="1685"/>
      <c r="L416" s="1685"/>
      <c r="M416" s="1701" t="s">
        <v>197</v>
      </c>
      <c r="N416" s="1685"/>
      <c r="O416" s="1685"/>
      <c r="P416" s="1685"/>
      <c r="Q416" s="1685"/>
      <c r="R416" s="1685"/>
      <c r="S416" s="1685"/>
      <c r="T416" s="1685"/>
      <c r="U416" s="1685"/>
      <c r="V416" s="1685"/>
      <c r="W416" s="1685"/>
      <c r="X416" s="1685"/>
      <c r="Y416" s="1685"/>
      <c r="Z416" s="1685"/>
      <c r="AA416" s="1685"/>
      <c r="AB416" s="1685"/>
      <c r="AC416" s="1685"/>
      <c r="AD416" s="2069"/>
      <c r="AE416" s="2073"/>
      <c r="AF416" s="1685"/>
      <c r="AG416" s="1685"/>
      <c r="AM416" s="1702" t="s">
        <v>197</v>
      </c>
      <c r="AN416" s="1702" t="str">
        <f t="shared" si="94"/>
        <v/>
      </c>
      <c r="AO416" s="1702" t="str">
        <f t="shared" si="94"/>
        <v/>
      </c>
      <c r="AP416" s="1702" t="str">
        <f t="shared" si="94"/>
        <v/>
      </c>
      <c r="BQ416" s="1685"/>
      <c r="BW416" s="1702" t="s">
        <v>197</v>
      </c>
    </row>
    <row r="417" spans="1:75" ht="15">
      <c r="A417" s="1685"/>
      <c r="B417" s="1685"/>
      <c r="C417" s="1685"/>
      <c r="D417" s="1685"/>
      <c r="E417" s="1685"/>
      <c r="F417" s="1685"/>
      <c r="G417" s="1701" t="s">
        <v>985</v>
      </c>
      <c r="H417" s="1701" t="str">
        <f t="shared" si="93"/>
        <v/>
      </c>
      <c r="I417" s="1701" t="str">
        <f t="shared" si="93"/>
        <v/>
      </c>
      <c r="J417" s="1701" t="str">
        <f t="shared" si="93"/>
        <v/>
      </c>
      <c r="K417" s="1685"/>
      <c r="L417" s="1685"/>
      <c r="M417" s="1701" t="s">
        <v>985</v>
      </c>
      <c r="N417" s="1685"/>
      <c r="O417" s="1685"/>
      <c r="P417" s="1685"/>
      <c r="Q417" s="1685"/>
      <c r="R417" s="1685"/>
      <c r="S417" s="1685"/>
      <c r="T417" s="1685"/>
      <c r="U417" s="1685"/>
      <c r="V417" s="1685"/>
      <c r="W417" s="1685"/>
      <c r="X417" s="1685"/>
      <c r="Y417" s="1685"/>
      <c r="Z417" s="1685"/>
      <c r="AA417" s="1685"/>
      <c r="AB417" s="1685"/>
      <c r="AC417" s="1685"/>
      <c r="AD417" s="2069"/>
      <c r="AE417" s="2073"/>
      <c r="AF417" s="1685"/>
      <c r="AG417" s="1685"/>
      <c r="AM417" s="1702" t="s">
        <v>985</v>
      </c>
      <c r="AN417" s="1702" t="str">
        <f t="shared" si="94"/>
        <v/>
      </c>
      <c r="AO417" s="1702" t="str">
        <f t="shared" si="94"/>
        <v/>
      </c>
      <c r="AP417" s="1702" t="str">
        <f t="shared" si="94"/>
        <v/>
      </c>
      <c r="BQ417" s="1685"/>
      <c r="BW417" s="1702" t="s">
        <v>985</v>
      </c>
    </row>
    <row r="418" spans="1:75" ht="15">
      <c r="A418" s="1685"/>
      <c r="B418" s="1685"/>
      <c r="C418" s="1685"/>
      <c r="D418" s="1685"/>
      <c r="E418" s="1685"/>
      <c r="F418" s="1685"/>
      <c r="G418" s="1685"/>
      <c r="H418" s="1685"/>
      <c r="I418" s="1685"/>
      <c r="J418" s="1685"/>
      <c r="K418" s="1685"/>
      <c r="L418" s="1685"/>
      <c r="M418" s="1685"/>
      <c r="N418" s="1685"/>
      <c r="O418" s="1685"/>
      <c r="P418" s="1685"/>
      <c r="Q418" s="1685"/>
      <c r="R418" s="1685"/>
      <c r="S418" s="1685"/>
      <c r="T418" s="1685"/>
      <c r="U418" s="1685"/>
      <c r="V418" s="1685"/>
      <c r="W418" s="1685"/>
      <c r="X418" s="1685"/>
      <c r="Y418" s="1685"/>
      <c r="Z418" s="1685"/>
      <c r="AA418" s="1685"/>
      <c r="AB418" s="1685"/>
      <c r="AC418" s="1685"/>
      <c r="AD418" s="2069"/>
      <c r="AE418" s="2073"/>
      <c r="AF418" s="1685"/>
      <c r="AG418" s="1685"/>
      <c r="BQ418" s="1685"/>
    </row>
    <row r="419" spans="1:75" ht="15">
      <c r="A419" s="1685"/>
      <c r="B419" s="1685"/>
      <c r="C419" s="1685"/>
      <c r="D419" s="1685"/>
      <c r="E419" s="1685"/>
      <c r="F419" s="1685"/>
      <c r="G419" s="1685" t="s">
        <v>1486</v>
      </c>
      <c r="H419" s="1685"/>
      <c r="I419" s="1685"/>
      <c r="J419" s="1685"/>
      <c r="K419" s="1685"/>
      <c r="L419" s="1685"/>
      <c r="M419" s="1685"/>
      <c r="N419" s="1685"/>
      <c r="O419" s="1685"/>
      <c r="P419" s="1685"/>
      <c r="Q419" s="1685"/>
      <c r="R419" s="1685"/>
      <c r="S419" s="1685"/>
      <c r="T419" s="1685"/>
      <c r="U419" s="1685"/>
      <c r="V419" s="1685"/>
      <c r="W419" s="1685"/>
      <c r="X419" s="1685"/>
      <c r="Y419" s="1685"/>
      <c r="Z419" s="1685"/>
      <c r="AA419" s="1685"/>
      <c r="AB419" s="1685"/>
      <c r="AC419" s="1685"/>
      <c r="AD419" s="2069"/>
      <c r="AE419" s="2073"/>
      <c r="AF419" s="1685"/>
      <c r="AG419" s="1685"/>
      <c r="AM419" s="1685" t="s">
        <v>1486</v>
      </c>
      <c r="AN419" s="1685"/>
      <c r="AO419" s="1685"/>
      <c r="AP419" s="1685"/>
      <c r="AQ419" s="1685"/>
      <c r="AR419" s="1685"/>
      <c r="AS419" s="1685"/>
      <c r="AT419" s="1685"/>
      <c r="AU419" s="1685"/>
      <c r="BQ419" s="1685"/>
      <c r="BW419" s="1685" t="s">
        <v>1486</v>
      </c>
    </row>
    <row r="420" spans="1:75" ht="15">
      <c r="A420" s="1685"/>
      <c r="B420" s="1685"/>
      <c r="C420" s="1685"/>
      <c r="D420" s="1685"/>
      <c r="E420" s="1685"/>
      <c r="F420" s="1685"/>
      <c r="G420" s="1743" t="s">
        <v>1487</v>
      </c>
      <c r="H420" s="1743" t="s">
        <v>1488</v>
      </c>
      <c r="I420" s="1701" t="s">
        <v>1489</v>
      </c>
      <c r="J420" s="1701" t="s">
        <v>1490</v>
      </c>
      <c r="K420" s="1743" t="s">
        <v>1491</v>
      </c>
      <c r="L420" s="1701" t="s">
        <v>1492</v>
      </c>
      <c r="M420" s="1701" t="s">
        <v>1493</v>
      </c>
      <c r="N420" s="1701" t="s">
        <v>1494</v>
      </c>
      <c r="O420" s="1701" t="s">
        <v>1495</v>
      </c>
      <c r="P420" s="1685"/>
      <c r="Q420" s="1685"/>
      <c r="R420" s="1685"/>
      <c r="S420" s="1685"/>
      <c r="T420" s="1685"/>
      <c r="U420" s="1685"/>
      <c r="V420" s="1685"/>
      <c r="W420" s="1685"/>
      <c r="X420" s="1685"/>
      <c r="Y420" s="1685"/>
      <c r="Z420" s="1685"/>
      <c r="AA420" s="1685"/>
      <c r="AB420" s="1685"/>
      <c r="AC420" s="1685"/>
      <c r="AD420" s="2069"/>
      <c r="AE420" s="2073"/>
      <c r="AF420" s="1685"/>
      <c r="AG420" s="1685"/>
      <c r="AM420" s="1743" t="s">
        <v>1487</v>
      </c>
      <c r="AN420" s="1744" t="s">
        <v>1488</v>
      </c>
      <c r="AO420" s="1701" t="s">
        <v>1489</v>
      </c>
      <c r="AP420" s="1701" t="s">
        <v>1490</v>
      </c>
      <c r="AQ420" s="1744" t="s">
        <v>1491</v>
      </c>
      <c r="AR420" s="1701" t="s">
        <v>1492</v>
      </c>
      <c r="AS420" s="1701" t="s">
        <v>1493</v>
      </c>
      <c r="AT420" s="1701" t="s">
        <v>1494</v>
      </c>
      <c r="AU420" s="1701" t="s">
        <v>1495</v>
      </c>
      <c r="BQ420" s="1685"/>
      <c r="BW420" s="1743" t="s">
        <v>1487</v>
      </c>
    </row>
    <row r="421" spans="1:75" ht="15">
      <c r="A421" s="1685"/>
      <c r="B421" s="1685"/>
      <c r="C421" s="1685"/>
      <c r="D421" s="1685"/>
      <c r="E421" s="1685"/>
      <c r="F421" s="1685"/>
      <c r="G421" s="1745" t="s">
        <v>141</v>
      </c>
      <c r="H421" s="1701" t="str">
        <f>IF(rng02_Summary_Res_Config_NoUnitSRO=0,"",rng02_Summary_Res_Config_NoUnitSRO)</f>
        <v/>
      </c>
      <c r="I421" s="1701" t="str">
        <f>IF(rng02_Summary_Res_Config_NoMktUnitSRO=0,"",rng02_Summary_Res_Config_NoMktUnitSRO)</f>
        <v/>
      </c>
      <c r="J421" s="1701">
        <f>IF(rng02_Summary_Res_Config_NRSFPerUnitSRO,"",rng02_Summary_Res_Config_NRSFPerUnitSRO)</f>
        <v>0</v>
      </c>
      <c r="K421" s="1701" t="str">
        <f>IF(rng02_Summary_Res_Config_NRSFLIHTC_SRO=0,"",rng02_Summary_Res_Config_NRSFLIHTC_SRO)</f>
        <v/>
      </c>
      <c r="L421" s="1701" t="str">
        <f>IF(rng02_Summary_Res_Config_NRSFMkt_SRO=0,"",rng02_Summary_Res_Config_NRSFMkt_SRO)</f>
        <v/>
      </c>
      <c r="M421" s="1701" t="str">
        <f>IF(rng02_Summary_Res_Config_RIHPropRent_SRO=0,"",rng02_Summary_Res_Config_RIHPropRent_SRO)</f>
        <v/>
      </c>
      <c r="N421" s="1701" t="str">
        <f>IF(rng02_Summary_Res_Config_PropRentMkt_SRO=0,"",rng02_Summary_Res_Config_PropRentMkt_SRO)</f>
        <v/>
      </c>
      <c r="O421" s="1701" t="str">
        <f>IF(rng02_Summary_Res_Config_CurrContractRent_SRO=0,"",rng02_Summary_Res_Config_CurrContractRent_SRO)</f>
        <v/>
      </c>
      <c r="P421" s="1685"/>
      <c r="Q421" s="1685"/>
      <c r="R421" s="1685"/>
      <c r="S421" s="1685"/>
      <c r="T421" s="1685"/>
      <c r="U421" s="1685"/>
      <c r="V421" s="1685"/>
      <c r="W421" s="1685"/>
      <c r="X421" s="1685"/>
      <c r="Y421" s="1685"/>
      <c r="Z421" s="1685"/>
      <c r="AA421" s="1685"/>
      <c r="AB421" s="1685"/>
      <c r="AC421" s="1685"/>
      <c r="AD421" s="2069"/>
      <c r="AE421" s="2073"/>
      <c r="AF421" s="1685"/>
      <c r="AG421" s="1685"/>
      <c r="AM421" s="1746" t="str">
        <f>IF(TCATrigger="No","","SRO")</f>
        <v/>
      </c>
      <c r="AN421" s="1701" t="str">
        <f>IF(OR(TCATrigger="No",rng02_Summary_Res_Config_NoUnitSRO=0),"",rng02_Summary_Res_Config_NoUnitSRO)</f>
        <v/>
      </c>
      <c r="AO421" s="1701" t="str">
        <f>IF(OR(TCATrigger="No",rng02_Summary_Res_Config_NoMktUnitSRO=0),"",rng02_Summary_Res_Config_NoMktUnitSRO)</f>
        <v/>
      </c>
      <c r="AP421" s="1701" t="str">
        <f>IF(OR(TCATrigger="No",rng02_Summary_Res_Config_NRSFPerUnitSRO=0),"",rng02_Summary_Res_Config_NRSFPerUnitSRO)</f>
        <v/>
      </c>
      <c r="AQ421" s="1701" t="str">
        <f>IF(OR(TCATrigger="No",rng02_Summary_Res_Config_NRSFLIHTC_SRO=0),"",rng02_Summary_Res_Config_NRSFLIHTC_SRO)</f>
        <v/>
      </c>
      <c r="AR421" s="1701" t="str">
        <f>IF(OR(TCATrigger="No",rng02_Summary_Res_Config_NRSFMkt_SRO=0),"",rng02_Summary_Res_Config_NRSFMkt_SRO)</f>
        <v/>
      </c>
      <c r="AS421" s="1701" t="str">
        <f>IF(OR(TCATrigger="No",rng02_Summary_Res_Config_RIHPropRent_SRO=0),"",rng02_Summary_Res_Config_RIHPropRent_SRO)</f>
        <v/>
      </c>
      <c r="AT421" s="1701" t="str">
        <f>IF(OR(TCATrigger="No",rng02_Summary_Res_Config_PropRentMkt_SRO=0),"",rng02_Summary_Res_Config_PropRentMkt_SRO)</f>
        <v/>
      </c>
      <c r="AU421" s="1701" t="str">
        <f>IF(OR(TCATrigger="No",rng02_Summary_Res_Config_CurrContractRent_SRO=0),"",rng02_Summary_Res_Config_CurrContractRent_SRO)</f>
        <v/>
      </c>
      <c r="BQ421" s="1685"/>
      <c r="BW421" s="1746" t="str">
        <f>IF(TCATrigger="No","","SRO")</f>
        <v/>
      </c>
    </row>
    <row r="422" spans="1:75" ht="15">
      <c r="A422" s="1685"/>
      <c r="B422" s="1685"/>
      <c r="C422" s="1685"/>
      <c r="D422" s="1685"/>
      <c r="E422" s="1685"/>
      <c r="F422" s="1685"/>
      <c r="G422" s="1745" t="s">
        <v>168</v>
      </c>
      <c r="H422" s="1701" t="str">
        <f>IF(rng02_Summary_Res_Config_NoUnitsEfficiency=0,"",rng02_Summary_Res_Config_NoUnitsEfficiency)</f>
        <v/>
      </c>
      <c r="I422" s="1701" t="str">
        <f>IF(rng02_Summary_Res_Config_NoMktUnitEFF=0,"",rng02_Summary_Res_Config_NoMktUnitEFF)</f>
        <v/>
      </c>
      <c r="J422" s="1701">
        <f>IF(rng02_Summary_Res_Config_NRSFPerUnitEFF,"",rng02_Summary_Res_Config_NRSFPerUnitEFF)</f>
        <v>0</v>
      </c>
      <c r="K422" s="1701" t="str">
        <f>IF(rng02_Summary_Res_Config_NRSFLIHTC_EFF=0,"",rng02_Summary_Res_Config_NRSFLIHTC_EFF)</f>
        <v/>
      </c>
      <c r="L422" s="1701" t="str">
        <f>IF(rng02_Summary_Res_Config_NRSFMkt_EFF=0,"",rng02_Summary_Res_Config_NRSFMkt_EFF)</f>
        <v/>
      </c>
      <c r="M422" s="1701" t="str">
        <f>IF(rng02_Summary_Res_Config_RIHPropRent_EFF=0,"",rng02_Summary_Res_Config_RIHPropRent_EFF)</f>
        <v/>
      </c>
      <c r="N422" s="1701" t="str">
        <f>IF(rng02_Summary_Res_Config_PropRentMkt_EFF=0,"",rng02_Summary_Res_Config_PropRentMkt_EFF)</f>
        <v/>
      </c>
      <c r="O422" s="1701" t="str">
        <f>IF(rng02_Summary_Res_Config_CurrContractRent_EFF=0,"",rng02_Summary_Res_Config_CurrContractRent_EFF)</f>
        <v/>
      </c>
      <c r="P422" s="1685"/>
      <c r="Q422" s="1685"/>
      <c r="R422" s="1685"/>
      <c r="S422" s="1685"/>
      <c r="T422" s="1685"/>
      <c r="U422" s="1685"/>
      <c r="V422" s="1685"/>
      <c r="W422" s="1685"/>
      <c r="X422" s="1685"/>
      <c r="Y422" s="1685"/>
      <c r="Z422" s="1685"/>
      <c r="AA422" s="1685"/>
      <c r="AB422" s="1685"/>
      <c r="AC422" s="1685"/>
      <c r="AD422" s="2069"/>
      <c r="AE422" s="2073"/>
      <c r="AF422" s="1685"/>
      <c r="AG422" s="1685"/>
      <c r="AM422" s="1747" t="str">
        <f>IF(TCATrigger="No","","Efficiency")</f>
        <v/>
      </c>
      <c r="AN422" s="1701" t="str">
        <f>IF(OR(TCATrigger="No",rng02_Summary_Res_Config_NoUnitsEfficiency=0),"",rng02_Summary_Res_Config_NoUnitsEfficiency)</f>
        <v/>
      </c>
      <c r="AO422" s="1701" t="str">
        <f>IF(OR(TCATrigger="No",rng02_Summary_Res_Config_NoMktUnitEFF=0),"",rng02_Summary_Res_Config_NoMktUnitEFF)</f>
        <v/>
      </c>
      <c r="AP422" s="1701" t="str">
        <f>IF(OR(TCATrigger="No",rng02_Summary_Res_Config_NRSFPerUnitEFF=0),"",rng02_Summary_Res_Config_NRSFPerUnitEFF)</f>
        <v/>
      </c>
      <c r="AQ422" s="1701" t="str">
        <f>IF(OR(TCATrigger="No",rng02_Summary_Res_Config_NRSFLIHTC_EFF=0),"",rng02_Summary_Res_Config_NRSFLIHTC_EFF)</f>
        <v/>
      </c>
      <c r="AR422" s="1701" t="str">
        <f>IF(OR(TCATrigger="No",rng02_Summary_Res_Config_NRSFMkt_EFF=0),"",rng02_Summary_Res_Config_NRSFMkt_EFF)</f>
        <v/>
      </c>
      <c r="AS422" s="1701" t="str">
        <f>IF(OR(TCATrigger="No",rng02_Summary_Res_Config_RIHPropRent_EFF=0),"",rng02_Summary_Res_Config_RIHPropRent_EFF)</f>
        <v/>
      </c>
      <c r="AT422" s="1701" t="str">
        <f>IF(OR(TCATrigger="No",rng02_Summary_Res_Config_PropRentMkt_EFF=0),"",rng02_Summary_Res_Config_PropRentMkt_EFF)</f>
        <v/>
      </c>
      <c r="AU422" s="1701" t="str">
        <f>IF(OR(TCATrigger="No",rng02_Summary_Res_Config_CurrContractRent_EFF=0),"",rng02_Summary_Res_Config_CurrContractRent_EFF)</f>
        <v/>
      </c>
      <c r="BQ422" s="1685"/>
      <c r="BW422" s="1747" t="str">
        <f>IF(TCATrigger="No","","Efficiency")</f>
        <v/>
      </c>
    </row>
    <row r="423" spans="1:75" ht="15">
      <c r="A423" s="1685"/>
      <c r="B423" s="1685"/>
      <c r="C423" s="1685"/>
      <c r="D423" s="1685"/>
      <c r="E423" s="1685"/>
      <c r="F423" s="1685"/>
      <c r="G423" s="1701">
        <v>1</v>
      </c>
      <c r="H423" s="1701" t="str">
        <f>IF(rng02_Summary_Res_Config_NoUnit1BR=0,"",rng02_Summary_Res_Config_NoUnit1BR)</f>
        <v/>
      </c>
      <c r="I423" s="1701" t="str">
        <f>IF(rng02_Summary_Res_Config_NoMktUnit1BR=0,"",rng02_Summary_Res_Config_NoMktUnit1BR)</f>
        <v/>
      </c>
      <c r="J423" s="1701" t="str">
        <f>IF(rng02_Summary_Res_Config_NRSFPerUnit1BR=0,"",rng02_Summary_Res_Config_NRSFPerUnit1BR)</f>
        <v/>
      </c>
      <c r="K423" s="1701" t="str">
        <f>IF(rng02_Summary_Res_Config_NRSFLIHTC_1BR=0,"",rng02_Summary_Res_Config_NRSFLIHTC_1BR)</f>
        <v/>
      </c>
      <c r="L423" s="1701" t="str">
        <f>IF(rng02_Summary_Res_Config_NRSFMkt_1BR=0,"",rng02_Summary_Res_Config_NRSFMkt_1BR)</f>
        <v/>
      </c>
      <c r="M423" s="1701" t="str">
        <f>IF(rng02_Summary_Res_Config_RIHPropRent_1BR=0,"",rng02_Summary_Res_Config_RIHPropRent_1BR)</f>
        <v/>
      </c>
      <c r="N423" s="1701" t="str">
        <f>IF(rng02_Summary_Res_Config_PropRentMkt_1BR=0,"",rng02_Summary_Res_Config_PropRentMkt_1BR)</f>
        <v/>
      </c>
      <c r="O423" s="1701" t="str">
        <f>IF(rng02_Summary_Res_Config_CurrContractRent_1BR=0,"",rng02_Summary_Res_Config_CurrContractRent_1BR)</f>
        <v/>
      </c>
      <c r="P423" s="1685"/>
      <c r="Q423" s="1685"/>
      <c r="R423" s="1685"/>
      <c r="S423" s="1685"/>
      <c r="T423" s="1685"/>
      <c r="U423" s="1685"/>
      <c r="V423" s="1685"/>
      <c r="W423" s="1685"/>
      <c r="X423" s="1685"/>
      <c r="Y423" s="1685"/>
      <c r="Z423" s="1685"/>
      <c r="AA423" s="1685"/>
      <c r="AB423" s="1685"/>
      <c r="AC423" s="1685"/>
      <c r="AD423" s="2069"/>
      <c r="AE423" s="2073"/>
      <c r="AF423" s="1685"/>
      <c r="AG423" s="1685"/>
      <c r="AM423" s="1748" t="str">
        <f>IF(TCATrigger="No","","1 BR")</f>
        <v/>
      </c>
      <c r="AN423" s="1701" t="str">
        <f>IF(OR(TCATrigger="No",rng02_Summary_Res_Config_NoUnit1BR=0),"",rng02_Summary_Res_Config_NoUnit1BR)</f>
        <v/>
      </c>
      <c r="AO423" s="1701" t="str">
        <f>IF(OR(TCATrigger="No",rng02_Summary_Res_Config_NoMktUnit1BR=0),"",rng02_Summary_Res_Config_NoMktUnit1BR)</f>
        <v/>
      </c>
      <c r="AP423" s="1701" t="str">
        <f>IF(OR(TCATrigger="No",rng02_Summary_Res_Config_NRSFPerUnit1BR=0),"",rng02_Summary_Res_Config_NRSFPerUnit1BR)</f>
        <v/>
      </c>
      <c r="AQ423" s="1701" t="str">
        <f>IF(OR(TCATrigger="No",rng02_Summary_Res_Config_NRSFLIHTC_1BR=0),"",rng02_Summary_Res_Config_NRSFLIHTC_1BR)</f>
        <v/>
      </c>
      <c r="AR423" s="1701" t="str">
        <f>IF(OR(TCATrigger="No",rng02_Summary_Res_Config_NRSFMkt_1BR=0),"",rng02_Summary_Res_Config_NRSFMkt_1BR)</f>
        <v/>
      </c>
      <c r="AS423" s="1701" t="str">
        <f>IF(OR(TCATrigger="No",rng02_Summary_Res_Config_RIHPropRent_1BR=0),"",rng02_Summary_Res_Config_RIHPropRent_1BR)</f>
        <v/>
      </c>
      <c r="AT423" s="1701" t="str">
        <f>IF(OR(TCATrigger="No",rng02_Summary_Res_Config_PropRentMkt_1BR=0),"",rng02_Summary_Res_Config_PropRentMkt_1BR)</f>
        <v/>
      </c>
      <c r="AU423" s="1701" t="str">
        <f>IF(OR(TCATrigger="No",rng02_Summary_Res_Config_CurrContractRent_1BR=0),"",rng02_Summary_Res_Config_CurrContractRent_1BR)</f>
        <v/>
      </c>
      <c r="BQ423" s="1685"/>
      <c r="BW423" s="1748" t="str">
        <f>IF(TCATrigger="No","","1 BR")</f>
        <v/>
      </c>
    </row>
    <row r="424" spans="1:75" ht="15">
      <c r="A424" s="1685"/>
      <c r="B424" s="1685"/>
      <c r="C424" s="1685"/>
      <c r="D424" s="1685"/>
      <c r="E424" s="1685"/>
      <c r="F424" s="1685"/>
      <c r="G424" s="1701">
        <v>2</v>
      </c>
      <c r="H424" s="1701" t="str">
        <f>IF(rng02_Summary_Res_Config_NoUnit2BR=0,"",rng02_Summary_Res_Config_NoUnit2BR)</f>
        <v/>
      </c>
      <c r="I424" s="1701" t="str">
        <f>IF(rng02_Summary_Res_Config_NoMktUnit2BR=0,"",rng02_Summary_Res_Config_NoMktUnit2BR)</f>
        <v/>
      </c>
      <c r="J424" s="1701" t="str">
        <f>IF(rng02_Summary_Res_Config_NRSFPerUnit2BR=0,"",rng02_Summary_Res_Config_NRSFPerUnit2BR)</f>
        <v/>
      </c>
      <c r="K424" s="1701" t="str">
        <f>IF(rng02_Summary_Res_Config_NRSFLIHTC_2BR=0,"",rng02_Summary_Res_Config_NRSFLIHTC_2BR)</f>
        <v/>
      </c>
      <c r="L424" s="1701" t="str">
        <f>IF(rng02_Summary_Res_Config_NRSFMkt_2BR=0,"",rng02_Summary_Res_Config_NRSFMkt_2BR)</f>
        <v/>
      </c>
      <c r="M424" s="1701" t="str">
        <f>IF(rng02_Summary_Res_Config_RIHPropRent_2BR=0,"",rng02_Summary_Res_Config_RIHPropRent_2BR)</f>
        <v/>
      </c>
      <c r="N424" s="1701" t="str">
        <f>IF(rng02_Summary_Res_Config_PropRentMkt_2BR=0,"",rng02_Summary_Res_Config_PropRentMkt_2BR)</f>
        <v/>
      </c>
      <c r="O424" s="1701" t="str">
        <f>IF(rng02_Summary_Res_Config_CurrContractRent_2BR=0,"",rng02_Summary_Res_Config_CurrContractRent_2BR)</f>
        <v/>
      </c>
      <c r="P424" s="1685"/>
      <c r="Q424" s="1685"/>
      <c r="R424" s="1685"/>
      <c r="S424" s="1685"/>
      <c r="T424" s="1685"/>
      <c r="U424" s="1685"/>
      <c r="V424" s="1685"/>
      <c r="W424" s="1685"/>
      <c r="X424" s="1685"/>
      <c r="Y424" s="1685"/>
      <c r="Z424" s="1685"/>
      <c r="AA424" s="1685"/>
      <c r="AB424" s="1685"/>
      <c r="AC424" s="1685"/>
      <c r="AD424" s="2069"/>
      <c r="AE424" s="2073"/>
      <c r="AF424" s="1685"/>
      <c r="AG424" s="1685"/>
      <c r="AM424" s="1746" t="str">
        <f>IF(TCATrigger="No","","2 BR")</f>
        <v/>
      </c>
      <c r="AN424" s="1701" t="str">
        <f>IF(OR(TCATrigger="No",rng02_Summary_Res_Config_NoUnit2BR=0),"",rng02_Summary_Res_Config_NoUnit2BR)</f>
        <v/>
      </c>
      <c r="AO424" s="1701" t="str">
        <f>IF(OR(TCATrigger="No",rng02_Summary_Res_Config_NoMktUnit2BR=0),"",rng02_Summary_Res_Config_NoMktUnit2BR)</f>
        <v/>
      </c>
      <c r="AP424" s="1701" t="str">
        <f>IF(OR(TCATrigger="No",rng02_Summary_Res_Config_NRSFPerUnit2BR=0),"",rng02_Summary_Res_Config_NRSFPerUnit2BR)</f>
        <v/>
      </c>
      <c r="AQ424" s="1701" t="str">
        <f>IF(OR(TCATrigger="No",rng02_Summary_Res_Config_NRSFLIHTC_2BR=0),"",rng02_Summary_Res_Config_NRSFLIHTC_2BR)</f>
        <v/>
      </c>
      <c r="AR424" s="1701" t="str">
        <f>IF(OR(TCATrigger="No",rng02_Summary_Res_Config_NRSFMkt_2BR=0),"",rng02_Summary_Res_Config_NRSFMkt_2BR)</f>
        <v/>
      </c>
      <c r="AS424" s="1701" t="str">
        <f>IF(OR(TCATrigger="No",rng02_Summary_Res_Config_RIHPropRent_2BR=0),"",rng02_Summary_Res_Config_RIHPropRent_2BR)</f>
        <v/>
      </c>
      <c r="AT424" s="1701" t="str">
        <f>IF(OR(TCATrigger="No",rng02_Summary_Res_Config_PropRentMkt_2BR=0),"",rng02_Summary_Res_Config_PropRentMkt_2BR)</f>
        <v/>
      </c>
      <c r="AU424" s="1701" t="str">
        <f>IF(OR(TCATrigger="No",rng02_Summary_Res_Config_CurrContractRent_2BR=0),"",rng02_Summary_Res_Config_CurrContractRent_2BR)</f>
        <v/>
      </c>
      <c r="BQ424" s="1685"/>
      <c r="BW424" s="1746" t="str">
        <f>IF(TCATrigger="No","","2 BR")</f>
        <v/>
      </c>
    </row>
    <row r="425" spans="1:75" ht="15">
      <c r="A425" s="1685"/>
      <c r="B425" s="1685"/>
      <c r="C425" s="1685"/>
      <c r="D425" s="1685"/>
      <c r="E425" s="1685"/>
      <c r="F425" s="1685"/>
      <c r="G425" s="1701">
        <v>3</v>
      </c>
      <c r="H425" s="1701" t="str">
        <f>IF(rng02_Summary_Res_Config_NoUnit3BR=0,"",rng02_Summary_Res_Config_NoUnit3BR)</f>
        <v/>
      </c>
      <c r="I425" s="1701" t="str">
        <f>IF(rng02_Summary_Res_Config_NoMktUnit3BR=0,"",rng02_Summary_Res_Config_NoMktUnit3BR)</f>
        <v/>
      </c>
      <c r="J425" s="1701" t="str">
        <f>IF(rng02_Summary_Res_Config_NRSFPerUnit3BR=0,"",rng02_Summary_Res_Config_NRSFPerUnit3BR)</f>
        <v/>
      </c>
      <c r="K425" s="1701" t="str">
        <f>IF(rng02_Summary_Res_Config_NRSFLIHTC_3BR=0,"",rng02_Summary_Res_Config_NRSFLIHTC_3BR)</f>
        <v/>
      </c>
      <c r="L425" s="1701" t="str">
        <f>IF(rng02_Summary_Res_Config_NRSFMkt_3BR=0,"",rng02_Summary_Res_Config_NRSFMkt_3BR)</f>
        <v/>
      </c>
      <c r="M425" s="1701" t="str">
        <f>IF(rng02_Summary_Res_Config_RIHPropRent_3BR=0,"",rng02_Summary_Res_Config_RIHPropRent_3BR)</f>
        <v/>
      </c>
      <c r="N425" s="1701" t="str">
        <f>IF(rng02_Summary_Res_Config_PropRentMkt_3BR=0,"",rng02_Summary_Res_Config_PropRentMkt_3BR)</f>
        <v/>
      </c>
      <c r="O425" s="1701" t="str">
        <f>IF(rng02_Summary_Res_Config_CurrContractRent_3BR=0,"",rng02_Summary_Res_Config_CurrContractRent_3BR)</f>
        <v/>
      </c>
      <c r="P425" s="1685"/>
      <c r="Q425" s="1685"/>
      <c r="R425" s="1685"/>
      <c r="S425" s="1685"/>
      <c r="T425" s="1685"/>
      <c r="U425" s="1685"/>
      <c r="V425" s="1685"/>
      <c r="W425" s="1685"/>
      <c r="X425" s="1685"/>
      <c r="Y425" s="1685"/>
      <c r="Z425" s="1685"/>
      <c r="AA425" s="1685"/>
      <c r="AB425" s="1685"/>
      <c r="AC425" s="1685"/>
      <c r="AD425" s="2069"/>
      <c r="AE425" s="2073"/>
      <c r="AF425" s="1685"/>
      <c r="AG425" s="1685"/>
      <c r="AM425" s="1746" t="str">
        <f>IF(TCATrigger="No","","3 BR")</f>
        <v/>
      </c>
      <c r="AN425" s="1701" t="str">
        <f>IF(OR(TCATrigger="No",rng02_Summary_Res_Config_NoUnit3BR=0),"",rng02_Summary_Res_Config_NoUnit3BR)</f>
        <v/>
      </c>
      <c r="AO425" s="1701" t="str">
        <f>IF(OR(TCATrigger="No",rng02_Summary_Res_Config_NoMktUnit3BR=0),"",rng02_Summary_Res_Config_NoMktUnit3BR)</f>
        <v/>
      </c>
      <c r="AP425" s="1701" t="str">
        <f>IF(OR(TCATrigger="No",rng02_Summary_Res_Config_NRSFPerUnit3BR=0),"",rng02_Summary_Res_Config_NRSFPerUnit3BR)</f>
        <v/>
      </c>
      <c r="AQ425" s="1701" t="str">
        <f>IF(OR(TCATrigger="No",rng02_Summary_Res_Config_NRSFLIHTC_3BR=0),"",rng02_Summary_Res_Config_NRSFLIHTC_3BR)</f>
        <v/>
      </c>
      <c r="AR425" s="1701" t="str">
        <f>IF(OR(TCATrigger="No",rng02_Summary_Res_Config_NRSFMkt_3BR=0),"",rng02_Summary_Res_Config_NRSFMkt_3BR)</f>
        <v/>
      </c>
      <c r="AS425" s="1701" t="str">
        <f>IF(OR(TCATrigger="No",rng02_Summary_Res_Config_RIHPropRent_3BR=0),"",rng02_Summary_Res_Config_RIHPropRent_3BR)</f>
        <v/>
      </c>
      <c r="AT425" s="1701" t="str">
        <f>IF(OR(TCATrigger="No",rng02_Summary_Res_Config_PropRentMkt_3BR=0),"",rng02_Summary_Res_Config_PropRentMkt_3BR)</f>
        <v/>
      </c>
      <c r="AU425" s="1701" t="str">
        <f>IF(OR(TCATrigger="No",rng02_Summary_Res_Config_CurrContractRent_3BR=0),"",rng02_Summary_Res_Config_CurrContractRent_3BR)</f>
        <v/>
      </c>
      <c r="BQ425" s="1685"/>
      <c r="BW425" s="1746" t="str">
        <f>IF(TCATrigger="No","","3 BR")</f>
        <v/>
      </c>
    </row>
    <row r="426" spans="1:75" ht="15">
      <c r="A426" s="1685"/>
      <c r="B426" s="1685"/>
      <c r="C426" s="1685"/>
      <c r="D426" s="1685"/>
      <c r="E426" s="1685"/>
      <c r="F426" s="1685"/>
      <c r="G426" s="1701">
        <v>4</v>
      </c>
      <c r="H426" s="1701" t="str">
        <f>IF(rng02_Summary_Res_Config_NoUnit4BR=0,"",rng02_Summary_Res_Config_NoUnit4BR)</f>
        <v/>
      </c>
      <c r="I426" s="1701" t="str">
        <f>IF(rng02_Summary_Res_Config_NoMktUnit4BR=0,"",rng02_Summary_Res_Config_NoMktUnit4BR)</f>
        <v/>
      </c>
      <c r="J426" s="1701" t="str">
        <f>IF(rng02_Summary_Res_Config_NRSFPerUnit4BR=0,"",rng02_Summary_Res_Config_NRSFPerUnit4BR)</f>
        <v/>
      </c>
      <c r="K426" s="1701" t="str">
        <f>IF(rng02_Summary_Res_Config_NRSFLIHTC_4BR=0,"",rng02_Summary_Res_Config_NRSFLIHTC_4BR)</f>
        <v/>
      </c>
      <c r="L426" s="1701" t="str">
        <f>IF(rng02_Summary_Res_Config_NRSFMkt_4BR=0,"",rng02_Summary_Res_Config_NRSFMkt_4BR)</f>
        <v/>
      </c>
      <c r="M426" s="1701" t="str">
        <f>IF(rng02_Summary_Res_Config_RIHPropRent_4BR=0,"",rng02_Summary_Res_Config_RIHPropRent_4BR)</f>
        <v/>
      </c>
      <c r="N426" s="1701" t="str">
        <f>IF(rng02_Summary_Res_Config_PropRentMkt_4BR=0,"",rng02_Summary_Res_Config_PropRentMkt_4BR)</f>
        <v/>
      </c>
      <c r="O426" s="1701" t="str">
        <f>IF(rng02_Summary_Res_Config_CurrContractRent_4BR=0,"",rng02_Summary_Res_Config_CurrContractRent_4BR)</f>
        <v/>
      </c>
      <c r="P426" s="1685"/>
      <c r="Q426" s="1685"/>
      <c r="R426" s="1685"/>
      <c r="S426" s="1685"/>
      <c r="T426" s="1685"/>
      <c r="U426" s="1685"/>
      <c r="V426" s="1685"/>
      <c r="W426" s="1685"/>
      <c r="X426" s="1685"/>
      <c r="Y426" s="1685"/>
      <c r="Z426" s="1685"/>
      <c r="AA426" s="1685"/>
      <c r="AB426" s="1685"/>
      <c r="AC426" s="1685"/>
      <c r="AD426" s="2069"/>
      <c r="AE426" s="2073"/>
      <c r="AF426" s="1685"/>
      <c r="AG426" s="1685"/>
      <c r="AM426" s="1746" t="str">
        <f>IF(TCATrigger="No","","4 BR")</f>
        <v/>
      </c>
      <c r="AN426" s="1701" t="str">
        <f>IF(OR(TCATrigger="No",rng02_Summary_Res_Config_NoUnit4BR=0),"",rng02_Summary_Res_Config_NoUnit4BR)</f>
        <v/>
      </c>
      <c r="AO426" s="1701" t="str">
        <f>IF(OR(TCATrigger="No",rng02_Summary_Res_Config_NoMktUnit4BR=0),"",rng02_Summary_Res_Config_NoMktUnit4BR)</f>
        <v/>
      </c>
      <c r="AP426" s="1701" t="str">
        <f>IF(OR(TCATrigger="No",rng02_Summary_Res_Config_NRSFPerUnit4BR=0),"",rng02_Summary_Res_Config_NRSFPerUnit4BR)</f>
        <v/>
      </c>
      <c r="AQ426" s="1701" t="str">
        <f>IF(OR(TCATrigger="No",rng02_Summary_Res_Config_NRSFLIHTC_4BR=0),"",rng02_Summary_Res_Config_NRSFLIHTC_4BR)</f>
        <v/>
      </c>
      <c r="AR426" s="1701" t="str">
        <f>IF(OR(TCATrigger="No",rng02_Summary_Res_Config_NRSFMkt_4BR=0),"",rng02_Summary_Res_Config_NRSFMkt_4BR)</f>
        <v/>
      </c>
      <c r="AS426" s="1701" t="str">
        <f>IF(OR(TCATrigger="No",rng02_Summary_Res_Config_RIHPropRent_4BR=0),"",rng02_Summary_Res_Config_RIHPropRent_4BR)</f>
        <v/>
      </c>
      <c r="AT426" s="1701" t="str">
        <f>IF(OR(TCATrigger="No",rng02_Summary_Res_Config_PropRentMkt_4BR=0),"",rng02_Summary_Res_Config_PropRentMkt_4BR)</f>
        <v/>
      </c>
      <c r="AU426" s="1701" t="str">
        <f>IF(OR(TCATrigger="No",rng02_Summary_Res_Config_CurrContractRent_4BR=0),"",rng02_Summary_Res_Config_CurrContractRent_4BR)</f>
        <v/>
      </c>
      <c r="BQ426" s="1685"/>
      <c r="BW426" s="1746" t="str">
        <f>IF(TCATrigger="No","","4 BR")</f>
        <v/>
      </c>
    </row>
    <row r="427" spans="1:75" ht="15">
      <c r="A427" s="1685"/>
      <c r="B427" s="1685"/>
      <c r="C427" s="1685"/>
      <c r="D427" s="1685"/>
      <c r="E427" s="1685"/>
      <c r="F427" s="1685"/>
      <c r="G427" s="1701">
        <v>5</v>
      </c>
      <c r="H427" s="1701" t="str">
        <f>IF(rng02_Summary_Res_Config_NoUnit5BR=0,"",rng02_Summary_Res_Config_NoUnit5BR)</f>
        <v/>
      </c>
      <c r="I427" s="1701" t="str">
        <f>IF(rng02_Summary_Res_Config_NoMktUnit5BR=0,"",rng02_Summary_Res_Config_NoMktUnit5BR)</f>
        <v/>
      </c>
      <c r="J427" s="1701" t="str">
        <f>IF(rng02_Summary_Res_Config_NRSFPerUnit5BR=0,"",rng02_Summary_Res_Config_NRSFPerUnit5BR)</f>
        <v/>
      </c>
      <c r="K427" s="1701" t="str">
        <f>IF(rng02_Summary_Res_Config_NRSFLIHTC_5BR=0,"",rng02_Summary_Res_Config_NRSFLIHTC_5BR)</f>
        <v/>
      </c>
      <c r="L427" s="1701" t="str">
        <f>IF(rng02_Summary_Res_Config_NRSFMkt_5BR=0,"",rng02_Summary_Res_Config_NRSFMkt_5BR)</f>
        <v/>
      </c>
      <c r="M427" s="1701" t="str">
        <f>IF(rng02_Summary_Res_Config_RIHPropRent_5BR=0,"",rng02_Summary_Res_Config_RIHPropRent_5BR)</f>
        <v/>
      </c>
      <c r="N427" s="1701" t="str">
        <f>IF(rng02_Summary_Res_Config_PropRentMkt_5BR=0,"",rng02_Summary_Res_Config_PropRentMkt_5BR)</f>
        <v/>
      </c>
      <c r="O427" s="1701" t="str">
        <f>IF(rng02_Summary_Res_Config_CurrContractRent_5BR=0,"",rng02_Summary_Res_Config_CurrContractRent_5BR)</f>
        <v/>
      </c>
      <c r="P427" s="1685"/>
      <c r="Q427" s="1685"/>
      <c r="R427" s="1685"/>
      <c r="S427" s="1685"/>
      <c r="T427" s="1685"/>
      <c r="U427" s="1685"/>
      <c r="V427" s="1685"/>
      <c r="W427" s="1685"/>
      <c r="X427" s="1685"/>
      <c r="Y427" s="1685"/>
      <c r="Z427" s="1685"/>
      <c r="AA427" s="1685"/>
      <c r="AB427" s="1685"/>
      <c r="AC427" s="1685"/>
      <c r="AD427" s="2069"/>
      <c r="AE427" s="2073"/>
      <c r="AF427" s="1685"/>
      <c r="AG427" s="1685"/>
      <c r="AM427" s="1746" t="str">
        <f>IF(TCATrigger="No","","5 BR")</f>
        <v/>
      </c>
      <c r="AN427" s="1701" t="str">
        <f>IF(OR(TCATrigger="No",rng02_Summary_Res_Config_NoUnit5BR=0),"",rng02_Summary_Res_Config_NoUnit5BR)</f>
        <v/>
      </c>
      <c r="AO427" s="1701" t="str">
        <f>IF(OR(TCATrigger="No",rng02_Summary_Res_Config_NoMktUnit5BR=0),"",rng02_Summary_Res_Config_NoMktUnit5BR)</f>
        <v/>
      </c>
      <c r="AP427" s="1701" t="str">
        <f>IF(OR(TCATrigger="No",rng02_Summary_Res_Config_NRSFPerUnit5BR=0),"",rng02_Summary_Res_Config_NRSFPerUnit5BR)</f>
        <v/>
      </c>
      <c r="AQ427" s="1701" t="str">
        <f>IF(OR(TCATrigger="No",rng02_Summary_Res_Config_NRSFLIHTC_5BR=0),"",rng02_Summary_Res_Config_NRSFLIHTC_5BR)</f>
        <v/>
      </c>
      <c r="AR427" s="1701" t="str">
        <f>IF(OR(TCATrigger="No",rng02_Summary_Res_Config_NRSFMkt_5BR=0),"",rng02_Summary_Res_Config_NRSFMkt_5BR)</f>
        <v/>
      </c>
      <c r="AS427" s="1701" t="str">
        <f>IF(OR(TCATrigger="No",rng02_Summary_Res_Config_RIHPropRent_5BR=0),"",rng02_Summary_Res_Config_RIHPropRent_5BR)</f>
        <v/>
      </c>
      <c r="AT427" s="1701" t="str">
        <f>IF(OR(TCATrigger="No",rng02_Summary_Res_Config_PropRentMkt_5BR=0),"",rng02_Summary_Res_Config_PropRentMkt_5BR)</f>
        <v/>
      </c>
      <c r="AU427" s="1701" t="str">
        <f>IF(OR(TCATrigger="No",rng02_Summary_Res_Config_CurrContractRent_5BR=0),"",rng02_Summary_Res_Config_CurrContractRent_5BR)</f>
        <v/>
      </c>
      <c r="BQ427" s="1685"/>
      <c r="BW427" s="1746" t="str">
        <f>IF(TCATrigger="No","","5 BR")</f>
        <v/>
      </c>
    </row>
    <row r="428" spans="1:75" ht="15">
      <c r="A428" s="1685"/>
      <c r="B428" s="1685"/>
      <c r="C428" s="1685"/>
      <c r="D428" s="1685"/>
      <c r="E428" s="1685"/>
      <c r="F428" s="1685"/>
      <c r="G428" s="1701" t="s">
        <v>1002</v>
      </c>
      <c r="H428" s="1701" t="str">
        <f>IF(rng02_Summary_Res_Config_NoUnit_Total=0,"",rng02_Summary_Res_Config_NoUnit_Total)</f>
        <v/>
      </c>
      <c r="I428" s="1701" t="str">
        <f>IF(rng02_TotalUnits_Market=0,"",rng02_TotalUnits_Market)</f>
        <v/>
      </c>
      <c r="J428" s="1718"/>
      <c r="K428" s="1701" t="str">
        <f>IF(rng02_Summary_Res_Config_NRSFLIHTC_TOTAL=0,"",rng02_Summary_Res_Config_NRSFLIHTC_TOTAL)</f>
        <v/>
      </c>
      <c r="L428" s="1701" t="str">
        <f>IF(rng02_Summary_Res_Config_NRSFMkt_TOTAL=0,"",rng02_Summary_Res_Config_NRSFMkt_TOTAL)</f>
        <v/>
      </c>
      <c r="M428" s="1701" t="str">
        <f>IF(rng02_Summary_Res_Config_RIHPropRent_TOTAL=0,"",rng02_Summary_Res_Config_RIHPropRent_TOTAL)</f>
        <v/>
      </c>
      <c r="N428" s="1701" t="str">
        <f>IF(rng02_Summary_Res_Config_PropRentMkt_TOTAL=0,"",rng02_Summary_Res_Config_PropRentMkt_TOTAL)</f>
        <v/>
      </c>
      <c r="O428" s="1718"/>
      <c r="P428" s="1685"/>
      <c r="Q428" s="1685"/>
      <c r="R428" s="1685"/>
      <c r="S428" s="1685"/>
      <c r="T428" s="1685"/>
      <c r="U428" s="1685"/>
      <c r="V428" s="1685"/>
      <c r="W428" s="1685"/>
      <c r="X428" s="1685"/>
      <c r="Y428" s="1685"/>
      <c r="Z428" s="1685"/>
      <c r="AA428" s="1685"/>
      <c r="AB428" s="1685"/>
      <c r="AC428" s="1685"/>
      <c r="AD428" s="2069"/>
      <c r="AE428" s="2073"/>
      <c r="AF428" s="1685"/>
      <c r="AG428" s="1685"/>
      <c r="AM428" s="1701" t="s">
        <v>1002</v>
      </c>
      <c r="AN428" s="1701" t="str">
        <f>IF(OR(TCATrigger="No",rng02_Summary_Res_Config_NoUnit_Total=0),"",rng02_Summary_Res_Config_NoUnit_Total)</f>
        <v/>
      </c>
      <c r="AO428" s="1701" t="str">
        <f>IF(OR(TCATrigger="No",rng02_TotalUnits_Market=0),"",rng02_TotalUnits_Market)</f>
        <v/>
      </c>
      <c r="AP428" s="1718"/>
      <c r="AQ428" s="1701" t="str">
        <f>IF(OR(TCATrigger="No",rng02_Summary_Res_Config_NRSFLIHTC_TOTAL=0),"",rng02_Summary_Res_Config_NRSFLIHTC_TOTAL)</f>
        <v/>
      </c>
      <c r="AR428" s="1701" t="str">
        <f>IF(OR(TCATrigger="No",rng02_Summary_Res_Config_NRSFMkt_TOTAL=0),"",rng02_Summary_Res_Config_NRSFMkt_TOTAL)</f>
        <v/>
      </c>
      <c r="AS428" s="1701" t="str">
        <f>IF(OR(TCATrigger="No",rng02_Summary_Res_Config_RIHPropRent_TOTAL=0),"",rng02_Summary_Res_Config_RIHPropRent_TOTAL)</f>
        <v/>
      </c>
      <c r="AT428" s="1701" t="str">
        <f>IF(OR(TCATrigger="No",rng02_Summary_Res_Config_PropRentMkt_TOTAL=0),"",rng02_Summary_Res_Config_PropRentMkt_TOTAL)</f>
        <v/>
      </c>
      <c r="AU428" s="1718"/>
      <c r="BQ428" s="1685"/>
      <c r="BW428" s="1701" t="s">
        <v>1002</v>
      </c>
    </row>
    <row r="429" spans="1:75" ht="15">
      <c r="A429" s="1685"/>
      <c r="B429" s="1685"/>
      <c r="C429" s="1685"/>
      <c r="D429" s="1685"/>
      <c r="E429" s="1685"/>
      <c r="F429" s="1685"/>
      <c r="G429" s="1685"/>
      <c r="H429" s="1685"/>
      <c r="I429" s="1685"/>
      <c r="J429" s="1685"/>
      <c r="K429" s="1685"/>
      <c r="L429" s="1685"/>
      <c r="M429" s="1685"/>
      <c r="N429" s="1685"/>
      <c r="O429" s="1685"/>
      <c r="P429" s="1685"/>
      <c r="Q429" s="1685"/>
      <c r="R429" s="1685"/>
      <c r="S429" s="1685"/>
      <c r="T429" s="1685"/>
      <c r="U429" s="1685"/>
      <c r="V429" s="1685"/>
      <c r="W429" s="1685"/>
      <c r="X429" s="1685"/>
      <c r="Y429" s="1685"/>
      <c r="Z429" s="1685"/>
      <c r="AA429" s="1685"/>
      <c r="AB429" s="1685"/>
      <c r="AC429" s="1685"/>
      <c r="AD429" s="2069"/>
      <c r="AE429" s="2073"/>
      <c r="AF429" s="1685"/>
      <c r="AG429" s="1685"/>
      <c r="BQ429" s="1685"/>
    </row>
    <row r="430" spans="1:75" ht="15">
      <c r="A430" s="1685"/>
      <c r="B430" s="1685"/>
      <c r="C430" s="1685"/>
      <c r="D430" s="1685"/>
      <c r="E430" s="1685"/>
      <c r="F430" s="1685"/>
      <c r="G430" s="1685"/>
      <c r="H430" s="1685"/>
      <c r="I430" s="1685"/>
      <c r="J430" s="1685"/>
      <c r="K430" s="1685"/>
      <c r="L430" s="1685"/>
      <c r="M430" s="1685"/>
      <c r="N430" s="1685"/>
      <c r="O430" s="1685"/>
      <c r="P430" s="1685"/>
      <c r="Q430" s="1685"/>
      <c r="R430" s="1685"/>
      <c r="S430" s="1685"/>
      <c r="T430" s="1685"/>
      <c r="U430" s="1685"/>
      <c r="V430" s="1685"/>
      <c r="W430" s="1685"/>
      <c r="X430" s="1685"/>
      <c r="Y430" s="1685"/>
      <c r="Z430" s="1685"/>
      <c r="AA430" s="1685"/>
      <c r="AB430" s="1685"/>
      <c r="AC430" s="1685"/>
      <c r="AD430" s="2069"/>
      <c r="AE430" s="2073"/>
      <c r="AF430" s="1685"/>
      <c r="AG430" s="1685"/>
      <c r="BQ430" s="1685"/>
    </row>
    <row r="431" spans="1:75" ht="15">
      <c r="A431" s="1685"/>
      <c r="B431" s="1685"/>
      <c r="C431" s="1685"/>
      <c r="D431" s="1685"/>
      <c r="E431" s="1685"/>
      <c r="F431" s="1685"/>
      <c r="G431" s="1685"/>
      <c r="H431" s="1685"/>
      <c r="I431" s="1685"/>
      <c r="J431" s="1685"/>
      <c r="K431" s="1685"/>
      <c r="L431" s="1685"/>
      <c r="M431" s="1685"/>
      <c r="N431" s="1685"/>
      <c r="O431" s="1685"/>
      <c r="P431" s="1685"/>
      <c r="Q431" s="1685"/>
      <c r="R431" s="1685"/>
      <c r="S431" s="1685"/>
      <c r="T431" s="1685"/>
      <c r="U431" s="1685"/>
      <c r="V431" s="1685"/>
      <c r="W431" s="1685"/>
      <c r="X431" s="1685"/>
      <c r="Y431" s="1685"/>
      <c r="Z431" s="1685"/>
      <c r="AA431" s="1685"/>
      <c r="AB431" s="1685"/>
      <c r="AC431" s="1685"/>
      <c r="AD431" s="2069"/>
      <c r="AE431" s="2073"/>
      <c r="AF431" s="1685"/>
      <c r="AG431" s="1685"/>
      <c r="BQ431" s="1685"/>
    </row>
    <row r="432" spans="1:75" ht="15">
      <c r="A432" s="1685" t="s">
        <v>1031</v>
      </c>
      <c r="B432" s="1685" t="s">
        <v>1032</v>
      </c>
      <c r="C432" s="1685"/>
      <c r="D432" s="1685"/>
      <c r="E432" s="1685"/>
      <c r="F432" s="1685"/>
      <c r="G432" s="1685" t="s">
        <v>1099</v>
      </c>
      <c r="H432" s="1685" t="e">
        <v>#DIV/0!</v>
      </c>
      <c r="I432" s="1685"/>
      <c r="J432" s="1685"/>
      <c r="K432" s="1685"/>
      <c r="L432" s="1685"/>
      <c r="M432" s="1685"/>
      <c r="N432" s="1685"/>
      <c r="O432" s="1685"/>
      <c r="P432" s="1685"/>
      <c r="Q432" s="1685"/>
      <c r="R432" s="1685"/>
      <c r="S432" s="1685"/>
      <c r="T432" s="1685"/>
      <c r="U432" s="1685"/>
      <c r="V432" s="1685"/>
      <c r="W432" s="1685"/>
      <c r="X432" s="1685"/>
      <c r="Y432" s="1685"/>
      <c r="Z432" s="1685"/>
      <c r="AA432" s="1685"/>
      <c r="AB432" s="1685"/>
      <c r="AC432" s="1685"/>
      <c r="AD432" s="2069"/>
      <c r="AE432" s="2073"/>
      <c r="AF432" s="1685"/>
      <c r="AG432" s="1685" t="s">
        <v>1031</v>
      </c>
      <c r="AH432" s="1677" t="s">
        <v>1032</v>
      </c>
      <c r="AM432" s="1677" t="s">
        <v>1099</v>
      </c>
      <c r="AN432" s="1702" t="str">
        <f>IF(TCATrigger="No","",IF(H432="","",H432))</f>
        <v/>
      </c>
      <c r="BQ432" s="1685" t="s">
        <v>1031</v>
      </c>
      <c r="BR432" s="1677" t="s">
        <v>1032</v>
      </c>
      <c r="BW432" s="1677" t="s">
        <v>1099</v>
      </c>
    </row>
    <row r="433" spans="1:75" ht="15">
      <c r="A433" s="1685"/>
      <c r="B433" s="1685"/>
      <c r="C433" s="1685"/>
      <c r="D433" s="1685"/>
      <c r="E433" s="1685"/>
      <c r="F433" s="1685"/>
      <c r="G433" s="1685" t="s">
        <v>1100</v>
      </c>
      <c r="H433" s="1685" t="e">
        <v>#DIV/0!</v>
      </c>
      <c r="I433" s="1685"/>
      <c r="J433" s="1685"/>
      <c r="K433" s="1685"/>
      <c r="L433" s="1685"/>
      <c r="M433" s="1685"/>
      <c r="N433" s="1685"/>
      <c r="O433" s="1685"/>
      <c r="P433" s="1685"/>
      <c r="Q433" s="1685"/>
      <c r="R433" s="1685"/>
      <c r="S433" s="1685"/>
      <c r="T433" s="1685"/>
      <c r="U433" s="1685"/>
      <c r="V433" s="1685"/>
      <c r="W433" s="1685"/>
      <c r="X433" s="1685"/>
      <c r="Y433" s="1685"/>
      <c r="Z433" s="1685"/>
      <c r="AA433" s="1685"/>
      <c r="AB433" s="1685"/>
      <c r="AC433" s="1685"/>
      <c r="AD433" s="2069"/>
      <c r="AE433" s="2073"/>
      <c r="AF433" s="1685"/>
      <c r="AG433" s="1685"/>
      <c r="AM433" s="1677" t="s">
        <v>1100</v>
      </c>
      <c r="AN433" s="1702" t="str">
        <f>IF(TCATrigger="No","",IF(H433="","",H433))</f>
        <v/>
      </c>
      <c r="BQ433" s="1685"/>
      <c r="BW433" s="1677" t="s">
        <v>1100</v>
      </c>
    </row>
    <row r="434" spans="1:75" ht="15">
      <c r="A434" s="1685"/>
      <c r="B434" s="1685"/>
      <c r="C434" s="1685"/>
      <c r="D434" s="1685"/>
      <c r="E434" s="1685"/>
      <c r="F434" s="1685"/>
      <c r="G434" s="1685"/>
      <c r="H434" s="1685"/>
      <c r="I434" s="1685"/>
      <c r="J434" s="1685"/>
      <c r="K434" s="1685"/>
      <c r="L434" s="1685"/>
      <c r="M434" s="1685"/>
      <c r="N434" s="1685"/>
      <c r="O434" s="1685"/>
      <c r="P434" s="1685"/>
      <c r="Q434" s="1685"/>
      <c r="R434" s="1685"/>
      <c r="S434" s="1685"/>
      <c r="T434" s="1685"/>
      <c r="U434" s="1685"/>
      <c r="V434" s="1685"/>
      <c r="W434" s="1685"/>
      <c r="X434" s="1685"/>
      <c r="Y434" s="1685"/>
      <c r="Z434" s="1685"/>
      <c r="AA434" s="1685"/>
      <c r="AB434" s="1685"/>
      <c r="AC434" s="1685"/>
      <c r="AD434" s="2069"/>
      <c r="AE434" s="2073"/>
      <c r="AF434" s="1685"/>
      <c r="AG434" s="1685"/>
      <c r="BQ434" s="1685"/>
    </row>
    <row r="435" spans="1:75" ht="15">
      <c r="A435" s="1685"/>
      <c r="B435" s="1685"/>
      <c r="C435" s="1685"/>
      <c r="D435" s="1685"/>
      <c r="E435" s="1685"/>
      <c r="F435" s="1685"/>
      <c r="G435" s="1685"/>
      <c r="H435" s="1685"/>
      <c r="I435" s="1685"/>
      <c r="J435" s="1685"/>
      <c r="K435" s="1685"/>
      <c r="L435" s="1685"/>
      <c r="M435" s="1685"/>
      <c r="N435" s="1685"/>
      <c r="O435" s="1685"/>
      <c r="P435" s="1685"/>
      <c r="Q435" s="1685"/>
      <c r="R435" s="1685"/>
      <c r="S435" s="1685"/>
      <c r="T435" s="1685"/>
      <c r="U435" s="1685"/>
      <c r="V435" s="1685"/>
      <c r="W435" s="1685"/>
      <c r="X435" s="1685"/>
      <c r="Y435" s="1685"/>
      <c r="Z435" s="1685"/>
      <c r="AA435" s="1685"/>
      <c r="AB435" s="1685"/>
      <c r="AC435" s="1685"/>
      <c r="AD435" s="2069"/>
      <c r="AE435" s="2073"/>
      <c r="AF435" s="1685"/>
      <c r="AG435" s="1685"/>
      <c r="BQ435" s="1685"/>
    </row>
    <row r="436" spans="1:75" ht="15">
      <c r="A436" s="1685"/>
      <c r="B436" s="1685"/>
      <c r="C436" s="1685"/>
      <c r="D436" s="1685"/>
      <c r="E436" s="1685"/>
      <c r="F436" s="1685"/>
      <c r="G436" s="1685"/>
      <c r="H436" s="1685"/>
      <c r="I436" s="1685"/>
      <c r="J436" s="1685"/>
      <c r="K436" s="1685"/>
      <c r="L436" s="1685"/>
      <c r="M436" s="1685"/>
      <c r="N436" s="1685"/>
      <c r="O436" s="1685"/>
      <c r="P436" s="1685"/>
      <c r="Q436" s="1685"/>
      <c r="R436" s="1685"/>
      <c r="S436" s="1685"/>
      <c r="T436" s="1685"/>
      <c r="U436" s="1685"/>
      <c r="V436" s="1685"/>
      <c r="W436" s="1685"/>
      <c r="X436" s="1685"/>
      <c r="Y436" s="1685"/>
      <c r="Z436" s="1685"/>
      <c r="AA436" s="1685"/>
      <c r="AB436" s="1685"/>
      <c r="AC436" s="1685"/>
      <c r="AD436" s="2069"/>
      <c r="AE436" s="2073"/>
      <c r="AF436" s="1685"/>
      <c r="AG436" s="1685"/>
      <c r="BQ436" s="1685"/>
    </row>
    <row r="437" spans="1:75" ht="15">
      <c r="A437" s="1685" t="s">
        <v>1101</v>
      </c>
      <c r="B437" s="1685" t="s">
        <v>1102</v>
      </c>
      <c r="C437" s="1685"/>
      <c r="D437" s="1685"/>
      <c r="E437" s="1685"/>
      <c r="F437" s="1685"/>
      <c r="G437" s="1685" t="s">
        <v>849</v>
      </c>
      <c r="H437" s="1685" t="str">
        <f>IF(H8="","",H8)</f>
        <v/>
      </c>
      <c r="I437" s="1685"/>
      <c r="J437" s="1685"/>
      <c r="K437" s="1685"/>
      <c r="L437" s="1685"/>
      <c r="M437" s="1685"/>
      <c r="N437" s="1685"/>
      <c r="O437" s="1685"/>
      <c r="P437" s="1685"/>
      <c r="Q437" s="1685"/>
      <c r="R437" s="1685"/>
      <c r="S437" s="1685"/>
      <c r="T437" s="1685"/>
      <c r="U437" s="1685"/>
      <c r="V437" s="1685"/>
      <c r="W437" s="1685"/>
      <c r="X437" s="1685"/>
      <c r="Y437" s="1685"/>
      <c r="Z437" s="1685"/>
      <c r="AA437" s="1685"/>
      <c r="AB437" s="1685"/>
      <c r="AC437" s="1685"/>
      <c r="AD437" s="2069"/>
      <c r="AE437" s="2073"/>
      <c r="AF437" s="1685"/>
      <c r="AG437" s="1685" t="s">
        <v>1101</v>
      </c>
      <c r="AH437" s="1677" t="s">
        <v>1102</v>
      </c>
      <c r="AM437" s="1677" t="s">
        <v>849</v>
      </c>
      <c r="AN437" s="1677" t="str">
        <f>$AN$8</f>
        <v/>
      </c>
      <c r="BQ437" s="1685" t="s">
        <v>1101</v>
      </c>
      <c r="BR437" s="1677" t="s">
        <v>1102</v>
      </c>
      <c r="BW437" s="1677" t="s">
        <v>849</v>
      </c>
    </row>
    <row r="438" spans="1:75" ht="15">
      <c r="A438" s="1685"/>
      <c r="B438" s="1685"/>
      <c r="C438" s="1685"/>
      <c r="D438" s="1685"/>
      <c r="E438" s="1685"/>
      <c r="F438" s="1685"/>
      <c r="G438" s="1685" t="s">
        <v>850</v>
      </c>
      <c r="H438" s="1877">
        <f>H9</f>
        <v>0</v>
      </c>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2069"/>
      <c r="AE438" s="2073"/>
      <c r="AF438" s="1685"/>
      <c r="AG438" s="1685"/>
      <c r="AM438" s="1677" t="s">
        <v>850</v>
      </c>
      <c r="AN438" s="2020" t="str">
        <f>$AN$9</f>
        <v/>
      </c>
      <c r="BQ438" s="1685"/>
      <c r="BW438" s="1677" t="s">
        <v>850</v>
      </c>
    </row>
    <row r="439" spans="1:75" ht="15">
      <c r="A439" s="1685"/>
      <c r="B439" s="1685"/>
      <c r="C439" s="1685"/>
      <c r="D439" s="1685"/>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2069"/>
      <c r="AE439" s="2073"/>
      <c r="AF439" s="1685"/>
      <c r="AG439" s="1685"/>
      <c r="AP439" s="1749" t="s">
        <v>2239</v>
      </c>
      <c r="BQ439" s="1685"/>
    </row>
    <row r="440" spans="1:75" ht="15">
      <c r="A440" s="1685"/>
      <c r="B440" s="1685"/>
      <c r="C440" s="1685"/>
      <c r="D440" s="1685"/>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2069"/>
      <c r="AE440" s="2073"/>
      <c r="AF440" s="1685"/>
      <c r="AG440" s="1685"/>
      <c r="AM440" s="1681" t="s">
        <v>2238</v>
      </c>
      <c r="AN440" s="1677" t="str">
        <f>FourPercentTrigger</f>
        <v>Yes</v>
      </c>
      <c r="AZ440" s="1683"/>
      <c r="BQ440" s="1685"/>
      <c r="BW440" s="1681" t="s">
        <v>2238</v>
      </c>
    </row>
    <row r="441" spans="1:75" ht="15">
      <c r="A441" s="1685"/>
      <c r="B441" s="1685"/>
      <c r="C441" s="1685"/>
      <c r="D441" s="1685"/>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2069"/>
      <c r="AE441" s="2073"/>
      <c r="AF441" s="1685"/>
      <c r="AG441" s="1685"/>
      <c r="AM441" s="1677" t="s">
        <v>2237</v>
      </c>
      <c r="BQ441" s="1685"/>
      <c r="BW441" s="1677" t="s">
        <v>2237</v>
      </c>
    </row>
    <row r="442" spans="1:75" ht="15">
      <c r="A442" s="1685" t="s">
        <v>1101</v>
      </c>
      <c r="B442" s="1685" t="s">
        <v>1102</v>
      </c>
      <c r="C442" s="1685" t="s">
        <v>1103</v>
      </c>
      <c r="D442" s="1685"/>
      <c r="E442" s="1685"/>
      <c r="F442" s="1685"/>
      <c r="G442" s="1701" t="s">
        <v>1103</v>
      </c>
      <c r="H442" s="1701" t="s">
        <v>1104</v>
      </c>
      <c r="I442" s="1701" t="s">
        <v>1105</v>
      </c>
      <c r="J442" s="1701"/>
      <c r="K442" s="1701"/>
      <c r="L442" s="1701"/>
      <c r="M442" s="1701" t="s">
        <v>1106</v>
      </c>
      <c r="N442" s="1701"/>
      <c r="O442" s="1701"/>
      <c r="P442" s="1701"/>
      <c r="Q442" s="1685"/>
      <c r="R442" s="1685"/>
      <c r="S442" s="1685"/>
      <c r="T442" s="1685"/>
      <c r="U442" s="1685"/>
      <c r="V442" s="1685"/>
      <c r="W442" s="1685"/>
      <c r="X442" s="1685"/>
      <c r="Y442" s="1685"/>
      <c r="Z442" s="1685"/>
      <c r="AA442" s="1685"/>
      <c r="AB442" s="1685"/>
      <c r="AC442" s="1685"/>
      <c r="AD442" s="2069"/>
      <c r="AE442" s="2073"/>
      <c r="AF442" s="1685"/>
      <c r="AG442" s="1685" t="s">
        <v>1101</v>
      </c>
      <c r="AH442" s="1677" t="s">
        <v>1102</v>
      </c>
      <c r="AI442" s="1677" t="s">
        <v>1103</v>
      </c>
      <c r="AM442" s="1702" t="s">
        <v>1103</v>
      </c>
      <c r="AN442" s="1702" t="s">
        <v>1104</v>
      </c>
      <c r="AO442" s="1702" t="s">
        <v>1105</v>
      </c>
      <c r="AP442" s="1750" t="s">
        <v>2257</v>
      </c>
      <c r="AQ442" s="1702"/>
      <c r="AR442" s="1702"/>
      <c r="AS442" s="1702"/>
      <c r="AT442" s="1702" t="s">
        <v>1106</v>
      </c>
      <c r="AU442" s="1702"/>
      <c r="AV442" s="1702"/>
      <c r="AW442" s="1702"/>
      <c r="BQ442" s="1685" t="s">
        <v>1101</v>
      </c>
      <c r="BR442" s="1677" t="s">
        <v>1102</v>
      </c>
      <c r="BS442" s="1677" t="s">
        <v>1103</v>
      </c>
      <c r="BW442" s="1702" t="s">
        <v>1103</v>
      </c>
    </row>
    <row r="443" spans="1:75" ht="15">
      <c r="A443" s="1685" t="s">
        <v>1107</v>
      </c>
      <c r="B443" s="1685"/>
      <c r="C443" s="1685"/>
      <c r="D443" s="1685"/>
      <c r="E443" s="1685"/>
      <c r="F443" s="1685"/>
      <c r="G443" s="1701"/>
      <c r="H443" s="1701"/>
      <c r="I443" s="1701" t="s">
        <v>1108</v>
      </c>
      <c r="J443" s="1701" t="s">
        <v>1109</v>
      </c>
      <c r="K443" s="1701" t="s">
        <v>1108</v>
      </c>
      <c r="L443" s="1701" t="s">
        <v>1110</v>
      </c>
      <c r="M443" s="1701" t="s">
        <v>1111</v>
      </c>
      <c r="N443" s="1701" t="s">
        <v>1112</v>
      </c>
      <c r="O443" s="1701" t="s">
        <v>1113</v>
      </c>
      <c r="P443" s="1701" t="s">
        <v>1112</v>
      </c>
      <c r="Q443" s="1685"/>
      <c r="R443" s="1685"/>
      <c r="S443" s="1685"/>
      <c r="T443" s="1685"/>
      <c r="U443" s="1685"/>
      <c r="V443" s="1685"/>
      <c r="W443" s="1685"/>
      <c r="X443" s="1685"/>
      <c r="Y443" s="1685"/>
      <c r="Z443" s="1685"/>
      <c r="AA443" s="1685"/>
      <c r="AB443" s="1685"/>
      <c r="AC443" s="1685"/>
      <c r="AD443" s="2069"/>
      <c r="AE443" s="2073"/>
      <c r="AF443" s="1685"/>
      <c r="AG443" s="1685" t="s">
        <v>1107</v>
      </c>
      <c r="AM443" s="1702"/>
      <c r="AN443" s="1702"/>
      <c r="AO443" s="1702" t="s">
        <v>1108</v>
      </c>
      <c r="AP443" s="1702"/>
      <c r="AQ443" s="1702" t="s">
        <v>1109</v>
      </c>
      <c r="AR443" s="1702" t="s">
        <v>1108</v>
      </c>
      <c r="AS443" s="1702" t="s">
        <v>1110</v>
      </c>
      <c r="AT443" s="1702" t="s">
        <v>1111</v>
      </c>
      <c r="AU443" s="1702" t="s">
        <v>1112</v>
      </c>
      <c r="AV443" s="1702" t="s">
        <v>1113</v>
      </c>
      <c r="AW443" s="1702" t="s">
        <v>1112</v>
      </c>
      <c r="BQ443" s="1685" t="s">
        <v>1107</v>
      </c>
      <c r="BW443" s="1702"/>
    </row>
    <row r="444" spans="1:75" ht="15">
      <c r="A444" s="1685" t="s">
        <v>1114</v>
      </c>
      <c r="B444" s="1685"/>
      <c r="C444" s="1685"/>
      <c r="D444" s="1685"/>
      <c r="E444" s="1685"/>
      <c r="F444" s="1685"/>
      <c r="G444" s="1701"/>
      <c r="H444" s="1701"/>
      <c r="I444" s="1701" t="s">
        <v>1115</v>
      </c>
      <c r="J444" s="1701" t="str">
        <f>IF(H8="","",H8)</f>
        <v/>
      </c>
      <c r="K444" s="1701" t="s">
        <v>1115</v>
      </c>
      <c r="L444" s="1701" t="str">
        <f>IF(H8="","",H8)</f>
        <v/>
      </c>
      <c r="M444" s="1701"/>
      <c r="N444" s="1701"/>
      <c r="O444" s="1701"/>
      <c r="P444" s="1701"/>
      <c r="Q444" s="1685"/>
      <c r="R444" s="1685"/>
      <c r="S444" s="1685"/>
      <c r="T444" s="1685"/>
      <c r="U444" s="1685"/>
      <c r="V444" s="1685"/>
      <c r="W444" s="1685"/>
      <c r="X444" s="1685"/>
      <c r="Y444" s="1685"/>
      <c r="Z444" s="1685"/>
      <c r="AA444" s="1685"/>
      <c r="AB444" s="1685"/>
      <c r="AC444" s="1685"/>
      <c r="AD444" s="2069"/>
      <c r="AE444" s="2073"/>
      <c r="AF444" s="1685"/>
      <c r="AG444" s="1679" t="s">
        <v>1114</v>
      </c>
      <c r="AM444" s="1702"/>
      <c r="AN444" s="1702"/>
      <c r="AO444" s="1702" t="s">
        <v>1115</v>
      </c>
      <c r="AP444" s="1702"/>
      <c r="AQ444" s="1702">
        <v>0</v>
      </c>
      <c r="AR444" s="1702" t="s">
        <v>1115</v>
      </c>
      <c r="AS444" s="1702">
        <v>0</v>
      </c>
      <c r="AT444" s="1702"/>
      <c r="AU444" s="1702"/>
      <c r="AV444" s="1702"/>
      <c r="AW444" s="1702"/>
      <c r="BQ444" s="1679" t="s">
        <v>1114</v>
      </c>
      <c r="BW444" s="1702"/>
    </row>
    <row r="445" spans="1:75" ht="15">
      <c r="A445" s="1685"/>
      <c r="B445" s="1685"/>
      <c r="C445" s="1685"/>
      <c r="D445" s="1685"/>
      <c r="E445" s="1685"/>
      <c r="F445" s="1685"/>
      <c r="G445" s="1701"/>
      <c r="H445" s="1701"/>
      <c r="I445" s="1701" t="s">
        <v>54</v>
      </c>
      <c r="J445" s="1701">
        <v>0</v>
      </c>
      <c r="K445" s="1701" t="s">
        <v>54</v>
      </c>
      <c r="L445" s="1701">
        <v>0</v>
      </c>
      <c r="M445" s="1701"/>
      <c r="N445" s="1701"/>
      <c r="O445" s="1701"/>
      <c r="P445" s="1701"/>
      <c r="Q445" s="1685"/>
      <c r="R445" s="1685"/>
      <c r="S445" s="1685"/>
      <c r="T445" s="1685"/>
      <c r="U445" s="1685"/>
      <c r="V445" s="1685"/>
      <c r="W445" s="1685"/>
      <c r="X445" s="1685"/>
      <c r="Y445" s="1685"/>
      <c r="Z445" s="1685"/>
      <c r="AA445" s="1685"/>
      <c r="AB445" s="1685"/>
      <c r="AC445" s="1685"/>
      <c r="AD445" s="2069"/>
      <c r="AE445" s="2073"/>
      <c r="AF445" s="1685"/>
      <c r="AG445" s="1679"/>
      <c r="AM445" s="1702"/>
      <c r="AN445" s="1702"/>
      <c r="AO445" s="1702" t="s">
        <v>54</v>
      </c>
      <c r="AP445" s="1702"/>
      <c r="AQ445" s="1702">
        <v>0</v>
      </c>
      <c r="AR445" s="1702" t="s">
        <v>54</v>
      </c>
      <c r="AS445" s="1702">
        <v>0</v>
      </c>
      <c r="AT445" s="1702"/>
      <c r="AU445" s="1702"/>
      <c r="AV445" s="1702"/>
      <c r="AW445" s="1702"/>
      <c r="BQ445" s="1679"/>
      <c r="BW445" s="1702"/>
    </row>
    <row r="446" spans="1:75" ht="15">
      <c r="A446" s="1685"/>
      <c r="B446" s="1685"/>
      <c r="C446" s="1685"/>
      <c r="D446" s="1685"/>
      <c r="E446" s="1685"/>
      <c r="F446" s="1685"/>
      <c r="G446" s="1701"/>
      <c r="H446" s="1701"/>
      <c r="I446" s="1701" t="s">
        <v>1116</v>
      </c>
      <c r="J446" s="1701">
        <v>1901</v>
      </c>
      <c r="K446" s="1701" t="s">
        <v>1116</v>
      </c>
      <c r="L446" s="1701">
        <v>1901</v>
      </c>
      <c r="M446" s="1701"/>
      <c r="N446" s="1701"/>
      <c r="O446" s="1701"/>
      <c r="P446" s="1701"/>
      <c r="Q446" s="1685"/>
      <c r="R446" s="1685"/>
      <c r="S446" s="1685"/>
      <c r="T446" s="1685"/>
      <c r="U446" s="1685"/>
      <c r="V446" s="1685"/>
      <c r="W446" s="1685"/>
      <c r="X446" s="1685"/>
      <c r="Y446" s="1685"/>
      <c r="Z446" s="1685"/>
      <c r="AA446" s="1685"/>
      <c r="AB446" s="1685"/>
      <c r="AC446" s="1685"/>
      <c r="AD446" s="2069"/>
      <c r="AE446" s="2073"/>
      <c r="AF446" s="1685"/>
      <c r="AG446" s="1685"/>
      <c r="AM446" s="1702"/>
      <c r="AN446" s="1702"/>
      <c r="AO446" s="1702" t="s">
        <v>1116</v>
      </c>
      <c r="AP446" s="1702"/>
      <c r="AQ446" s="1702">
        <v>1901</v>
      </c>
      <c r="AR446" s="1702" t="s">
        <v>1116</v>
      </c>
      <c r="AS446" s="1702">
        <v>1901</v>
      </c>
      <c r="AT446" s="1702"/>
      <c r="AU446" s="1702"/>
      <c r="AV446" s="1702"/>
      <c r="AW446" s="1702"/>
      <c r="BQ446" s="1685"/>
      <c r="BW446" s="1702"/>
    </row>
    <row r="447" spans="1:75" ht="15">
      <c r="A447" s="1685"/>
      <c r="B447" s="1685"/>
      <c r="C447" s="1685"/>
      <c r="D447" s="1685"/>
      <c r="E447" s="1685"/>
      <c r="F447" s="1685"/>
      <c r="G447" s="1701"/>
      <c r="H447" s="1701"/>
      <c r="I447" s="1701" t="s">
        <v>1117</v>
      </c>
      <c r="J447" s="1701" t="s">
        <v>1118</v>
      </c>
      <c r="K447" s="1701" t="s">
        <v>1117</v>
      </c>
      <c r="L447" s="1701" t="s">
        <v>1118</v>
      </c>
      <c r="M447" s="1701"/>
      <c r="N447" s="1701"/>
      <c r="O447" s="1701"/>
      <c r="P447" s="1701"/>
      <c r="Q447" s="1685"/>
      <c r="R447" s="1685"/>
      <c r="S447" s="1685"/>
      <c r="T447" s="1685"/>
      <c r="U447" s="1685"/>
      <c r="V447" s="1685"/>
      <c r="W447" s="1685"/>
      <c r="X447" s="1685"/>
      <c r="Y447" s="1685"/>
      <c r="Z447" s="1685"/>
      <c r="AA447" s="1685"/>
      <c r="AB447" s="1685"/>
      <c r="AC447" s="1685"/>
      <c r="AD447" s="2069"/>
      <c r="AE447" s="2073"/>
      <c r="AF447" s="1685"/>
      <c r="AG447" s="1685"/>
      <c r="AM447" s="1702"/>
      <c r="AN447" s="1702"/>
      <c r="AO447" s="1702" t="s">
        <v>1117</v>
      </c>
      <c r="AP447" s="1702"/>
      <c r="AQ447" s="1702" t="s">
        <v>1118</v>
      </c>
      <c r="AR447" s="1702" t="s">
        <v>1117</v>
      </c>
      <c r="AS447" s="1702" t="s">
        <v>1118</v>
      </c>
      <c r="AT447" s="1702"/>
      <c r="AU447" s="1702"/>
      <c r="AV447" s="1702"/>
      <c r="AW447" s="1702"/>
      <c r="BQ447" s="1685"/>
      <c r="BW447" s="1702"/>
    </row>
    <row r="448" spans="1:75" ht="15">
      <c r="A448" s="1685"/>
      <c r="B448" s="1685"/>
      <c r="C448" s="1685"/>
      <c r="D448" s="1685"/>
      <c r="E448" s="1685"/>
      <c r="F448" s="1685"/>
      <c r="G448" s="1701" t="s">
        <v>1119</v>
      </c>
      <c r="H448" s="1701"/>
      <c r="I448" s="1701"/>
      <c r="J448" s="1701"/>
      <c r="K448" s="1701"/>
      <c r="L448" s="1701"/>
      <c r="M448" s="1701"/>
      <c r="N448" s="1701"/>
      <c r="O448" s="1701"/>
      <c r="P448" s="1701"/>
      <c r="Q448" s="1685"/>
      <c r="R448" s="1685"/>
      <c r="S448" s="1685"/>
      <c r="T448" s="1685"/>
      <c r="U448" s="1685"/>
      <c r="V448" s="1685"/>
      <c r="W448" s="1685"/>
      <c r="X448" s="1685"/>
      <c r="Y448" s="1685"/>
      <c r="Z448" s="1685"/>
      <c r="AA448" s="1685"/>
      <c r="AB448" s="1685"/>
      <c r="AC448" s="1685"/>
      <c r="AD448" s="2069"/>
      <c r="AE448" s="2073"/>
      <c r="AF448" s="1685"/>
      <c r="AG448" s="1685"/>
      <c r="AM448" s="1702" t="s">
        <v>1119</v>
      </c>
      <c r="AN448" s="1702"/>
      <c r="AO448" s="1702"/>
      <c r="AP448" s="1702"/>
      <c r="AQ448" s="1702"/>
      <c r="AR448" s="1702"/>
      <c r="AS448" s="1702"/>
      <c r="AT448" s="1702"/>
      <c r="AU448" s="1702"/>
      <c r="AV448" s="1702"/>
      <c r="AW448" s="1702"/>
      <c r="BQ448" s="1685"/>
      <c r="BW448" s="1702" t="s">
        <v>1119</v>
      </c>
    </row>
    <row r="449" spans="1:75" ht="15">
      <c r="A449" s="1685"/>
      <c r="B449" s="1685"/>
      <c r="C449" s="1685"/>
      <c r="D449" s="1685"/>
      <c r="E449" s="1685"/>
      <c r="F449" s="1685"/>
      <c r="G449" s="1751" t="s">
        <v>1120</v>
      </c>
      <c r="H449" s="1701">
        <v>5100</v>
      </c>
      <c r="I449" s="1701">
        <f>IF(rng02_Expense_IncTable_RentRev="","",rng02_Expense_IncTable_RentRev)</f>
        <v>0</v>
      </c>
      <c r="J449" s="1701">
        <v>0</v>
      </c>
      <c r="K449" s="1701"/>
      <c r="L449" s="1701">
        <v>0</v>
      </c>
      <c r="M449" s="1701">
        <v>0</v>
      </c>
      <c r="N449" s="1701">
        <v>0</v>
      </c>
      <c r="O449" s="1701">
        <v>0</v>
      </c>
      <c r="P449" s="1701">
        <v>0</v>
      </c>
      <c r="Q449" s="1685"/>
      <c r="R449" s="1685"/>
      <c r="S449" s="1685"/>
      <c r="T449" s="1685"/>
      <c r="U449" s="1685"/>
      <c r="V449" s="1685"/>
      <c r="W449" s="1685"/>
      <c r="X449" s="1685"/>
      <c r="Y449" s="1685"/>
      <c r="Z449" s="1685"/>
      <c r="AA449" s="1685"/>
      <c r="AB449" s="1685"/>
      <c r="AC449" s="1685"/>
      <c r="AD449" s="2069"/>
      <c r="AE449" s="2073"/>
      <c r="AF449" s="1685"/>
      <c r="AG449" s="1685"/>
      <c r="AM449" s="1702" t="s">
        <v>1120</v>
      </c>
      <c r="AN449" s="1702">
        <v>5100</v>
      </c>
      <c r="AO449" s="1702" t="str">
        <f t="shared" ref="AO449:AO454" si="95">IF(TCATrigger="No","",$I449)</f>
        <v/>
      </c>
      <c r="AP449" s="1702"/>
      <c r="AQ449" s="1702" t="str">
        <f>IF(TCATrigger="No","",IF(FourPercentTrigger="No","",IF($J$449="","",$J$449)))</f>
        <v/>
      </c>
      <c r="AR449" s="1702" t="str">
        <f>IF(TCATrigger="No","",IF(FourPercentTrigger="No","",IF($K$449="","",$K$449)))</f>
        <v/>
      </c>
      <c r="AS449" s="1702" t="str">
        <f>IF(TCATrigger="No","",IF(FourPercentTrigger="No","",IF($L$449="","",$L$449)))</f>
        <v/>
      </c>
      <c r="AT449" s="1702" t="str">
        <f>IF(TCATrigger="No","",IF(FourPercentTrigger="No","",IF($M$449="","",$M$449)))</f>
        <v/>
      </c>
      <c r="AU449" s="1702" t="str">
        <f>IF(TCATrigger="No","",IF(FourPercentTrigger="No","",IF($N$449="","",$N$449)))</f>
        <v/>
      </c>
      <c r="AV449" s="1702" t="str">
        <f>IF(TCATrigger="No","",IF(FourPercentTrigger="No","",IF($O$449="","",$O$449)))</f>
        <v/>
      </c>
      <c r="AW449" s="1702" t="str">
        <f>IF(TCATrigger="No","",IF(FourPercentTrigger="No","",IF($P$449="","",$P$449)))</f>
        <v/>
      </c>
      <c r="BQ449" s="1685"/>
      <c r="BW449" s="1702" t="s">
        <v>1120</v>
      </c>
    </row>
    <row r="450" spans="1:75" ht="15">
      <c r="A450" s="1685"/>
      <c r="B450" s="1685"/>
      <c r="C450" s="1685"/>
      <c r="D450" s="1685"/>
      <c r="E450" s="1685"/>
      <c r="F450" s="1685"/>
      <c r="G450" s="1751" t="s">
        <v>1121</v>
      </c>
      <c r="H450" s="1701">
        <v>5140</v>
      </c>
      <c r="I450" s="1701">
        <f>IF(rng02_Expense_IncTable_StoresCommRev="","",rng02_Expense_IncTable_StoresCommRev)</f>
        <v>0</v>
      </c>
      <c r="J450" s="1701">
        <v>0</v>
      </c>
      <c r="K450" s="1701"/>
      <c r="L450" s="1701">
        <v>0</v>
      </c>
      <c r="M450" s="1701">
        <v>0</v>
      </c>
      <c r="N450" s="1701">
        <v>0</v>
      </c>
      <c r="O450" s="1701">
        <v>0</v>
      </c>
      <c r="P450" s="1701">
        <v>0</v>
      </c>
      <c r="Q450" s="1685"/>
      <c r="R450" s="1685"/>
      <c r="S450" s="1685"/>
      <c r="T450" s="1685"/>
      <c r="U450" s="1685"/>
      <c r="V450" s="1685"/>
      <c r="W450" s="1685"/>
      <c r="X450" s="1685"/>
      <c r="Y450" s="1685"/>
      <c r="Z450" s="1685"/>
      <c r="AA450" s="1685"/>
      <c r="AB450" s="1685"/>
      <c r="AC450" s="1685"/>
      <c r="AD450" s="2069"/>
      <c r="AE450" s="2073"/>
      <c r="AF450" s="1685"/>
      <c r="AG450" s="1685"/>
      <c r="AM450" s="1702" t="s">
        <v>1121</v>
      </c>
      <c r="AN450" s="1702">
        <v>5140</v>
      </c>
      <c r="AO450" s="1702" t="str">
        <f t="shared" si="95"/>
        <v/>
      </c>
      <c r="AP450" s="1702"/>
      <c r="AQ450" s="1702" t="str">
        <f>IF(TCATrigger="No","",IF(FourPercentTrigger="No","",IF($J$450="","",$J$450)))</f>
        <v/>
      </c>
      <c r="AR450" s="1702" t="str">
        <f>IF(TCATrigger="No","",IF(FourPercentTrigger="No","",IF($K$450="","",$K$450)))</f>
        <v/>
      </c>
      <c r="AS450" s="1702" t="str">
        <f>IF(TCATrigger="No","",IF(FourPercentTrigger="No","",IF($L$450="","",$L$450)))</f>
        <v/>
      </c>
      <c r="AT450" s="1702" t="str">
        <f>IF(TCATrigger="No","",IF(FourPercentTrigger="No","",IF($M$450="","",$M$450)))</f>
        <v/>
      </c>
      <c r="AU450" s="1702" t="str">
        <f>IF(TCATrigger="No","",IF(FourPercentTrigger="No","",IF($N$450="","",$N$450)))</f>
        <v/>
      </c>
      <c r="AV450" s="1702" t="str">
        <f>IF(TCATrigger="No","",IF(FourPercentTrigger="No","",IF($O$450="","",$O$450)))</f>
        <v/>
      </c>
      <c r="AW450" s="1702" t="str">
        <f>IF(TCATrigger="No","",IF(FourPercentTrigger="No","",IF($P$450="","",$P$450)))</f>
        <v/>
      </c>
      <c r="BQ450" s="1685"/>
      <c r="BW450" s="1702" t="s">
        <v>1121</v>
      </c>
    </row>
    <row r="451" spans="1:75" ht="15">
      <c r="A451" s="1685"/>
      <c r="B451" s="1685"/>
      <c r="C451" s="1685"/>
      <c r="D451" s="1685"/>
      <c r="E451" s="1685"/>
      <c r="F451" s="1685"/>
      <c r="G451" s="1752" t="s">
        <v>1122</v>
      </c>
      <c r="H451" s="1701">
        <v>5200</v>
      </c>
      <c r="I451" s="1701">
        <f>IF(rng02_Expense_IncTable_Vacancies="","",rng02_Expense_IncTable_Vacancies)</f>
        <v>0</v>
      </c>
      <c r="J451" s="1701">
        <v>0</v>
      </c>
      <c r="K451" s="1701"/>
      <c r="L451" s="1701">
        <v>0</v>
      </c>
      <c r="M451" s="1701">
        <v>0</v>
      </c>
      <c r="N451" s="1701">
        <v>0</v>
      </c>
      <c r="O451" s="1701">
        <v>0</v>
      </c>
      <c r="P451" s="1701">
        <v>0</v>
      </c>
      <c r="Q451" s="1685"/>
      <c r="R451" s="1685"/>
      <c r="S451" s="1685"/>
      <c r="T451" s="1685"/>
      <c r="U451" s="1685"/>
      <c r="V451" s="1685"/>
      <c r="W451" s="1685"/>
      <c r="X451" s="1685"/>
      <c r="Y451" s="1685"/>
      <c r="Z451" s="1685"/>
      <c r="AA451" s="1685"/>
      <c r="AB451" s="1685"/>
      <c r="AC451" s="1685"/>
      <c r="AD451" s="2069"/>
      <c r="AE451" s="2073"/>
      <c r="AF451" s="1685"/>
      <c r="AG451" s="1685"/>
      <c r="AM451" s="1702" t="s">
        <v>1122</v>
      </c>
      <c r="AN451" s="1702">
        <v>5200</v>
      </c>
      <c r="AO451" s="1702" t="str">
        <f t="shared" si="95"/>
        <v/>
      </c>
      <c r="AP451" s="1702"/>
      <c r="AQ451" s="1702" t="str">
        <f>IF(TCATrigger="No","",IF(FourPercentTrigger="No","",IF($J$451="","",$J$451)))</f>
        <v/>
      </c>
      <c r="AR451" s="1702" t="str">
        <f>IF(TCATrigger="No","",IF(FourPercentTrigger="No","",IF($K$451="","",$K$451)))</f>
        <v/>
      </c>
      <c r="AS451" s="1702" t="str">
        <f>IF(TCATrigger="No","",IF(FourPercentTrigger="No","",IF($L$451="","",$L$451)))</f>
        <v/>
      </c>
      <c r="AT451" s="1702" t="str">
        <f>IF(TCATrigger="No","",IF(FourPercentTrigger="No","",IF($M$451="","",$M$451)))</f>
        <v/>
      </c>
      <c r="AU451" s="1702" t="str">
        <f>IF(TCATrigger="No","",IF(FourPercentTrigger="No","",IF($N$451="","",$N$451)))</f>
        <v/>
      </c>
      <c r="AV451" s="1702" t="str">
        <f>IF(TCATrigger="No","",IF(FourPercentTrigger="No","",IF($O$451="","",$O$451)))</f>
        <v/>
      </c>
      <c r="AW451" s="1702" t="str">
        <f>IF(TCATrigger="No","",IF(FourPercentTrigger="No","",IF($P$451="","",$P$451)))</f>
        <v/>
      </c>
      <c r="BQ451" s="1685"/>
      <c r="BW451" s="1702" t="s">
        <v>1122</v>
      </c>
    </row>
    <row r="452" spans="1:75" ht="15">
      <c r="A452" s="1685"/>
      <c r="B452" s="1685"/>
      <c r="C452" s="1685"/>
      <c r="D452" s="1685"/>
      <c r="E452" s="1685"/>
      <c r="F452" s="1685"/>
      <c r="G452" s="1751" t="s">
        <v>1123</v>
      </c>
      <c r="H452" s="1701">
        <v>5300</v>
      </c>
      <c r="I452" s="1701">
        <f>IF(rng02_Expense_IncTable_TotNHAstLivElderCare="","",rng02_Expense_IncTable_TotNHAstLivElderCare)</f>
        <v>0</v>
      </c>
      <c r="J452" s="1701">
        <v>0</v>
      </c>
      <c r="K452" s="1701"/>
      <c r="L452" s="1701">
        <v>0</v>
      </c>
      <c r="M452" s="1701">
        <v>0</v>
      </c>
      <c r="N452" s="1701">
        <v>0</v>
      </c>
      <c r="O452" s="1701">
        <v>0</v>
      </c>
      <c r="P452" s="1701">
        <v>0</v>
      </c>
      <c r="Q452" s="1685"/>
      <c r="R452" s="1685"/>
      <c r="S452" s="1685"/>
      <c r="T452" s="1685"/>
      <c r="U452" s="1685"/>
      <c r="V452" s="1685"/>
      <c r="W452" s="1685"/>
      <c r="X452" s="1685"/>
      <c r="Y452" s="1685"/>
      <c r="Z452" s="1685"/>
      <c r="AA452" s="1685"/>
      <c r="AB452" s="1685"/>
      <c r="AC452" s="1685"/>
      <c r="AD452" s="2069"/>
      <c r="AE452" s="2073"/>
      <c r="AF452" s="1685"/>
      <c r="AG452" s="1685"/>
      <c r="AM452" s="1702" t="s">
        <v>1123</v>
      </c>
      <c r="AN452" s="1702">
        <v>5300</v>
      </c>
      <c r="AO452" s="1702" t="str">
        <f t="shared" si="95"/>
        <v/>
      </c>
      <c r="AP452" s="1702"/>
      <c r="AQ452" s="1702" t="str">
        <f>IF(TCATrigger="No","",IF(FourPercentTrigger="No","",IF($J$452="","",$J$452)))</f>
        <v/>
      </c>
      <c r="AR452" s="1702" t="str">
        <f>IF(TCATrigger="No","",IF(FourPercentTrigger="No","",IF($K$452="","",$K$452)))</f>
        <v/>
      </c>
      <c r="AS452" s="1702" t="str">
        <f>IF(TCATrigger="No","",IF(FourPercentTrigger="No","",IF($L$452="","",$L$452)))</f>
        <v/>
      </c>
      <c r="AT452" s="1702" t="str">
        <f>IF(TCATrigger="No","",IF(FourPercentTrigger="No","",IF($M$452="","",$M$452)))</f>
        <v/>
      </c>
      <c r="AU452" s="1702" t="str">
        <f>IF(TCATrigger="No","",IF(FourPercentTrigger="No","",IF($N$452="","",$N$452)))</f>
        <v/>
      </c>
      <c r="AV452" s="1702" t="str">
        <f>IF(TCATrigger="No","",IF(FourPercentTrigger="No","",IF($O$452="","",$O$452)))</f>
        <v/>
      </c>
      <c r="AW452" s="1702" t="str">
        <f>IF(TCATrigger="No","",IF(FourPercentTrigger="No","",IF($P$452="","",$P$452)))</f>
        <v/>
      </c>
      <c r="BQ452" s="1685"/>
      <c r="BW452" s="1702" t="s">
        <v>1123</v>
      </c>
    </row>
    <row r="453" spans="1:75" ht="15">
      <c r="A453" s="1685"/>
      <c r="B453" s="1685"/>
      <c r="C453" s="1685"/>
      <c r="D453" s="1685"/>
      <c r="E453" s="1685"/>
      <c r="F453" s="1685"/>
      <c r="G453" s="1751" t="s">
        <v>1124</v>
      </c>
      <c r="H453" s="1701" t="s">
        <v>1125</v>
      </c>
      <c r="I453" s="1701">
        <f>IF(rng02_Expense_IncTable_OtherRev="","",rng02_Expense_IncTable_OtherRev)</f>
        <v>0</v>
      </c>
      <c r="J453" s="1701">
        <v>0</v>
      </c>
      <c r="K453" s="1701"/>
      <c r="L453" s="1701">
        <v>0</v>
      </c>
      <c r="M453" s="1701">
        <v>0</v>
      </c>
      <c r="N453" s="1701">
        <v>0</v>
      </c>
      <c r="O453" s="1701">
        <v>0</v>
      </c>
      <c r="P453" s="1701">
        <v>0</v>
      </c>
      <c r="Q453" s="1685"/>
      <c r="R453" s="1685"/>
      <c r="S453" s="1685"/>
      <c r="T453" s="1685"/>
      <c r="U453" s="1685"/>
      <c r="V453" s="1685"/>
      <c r="W453" s="1685"/>
      <c r="X453" s="1685"/>
      <c r="Y453" s="1685"/>
      <c r="Z453" s="1685"/>
      <c r="AA453" s="1685"/>
      <c r="AB453" s="1685"/>
      <c r="AC453" s="1685"/>
      <c r="AD453" s="2069"/>
      <c r="AE453" s="2073"/>
      <c r="AF453" s="1685"/>
      <c r="AG453" s="1685"/>
      <c r="AM453" s="1702" t="s">
        <v>1124</v>
      </c>
      <c r="AN453" s="1702" t="s">
        <v>1125</v>
      </c>
      <c r="AO453" s="1702" t="str">
        <f t="shared" si="95"/>
        <v/>
      </c>
      <c r="AP453" s="1702"/>
      <c r="AQ453" s="1702" t="str">
        <f>IF(TCATrigger="No","",IF(FourPercentTrigger="No","",IF($J$453="","",$J$453)))</f>
        <v/>
      </c>
      <c r="AR453" s="1702" t="str">
        <f>IF(TCATrigger="No","",IF(FourPercentTrigger="No","",IF($K$453="","",$K$453)))</f>
        <v/>
      </c>
      <c r="AS453" s="1702" t="str">
        <f>IF(TCATrigger="No","",IF(FourPercentTrigger="No","",IF($L$453="","",$L$453)))</f>
        <v/>
      </c>
      <c r="AT453" s="1702" t="str">
        <f>IF(TCATrigger="No","",IF(FourPercentTrigger="No","",IF($M$453="","",$M$453)))</f>
        <v/>
      </c>
      <c r="AU453" s="1702" t="str">
        <f>IF(TCATrigger="No","",IF(FourPercentTrigger="No","",IF($N$453="","",$N$453)))</f>
        <v/>
      </c>
      <c r="AV453" s="1702" t="str">
        <f>IF(TCATrigger="No","",IF(FourPercentTrigger="No","",IF($O$453="","",$O$453)))</f>
        <v/>
      </c>
      <c r="AW453" s="1702" t="str">
        <f>IF(TCATrigger="No","",IF(FourPercentTrigger="No","",IF($P$453="","",$P$453)))</f>
        <v/>
      </c>
      <c r="BQ453" s="1685"/>
      <c r="BW453" s="1702" t="s">
        <v>1124</v>
      </c>
    </row>
    <row r="454" spans="1:75" ht="15">
      <c r="A454" s="1685"/>
      <c r="B454" s="1685"/>
      <c r="C454" s="1685"/>
      <c r="D454" s="1685"/>
      <c r="E454" s="1685"/>
      <c r="F454" s="1685"/>
      <c r="G454" s="1701" t="s">
        <v>1126</v>
      </c>
      <c r="H454" s="1701"/>
      <c r="I454" s="1701">
        <f>IF(rng02_Expense_IncTable_EffGrossIncome="","",rng02_Expense_IncTable_EffGrossIncome)</f>
        <v>0</v>
      </c>
      <c r="J454" s="1701">
        <v>0</v>
      </c>
      <c r="K454" s="1701">
        <v>0</v>
      </c>
      <c r="L454" s="1701">
        <v>0</v>
      </c>
      <c r="M454" s="1701"/>
      <c r="N454" s="1701"/>
      <c r="O454" s="1701">
        <v>0</v>
      </c>
      <c r="P454" s="1701">
        <v>0</v>
      </c>
      <c r="Q454" s="1685"/>
      <c r="R454" s="1685"/>
      <c r="S454" s="1685"/>
      <c r="T454" s="1685"/>
      <c r="U454" s="1685"/>
      <c r="V454" s="1685"/>
      <c r="W454" s="1685"/>
      <c r="X454" s="1685"/>
      <c r="Y454" s="1685"/>
      <c r="Z454" s="1685"/>
      <c r="AA454" s="1685"/>
      <c r="AB454" s="1685"/>
      <c r="AC454" s="1685"/>
      <c r="AD454" s="2069"/>
      <c r="AE454" s="2073"/>
      <c r="AF454" s="1685"/>
      <c r="AG454" s="1685"/>
      <c r="AM454" s="1702" t="s">
        <v>1126</v>
      </c>
      <c r="AN454" s="1702"/>
      <c r="AO454" s="1702" t="str">
        <f t="shared" si="95"/>
        <v/>
      </c>
      <c r="AP454" s="1702"/>
      <c r="AQ454" s="1702" t="str">
        <f>IF(TCATrigger="No","",IF(FourPercentTrigger="No","",IF($J$454="","",$J$454)))</f>
        <v/>
      </c>
      <c r="AR454" s="1702" t="str">
        <f>IF(TCATrigger="No","",IF(FourPercentTrigger="No","",IF($K$454="","",$K$454)))</f>
        <v/>
      </c>
      <c r="AS454" s="1702" t="str">
        <f>IF(TCATrigger="No","",IF(FourPercentTrigger="No","",IF($L$454="","",$L$454)))</f>
        <v/>
      </c>
      <c r="AT454" s="1702" t="str">
        <f>IF(TCATrigger="No","",IF(FourPercentTrigger="No","",IF($M$454="","",$M$454)))</f>
        <v/>
      </c>
      <c r="AU454" s="1702" t="str">
        <f>IF(TCATrigger="No","",IF(FourPercentTrigger="No","",IF(N454="","",N454)))</f>
        <v/>
      </c>
      <c r="AV454" s="1702" t="str">
        <f>IF(TCATrigger="No","",IF(FourPercentTrigger="No","",IF($O$454="","",$O$454)))</f>
        <v/>
      </c>
      <c r="AW454" s="1702" t="str">
        <f>IF(TCATrigger="No","",IF(FourPercentTrigger="No","",IF($P$454="","",$P$454)))</f>
        <v/>
      </c>
      <c r="BQ454" s="1685"/>
      <c r="BW454" s="1702" t="s">
        <v>1126</v>
      </c>
    </row>
    <row r="455" spans="1:75" ht="15">
      <c r="A455" s="1685"/>
      <c r="B455" s="1685"/>
      <c r="C455" s="1685"/>
      <c r="D455" s="1685"/>
      <c r="E455" s="1685"/>
      <c r="F455" s="1685"/>
      <c r="G455" s="1701"/>
      <c r="H455" s="1701"/>
      <c r="I455" s="1701"/>
      <c r="J455" s="1701"/>
      <c r="K455" s="1701"/>
      <c r="L455" s="1701"/>
      <c r="M455" s="1701"/>
      <c r="N455" s="1701"/>
      <c r="O455" s="1701"/>
      <c r="P455" s="1701"/>
      <c r="Q455" s="1685"/>
      <c r="R455" s="1685"/>
      <c r="S455" s="1685"/>
      <c r="T455" s="1685"/>
      <c r="U455" s="1685"/>
      <c r="V455" s="1685"/>
      <c r="W455" s="1685"/>
      <c r="X455" s="1685"/>
      <c r="Y455" s="1685"/>
      <c r="Z455" s="1685"/>
      <c r="AA455" s="1685"/>
      <c r="AB455" s="1685"/>
      <c r="AC455" s="1685"/>
      <c r="AD455" s="2069"/>
      <c r="AE455" s="2073"/>
      <c r="AF455" s="1685"/>
      <c r="AG455" s="1685"/>
      <c r="BQ455" s="1685"/>
    </row>
    <row r="456" spans="1:75" ht="15">
      <c r="A456" s="1685"/>
      <c r="B456" s="1685"/>
      <c r="C456" s="1685"/>
      <c r="D456" s="1685"/>
      <c r="E456" s="1685"/>
      <c r="F456" s="1685"/>
      <c r="G456" s="1701" t="s">
        <v>1127</v>
      </c>
      <c r="H456" s="1701"/>
      <c r="I456" s="1701"/>
      <c r="J456" s="1701"/>
      <c r="K456" s="1701"/>
      <c r="L456" s="1701"/>
      <c r="M456" s="1701"/>
      <c r="N456" s="1701"/>
      <c r="O456" s="1701"/>
      <c r="P456" s="1701"/>
      <c r="Q456" s="1685"/>
      <c r="R456" s="1685"/>
      <c r="S456" s="1685"/>
      <c r="T456" s="1685"/>
      <c r="U456" s="1685"/>
      <c r="V456" s="1685"/>
      <c r="W456" s="1685"/>
      <c r="X456" s="1685"/>
      <c r="Y456" s="1685"/>
      <c r="Z456" s="1685"/>
      <c r="AA456" s="1685"/>
      <c r="AB456" s="1685"/>
      <c r="AC456" s="1685"/>
      <c r="AD456" s="2069"/>
      <c r="AE456" s="2073"/>
      <c r="AF456" s="1685"/>
      <c r="AG456" s="1685"/>
      <c r="AM456" s="1677" t="s">
        <v>1127</v>
      </c>
      <c r="BQ456" s="1685"/>
      <c r="BW456" s="1677" t="s">
        <v>1127</v>
      </c>
    </row>
    <row r="457" spans="1:75" ht="15">
      <c r="A457" s="1685"/>
      <c r="B457" s="1685"/>
      <c r="C457" s="1685"/>
      <c r="D457" s="1685"/>
      <c r="E457" s="1685"/>
      <c r="F457" s="1685"/>
      <c r="G457" s="1701" t="s">
        <v>1128</v>
      </c>
      <c r="H457" s="1701"/>
      <c r="I457" s="1701"/>
      <c r="J457" s="1701"/>
      <c r="K457" s="1701"/>
      <c r="L457" s="1701"/>
      <c r="M457" s="1701"/>
      <c r="N457" s="1701"/>
      <c r="O457" s="1701"/>
      <c r="P457" s="1701"/>
      <c r="Q457" s="1685"/>
      <c r="R457" s="1685"/>
      <c r="S457" s="1685"/>
      <c r="T457" s="1685"/>
      <c r="U457" s="1685"/>
      <c r="V457" s="1685"/>
      <c r="W457" s="1685"/>
      <c r="X457" s="1685"/>
      <c r="Y457" s="1685"/>
      <c r="Z457" s="1685"/>
      <c r="AA457" s="1685"/>
      <c r="AB457" s="1685"/>
      <c r="AC457" s="1685"/>
      <c r="AD457" s="2069"/>
      <c r="AE457" s="2073"/>
      <c r="AF457" s="1685"/>
      <c r="AG457" s="1685"/>
      <c r="AM457" s="1702" t="s">
        <v>1128</v>
      </c>
      <c r="AN457" s="1702"/>
      <c r="AO457" s="1702"/>
      <c r="AP457" s="1702"/>
      <c r="AQ457" s="1702"/>
      <c r="AR457" s="1702"/>
      <c r="AS457" s="1702"/>
      <c r="AT457" s="1702"/>
      <c r="AU457" s="1702"/>
      <c r="AV457" s="1702"/>
      <c r="AW457" s="1702"/>
      <c r="BQ457" s="1685"/>
      <c r="BW457" s="1702" t="s">
        <v>1128</v>
      </c>
    </row>
    <row r="458" spans="1:75" ht="15">
      <c r="A458" s="1685"/>
      <c r="B458" s="1685"/>
      <c r="C458" s="1685"/>
      <c r="D458" s="1685"/>
      <c r="E458" s="1685"/>
      <c r="F458" s="1685"/>
      <c r="G458" s="1751" t="s">
        <v>1129</v>
      </c>
      <c r="H458" s="1701">
        <v>6203</v>
      </c>
      <c r="I458" s="1701" t="str">
        <f>IF(rng02_Expense_OpEx_ConvMeetings="","",rng02_Expense_OpEx_ConvMeetings)</f>
        <v/>
      </c>
      <c r="J458" s="1701">
        <v>0</v>
      </c>
      <c r="K458" s="1701"/>
      <c r="L458" s="1701">
        <v>0</v>
      </c>
      <c r="M458" s="1701">
        <v>0</v>
      </c>
      <c r="N458" s="1701">
        <v>0</v>
      </c>
      <c r="O458" s="1701">
        <v>0</v>
      </c>
      <c r="P458" s="1701">
        <v>0</v>
      </c>
      <c r="Q458" s="1685"/>
      <c r="R458" s="1685"/>
      <c r="S458" s="1685"/>
      <c r="T458" s="1685"/>
      <c r="U458" s="1685"/>
      <c r="V458" s="1685"/>
      <c r="W458" s="1685"/>
      <c r="X458" s="1685"/>
      <c r="Y458" s="1685"/>
      <c r="Z458" s="1685"/>
      <c r="AA458" s="1685"/>
      <c r="AB458" s="1685"/>
      <c r="AC458" s="1685"/>
      <c r="AD458" s="2069"/>
      <c r="AE458" s="2073"/>
      <c r="AF458" s="1685"/>
      <c r="AG458" s="1685"/>
      <c r="AM458" s="1753" t="s">
        <v>1129</v>
      </c>
      <c r="AN458" s="1702">
        <v>6203</v>
      </c>
      <c r="AO458" s="1702" t="str">
        <f t="shared" ref="AO458:AO477" si="96">IF(TCATrigger="No","",$I458)</f>
        <v/>
      </c>
      <c r="AP458" s="1753" t="str">
        <f>IF(OR(TCATrigger="No",SUM(AO458:AO460)=0),"",SUM(AO458:AO460))</f>
        <v/>
      </c>
      <c r="AQ458" s="1702" t="str">
        <f>IF(TCATrigger="No","",IF(FourPercentTrigger="No","",IF($J$458="","",$J$458)))</f>
        <v/>
      </c>
      <c r="AR458" s="1702" t="str">
        <f>IF(TCATrigger="No","",IF(FourPercentTrigger="No","",IF($K$458="","",$K$458)))</f>
        <v/>
      </c>
      <c r="AS458" s="1702" t="str">
        <f>IF(TCATrigger="No","",IF(FourPercentTrigger="No","",IF($L$458="","",$L$458)))</f>
        <v/>
      </c>
      <c r="AT458" s="1702" t="str">
        <f>IF(TCATrigger="No","",IF(FourPercentTrigger="No","",IF($M$458="","",$M$458)))</f>
        <v/>
      </c>
      <c r="AU458" s="1702" t="str">
        <f>IF(TCATrigger="No","",IF(FourPercentTrigger="No","",IF($N$458="","",$N$458)))</f>
        <v/>
      </c>
      <c r="AV458" s="1702" t="str">
        <f>IF(TCATrigger="No","",IF(FourPercentTrigger="No","",IF($O$458="","",$O$458)))</f>
        <v/>
      </c>
      <c r="AW458" s="1702" t="str">
        <f>IF(TCATrigger="No","",IF(FourPercentTrigger="No","",IF($P$458="","",$P$458)))</f>
        <v/>
      </c>
      <c r="BQ458" s="1685"/>
      <c r="BW458" s="1753" t="s">
        <v>1129</v>
      </c>
    </row>
    <row r="459" spans="1:75" ht="15">
      <c r="A459" s="1685"/>
      <c r="B459" s="1685"/>
      <c r="C459" s="1685"/>
      <c r="D459" s="1685"/>
      <c r="E459" s="1685"/>
      <c r="F459" s="1685"/>
      <c r="G459" s="1751" t="s">
        <v>1130</v>
      </c>
      <c r="H459" s="1701">
        <v>6204</v>
      </c>
      <c r="I459" s="1701" t="str">
        <f>IF(rng02_Expense_OpEx_ConSultFees="","",rng02_Expense_OpEx_ConSultFees)</f>
        <v/>
      </c>
      <c r="J459" s="1701">
        <v>0</v>
      </c>
      <c r="K459" s="1701"/>
      <c r="L459" s="1701">
        <v>0</v>
      </c>
      <c r="M459" s="1701">
        <v>0</v>
      </c>
      <c r="N459" s="1701">
        <v>0</v>
      </c>
      <c r="O459" s="1701">
        <v>0</v>
      </c>
      <c r="P459" s="1701">
        <v>0</v>
      </c>
      <c r="Q459" s="1685"/>
      <c r="R459" s="1685"/>
      <c r="S459" s="1685"/>
      <c r="T459" s="1685"/>
      <c r="U459" s="1685"/>
      <c r="V459" s="1685"/>
      <c r="W459" s="1685"/>
      <c r="X459" s="1685"/>
      <c r="Y459" s="1685"/>
      <c r="Z459" s="1685"/>
      <c r="AA459" s="1685"/>
      <c r="AB459" s="1685"/>
      <c r="AC459" s="1685"/>
      <c r="AD459" s="2069"/>
      <c r="AE459" s="2073"/>
      <c r="AF459" s="1685"/>
      <c r="AG459" s="1685"/>
      <c r="AM459" s="1753" t="s">
        <v>1130</v>
      </c>
      <c r="AN459" s="1702">
        <v>6204</v>
      </c>
      <c r="AO459" s="1702" t="str">
        <f t="shared" si="96"/>
        <v/>
      </c>
      <c r="AP459" s="1753"/>
      <c r="AQ459" s="1702" t="str">
        <f>IF(TCATrigger="No","",IF(FourPercentTrigger="No","",IF($J$459="","",$J$459)))</f>
        <v/>
      </c>
      <c r="AR459" s="1702" t="str">
        <f>IF(TCATrigger="No","",IF(FourPercentTrigger="No","",IF($K$459="","",$K$459)))</f>
        <v/>
      </c>
      <c r="AS459" s="1702" t="str">
        <f>IF(TCATrigger="No","",IF(FourPercentTrigger="No","",IF($L$459="","",$L$459)))</f>
        <v/>
      </c>
      <c r="AT459" s="1702" t="str">
        <f>IF(TCATrigger="No","",IF(FourPercentTrigger="No","",IF($M$459="","",$M$459)))</f>
        <v/>
      </c>
      <c r="AU459" s="1702" t="str">
        <f>IF(TCATrigger="No","",IF(FourPercentTrigger="No","",IF($N$459="","",$N$459)))</f>
        <v/>
      </c>
      <c r="AV459" s="1702" t="str">
        <f>IF(TCATrigger="No","",IF(FourPercentTrigger="No","",IF($O$459="","",$O$459)))</f>
        <v/>
      </c>
      <c r="AW459" s="1702" t="str">
        <f>IF(TCATrigger="No","",IF(FourPercentTrigger="No","",IF($P$459="","",$P$459)))</f>
        <v/>
      </c>
      <c r="BQ459" s="1685"/>
      <c r="BW459" s="1753" t="s">
        <v>1130</v>
      </c>
    </row>
    <row r="460" spans="1:75" ht="15">
      <c r="A460" s="1685"/>
      <c r="B460" s="1685"/>
      <c r="C460" s="1685"/>
      <c r="D460" s="1685"/>
      <c r="E460" s="1685"/>
      <c r="F460" s="1685"/>
      <c r="G460" s="1751" t="s">
        <v>1131</v>
      </c>
      <c r="H460" s="1701">
        <v>6210</v>
      </c>
      <c r="I460" s="1701" t="str">
        <f>IF(rng02_Expense_OpEx_Advertising="","",rng02_Expense_OpEx_Advertising)</f>
        <v/>
      </c>
      <c r="J460" s="1701">
        <v>0</v>
      </c>
      <c r="K460" s="1701"/>
      <c r="L460" s="1701">
        <v>0</v>
      </c>
      <c r="M460" s="1701">
        <v>0</v>
      </c>
      <c r="N460" s="1701">
        <v>0</v>
      </c>
      <c r="O460" s="1701">
        <v>0</v>
      </c>
      <c r="P460" s="1701">
        <v>0</v>
      </c>
      <c r="Q460" s="1685"/>
      <c r="R460" s="1685"/>
      <c r="S460" s="1685"/>
      <c r="T460" s="1685"/>
      <c r="U460" s="1685"/>
      <c r="V460" s="1685"/>
      <c r="W460" s="1685"/>
      <c r="X460" s="1685"/>
      <c r="Y460" s="1685"/>
      <c r="Z460" s="1685"/>
      <c r="AA460" s="1685"/>
      <c r="AB460" s="1685"/>
      <c r="AC460" s="1685"/>
      <c r="AD460" s="2069"/>
      <c r="AE460" s="2073"/>
      <c r="AF460" s="1685"/>
      <c r="AG460" s="1685"/>
      <c r="AM460" s="1753" t="s">
        <v>1131</v>
      </c>
      <c r="AN460" s="1702">
        <v>6210</v>
      </c>
      <c r="AO460" s="1702" t="str">
        <f t="shared" si="96"/>
        <v/>
      </c>
      <c r="AP460" s="1753"/>
      <c r="AQ460" s="1702" t="str">
        <f>IF(TCATrigger="No","",IF(FourPercentTrigger="No","",IF($J$460="","",$J$460)))</f>
        <v/>
      </c>
      <c r="AR460" s="1702" t="str">
        <f>IF(TCATrigger="No","",IF(FourPercentTrigger="No","",IF($K$460="","",$K$460)))</f>
        <v/>
      </c>
      <c r="AS460" s="1702" t="str">
        <f>IF(TCATrigger="No","",IF(FourPercentTrigger="No","",IF($L$460="","",$L$460)))</f>
        <v/>
      </c>
      <c r="AT460" s="1702" t="str">
        <f>IF(TCATrigger="No","",IF(FourPercentTrigger="No","",IF($M$460="","",$M$460)))</f>
        <v/>
      </c>
      <c r="AU460" s="1702" t="str">
        <f>IF(TCATrigger="No","",IF(FourPercentTrigger="No","",IF($N$460="","",$N$460)))</f>
        <v/>
      </c>
      <c r="AV460" s="1702" t="str">
        <f>IF(TCATrigger="No","",IF(FourPercentTrigger="No","",IF($O$460="","",$O$460)))</f>
        <v/>
      </c>
      <c r="AW460" s="1702" t="str">
        <f>IF(TCATrigger="No","",IF(FourPercentTrigger="No","",IF($P$460="","",$P$460)))</f>
        <v/>
      </c>
      <c r="BQ460" s="1685"/>
      <c r="BW460" s="1753" t="s">
        <v>1131</v>
      </c>
    </row>
    <row r="461" spans="1:75" ht="15">
      <c r="A461" s="1685"/>
      <c r="B461" s="1685"/>
      <c r="C461" s="1685"/>
      <c r="D461" s="1685"/>
      <c r="E461" s="1685"/>
      <c r="F461" s="1685"/>
      <c r="G461" s="1751" t="s">
        <v>1132</v>
      </c>
      <c r="H461" s="1701">
        <v>6250</v>
      </c>
      <c r="I461" s="1701" t="str">
        <f>IF(rng02_Expense_OpEx_RentExpense="","",rng02_Expense_OpEx_RentExpense)</f>
        <v/>
      </c>
      <c r="J461" s="1701">
        <v>0</v>
      </c>
      <c r="K461" s="1701"/>
      <c r="L461" s="1701">
        <v>0</v>
      </c>
      <c r="M461" s="1701">
        <v>0</v>
      </c>
      <c r="N461" s="1701">
        <v>0</v>
      </c>
      <c r="O461" s="1701">
        <v>0</v>
      </c>
      <c r="P461" s="1701">
        <v>0</v>
      </c>
      <c r="Q461" s="1685"/>
      <c r="R461" s="1685"/>
      <c r="S461" s="1685"/>
      <c r="T461" s="1685"/>
      <c r="U461" s="1685"/>
      <c r="V461" s="1685"/>
      <c r="W461" s="1685"/>
      <c r="X461" s="1685"/>
      <c r="Y461" s="1685"/>
      <c r="Z461" s="1685"/>
      <c r="AA461" s="1685"/>
      <c r="AB461" s="1685"/>
      <c r="AC461" s="1685"/>
      <c r="AD461" s="2069"/>
      <c r="AE461" s="2073"/>
      <c r="AF461" s="1685"/>
      <c r="AG461" s="1685"/>
      <c r="AM461" s="1754" t="s">
        <v>1132</v>
      </c>
      <c r="AN461" s="1702">
        <v>6250</v>
      </c>
      <c r="AO461" s="1702" t="str">
        <f t="shared" si="96"/>
        <v/>
      </c>
      <c r="AP461" s="1754" t="str">
        <f>IF(OR(TCATrigger="No",SUM(AO461,AO475:AO476)=0),"",SUM(AO461,AO475:AO476))</f>
        <v/>
      </c>
      <c r="AQ461" s="1702" t="str">
        <f>IF(TCATrigger="No","",IF(FourPercentTrigger="No","",IF($J$461="","",$J$461)))</f>
        <v/>
      </c>
      <c r="AR461" s="1702" t="str">
        <f>IF(TCATrigger="No","",IF(FourPercentTrigger="No","",IF($K$461="","",$K$461)))</f>
        <v/>
      </c>
      <c r="AS461" s="1702" t="str">
        <f>IF(TCATrigger="No","",IF(FourPercentTrigger="No","",IF($L$461="","",$L$461)))</f>
        <v/>
      </c>
      <c r="AT461" s="1702" t="str">
        <f>IF(TCATrigger="No","",IF(FourPercentTrigger="No","",IF($M$461="","",$M$461)))</f>
        <v/>
      </c>
      <c r="AU461" s="1702" t="str">
        <f>IF(TCATrigger="No","",IF(FourPercentTrigger="No","",IF($N$461="","",$N$461)))</f>
        <v/>
      </c>
      <c r="AV461" s="1702" t="str">
        <f>IF(TCATrigger="No","",IF(FourPercentTrigger="No","",IF($O$461="","",$O$461)))</f>
        <v/>
      </c>
      <c r="AW461" s="1702" t="str">
        <f>IF(TCATrigger="No","",IF(FourPercentTrigger="No","",IF($P$461="","",$P$461)))</f>
        <v/>
      </c>
      <c r="BQ461" s="1685"/>
      <c r="BW461" s="1754" t="s">
        <v>1132</v>
      </c>
    </row>
    <row r="462" spans="1:75" ht="15">
      <c r="A462" s="1685"/>
      <c r="B462" s="1685"/>
      <c r="C462" s="1685"/>
      <c r="D462" s="1685"/>
      <c r="E462" s="1685"/>
      <c r="F462" s="1685"/>
      <c r="G462" s="1751" t="s">
        <v>1133</v>
      </c>
      <c r="H462" s="1701">
        <v>6310</v>
      </c>
      <c r="I462" s="1701" t="str">
        <f>IF(rng02_Expense_OpEx_OfficeSal="","",rng02_Expense_OpEx_OfficeSal)</f>
        <v/>
      </c>
      <c r="J462" s="1701">
        <v>0</v>
      </c>
      <c r="K462" s="1701"/>
      <c r="L462" s="1701">
        <v>0</v>
      </c>
      <c r="M462" s="1701">
        <v>0</v>
      </c>
      <c r="N462" s="1701">
        <v>0</v>
      </c>
      <c r="O462" s="1701">
        <v>0</v>
      </c>
      <c r="P462" s="1701">
        <v>0</v>
      </c>
      <c r="Q462" s="1685"/>
      <c r="R462" s="1685"/>
      <c r="S462" s="1685"/>
      <c r="T462" s="1685"/>
      <c r="U462" s="1685"/>
      <c r="V462" s="1685"/>
      <c r="W462" s="1685"/>
      <c r="X462" s="1685"/>
      <c r="Y462" s="1685"/>
      <c r="Z462" s="1685"/>
      <c r="AA462" s="1685"/>
      <c r="AB462" s="1685"/>
      <c r="AC462" s="1685"/>
      <c r="AD462" s="2069"/>
      <c r="AE462" s="2073"/>
      <c r="AF462" s="1685"/>
      <c r="AG462" s="1685"/>
      <c r="AM462" s="1702" t="s">
        <v>1133</v>
      </c>
      <c r="AN462" s="1702">
        <v>6310</v>
      </c>
      <c r="AO462" s="1702" t="str">
        <f t="shared" si="96"/>
        <v/>
      </c>
      <c r="AP462" s="1702" t="str">
        <f t="shared" ref="AP462:AP477" si="97">IF(AO462="","",AO462)</f>
        <v/>
      </c>
      <c r="AQ462" s="1702" t="str">
        <f>IF(TCATrigger="No","",IF(FourPercentTrigger="No","",IF($J$462="","",$J$462)))</f>
        <v/>
      </c>
      <c r="AR462" s="1702" t="str">
        <f>IF(TCATrigger="No","",IF(FourPercentTrigger="No","",IF($K$462="","",$K$462)))</f>
        <v/>
      </c>
      <c r="AS462" s="1702" t="str">
        <f>IF(TCATrigger="No","",IF(FourPercentTrigger="No","",IF($L$462="","",$L$462)))</f>
        <v/>
      </c>
      <c r="AT462" s="1702" t="str">
        <f>IF(TCATrigger="No","",IF(FourPercentTrigger="No","",IF($M$462="","",$M$462)))</f>
        <v/>
      </c>
      <c r="AU462" s="1702" t="str">
        <f>IF(TCATrigger="No","",IF(FourPercentTrigger="No","",IF($N$462="","",$N$462)))</f>
        <v/>
      </c>
      <c r="AV462" s="1702" t="str">
        <f>IF(TCATrigger="No","",IF(FourPercentTrigger="No","",IF($O$462="","",$O$462)))</f>
        <v/>
      </c>
      <c r="AW462" s="1702" t="str">
        <f>IF(TCATrigger="No","",IF(FourPercentTrigger="No","",IF($P$462="","",$P$462)))</f>
        <v/>
      </c>
      <c r="BQ462" s="1685"/>
      <c r="BW462" s="1702" t="s">
        <v>1133</v>
      </c>
    </row>
    <row r="463" spans="1:75" ht="15">
      <c r="A463" s="1685"/>
      <c r="B463" s="1685"/>
      <c r="C463" s="1685"/>
      <c r="D463" s="1685"/>
      <c r="E463" s="1685"/>
      <c r="F463" s="1685"/>
      <c r="G463" s="1751" t="s">
        <v>1134</v>
      </c>
      <c r="H463" s="1701">
        <v>6311</v>
      </c>
      <c r="I463" s="1701" t="str">
        <f>IF(rng02_Expense_OpEx_OffExpense="","",rng02_Expense_OpEx_OffExpense)</f>
        <v/>
      </c>
      <c r="J463" s="1701">
        <v>0</v>
      </c>
      <c r="K463" s="1701"/>
      <c r="L463" s="1701">
        <v>0</v>
      </c>
      <c r="M463" s="1701">
        <v>0</v>
      </c>
      <c r="N463" s="1701">
        <v>0</v>
      </c>
      <c r="O463" s="1701">
        <v>0</v>
      </c>
      <c r="P463" s="1701">
        <v>0</v>
      </c>
      <c r="Q463" s="1685"/>
      <c r="R463" s="1685"/>
      <c r="S463" s="1685"/>
      <c r="T463" s="1685"/>
      <c r="U463" s="1685"/>
      <c r="V463" s="1685"/>
      <c r="W463" s="1685"/>
      <c r="X463" s="1685"/>
      <c r="Y463" s="1685"/>
      <c r="Z463" s="1685"/>
      <c r="AA463" s="1685"/>
      <c r="AB463" s="1685"/>
      <c r="AC463" s="1685"/>
      <c r="AD463" s="2069"/>
      <c r="AE463" s="2073"/>
      <c r="AF463" s="1685"/>
      <c r="AG463" s="1685"/>
      <c r="AM463" s="1755" t="s">
        <v>1134</v>
      </c>
      <c r="AN463" s="1702">
        <v>6311</v>
      </c>
      <c r="AO463" s="1702" t="str">
        <f t="shared" si="96"/>
        <v/>
      </c>
      <c r="AP463" s="1755" t="str">
        <f>IF(OR(TCATrigger="No",SUM(AO463,AO465,AO474)=0),"",SUM(AO463,AO465,AO474))</f>
        <v/>
      </c>
      <c r="AQ463" s="1702" t="str">
        <f>IF(TCATrigger="No","",IF(FourPercentTrigger="No","",IF($J$463="","",$J$463)))</f>
        <v/>
      </c>
      <c r="AR463" s="1702" t="str">
        <f>IF(TCATrigger="No","",IF(FourPercentTrigger="No","",IF($K$463="","",$K$463)))</f>
        <v/>
      </c>
      <c r="AS463" s="1702" t="str">
        <f>IF(TCATrigger="No","",IF(FourPercentTrigger="No","",IF($L$463="","",$L$463)))</f>
        <v/>
      </c>
      <c r="AT463" s="1702" t="str">
        <f>IF(TCATrigger="No","",IF(FourPercentTrigger="No","",IF($M$463="","",$M$463)))</f>
        <v/>
      </c>
      <c r="AU463" s="1702" t="str">
        <f>IF(TCATrigger="No","",IF(FourPercentTrigger="No","",IF($N$463="","",$N$463)))</f>
        <v/>
      </c>
      <c r="AV463" s="1702" t="str">
        <f>IF(TCATrigger="No","",IF(FourPercentTrigger="No","",IF($O$463="","",$O$463)))</f>
        <v/>
      </c>
      <c r="AW463" s="1702" t="str">
        <f>IF(TCATrigger="No","",IF(FourPercentTrigger="No","",IF($P$463="","",$P$463)))</f>
        <v/>
      </c>
      <c r="BQ463" s="1685"/>
      <c r="BW463" s="1755" t="s">
        <v>1134</v>
      </c>
    </row>
    <row r="464" spans="1:75" ht="15">
      <c r="A464" s="1685"/>
      <c r="B464" s="1685"/>
      <c r="C464" s="1685"/>
      <c r="D464" s="1685"/>
      <c r="E464" s="1685"/>
      <c r="F464" s="1685"/>
      <c r="G464" s="1751" t="s">
        <v>1135</v>
      </c>
      <c r="H464" s="1701">
        <v>6312</v>
      </c>
      <c r="I464" s="1701" t="str">
        <f>IF(rng02_Expense_OpEx_OffModelApptmntRent="","",rng02_Expense_OpEx_OffModelApptmntRent)</f>
        <v/>
      </c>
      <c r="J464" s="1701">
        <v>0</v>
      </c>
      <c r="K464" s="1701"/>
      <c r="L464" s="1701">
        <v>0</v>
      </c>
      <c r="M464" s="1701">
        <v>0</v>
      </c>
      <c r="N464" s="1701">
        <v>0</v>
      </c>
      <c r="O464" s="1701">
        <v>0</v>
      </c>
      <c r="P464" s="1701">
        <v>0</v>
      </c>
      <c r="Q464" s="1685"/>
      <c r="R464" s="1685"/>
      <c r="S464" s="1685"/>
      <c r="T464" s="1685"/>
      <c r="U464" s="1685"/>
      <c r="V464" s="1685"/>
      <c r="W464" s="1685"/>
      <c r="X464" s="1685"/>
      <c r="Y464" s="1685"/>
      <c r="Z464" s="1685"/>
      <c r="AA464" s="1685"/>
      <c r="AB464" s="1685"/>
      <c r="AC464" s="1685"/>
      <c r="AD464" s="2069"/>
      <c r="AE464" s="2073"/>
      <c r="AF464" s="1685"/>
      <c r="AG464" s="1685"/>
      <c r="AM464" s="1702" t="s">
        <v>1135</v>
      </c>
      <c r="AN464" s="1702">
        <v>6312</v>
      </c>
      <c r="AO464" s="1702" t="str">
        <f t="shared" si="96"/>
        <v/>
      </c>
      <c r="AP464" s="1702" t="str">
        <f t="shared" si="97"/>
        <v/>
      </c>
      <c r="AQ464" s="1702" t="str">
        <f>IF(TCATrigger="No","",IF(FourPercentTrigger="No","",IF($J$464="","",$J$464)))</f>
        <v/>
      </c>
      <c r="AR464" s="1702" t="str">
        <f>IF(TCATrigger="No","",IF(FourPercentTrigger="No","",IF($K$464="","",$K$464)))</f>
        <v/>
      </c>
      <c r="AS464" s="1702" t="str">
        <f>IF(TCATrigger="No","",IF(FourPercentTrigger="No","",IF($L$464="","",$L$464)))</f>
        <v/>
      </c>
      <c r="AT464" s="1702" t="str">
        <f>IF(TCATrigger="No","",IF(FourPercentTrigger="No","",IF($M$464="","",$M$464)))</f>
        <v/>
      </c>
      <c r="AU464" s="1702" t="str">
        <f>IF(TCATrigger="No","",IF(FourPercentTrigger="No","",IF($N$464="","",$N$464)))</f>
        <v/>
      </c>
      <c r="AV464" s="1702" t="str">
        <f>IF(TCATrigger="No","",IF(FourPercentTrigger="No","",IF($O$464="","",$O$464)))</f>
        <v/>
      </c>
      <c r="AW464" s="1702" t="str">
        <f>IF(TCATrigger="No","",IF(FourPercentTrigger="No","",IF($P$464="","",$P$464)))</f>
        <v/>
      </c>
      <c r="BQ464" s="1685"/>
      <c r="BW464" s="1702" t="s">
        <v>1135</v>
      </c>
    </row>
    <row r="465" spans="1:75" ht="15">
      <c r="A465" s="1685"/>
      <c r="B465" s="1685"/>
      <c r="C465" s="1685"/>
      <c r="D465" s="1685"/>
      <c r="E465" s="1685"/>
      <c r="F465" s="1685"/>
      <c r="G465" s="1751" t="s">
        <v>1136</v>
      </c>
      <c r="H465" s="1701">
        <v>6312</v>
      </c>
      <c r="I465" s="1701" t="str">
        <f>IF(rng02_Expense_OpEx_Postage="","",rng02_Expense_OpEx_Postage)</f>
        <v/>
      </c>
      <c r="J465" s="1701">
        <v>0</v>
      </c>
      <c r="K465" s="1701"/>
      <c r="L465" s="1701">
        <v>0</v>
      </c>
      <c r="M465" s="1701">
        <v>0</v>
      </c>
      <c r="N465" s="1701">
        <v>0</v>
      </c>
      <c r="O465" s="1701">
        <v>0</v>
      </c>
      <c r="P465" s="1701">
        <v>0</v>
      </c>
      <c r="Q465" s="1685"/>
      <c r="R465" s="1685"/>
      <c r="S465" s="1685"/>
      <c r="T465" s="1685"/>
      <c r="U465" s="1685"/>
      <c r="V465" s="1685"/>
      <c r="W465" s="1685"/>
      <c r="X465" s="1685"/>
      <c r="Y465" s="1685"/>
      <c r="Z465" s="1685"/>
      <c r="AA465" s="1685"/>
      <c r="AB465" s="1685"/>
      <c r="AC465" s="1685"/>
      <c r="AD465" s="2069"/>
      <c r="AE465" s="2073"/>
      <c r="AF465" s="1685"/>
      <c r="AG465" s="1685"/>
      <c r="AM465" s="1755" t="s">
        <v>1136</v>
      </c>
      <c r="AN465" s="1702">
        <v>6312</v>
      </c>
      <c r="AO465" s="1702" t="str">
        <f t="shared" si="96"/>
        <v/>
      </c>
      <c r="AP465" s="1755"/>
      <c r="AQ465" s="1702" t="str">
        <f>IF(TCATrigger="No","",IF(FourPercentTrigger="No","",IF($J$465="","",$J$465)))</f>
        <v/>
      </c>
      <c r="AR465" s="1702" t="str">
        <f>IF(TCATrigger="No","",IF(FourPercentTrigger="No","",IF($K$465="","",$K$465)))</f>
        <v/>
      </c>
      <c r="AS465" s="1702" t="str">
        <f>IF(TCATrigger="No","",IF(FourPercentTrigger="No","",IF($L$465="","",$L$465)))</f>
        <v/>
      </c>
      <c r="AT465" s="1702" t="str">
        <f>IF(TCATrigger="No","",IF(FourPercentTrigger="No","",IF($M$465="","",$M$465)))</f>
        <v/>
      </c>
      <c r="AU465" s="1702" t="str">
        <f>IF(TCATrigger="No","",IF(FourPercentTrigger="No","",IF($N$465="","",$N$465)))</f>
        <v/>
      </c>
      <c r="AV465" s="1702" t="str">
        <f>IF(TCATrigger="No","",IF(FourPercentTrigger="No","",IF($O$465="","",$O$465)))</f>
        <v/>
      </c>
      <c r="AW465" s="1702" t="str">
        <f>IF(TCATrigger="No","",IF(FourPercentTrigger="No","",IF($P$465="","",$P$465)))</f>
        <v/>
      </c>
      <c r="BQ465" s="1685"/>
      <c r="BW465" s="1755" t="s">
        <v>1136</v>
      </c>
    </row>
    <row r="466" spans="1:75" ht="15">
      <c r="A466" s="1685"/>
      <c r="B466" s="1685"/>
      <c r="C466" s="1685"/>
      <c r="D466" s="1685"/>
      <c r="E466" s="1685"/>
      <c r="F466" s="1685"/>
      <c r="G466" s="1751" t="s">
        <v>1137</v>
      </c>
      <c r="H466" s="1701">
        <v>6320</v>
      </c>
      <c r="I466" s="1701">
        <f>IF(rng02_Expense_OpEx_MgmntFee="","",rng02_Expense_OpEx_MgmntFee)</f>
        <v>0</v>
      </c>
      <c r="J466" s="1701">
        <v>0</v>
      </c>
      <c r="K466" s="1701"/>
      <c r="L466" s="1701">
        <v>0</v>
      </c>
      <c r="M466" s="1701">
        <v>0</v>
      </c>
      <c r="N466" s="1701">
        <v>0</v>
      </c>
      <c r="O466" s="1701">
        <v>0</v>
      </c>
      <c r="P466" s="1701">
        <v>0</v>
      </c>
      <c r="Q466" s="1685"/>
      <c r="R466" s="1685"/>
      <c r="S466" s="1685"/>
      <c r="T466" s="1685"/>
      <c r="U466" s="1685"/>
      <c r="V466" s="1685"/>
      <c r="W466" s="1685"/>
      <c r="X466" s="1685"/>
      <c r="Y466" s="1685"/>
      <c r="Z466" s="1685"/>
      <c r="AA466" s="1685"/>
      <c r="AB466" s="1685"/>
      <c r="AC466" s="1685"/>
      <c r="AD466" s="2069"/>
      <c r="AE466" s="2073"/>
      <c r="AF466" s="1685"/>
      <c r="AG466" s="1685"/>
      <c r="AM466" s="1702" t="s">
        <v>1137</v>
      </c>
      <c r="AN466" s="1702">
        <v>6320</v>
      </c>
      <c r="AO466" s="1702" t="str">
        <f t="shared" si="96"/>
        <v/>
      </c>
      <c r="AP466" s="1702" t="str">
        <f t="shared" si="97"/>
        <v/>
      </c>
      <c r="AQ466" s="1702" t="str">
        <f>IF(TCATrigger="No","",IF(FourPercentTrigger="No","",IF($J$466="","",$J$466)))</f>
        <v/>
      </c>
      <c r="AR466" s="1702" t="str">
        <f>IF(TCATrigger="No","",IF(FourPercentTrigger="No","",IF($K$466="","",$K$466)))</f>
        <v/>
      </c>
      <c r="AS466" s="1702" t="str">
        <f>IF(TCATrigger="No","",IF(FourPercentTrigger="No","",IF($L$466="","",$L$466)))</f>
        <v/>
      </c>
      <c r="AT466" s="1702" t="str">
        <f>IF(TCATrigger="No","",IF(FourPercentTrigger="No","",IF($M$466="","",$M$466)))</f>
        <v/>
      </c>
      <c r="AU466" s="1702" t="str">
        <f>IF(TCATrigger="No","",IF(FourPercentTrigger="No","",IF($N$466="","",$N$466)))</f>
        <v/>
      </c>
      <c r="AV466" s="1702" t="str">
        <f>IF(TCATrigger="No","",IF(FourPercentTrigger="No","",IF($O$466="","",$O$466)))</f>
        <v/>
      </c>
      <c r="AW466" s="1702" t="str">
        <f>IF(TCATrigger="No","",IF(FourPercentTrigger="No","",IF($P$466="","",$P$466)))</f>
        <v/>
      </c>
      <c r="BQ466" s="1685"/>
      <c r="BW466" s="1702" t="s">
        <v>1137</v>
      </c>
    </row>
    <row r="467" spans="1:75" ht="15">
      <c r="A467" s="1685"/>
      <c r="B467" s="1685"/>
      <c r="C467" s="1685"/>
      <c r="D467" s="1685"/>
      <c r="E467" s="1685"/>
      <c r="F467" s="1685"/>
      <c r="G467" s="1751" t="s">
        <v>1138</v>
      </c>
      <c r="H467" s="1701">
        <v>6330</v>
      </c>
      <c r="I467" s="1701" t="str">
        <f>IF(rng02_Expense_OpEx_MngrsSalary="","",rng02_Expense_OpEx_MngrsSalary)</f>
        <v/>
      </c>
      <c r="J467" s="1701">
        <v>0</v>
      </c>
      <c r="K467" s="1701"/>
      <c r="L467" s="1701">
        <v>0</v>
      </c>
      <c r="M467" s="1701">
        <v>0</v>
      </c>
      <c r="N467" s="1701">
        <v>0</v>
      </c>
      <c r="O467" s="1701">
        <v>0</v>
      </c>
      <c r="P467" s="1701">
        <v>0</v>
      </c>
      <c r="Q467" s="1685"/>
      <c r="R467" s="1685"/>
      <c r="S467" s="1685"/>
      <c r="T467" s="1685"/>
      <c r="U467" s="1685"/>
      <c r="V467" s="1685"/>
      <c r="W467" s="1685"/>
      <c r="X467" s="1685"/>
      <c r="Y467" s="1685"/>
      <c r="Z467" s="1685"/>
      <c r="AA467" s="1685"/>
      <c r="AB467" s="1685"/>
      <c r="AC467" s="1685"/>
      <c r="AD467" s="2069"/>
      <c r="AE467" s="2073"/>
      <c r="AF467" s="1685"/>
      <c r="AG467" s="1685"/>
      <c r="AM467" s="1702" t="s">
        <v>1138</v>
      </c>
      <c r="AN467" s="1702">
        <v>6330</v>
      </c>
      <c r="AO467" s="1702" t="str">
        <f t="shared" si="96"/>
        <v/>
      </c>
      <c r="AP467" s="1702" t="str">
        <f t="shared" si="97"/>
        <v/>
      </c>
      <c r="AQ467" s="1702" t="str">
        <f>IF(TCATrigger="No","",IF(FourPercentTrigger="No","",IF($J$467="","",$J$467)))</f>
        <v/>
      </c>
      <c r="AR467" s="1702" t="str">
        <f>IF(TCATrigger="No","",IF(FourPercentTrigger="No","",IF($K$467="","",$K$467)))</f>
        <v/>
      </c>
      <c r="AS467" s="1702" t="str">
        <f>IF(TCATrigger="No","",IF(FourPercentTrigger="No","",IF($L$467="","",$L$467)))</f>
        <v/>
      </c>
      <c r="AT467" s="1702" t="str">
        <f>IF(TCATrigger="No","",IF(FourPercentTrigger="No","",IF($M$467="","",$M$467)))</f>
        <v/>
      </c>
      <c r="AU467" s="1702" t="str">
        <f>IF(TCATrigger="No","",IF(FourPercentTrigger="No","",IF($N$467="","",$N$467)))</f>
        <v/>
      </c>
      <c r="AV467" s="1702" t="str">
        <f>IF(TCATrigger="No","",IF(FourPercentTrigger="No","",IF($O$467="","",$O$467)))</f>
        <v/>
      </c>
      <c r="AW467" s="1702" t="str">
        <f>IF(TCATrigger="No","",IF(FourPercentTrigger="No","",IF($P$467="","",$P$467)))</f>
        <v/>
      </c>
      <c r="BQ467" s="1685"/>
      <c r="BW467" s="1702" t="s">
        <v>1138</v>
      </c>
    </row>
    <row r="468" spans="1:75" ht="15">
      <c r="A468" s="1685"/>
      <c r="B468" s="1685"/>
      <c r="C468" s="1685"/>
      <c r="D468" s="1685"/>
      <c r="E468" s="1685"/>
      <c r="F468" s="1685"/>
      <c r="G468" s="1751" t="s">
        <v>1139</v>
      </c>
      <c r="H468" s="1701">
        <v>6331</v>
      </c>
      <c r="I468" s="1701" t="str">
        <f>IF(rng02_Expense_OpEx_AdminRentFreeUnit="","",rng02_Expense_OpEx_AdminRentFreeUnit)</f>
        <v/>
      </c>
      <c r="J468" s="1701">
        <v>0</v>
      </c>
      <c r="K468" s="1701"/>
      <c r="L468" s="1701">
        <v>0</v>
      </c>
      <c r="M468" s="1701">
        <v>0</v>
      </c>
      <c r="N468" s="1701">
        <v>0</v>
      </c>
      <c r="O468" s="1701">
        <v>0</v>
      </c>
      <c r="P468" s="1701">
        <v>0</v>
      </c>
      <c r="Q468" s="1685"/>
      <c r="R468" s="1685"/>
      <c r="S468" s="1685"/>
      <c r="T468" s="1685"/>
      <c r="U468" s="1685"/>
      <c r="V468" s="1685"/>
      <c r="W468" s="1685"/>
      <c r="X468" s="1685"/>
      <c r="Y468" s="1685"/>
      <c r="Z468" s="1685"/>
      <c r="AA468" s="1685"/>
      <c r="AB468" s="1685"/>
      <c r="AC468" s="1685"/>
      <c r="AD468" s="2069"/>
      <c r="AE468" s="2073"/>
      <c r="AF468" s="1685"/>
      <c r="AG468" s="1685"/>
      <c r="AM468" s="1702" t="s">
        <v>1139</v>
      </c>
      <c r="AN468" s="1702">
        <v>6331</v>
      </c>
      <c r="AO468" s="1702" t="str">
        <f t="shared" si="96"/>
        <v/>
      </c>
      <c r="AP468" s="1702" t="str">
        <f t="shared" si="97"/>
        <v/>
      </c>
      <c r="AQ468" s="1702" t="str">
        <f>IF(TCATrigger="No","",IF(FourPercentTrigger="No","",IF($J$468="","",$J$468)))</f>
        <v/>
      </c>
      <c r="AR468" s="1702" t="str">
        <f>IF(TCATrigger="No","",IF(FourPercentTrigger="No","",IF($K$468="","",$K$468)))</f>
        <v/>
      </c>
      <c r="AS468" s="1702" t="str">
        <f>IF(TCATrigger="No","",IF(FourPercentTrigger="No","",IF($L$468="","",$L$468)))</f>
        <v/>
      </c>
      <c r="AT468" s="1702" t="str">
        <f>IF(TCATrigger="No","",IF(FourPercentTrigger="No","",IF($M$468="","",$M$468)))</f>
        <v/>
      </c>
      <c r="AU468" s="1702" t="str">
        <f>IF(TCATrigger="No","",IF(FourPercentTrigger="No","",IF($N$468="","",$N$468)))</f>
        <v/>
      </c>
      <c r="AV468" s="1702" t="str">
        <f>IF(TCATrigger="No","",IF(FourPercentTrigger="No","",IF($O$468="","",$O$468)))</f>
        <v/>
      </c>
      <c r="AW468" s="1702" t="str">
        <f>IF(TCATrigger="No","",IF(FourPercentTrigger="No","",IF($P$468="","",$P$468)))</f>
        <v/>
      </c>
      <c r="BQ468" s="1685"/>
      <c r="BW468" s="1702" t="s">
        <v>1139</v>
      </c>
    </row>
    <row r="469" spans="1:75" ht="15">
      <c r="A469" s="1685"/>
      <c r="B469" s="1685"/>
      <c r="C469" s="1685"/>
      <c r="D469" s="1685"/>
      <c r="E469" s="1685"/>
      <c r="F469" s="1685"/>
      <c r="G469" s="1751" t="s">
        <v>1140</v>
      </c>
      <c r="H469" s="1701">
        <v>6340</v>
      </c>
      <c r="I469" s="1701" t="str">
        <f>IF(rng02_Expense_OpEx_LegalExpense="","",rng02_Expense_OpEx_LegalExpense)</f>
        <v/>
      </c>
      <c r="J469" s="1701">
        <v>0</v>
      </c>
      <c r="K469" s="1701"/>
      <c r="L469" s="1701">
        <v>0</v>
      </c>
      <c r="M469" s="1701">
        <v>0</v>
      </c>
      <c r="N469" s="1701">
        <v>0</v>
      </c>
      <c r="O469" s="1701">
        <v>0</v>
      </c>
      <c r="P469" s="1701">
        <v>0</v>
      </c>
      <c r="Q469" s="1685"/>
      <c r="R469" s="1685"/>
      <c r="S469" s="1685"/>
      <c r="T469" s="1685"/>
      <c r="U469" s="1685"/>
      <c r="V469" s="1685"/>
      <c r="W469" s="1685"/>
      <c r="X469" s="1685"/>
      <c r="Y469" s="1685"/>
      <c r="Z469" s="1685"/>
      <c r="AA469" s="1685"/>
      <c r="AB469" s="1685"/>
      <c r="AC469" s="1685"/>
      <c r="AD469" s="2069"/>
      <c r="AE469" s="2073"/>
      <c r="AF469" s="1685"/>
      <c r="AG469" s="1685"/>
      <c r="AM469" s="1702" t="s">
        <v>1140</v>
      </c>
      <c r="AN469" s="1702">
        <v>6340</v>
      </c>
      <c r="AO469" s="1702" t="str">
        <f t="shared" si="96"/>
        <v/>
      </c>
      <c r="AP469" s="1702" t="str">
        <f t="shared" si="97"/>
        <v/>
      </c>
      <c r="AQ469" s="1702" t="str">
        <f>IF(TCATrigger="No","",IF(FourPercentTrigger="No","",IF($J$469="","",$J$469)))</f>
        <v/>
      </c>
      <c r="AR469" s="1702" t="str">
        <f>IF(TCATrigger="No","",IF(FourPercentTrigger="No","",IF($K$469="","",$K$469)))</f>
        <v/>
      </c>
      <c r="AS469" s="1702" t="str">
        <f>IF(TCATrigger="No","",IF(FourPercentTrigger="No","",IF($L$469="","",$L$469)))</f>
        <v/>
      </c>
      <c r="AT469" s="1702" t="str">
        <f>IF(TCATrigger="No","",IF(FourPercentTrigger="No","",IF($M$469="","",$M$469)))</f>
        <v/>
      </c>
      <c r="AU469" s="1702" t="str">
        <f>IF(TCATrigger="No","",IF(FourPercentTrigger="No","",IF($N$469="","",$N$469)))</f>
        <v/>
      </c>
      <c r="AV469" s="1702" t="str">
        <f>IF(TCATrigger="No","",IF(FourPercentTrigger="No","",IF($O$469="","",$O$469)))</f>
        <v/>
      </c>
      <c r="AW469" s="1702" t="str">
        <f>IF(TCATrigger="No","",IF(FourPercentTrigger="No","",IF($P$469="","",$P$469)))</f>
        <v/>
      </c>
      <c r="BQ469" s="1685"/>
      <c r="BW469" s="1702" t="s">
        <v>1140</v>
      </c>
    </row>
    <row r="470" spans="1:75" ht="15">
      <c r="A470" s="1685"/>
      <c r="B470" s="1685"/>
      <c r="C470" s="1685"/>
      <c r="D470" s="1685"/>
      <c r="E470" s="1685"/>
      <c r="F470" s="1685"/>
      <c r="G470" s="1751" t="s">
        <v>1141</v>
      </c>
      <c r="H470" s="1701">
        <v>6350</v>
      </c>
      <c r="I470" s="1701" t="str">
        <f>IF(rng02_Expense_OpEx_AuditExpense="","",rng02_Expense_OpEx_AuditExpense)</f>
        <v/>
      </c>
      <c r="J470" s="1701">
        <v>0</v>
      </c>
      <c r="K470" s="1701"/>
      <c r="L470" s="1701">
        <v>0</v>
      </c>
      <c r="M470" s="1701">
        <v>0</v>
      </c>
      <c r="N470" s="1701">
        <v>0</v>
      </c>
      <c r="O470" s="1701">
        <v>0</v>
      </c>
      <c r="P470" s="1701">
        <v>0</v>
      </c>
      <c r="Q470" s="1685"/>
      <c r="R470" s="1685"/>
      <c r="S470" s="1685"/>
      <c r="T470" s="1685"/>
      <c r="U470" s="1685"/>
      <c r="V470" s="1685"/>
      <c r="W470" s="1685"/>
      <c r="X470" s="1685"/>
      <c r="Y470" s="1685"/>
      <c r="Z470" s="1685"/>
      <c r="AA470" s="1685"/>
      <c r="AB470" s="1685"/>
      <c r="AC470" s="1685"/>
      <c r="AD470" s="2069"/>
      <c r="AE470" s="2073"/>
      <c r="AF470" s="1685"/>
      <c r="AG470" s="1685"/>
      <c r="AM470" s="1702" t="s">
        <v>1141</v>
      </c>
      <c r="AN470" s="1702">
        <v>6350</v>
      </c>
      <c r="AO470" s="1702" t="str">
        <f t="shared" si="96"/>
        <v/>
      </c>
      <c r="AP470" s="1702" t="str">
        <f t="shared" si="97"/>
        <v/>
      </c>
      <c r="AQ470" s="1702" t="str">
        <f>IF(TCATrigger="No","",IF(FourPercentTrigger="No","",IF($J$470="","",$J$470)))</f>
        <v/>
      </c>
      <c r="AR470" s="1702" t="str">
        <f>IF(TCATrigger="No","",IF(FourPercentTrigger="No","",IF($K$470="","",$K$470)))</f>
        <v/>
      </c>
      <c r="AS470" s="1702" t="str">
        <f>IF(TCATrigger="No","",IF(FourPercentTrigger="No","",IF($L$470="","",$L$470)))</f>
        <v/>
      </c>
      <c r="AT470" s="1702" t="str">
        <f>IF(TCATrigger="No","",IF(FourPercentTrigger="No","",IF($M$470="","",$M$470)))</f>
        <v/>
      </c>
      <c r="AU470" s="1702" t="str">
        <f>IF(TCATrigger="No","",IF(FourPercentTrigger="No","",IF($N$470="","",$N$470)))</f>
        <v/>
      </c>
      <c r="AV470" s="1702" t="str">
        <f>IF(TCATrigger="No","",IF(FourPercentTrigger="No","",IF($O$470="","",$O$470)))</f>
        <v/>
      </c>
      <c r="AW470" s="1702" t="str">
        <f>IF(TCATrigger="No","",IF(FourPercentTrigger="No","",IF($P$470="","",$P$470)))</f>
        <v/>
      </c>
      <c r="BQ470" s="1685"/>
      <c r="BW470" s="1702" t="s">
        <v>1141</v>
      </c>
    </row>
    <row r="471" spans="1:75" ht="15">
      <c r="A471" s="1685"/>
      <c r="B471" s="1685"/>
      <c r="C471" s="1685"/>
      <c r="D471" s="1685"/>
      <c r="E471" s="1685"/>
      <c r="F471" s="1685"/>
      <c r="G471" s="1751" t="s">
        <v>1142</v>
      </c>
      <c r="H471" s="1701">
        <v>6351</v>
      </c>
      <c r="I471" s="1701" t="str">
        <f>IF(rng02_Expense_OpEx_AccntngFees="","",rng02_Expense_OpEx_AccntngFees)</f>
        <v/>
      </c>
      <c r="J471" s="1701">
        <v>0</v>
      </c>
      <c r="K471" s="1701"/>
      <c r="L471" s="1701">
        <v>0</v>
      </c>
      <c r="M471" s="1701">
        <v>0</v>
      </c>
      <c r="N471" s="1701">
        <v>0</v>
      </c>
      <c r="O471" s="1701">
        <v>0</v>
      </c>
      <c r="P471" s="1701">
        <v>0</v>
      </c>
      <c r="Q471" s="1685"/>
      <c r="R471" s="1685"/>
      <c r="S471" s="1685"/>
      <c r="T471" s="1685"/>
      <c r="U471" s="1685"/>
      <c r="V471" s="1685"/>
      <c r="W471" s="1685"/>
      <c r="X471" s="1685"/>
      <c r="Y471" s="1685"/>
      <c r="Z471" s="1685"/>
      <c r="AA471" s="1685"/>
      <c r="AB471" s="1685"/>
      <c r="AC471" s="1685"/>
      <c r="AD471" s="2069"/>
      <c r="AE471" s="2073"/>
      <c r="AF471" s="1685"/>
      <c r="AG471" s="1685"/>
      <c r="AM471" s="1702" t="s">
        <v>1142</v>
      </c>
      <c r="AN471" s="1702">
        <v>6351</v>
      </c>
      <c r="AO471" s="1702" t="str">
        <f t="shared" si="96"/>
        <v/>
      </c>
      <c r="AP471" s="1702" t="str">
        <f t="shared" si="97"/>
        <v/>
      </c>
      <c r="AQ471" s="1702" t="str">
        <f>IF(TCATrigger="No","",IF(FourPercentTrigger="No","",IF($J$471="","",$J$471)))</f>
        <v/>
      </c>
      <c r="AR471" s="1702" t="str">
        <f>IF(TCATrigger="No","",IF(FourPercentTrigger="No","",IF($K$471="","",$K$471)))</f>
        <v/>
      </c>
      <c r="AS471" s="1702" t="str">
        <f>IF(TCATrigger="No","",IF(FourPercentTrigger="No","",IF($L$471="","",$L$471)))</f>
        <v/>
      </c>
      <c r="AT471" s="1702" t="str">
        <f>IF(TCATrigger="No","",IF(FourPercentTrigger="No","",IF($M$471="","",$M$471)))</f>
        <v/>
      </c>
      <c r="AU471" s="1702" t="str">
        <f>IF(TCATrigger="No","",IF(FourPercentTrigger="No","",IF($N$471="","",$N$471)))</f>
        <v/>
      </c>
      <c r="AV471" s="1702" t="str">
        <f>IF(TCATrigger="No","",IF(FourPercentTrigger="No","",IF($O$471="","",$O$471)))</f>
        <v/>
      </c>
      <c r="AW471" s="1702" t="str">
        <f>IF(TCATrigger="No","",IF(FourPercentTrigger="No","",IF($P$471="","",$P$471)))</f>
        <v/>
      </c>
      <c r="BQ471" s="1685"/>
      <c r="BW471" s="1702" t="s">
        <v>1142</v>
      </c>
    </row>
    <row r="472" spans="1:75" ht="15">
      <c r="A472" s="1685"/>
      <c r="B472" s="1685"/>
      <c r="C472" s="1685"/>
      <c r="D472" s="1685"/>
      <c r="E472" s="1685"/>
      <c r="F472" s="1685"/>
      <c r="G472" s="1751" t="s">
        <v>1143</v>
      </c>
      <c r="H472" s="1701">
        <v>6360</v>
      </c>
      <c r="I472" s="1701" t="str">
        <f>IF(rng02_Expense_OpEx_TeleAnswSrvc="","",rng02_Expense_OpEx_TeleAnswSrvc)</f>
        <v/>
      </c>
      <c r="J472" s="1701">
        <v>0</v>
      </c>
      <c r="K472" s="1701"/>
      <c r="L472" s="1701">
        <v>0</v>
      </c>
      <c r="M472" s="1701">
        <v>0</v>
      </c>
      <c r="N472" s="1701">
        <v>0</v>
      </c>
      <c r="O472" s="1701">
        <v>0</v>
      </c>
      <c r="P472" s="1701">
        <v>0</v>
      </c>
      <c r="Q472" s="1685"/>
      <c r="R472" s="1685"/>
      <c r="S472" s="1685"/>
      <c r="T472" s="1685"/>
      <c r="U472" s="1685"/>
      <c r="V472" s="1685"/>
      <c r="W472" s="1685"/>
      <c r="X472" s="1685"/>
      <c r="Y472" s="1685"/>
      <c r="Z472" s="1685"/>
      <c r="AA472" s="1685"/>
      <c r="AB472" s="1685"/>
      <c r="AC472" s="1685"/>
      <c r="AD472" s="2069"/>
      <c r="AE472" s="2073"/>
      <c r="AF472" s="1685"/>
      <c r="AG472" s="1685"/>
      <c r="AM472" s="1702" t="s">
        <v>1143</v>
      </c>
      <c r="AN472" s="1702">
        <v>6360</v>
      </c>
      <c r="AO472" s="1702" t="str">
        <f t="shared" si="96"/>
        <v/>
      </c>
      <c r="AP472" s="1702" t="str">
        <f t="shared" si="97"/>
        <v/>
      </c>
      <c r="AQ472" s="1702" t="str">
        <f>IF(TCATrigger="No","",IF(FourPercentTrigger="No","",IF($J$472="","",$J$472)))</f>
        <v/>
      </c>
      <c r="AR472" s="1702" t="str">
        <f>IF(TCATrigger="No","",IF(FourPercentTrigger="No","",IF($K$472="","",$K$472)))</f>
        <v/>
      </c>
      <c r="AS472" s="1702" t="str">
        <f>IF(TCATrigger="No","",IF(FourPercentTrigger="No","",IF($L$472="","",$L$472)))</f>
        <v/>
      </c>
      <c r="AT472" s="1702" t="str">
        <f>IF(TCATrigger="No","",IF(FourPercentTrigger="No","",IF($M$472="","",$M$472)))</f>
        <v/>
      </c>
      <c r="AU472" s="1702" t="str">
        <f>IF(TCATrigger="No","",IF(FourPercentTrigger="No","",IF($N$472="","",$N$472)))</f>
        <v/>
      </c>
      <c r="AV472" s="1702" t="str">
        <f>IF(TCATrigger="No","",IF(FourPercentTrigger="No","",IF($O$472="","",$O$472)))</f>
        <v/>
      </c>
      <c r="AW472" s="1702" t="str">
        <f>IF(TCATrigger="No","",IF(FourPercentTrigger="No","",IF($P$472="","",$P$472)))</f>
        <v/>
      </c>
      <c r="BQ472" s="1685"/>
      <c r="BW472" s="1702" t="s">
        <v>1143</v>
      </c>
    </row>
    <row r="473" spans="1:75" ht="15">
      <c r="A473" s="1685"/>
      <c r="B473" s="1685"/>
      <c r="C473" s="1685"/>
      <c r="D473" s="1685"/>
      <c r="E473" s="1685"/>
      <c r="F473" s="1685"/>
      <c r="G473" s="1751" t="s">
        <v>1144</v>
      </c>
      <c r="H473" s="1701"/>
      <c r="I473" s="1701" t="str">
        <f>IF(rng02_Expense_OpEx_TCMonitoring="","",rng02_Expense_OpEx_TCMonitoring)</f>
        <v/>
      </c>
      <c r="J473" s="1701">
        <v>0</v>
      </c>
      <c r="K473" s="1701"/>
      <c r="L473" s="1701">
        <v>0</v>
      </c>
      <c r="M473" s="1701">
        <v>0</v>
      </c>
      <c r="N473" s="1701">
        <v>0</v>
      </c>
      <c r="O473" s="1701">
        <v>0</v>
      </c>
      <c r="P473" s="1701">
        <v>0</v>
      </c>
      <c r="Q473" s="1685"/>
      <c r="R473" s="1685"/>
      <c r="S473" s="1685"/>
      <c r="T473" s="1685"/>
      <c r="U473" s="1685"/>
      <c r="V473" s="1685"/>
      <c r="W473" s="1685"/>
      <c r="X473" s="1685"/>
      <c r="Y473" s="1685"/>
      <c r="Z473" s="1685"/>
      <c r="AA473" s="1685"/>
      <c r="AB473" s="1685"/>
      <c r="AC473" s="1685"/>
      <c r="AD473" s="2069"/>
      <c r="AE473" s="2073"/>
      <c r="AF473" s="1685"/>
      <c r="AG473" s="1685"/>
      <c r="AM473" s="1702" t="s">
        <v>1144</v>
      </c>
      <c r="AN473" s="1702"/>
      <c r="AO473" s="1702" t="str">
        <f t="shared" si="96"/>
        <v/>
      </c>
      <c r="AP473" s="1702" t="str">
        <f t="shared" si="97"/>
        <v/>
      </c>
      <c r="AQ473" s="1702" t="str">
        <f>IF(TCATrigger="No","",IF(FourPercentTrigger="No","",IF($J$473="","",$J$473)))</f>
        <v/>
      </c>
      <c r="AR473" s="1702" t="str">
        <f>IF(TCATrigger="No","",IF(FourPercentTrigger="No","",IF($K$473="","",$K$473)))</f>
        <v/>
      </c>
      <c r="AS473" s="1702" t="str">
        <f>IF(TCATrigger="No","",IF(FourPercentTrigger="No","",IF($L$473="","",$L$473)))</f>
        <v/>
      </c>
      <c r="AT473" s="1702" t="str">
        <f>IF(TCATrigger="No","",IF(FourPercentTrigger="No","",IF($M$473="","",$M$473)))</f>
        <v/>
      </c>
      <c r="AU473" s="1702" t="str">
        <f>IF(TCATrigger="No","",IF(FourPercentTrigger="No","",IF($N$473="","",$N$473)))</f>
        <v/>
      </c>
      <c r="AV473" s="1702" t="str">
        <f>IF(TCATrigger="No","",IF(FourPercentTrigger="No","",IF($O$473="","",$O$473)))</f>
        <v/>
      </c>
      <c r="AW473" s="1702" t="str">
        <f>IF(TCATrigger="No","",IF(FourPercentTrigger="No","",IF($P$473="","",$P$473)))</f>
        <v/>
      </c>
      <c r="BQ473" s="1685"/>
      <c r="BW473" s="1702" t="s">
        <v>1144</v>
      </c>
    </row>
    <row r="474" spans="1:75" ht="15">
      <c r="A474" s="1685"/>
      <c r="B474" s="1685"/>
      <c r="C474" s="1685"/>
      <c r="D474" s="1685"/>
      <c r="E474" s="1685"/>
      <c r="F474" s="1685"/>
      <c r="G474" s="1751" t="s">
        <v>1145</v>
      </c>
      <c r="H474" s="1701">
        <v>6361</v>
      </c>
      <c r="I474" s="1701" t="str">
        <f>IF(rng02_Expense_OpEx_OfficeEquipLease="","",rng02_Expense_OpEx_OfficeEquipLease)</f>
        <v/>
      </c>
      <c r="J474" s="1701">
        <v>0</v>
      </c>
      <c r="K474" s="1701"/>
      <c r="L474" s="1701">
        <v>0</v>
      </c>
      <c r="M474" s="1701">
        <v>0</v>
      </c>
      <c r="N474" s="1701">
        <v>0</v>
      </c>
      <c r="O474" s="1701">
        <v>0</v>
      </c>
      <c r="P474" s="1701">
        <v>0</v>
      </c>
      <c r="Q474" s="1685"/>
      <c r="R474" s="1685"/>
      <c r="S474" s="1685"/>
      <c r="T474" s="1685"/>
      <c r="U474" s="1685"/>
      <c r="V474" s="1685"/>
      <c r="W474" s="1685"/>
      <c r="X474" s="1685"/>
      <c r="Y474" s="1685"/>
      <c r="Z474" s="1685"/>
      <c r="AA474" s="1685"/>
      <c r="AB474" s="1685"/>
      <c r="AC474" s="1685"/>
      <c r="AD474" s="2069"/>
      <c r="AE474" s="2073"/>
      <c r="AF474" s="1685"/>
      <c r="AG474" s="1685"/>
      <c r="AM474" s="1755" t="s">
        <v>1145</v>
      </c>
      <c r="AN474" s="1702">
        <v>6361</v>
      </c>
      <c r="AO474" s="1702" t="str">
        <f t="shared" si="96"/>
        <v/>
      </c>
      <c r="AP474" s="1755"/>
      <c r="AQ474" s="1702" t="str">
        <f>IF(TCATrigger="No","",IF(FourPercentTrigger="No","",IF($J$474="","",$J$474)))</f>
        <v/>
      </c>
      <c r="AR474" s="1702" t="str">
        <f>IF(TCATrigger="No","",IF(FourPercentTrigger="No","",IF($K$474="","",$K$474)))</f>
        <v/>
      </c>
      <c r="AS474" s="1702" t="str">
        <f>IF(TCATrigger="No","",IF(FourPercentTrigger="No","",IF($L$474="","",$L$474)))</f>
        <v/>
      </c>
      <c r="AT474" s="1702" t="str">
        <f>IF(TCATrigger="No","",IF(FourPercentTrigger="No","",IF($M$474="","",$M$474)))</f>
        <v/>
      </c>
      <c r="AU474" s="1702" t="str">
        <f>IF(TCATrigger="No","",IF(FourPercentTrigger="No","",IF($N$474="","",$N$474)))</f>
        <v/>
      </c>
      <c r="AV474" s="1702" t="str">
        <f>IF(TCATrigger="No","",IF(FourPercentTrigger="No","",IF($O$474="","",$O$474)))</f>
        <v/>
      </c>
      <c r="AW474" s="1702" t="str">
        <f>IF(TCATrigger="No","",IF(FourPercentTrigger="No","",IF($P$474="","",$P$474)))</f>
        <v/>
      </c>
      <c r="BQ474" s="1685"/>
      <c r="BW474" s="1755" t="s">
        <v>1145</v>
      </c>
    </row>
    <row r="475" spans="1:75" ht="15">
      <c r="A475" s="1685"/>
      <c r="B475" s="1685"/>
      <c r="C475" s="1685"/>
      <c r="D475" s="1685"/>
      <c r="E475" s="1685"/>
      <c r="F475" s="1685"/>
      <c r="G475" s="1751" t="s">
        <v>1146</v>
      </c>
      <c r="H475" s="1701">
        <v>6370</v>
      </c>
      <c r="I475" s="1701" t="str">
        <f>IF(rng02_Expense_OpEx_BadDebts="","",rng02_Expense_OpEx_BadDebts)</f>
        <v/>
      </c>
      <c r="J475" s="1701">
        <v>0</v>
      </c>
      <c r="K475" s="1701"/>
      <c r="L475" s="1701">
        <v>0</v>
      </c>
      <c r="M475" s="1701">
        <v>0</v>
      </c>
      <c r="N475" s="1701">
        <v>0</v>
      </c>
      <c r="O475" s="1701">
        <v>0</v>
      </c>
      <c r="P475" s="1701">
        <v>0</v>
      </c>
      <c r="Q475" s="1685"/>
      <c r="R475" s="1685"/>
      <c r="S475" s="1685"/>
      <c r="T475" s="1685"/>
      <c r="U475" s="1685"/>
      <c r="V475" s="1685"/>
      <c r="W475" s="1685"/>
      <c r="X475" s="1685"/>
      <c r="Y475" s="1685"/>
      <c r="Z475" s="1685"/>
      <c r="AA475" s="1685"/>
      <c r="AB475" s="1685"/>
      <c r="AC475" s="1685"/>
      <c r="AD475" s="2069"/>
      <c r="AE475" s="2073"/>
      <c r="AF475" s="1685"/>
      <c r="AG475" s="1685"/>
      <c r="AM475" s="1754" t="s">
        <v>1146</v>
      </c>
      <c r="AN475" s="1702">
        <v>6370</v>
      </c>
      <c r="AO475" s="1702" t="str">
        <f t="shared" si="96"/>
        <v/>
      </c>
      <c r="AP475" s="1754"/>
      <c r="AQ475" s="1702" t="str">
        <f>IF(TCATrigger="No","",IF(FourPercentTrigger="No","",IF($J$475="","",$J$475)))</f>
        <v/>
      </c>
      <c r="AR475" s="1702" t="str">
        <f>IF(TCATrigger="No","",IF(FourPercentTrigger="No","",IF($K$475="","",$K$475)))</f>
        <v/>
      </c>
      <c r="AS475" s="1702" t="str">
        <f>IF(TCATrigger="No","",IF(FourPercentTrigger="No","",IF($L$475="","",$L$475)))</f>
        <v/>
      </c>
      <c r="AT475" s="1702" t="str">
        <f>IF(TCATrigger="No","",IF(FourPercentTrigger="No","",IF($M$475="","",$M$475)))</f>
        <v/>
      </c>
      <c r="AU475" s="1702" t="str">
        <f>IF(TCATrigger="No","",IF(FourPercentTrigger="No","",IF($N$475="","",$N$475)))</f>
        <v/>
      </c>
      <c r="AV475" s="1702" t="str">
        <f>IF(TCATrigger="No","",IF(FourPercentTrigger="No","",IF($O$475="","",$O$475)))</f>
        <v/>
      </c>
      <c r="AW475" s="1702" t="str">
        <f>IF(TCATrigger="No","",IF(FourPercentTrigger="No","",IF($P$475="","",$P$475)))</f>
        <v/>
      </c>
      <c r="BQ475" s="1685"/>
      <c r="BW475" s="1754" t="s">
        <v>1146</v>
      </c>
    </row>
    <row r="476" spans="1:75" ht="15">
      <c r="A476" s="1685"/>
      <c r="B476" s="1685"/>
      <c r="C476" s="1685"/>
      <c r="D476" s="1685"/>
      <c r="E476" s="1685"/>
      <c r="F476" s="1685"/>
      <c r="G476" s="1751" t="s">
        <v>1147</v>
      </c>
      <c r="H476" s="1701">
        <v>6390</v>
      </c>
      <c r="I476" s="1701" t="str">
        <f>IF(rng02_Expense_OpEx_MiscAdminExpenses="","",rng02_Expense_OpEx_MiscAdminExpenses)</f>
        <v/>
      </c>
      <c r="J476" s="1701">
        <v>0</v>
      </c>
      <c r="K476" s="1701"/>
      <c r="L476" s="1701">
        <v>0</v>
      </c>
      <c r="M476" s="1701">
        <v>0</v>
      </c>
      <c r="N476" s="1701">
        <v>0</v>
      </c>
      <c r="O476" s="1701">
        <v>0</v>
      </c>
      <c r="P476" s="1701">
        <v>0</v>
      </c>
      <c r="Q476" s="1685"/>
      <c r="R476" s="1685"/>
      <c r="S476" s="1685"/>
      <c r="T476" s="1685"/>
      <c r="U476" s="1685"/>
      <c r="V476" s="1685"/>
      <c r="W476" s="1685"/>
      <c r="X476" s="1685"/>
      <c r="Y476" s="1685"/>
      <c r="Z476" s="1685"/>
      <c r="AA476" s="1685"/>
      <c r="AB476" s="1685"/>
      <c r="AC476" s="1685"/>
      <c r="AD476" s="2069"/>
      <c r="AE476" s="2073"/>
      <c r="AF476" s="1685"/>
      <c r="AG476" s="1685"/>
      <c r="AM476" s="1754" t="s">
        <v>1147</v>
      </c>
      <c r="AN476" s="1702">
        <v>6390</v>
      </c>
      <c r="AO476" s="1702" t="str">
        <f t="shared" si="96"/>
        <v/>
      </c>
      <c r="AP476" s="1754"/>
      <c r="AQ476" s="1702" t="str">
        <f>IF(TCATrigger="No","",IF(FourPercentTrigger="No","",IF($J$476="","",$J$476)))</f>
        <v/>
      </c>
      <c r="AR476" s="1702" t="str">
        <f>IF(TCATrigger="No","",IF(FourPercentTrigger="No","",IF($K$476="","",$K$476)))</f>
        <v/>
      </c>
      <c r="AS476" s="1702" t="str">
        <f>IF(TCATrigger="No","",IF(FourPercentTrigger="No","",IF($L$476="","",$L$476)))</f>
        <v/>
      </c>
      <c r="AT476" s="1702" t="str">
        <f>IF(TCATrigger="No","",IF(FourPercentTrigger="No","",IF($M$476="","",$M$476)))</f>
        <v/>
      </c>
      <c r="AU476" s="1702" t="str">
        <f>IF(TCATrigger="No","",IF(FourPercentTrigger="No","",IF($N$476="","",$N$476)))</f>
        <v/>
      </c>
      <c r="AV476" s="1702" t="str">
        <f>IF(TCATrigger="No","",IF(FourPercentTrigger="No","",IF($O$476="","",$O$476)))</f>
        <v/>
      </c>
      <c r="AW476" s="1702" t="str">
        <f>IF(TCATrigger="No","",IF(FourPercentTrigger="No","",IF($P$476="","",$P$476)))</f>
        <v/>
      </c>
      <c r="BQ476" s="1685"/>
      <c r="BW476" s="1754" t="s">
        <v>1147</v>
      </c>
    </row>
    <row r="477" spans="1:75" ht="15">
      <c r="A477" s="1685"/>
      <c r="B477" s="1685"/>
      <c r="C477" s="1685"/>
      <c r="D477" s="1685"/>
      <c r="E477" s="1685"/>
      <c r="F477" s="1685"/>
      <c r="G477" s="1701" t="s">
        <v>1148</v>
      </c>
      <c r="H477" s="1701"/>
      <c r="I477" s="1701">
        <f>IF(rng02_Expense_OpEx_TotAdminExpenses="","",rng02_Expense_OpEx_TotAdminExpenses)</f>
        <v>0</v>
      </c>
      <c r="J477" s="1701">
        <v>0</v>
      </c>
      <c r="K477" s="1701">
        <v>0</v>
      </c>
      <c r="L477" s="1701">
        <v>0</v>
      </c>
      <c r="M477" s="1701">
        <v>0</v>
      </c>
      <c r="N477" s="1701">
        <v>0</v>
      </c>
      <c r="O477" s="1701">
        <v>0</v>
      </c>
      <c r="P477" s="1701">
        <v>0</v>
      </c>
      <c r="Q477" s="1685"/>
      <c r="R477" s="1685"/>
      <c r="S477" s="1685"/>
      <c r="T477" s="1685"/>
      <c r="U477" s="1685"/>
      <c r="V477" s="1685"/>
      <c r="W477" s="1685"/>
      <c r="X477" s="1685"/>
      <c r="Y477" s="1685"/>
      <c r="Z477" s="1685"/>
      <c r="AA477" s="1685"/>
      <c r="AB477" s="1685"/>
      <c r="AC477" s="1685"/>
      <c r="AD477" s="2069"/>
      <c r="AE477" s="2073"/>
      <c r="AF477" s="1685"/>
      <c r="AG477" s="1685"/>
      <c r="AM477" s="1702" t="s">
        <v>1148</v>
      </c>
      <c r="AN477" s="1702"/>
      <c r="AO477" s="1702" t="str">
        <f t="shared" si="96"/>
        <v/>
      </c>
      <c r="AP477" s="1702" t="str">
        <f t="shared" si="97"/>
        <v/>
      </c>
      <c r="AQ477" s="1702" t="str">
        <f>IF(TCATrigger="No","",IF(FourPercentTrigger="No","",IF($J$477="","",$J$477)))</f>
        <v/>
      </c>
      <c r="AR477" s="1702" t="str">
        <f>IF(TCATrigger="No","",IF(FourPercentTrigger="No","",IF($K$477="","",$K$477)))</f>
        <v/>
      </c>
      <c r="AS477" s="1702" t="str">
        <f>IF(TCATrigger="No","",IF(FourPercentTrigger="No","",IF($L$477="","",$L$477)))</f>
        <v/>
      </c>
      <c r="AT477" s="1702" t="str">
        <f>IF(TCATrigger="No","",IF(FourPercentTrigger="No","",IF($M$477="","",$M$477)))</f>
        <v/>
      </c>
      <c r="AU477" s="1702" t="str">
        <f>IF(TCATrigger="No","",IF(FourPercentTrigger="No","",IF($N$477="","",$N$477)))</f>
        <v/>
      </c>
      <c r="AV477" s="1702" t="str">
        <f>IF(TCATrigger="No","",IF(FourPercentTrigger="No","",IF($O$477="","",$O$477)))</f>
        <v/>
      </c>
      <c r="AW477" s="1702" t="str">
        <f>IF(TCATrigger="No","",IF(FourPercentTrigger="No","",IF($P$477="","",$P$477)))</f>
        <v/>
      </c>
      <c r="BQ477" s="1685"/>
      <c r="BW477" s="1702" t="s">
        <v>1148</v>
      </c>
    </row>
    <row r="478" spans="1:75" ht="15">
      <c r="A478" s="1685"/>
      <c r="B478" s="1685"/>
      <c r="C478" s="1685"/>
      <c r="D478" s="1685"/>
      <c r="E478" s="1685"/>
      <c r="F478" s="1685"/>
      <c r="G478" s="1701"/>
      <c r="H478" s="1701"/>
      <c r="I478" s="1701"/>
      <c r="J478" s="1701"/>
      <c r="K478" s="1701"/>
      <c r="L478" s="1701"/>
      <c r="M478" s="1701"/>
      <c r="N478" s="1701"/>
      <c r="O478" s="1701"/>
      <c r="P478" s="1701"/>
      <c r="Q478" s="1685"/>
      <c r="R478" s="1685"/>
      <c r="S478" s="1685"/>
      <c r="T478" s="1685"/>
      <c r="U478" s="1685"/>
      <c r="V478" s="1685"/>
      <c r="W478" s="1685"/>
      <c r="X478" s="1685"/>
      <c r="Y478" s="1685"/>
      <c r="Z478" s="1685"/>
      <c r="AA478" s="1685"/>
      <c r="AB478" s="1685"/>
      <c r="AC478" s="1685"/>
      <c r="AD478" s="2069"/>
      <c r="AE478" s="2073"/>
      <c r="AF478" s="1685"/>
      <c r="AG478" s="1685"/>
      <c r="BQ478" s="1685"/>
    </row>
    <row r="479" spans="1:75" ht="15">
      <c r="A479" s="1685"/>
      <c r="B479" s="1685"/>
      <c r="C479" s="1685"/>
      <c r="D479" s="1685"/>
      <c r="E479" s="1685"/>
      <c r="F479" s="1685"/>
      <c r="G479" s="1701" t="s">
        <v>1149</v>
      </c>
      <c r="H479" s="1701"/>
      <c r="I479" s="1701"/>
      <c r="J479" s="1701"/>
      <c r="K479" s="1701"/>
      <c r="L479" s="1701"/>
      <c r="M479" s="1701"/>
      <c r="N479" s="1701"/>
      <c r="O479" s="1701"/>
      <c r="P479" s="1701"/>
      <c r="Q479" s="1685"/>
      <c r="R479" s="1685"/>
      <c r="S479" s="1685"/>
      <c r="T479" s="1685"/>
      <c r="U479" s="1685"/>
      <c r="V479" s="1685"/>
      <c r="W479" s="1685"/>
      <c r="X479" s="1685"/>
      <c r="Y479" s="1685"/>
      <c r="Z479" s="1685"/>
      <c r="AA479" s="1685"/>
      <c r="AB479" s="1685"/>
      <c r="AC479" s="1685"/>
      <c r="AD479" s="2069"/>
      <c r="AE479" s="2073"/>
      <c r="AF479" s="1685"/>
      <c r="AG479" s="1685"/>
      <c r="AM479" s="1677" t="s">
        <v>1149</v>
      </c>
      <c r="BQ479" s="1685"/>
      <c r="BW479" s="1677" t="s">
        <v>1149</v>
      </c>
    </row>
    <row r="480" spans="1:75" ht="15">
      <c r="A480" s="1685"/>
      <c r="B480" s="1685"/>
      <c r="C480" s="1685"/>
      <c r="D480" s="1685"/>
      <c r="E480" s="1685"/>
      <c r="F480" s="1685"/>
      <c r="G480" s="1751" t="s">
        <v>1150</v>
      </c>
      <c r="H480" s="1701">
        <v>6420</v>
      </c>
      <c r="I480" s="1701" t="str">
        <f>IF(rng02_Expense_UtilExpense_FuelOilCoal="","",rng02_Expense_UtilExpense_FuelOilCoal)</f>
        <v/>
      </c>
      <c r="J480" s="1701">
        <v>0</v>
      </c>
      <c r="K480" s="1701"/>
      <c r="L480" s="1701">
        <v>0</v>
      </c>
      <c r="M480" s="1701">
        <v>0</v>
      </c>
      <c r="N480" s="1701">
        <v>0</v>
      </c>
      <c r="O480" s="1701">
        <v>0</v>
      </c>
      <c r="P480" s="1701">
        <v>0</v>
      </c>
      <c r="Q480" s="1685"/>
      <c r="R480" s="1685"/>
      <c r="S480" s="1685"/>
      <c r="T480" s="1685"/>
      <c r="U480" s="1685"/>
      <c r="V480" s="1685"/>
      <c r="W480" s="1685"/>
      <c r="X480" s="1685"/>
      <c r="Y480" s="1685"/>
      <c r="Z480" s="1685"/>
      <c r="AA480" s="1685"/>
      <c r="AB480" s="1685"/>
      <c r="AC480" s="1685"/>
      <c r="AD480" s="2069"/>
      <c r="AE480" s="2073"/>
      <c r="AF480" s="1685"/>
      <c r="AG480" s="1685"/>
      <c r="AM480" s="1702" t="s">
        <v>1150</v>
      </c>
      <c r="AN480" s="1702">
        <v>6420</v>
      </c>
      <c r="AO480" s="1702" t="str">
        <f t="shared" ref="AO480:AO486" si="98">IF(TCATrigger="No","",$I480)</f>
        <v/>
      </c>
      <c r="AP480" s="1702" t="str">
        <f t="shared" ref="AP480:AP486" si="99">IF(AO480="","",AO480)</f>
        <v/>
      </c>
      <c r="AQ480" s="1702" t="str">
        <f>IF(TCATrigger="No","",IF(FourPercentTrigger="No","",IF($J$480="","",$J$480)))</f>
        <v/>
      </c>
      <c r="AR480" s="1702" t="str">
        <f>IF(TCATrigger="No","",IF(FourPercentTrigger="No","",IF($K$480="","",$K$480)))</f>
        <v/>
      </c>
      <c r="AS480" s="1702" t="str">
        <f>IF(TCATrigger="No","",IF(FourPercentTrigger="No","",IF($L$480="","",$L$480)))</f>
        <v/>
      </c>
      <c r="AT480" s="1702" t="str">
        <f>IF(TCATrigger="No","",IF(FourPercentTrigger="No","",IF($M$480="","",$M$480)))</f>
        <v/>
      </c>
      <c r="AU480" s="1702" t="str">
        <f>IF(TCATrigger="No","",IF(FourPercentTrigger="No","",IF($N$480="","",$N$480)))</f>
        <v/>
      </c>
      <c r="AV480" s="1702" t="str">
        <f>IF(TCATrigger="No","",IF(FourPercentTrigger="No","",IF($O$480="","",$O$480)))</f>
        <v/>
      </c>
      <c r="AW480" s="1702" t="str">
        <f>IF(TCATrigger="No","",IF(FourPercentTrigger="No","",IF($P$480="","",$P$480)))</f>
        <v/>
      </c>
      <c r="BQ480" s="1685"/>
      <c r="BW480" s="1702" t="s">
        <v>1150</v>
      </c>
    </row>
    <row r="481" spans="1:75" ht="15">
      <c r="A481" s="1685"/>
      <c r="B481" s="1685"/>
      <c r="C481" s="1685"/>
      <c r="D481" s="1685"/>
      <c r="E481" s="1685"/>
      <c r="F481" s="1685"/>
      <c r="G481" s="1751" t="s">
        <v>1151</v>
      </c>
      <c r="H481" s="1701">
        <v>6450</v>
      </c>
      <c r="I481" s="1701" t="str">
        <f>IF(rng02_Expense_UtilExpense_Electricity="","",rng02_Expense_UtilExpense_Electricity)</f>
        <v/>
      </c>
      <c r="J481" s="1701">
        <v>0</v>
      </c>
      <c r="K481" s="1701"/>
      <c r="L481" s="1701">
        <v>0</v>
      </c>
      <c r="M481" s="1701">
        <v>0</v>
      </c>
      <c r="N481" s="1701">
        <v>0</v>
      </c>
      <c r="O481" s="1701">
        <v>0</v>
      </c>
      <c r="P481" s="1701">
        <v>0</v>
      </c>
      <c r="Q481" s="1685"/>
      <c r="R481" s="1685"/>
      <c r="S481" s="1685"/>
      <c r="T481" s="1685"/>
      <c r="U481" s="1685"/>
      <c r="V481" s="1685"/>
      <c r="W481" s="1685"/>
      <c r="X481" s="1685"/>
      <c r="Y481" s="1685"/>
      <c r="Z481" s="1685"/>
      <c r="AA481" s="1685"/>
      <c r="AB481" s="1685"/>
      <c r="AC481" s="1685"/>
      <c r="AD481" s="2069"/>
      <c r="AE481" s="2073"/>
      <c r="AF481" s="1685"/>
      <c r="AG481" s="1685"/>
      <c r="AM481" s="1756" t="s">
        <v>1151</v>
      </c>
      <c r="AN481" s="1702">
        <v>6450</v>
      </c>
      <c r="AO481" s="1702" t="str">
        <f t="shared" si="98"/>
        <v/>
      </c>
      <c r="AP481" s="1756" t="str">
        <f>IF(OR(TCATrigger="No",SUM(AO481,AO485)=0),"",SUM(AO481,AO485))</f>
        <v/>
      </c>
      <c r="AQ481" s="1702" t="str">
        <f>IF(TCATrigger="No","",IF(FourPercentTrigger="No","",IF($J$481="","",$J$481)))</f>
        <v/>
      </c>
      <c r="AR481" s="1702" t="str">
        <f>IF(TCATrigger="No","",IF(FourPercentTrigger="No","",IF($K$481="","",$K$481)))</f>
        <v/>
      </c>
      <c r="AS481" s="1702" t="str">
        <f>IF(TCATrigger="No","",IF(FourPercentTrigger="No","",IF($L$481="","",$L$481)))</f>
        <v/>
      </c>
      <c r="AT481" s="1702" t="str">
        <f>IF(TCATrigger="No","",IF(FourPercentTrigger="No","",IF($M$481="","",$M$481)))</f>
        <v/>
      </c>
      <c r="AU481" s="1702" t="str">
        <f>IF(TCATrigger="No","",IF(FourPercentTrigger="No","",IF($N$481="","",$N$481)))</f>
        <v/>
      </c>
      <c r="AV481" s="1702" t="str">
        <f>IF(TCATrigger="No","",IF(FourPercentTrigger="No","",IF($O$481="","",$O$481)))</f>
        <v/>
      </c>
      <c r="AW481" s="1702" t="str">
        <f>IF(TCATrigger="No","",IF(FourPercentTrigger="No","",IF($P$481="","",$P$481)))</f>
        <v/>
      </c>
      <c r="BQ481" s="1685"/>
      <c r="BW481" s="1756" t="s">
        <v>1151</v>
      </c>
    </row>
    <row r="482" spans="1:75" ht="15">
      <c r="A482" s="1685"/>
      <c r="B482" s="1685"/>
      <c r="C482" s="1685"/>
      <c r="D482" s="1685"/>
      <c r="E482" s="1685"/>
      <c r="F482" s="1685"/>
      <c r="G482" s="1751" t="s">
        <v>1152</v>
      </c>
      <c r="H482" s="1701">
        <v>6451</v>
      </c>
      <c r="I482" s="1701" t="str">
        <f>IF(rng02_Expense_UtilExpense_Water="","",rng02_Expense_UtilExpense_Water)</f>
        <v/>
      </c>
      <c r="J482" s="1701">
        <v>0</v>
      </c>
      <c r="K482" s="1701"/>
      <c r="L482" s="1701">
        <v>0</v>
      </c>
      <c r="M482" s="1701">
        <v>0</v>
      </c>
      <c r="N482" s="1701">
        <v>0</v>
      </c>
      <c r="O482" s="1701">
        <v>0</v>
      </c>
      <c r="P482" s="1701">
        <v>0</v>
      </c>
      <c r="Q482" s="1685"/>
      <c r="R482" s="1685"/>
      <c r="S482" s="1685"/>
      <c r="T482" s="1685"/>
      <c r="U482" s="1685"/>
      <c r="V482" s="1685"/>
      <c r="W482" s="1685"/>
      <c r="X482" s="1685"/>
      <c r="Y482" s="1685"/>
      <c r="Z482" s="1685"/>
      <c r="AA482" s="1685"/>
      <c r="AB482" s="1685"/>
      <c r="AC482" s="1685"/>
      <c r="AD482" s="2069"/>
      <c r="AE482" s="2073"/>
      <c r="AF482" s="1685"/>
      <c r="AG482" s="1685"/>
      <c r="AM482" s="1702" t="s">
        <v>1152</v>
      </c>
      <c r="AN482" s="1702">
        <v>6451</v>
      </c>
      <c r="AO482" s="1702" t="str">
        <f t="shared" si="98"/>
        <v/>
      </c>
      <c r="AP482" s="1702" t="str">
        <f t="shared" si="99"/>
        <v/>
      </c>
      <c r="AQ482" s="1702" t="str">
        <f>IF(TCATrigger="No","",IF(FourPercentTrigger="No","",IF($J$482="","",$J$482)))</f>
        <v/>
      </c>
      <c r="AR482" s="1702" t="str">
        <f>IF(TCATrigger="No","",IF(FourPercentTrigger="No","",IF($K$482="","",$K$482)))</f>
        <v/>
      </c>
      <c r="AS482" s="1702" t="str">
        <f>IF(TCATrigger="No","",IF(FourPercentTrigger="No","",IF($L$482="","",$L$482)))</f>
        <v/>
      </c>
      <c r="AT482" s="1702" t="str">
        <f>IF(TCATrigger="No","",IF(FourPercentTrigger="No","",IF($M$482="","",$M$482)))</f>
        <v/>
      </c>
      <c r="AU482" s="1702" t="str">
        <f>IF(TCATrigger="No","",IF(FourPercentTrigger="No","",IF($N$482="","",$N$482)))</f>
        <v/>
      </c>
      <c r="AV482" s="1702" t="str">
        <f>IF(TCATrigger="No","",IF(FourPercentTrigger="No","",IF($O$482="","",$O$482)))</f>
        <v/>
      </c>
      <c r="AW482" s="1702" t="str">
        <f>IF(TCATrigger="No","",IF(FourPercentTrigger="No","",IF($P$482="","",$P$482)))</f>
        <v/>
      </c>
      <c r="BQ482" s="1685"/>
      <c r="BW482" s="1702" t="s">
        <v>1152</v>
      </c>
    </row>
    <row r="483" spans="1:75" ht="15">
      <c r="A483" s="1685"/>
      <c r="B483" s="1685"/>
      <c r="C483" s="1685"/>
      <c r="D483" s="1685"/>
      <c r="E483" s="1685"/>
      <c r="F483" s="1685"/>
      <c r="G483" s="1751" t="s">
        <v>1153</v>
      </c>
      <c r="H483" s="1701">
        <v>6452</v>
      </c>
      <c r="I483" s="1701" t="str">
        <f>IF(rng02_Expense_UtilExpense_Gas="","",rng02_Expense_UtilExpense_Gas)</f>
        <v/>
      </c>
      <c r="J483" s="1701">
        <v>0</v>
      </c>
      <c r="K483" s="1701"/>
      <c r="L483" s="1701">
        <v>0</v>
      </c>
      <c r="M483" s="1701">
        <v>0</v>
      </c>
      <c r="N483" s="1701">
        <v>0</v>
      </c>
      <c r="O483" s="1701">
        <v>0</v>
      </c>
      <c r="P483" s="1701">
        <v>0</v>
      </c>
      <c r="Q483" s="1685"/>
      <c r="R483" s="1685"/>
      <c r="S483" s="1685"/>
      <c r="T483" s="1685"/>
      <c r="U483" s="1685"/>
      <c r="V483" s="1685"/>
      <c r="W483" s="1685"/>
      <c r="X483" s="1685"/>
      <c r="Y483" s="1685"/>
      <c r="Z483" s="1685"/>
      <c r="AA483" s="1685"/>
      <c r="AB483" s="1685"/>
      <c r="AC483" s="1685"/>
      <c r="AD483" s="2069"/>
      <c r="AE483" s="2073"/>
      <c r="AF483" s="1685"/>
      <c r="AG483" s="1685"/>
      <c r="AM483" s="1702" t="s">
        <v>1153</v>
      </c>
      <c r="AN483" s="1702">
        <v>6452</v>
      </c>
      <c r="AO483" s="1702" t="str">
        <f t="shared" si="98"/>
        <v/>
      </c>
      <c r="AP483" s="1702" t="str">
        <f t="shared" si="99"/>
        <v/>
      </c>
      <c r="AQ483" s="1702" t="str">
        <f>IF(TCATrigger="No","",IF(FourPercentTrigger="No","",IF($J$483="","",$J$483)))</f>
        <v/>
      </c>
      <c r="AR483" s="1702" t="str">
        <f>IF(TCATrigger="No","",IF(FourPercentTrigger="No","",IF($K$483="","",$K$483)))</f>
        <v/>
      </c>
      <c r="AS483" s="1702" t="str">
        <f>IF(TCATrigger="No","",IF(FourPercentTrigger="No","",IF($L$483="","",$L$483)))</f>
        <v/>
      </c>
      <c r="AT483" s="1702" t="str">
        <f>IF(TCATrigger="No","",IF(FourPercentTrigger="No","",IF($M$483="","",$M$483)))</f>
        <v/>
      </c>
      <c r="AU483" s="1702" t="str">
        <f>IF(TCATrigger="No","",IF(FourPercentTrigger="No","",IF($N$483="","",$N$483)))</f>
        <v/>
      </c>
      <c r="AV483" s="1702" t="str">
        <f>IF(TCATrigger="No","",IF(FourPercentTrigger="No","",IF($O$483="","",$O$483)))</f>
        <v/>
      </c>
      <c r="AW483" s="1702" t="str">
        <f>IF(TCATrigger="No","",IF(FourPercentTrigger="No","",IF($P$483="","",$P$483)))</f>
        <v/>
      </c>
      <c r="BQ483" s="1685"/>
      <c r="BW483" s="1702" t="s">
        <v>1153</v>
      </c>
    </row>
    <row r="484" spans="1:75" ht="15">
      <c r="A484" s="1685"/>
      <c r="B484" s="1685"/>
      <c r="C484" s="1685"/>
      <c r="D484" s="1685"/>
      <c r="E484" s="1685"/>
      <c r="F484" s="1685"/>
      <c r="G484" s="1751" t="s">
        <v>1154</v>
      </c>
      <c r="H484" s="1701">
        <v>6453</v>
      </c>
      <c r="I484" s="1701" t="str">
        <f>IF(rng02_Expense_UtilExpense_Sewer="","",rng02_Expense_UtilExpense_Sewer)</f>
        <v/>
      </c>
      <c r="J484" s="1701">
        <v>0</v>
      </c>
      <c r="K484" s="1701"/>
      <c r="L484" s="1701">
        <v>0</v>
      </c>
      <c r="M484" s="1701">
        <v>0</v>
      </c>
      <c r="N484" s="1701">
        <v>0</v>
      </c>
      <c r="O484" s="1701">
        <v>0</v>
      </c>
      <c r="P484" s="1701">
        <v>0</v>
      </c>
      <c r="Q484" s="1685"/>
      <c r="R484" s="1685"/>
      <c r="S484" s="1685"/>
      <c r="T484" s="1685"/>
      <c r="U484" s="1685"/>
      <c r="V484" s="1685"/>
      <c r="W484" s="1685"/>
      <c r="X484" s="1685"/>
      <c r="Y484" s="1685"/>
      <c r="Z484" s="1685"/>
      <c r="AA484" s="1685"/>
      <c r="AB484" s="1685"/>
      <c r="AC484" s="1685"/>
      <c r="AD484" s="2069"/>
      <c r="AE484" s="2073"/>
      <c r="AF484" s="1685"/>
      <c r="AG484" s="1685"/>
      <c r="AM484" s="1702" t="s">
        <v>1154</v>
      </c>
      <c r="AN484" s="1702">
        <v>6453</v>
      </c>
      <c r="AO484" s="1702" t="str">
        <f t="shared" si="98"/>
        <v/>
      </c>
      <c r="AP484" s="1702" t="str">
        <f t="shared" si="99"/>
        <v/>
      </c>
      <c r="AQ484" s="1702" t="str">
        <f>IF(TCATrigger="No","",IF(FourPercentTrigger="No","",IF($J$484="","",$J$484)))</f>
        <v/>
      </c>
      <c r="AR484" s="1702" t="str">
        <f>IF(TCATrigger="No","",IF(FourPercentTrigger="No","",IF($K$484="","",$K$484)))</f>
        <v/>
      </c>
      <c r="AS484" s="1702" t="str">
        <f>IF(TCATrigger="No","",IF(FourPercentTrigger="No","",IF($L$484="","",$L$484)))</f>
        <v/>
      </c>
      <c r="AT484" s="1702" t="str">
        <f>IF(TCATrigger="No","",IF(FourPercentTrigger="No","",IF($M$484="","",$M$484)))</f>
        <v/>
      </c>
      <c r="AU484" s="1702" t="str">
        <f>IF(TCATrigger="No","",IF(FourPercentTrigger="No","",IF($N$484="","",$N$484)))</f>
        <v/>
      </c>
      <c r="AV484" s="1702" t="str">
        <f>IF(TCATrigger="No","",IF(FourPercentTrigger="No","",IF($O$484="","",$O$484)))</f>
        <v/>
      </c>
      <c r="AW484" s="1702" t="str">
        <f>IF(TCATrigger="No","",IF(FourPercentTrigger="No","",IF($P$484="","",$P$484)))</f>
        <v/>
      </c>
      <c r="BQ484" s="1685"/>
      <c r="BW484" s="1702" t="s">
        <v>1154</v>
      </c>
    </row>
    <row r="485" spans="1:75" ht="15">
      <c r="A485" s="1685"/>
      <c r="B485" s="1685"/>
      <c r="C485" s="1685"/>
      <c r="D485" s="1685"/>
      <c r="E485" s="1685"/>
      <c r="F485" s="1685"/>
      <c r="G485" s="1751" t="s">
        <v>1155</v>
      </c>
      <c r="H485" s="1701">
        <v>6454</v>
      </c>
      <c r="I485" s="1701" t="str">
        <f>IF(rng02_Expense_UtilExpense_CableTVInternet="","",rng02_Expense_UtilExpense_CableTVInternet)</f>
        <v/>
      </c>
      <c r="J485" s="1701">
        <v>0</v>
      </c>
      <c r="K485" s="1701"/>
      <c r="L485" s="1701">
        <v>0</v>
      </c>
      <c r="M485" s="1701">
        <v>0</v>
      </c>
      <c r="N485" s="1701">
        <v>0</v>
      </c>
      <c r="O485" s="1701">
        <v>0</v>
      </c>
      <c r="P485" s="1701">
        <v>0</v>
      </c>
      <c r="Q485" s="1685"/>
      <c r="R485" s="1685"/>
      <c r="S485" s="1685"/>
      <c r="T485" s="1685"/>
      <c r="U485" s="1685"/>
      <c r="V485" s="1685"/>
      <c r="W485" s="1685"/>
      <c r="X485" s="1685"/>
      <c r="Y485" s="1685"/>
      <c r="Z485" s="1685"/>
      <c r="AA485" s="1685"/>
      <c r="AB485" s="1685"/>
      <c r="AC485" s="1685"/>
      <c r="AD485" s="2069"/>
      <c r="AE485" s="2073"/>
      <c r="AF485" s="1685"/>
      <c r="AG485" s="1685"/>
      <c r="AM485" s="1756" t="s">
        <v>1155</v>
      </c>
      <c r="AN485" s="1702">
        <v>6454</v>
      </c>
      <c r="AO485" s="1702" t="str">
        <f t="shared" si="98"/>
        <v/>
      </c>
      <c r="AP485" s="1756"/>
      <c r="AQ485" s="1702" t="str">
        <f>IF(TCATrigger="No","",IF(FourPercentTrigger="No","",IF($J$485="","",$J$485)))</f>
        <v/>
      </c>
      <c r="AR485" s="1702" t="str">
        <f>IF(TCATrigger="No","",IF(FourPercentTrigger="No","",IF($K$485="","",$K$485)))</f>
        <v/>
      </c>
      <c r="AS485" s="1702" t="str">
        <f>IF(TCATrigger="No","",IF(FourPercentTrigger="No","",IF($L$485="","",$L$485)))</f>
        <v/>
      </c>
      <c r="AT485" s="1702" t="str">
        <f>IF(TCATrigger="No","",IF(FourPercentTrigger="No","",IF($M$485="","",$M$485)))</f>
        <v/>
      </c>
      <c r="AU485" s="1702" t="str">
        <f>IF(TCATrigger="No","",IF(FourPercentTrigger="No","",IF($N$485="","",$N$485)))</f>
        <v/>
      </c>
      <c r="AV485" s="1702" t="str">
        <f>IF(TCATrigger="No","",IF(FourPercentTrigger="No","",IF($O$485="","",$O$485)))</f>
        <v/>
      </c>
      <c r="AW485" s="1702" t="str">
        <f>IF(TCATrigger="No","",IF(FourPercentTrigger="No","",IF($P$485="","",$P$485)))</f>
        <v/>
      </c>
      <c r="BQ485" s="1685"/>
      <c r="BW485" s="1756" t="s">
        <v>1155</v>
      </c>
    </row>
    <row r="486" spans="1:75" ht="15">
      <c r="A486" s="1685"/>
      <c r="B486" s="1685"/>
      <c r="C486" s="1685"/>
      <c r="D486" s="1685"/>
      <c r="E486" s="1685"/>
      <c r="F486" s="1685"/>
      <c r="G486" s="1701" t="s">
        <v>1156</v>
      </c>
      <c r="H486" s="1701"/>
      <c r="I486" s="1701">
        <f>IF(rng02_Expense_UtilExpense_TotUtilExpenses="","",rng02_Expense_UtilExpense_TotUtilExpenses)</f>
        <v>0</v>
      </c>
      <c r="J486" s="1701">
        <v>0</v>
      </c>
      <c r="K486" s="1701">
        <v>0</v>
      </c>
      <c r="L486" s="1701">
        <v>0</v>
      </c>
      <c r="M486" s="1701">
        <v>0</v>
      </c>
      <c r="N486" s="1701">
        <v>0</v>
      </c>
      <c r="O486" s="1701">
        <v>0</v>
      </c>
      <c r="P486" s="1701">
        <v>0</v>
      </c>
      <c r="Q486" s="1685"/>
      <c r="R486" s="1685"/>
      <c r="S486" s="1685"/>
      <c r="T486" s="1685"/>
      <c r="U486" s="1685"/>
      <c r="V486" s="1685"/>
      <c r="W486" s="1685"/>
      <c r="X486" s="1685"/>
      <c r="Y486" s="1685"/>
      <c r="Z486" s="1685"/>
      <c r="AA486" s="1685"/>
      <c r="AB486" s="1685"/>
      <c r="AC486" s="1685"/>
      <c r="AD486" s="2069"/>
      <c r="AE486" s="2073"/>
      <c r="AF486" s="1685"/>
      <c r="AG486" s="1685"/>
      <c r="AM486" s="1702" t="s">
        <v>1156</v>
      </c>
      <c r="AN486" s="1702"/>
      <c r="AO486" s="1702" t="str">
        <f t="shared" si="98"/>
        <v/>
      </c>
      <c r="AP486" s="1702" t="str">
        <f t="shared" si="99"/>
        <v/>
      </c>
      <c r="AQ486" s="1702" t="str">
        <f>IF(TCATrigger="No","",IF(FourPercentTrigger="No","",IF($J$486="","",$J$486)))</f>
        <v/>
      </c>
      <c r="AR486" s="1702" t="str">
        <f>IF(TCATrigger="No","",IF(FourPercentTrigger="No","",IF($K$486="","",$K$486)))</f>
        <v/>
      </c>
      <c r="AS486" s="1702" t="str">
        <f>IF(TCATrigger="No","",IF(FourPercentTrigger="No","",IF($L$486="","",$L$486)))</f>
        <v/>
      </c>
      <c r="AT486" s="1702" t="str">
        <f>IF(TCATrigger="No","",IF(FourPercentTrigger="No","",IF($M$486="","",$M$486)))</f>
        <v/>
      </c>
      <c r="AU486" s="1702" t="str">
        <f>IF(TCATrigger="No","",IF(FourPercentTrigger="No","",IF($N$486="","",$N$486)))</f>
        <v/>
      </c>
      <c r="AV486" s="1702" t="str">
        <f>IF(TCATrigger="No","",IF(FourPercentTrigger="No","",IF($O$486="","",$O$486)))</f>
        <v/>
      </c>
      <c r="AW486" s="1702" t="str">
        <f>IF(TCATrigger="No","",IF(FourPercentTrigger="No","",IF($P$486="","",$P$486)))</f>
        <v/>
      </c>
      <c r="BQ486" s="1685"/>
      <c r="BW486" s="1702" t="s">
        <v>1156</v>
      </c>
    </row>
    <row r="487" spans="1:75" ht="15">
      <c r="A487" s="1685"/>
      <c r="B487" s="1685"/>
      <c r="C487" s="1685"/>
      <c r="D487" s="1685"/>
      <c r="E487" s="1685"/>
      <c r="F487" s="1685"/>
      <c r="G487" s="1701"/>
      <c r="H487" s="1701"/>
      <c r="I487" s="1701"/>
      <c r="J487" s="1701"/>
      <c r="K487" s="1701"/>
      <c r="L487" s="1701"/>
      <c r="M487" s="1701"/>
      <c r="N487" s="1701"/>
      <c r="O487" s="1701"/>
      <c r="P487" s="1701"/>
      <c r="Q487" s="1685"/>
      <c r="R487" s="1685"/>
      <c r="S487" s="1685"/>
      <c r="T487" s="1685"/>
      <c r="U487" s="1685"/>
      <c r="V487" s="1685"/>
      <c r="W487" s="1685"/>
      <c r="X487" s="1685"/>
      <c r="Y487" s="1685"/>
      <c r="Z487" s="1685"/>
      <c r="AA487" s="1685"/>
      <c r="AB487" s="1685"/>
      <c r="AC487" s="1685"/>
      <c r="AD487" s="2069"/>
      <c r="AE487" s="2073"/>
      <c r="AF487" s="1685"/>
      <c r="AG487" s="1685"/>
      <c r="BQ487" s="1685"/>
    </row>
    <row r="488" spans="1:75" ht="15">
      <c r="A488" s="1685"/>
      <c r="B488" s="1685"/>
      <c r="C488" s="1685"/>
      <c r="D488" s="1685"/>
      <c r="E488" s="1685"/>
      <c r="F488" s="1685"/>
      <c r="G488" s="1701" t="s">
        <v>1157</v>
      </c>
      <c r="H488" s="1701"/>
      <c r="I488" s="1701"/>
      <c r="J488" s="1701"/>
      <c r="K488" s="1701"/>
      <c r="L488" s="1701"/>
      <c r="M488" s="1701"/>
      <c r="N488" s="1701"/>
      <c r="O488" s="1701"/>
      <c r="P488" s="1701"/>
      <c r="Q488" s="1685"/>
      <c r="R488" s="1685"/>
      <c r="S488" s="1685"/>
      <c r="T488" s="1685"/>
      <c r="U488" s="1685"/>
      <c r="V488" s="1685"/>
      <c r="W488" s="1685"/>
      <c r="X488" s="1685"/>
      <c r="Y488" s="1685"/>
      <c r="Z488" s="1685"/>
      <c r="AA488" s="1685"/>
      <c r="AB488" s="1685"/>
      <c r="AC488" s="1685"/>
      <c r="AD488" s="2069"/>
      <c r="AE488" s="2073"/>
      <c r="AF488" s="1685"/>
      <c r="AG488" s="1685"/>
      <c r="AM488" s="1677" t="s">
        <v>1157</v>
      </c>
      <c r="BQ488" s="1685"/>
      <c r="BW488" s="1677" t="s">
        <v>1157</v>
      </c>
    </row>
    <row r="489" spans="1:75" ht="15">
      <c r="A489" s="1685"/>
      <c r="B489" s="1685"/>
      <c r="C489" s="1685"/>
      <c r="D489" s="1685"/>
      <c r="E489" s="1685"/>
      <c r="F489" s="1685"/>
      <c r="G489" s="1751" t="s">
        <v>1158</v>
      </c>
      <c r="H489" s="1701">
        <v>6510</v>
      </c>
      <c r="I489" s="1701" t="str">
        <f>IF(rng02_Expense_OpMaintExpenses_Payroll="","",rng02_Expense_OpMaintExpenses_Payroll)</f>
        <v/>
      </c>
      <c r="J489" s="1701">
        <v>0</v>
      </c>
      <c r="K489" s="1701"/>
      <c r="L489" s="1701">
        <v>0</v>
      </c>
      <c r="M489" s="1701">
        <v>0</v>
      </c>
      <c r="N489" s="1701">
        <v>0</v>
      </c>
      <c r="O489" s="1701">
        <v>0</v>
      </c>
      <c r="P489" s="1701">
        <v>0</v>
      </c>
      <c r="Q489" s="1685"/>
      <c r="R489" s="1685"/>
      <c r="S489" s="1685"/>
      <c r="T489" s="1685"/>
      <c r="U489" s="1685"/>
      <c r="V489" s="1685"/>
      <c r="W489" s="1685"/>
      <c r="X489" s="1685"/>
      <c r="Y489" s="1685"/>
      <c r="Z489" s="1685"/>
      <c r="AA489" s="1685"/>
      <c r="AB489" s="1685"/>
      <c r="AC489" s="1685"/>
      <c r="AD489" s="2069"/>
      <c r="AE489" s="2073"/>
      <c r="AF489" s="1685"/>
      <c r="AG489" s="1685"/>
      <c r="AM489" s="1702" t="s">
        <v>1158</v>
      </c>
      <c r="AN489" s="1702">
        <v>6510</v>
      </c>
      <c r="AO489" s="1702" t="str">
        <f t="shared" ref="AO489:AO513" si="100">IF(TCATrigger="No","",$I489)</f>
        <v/>
      </c>
      <c r="AP489" s="1702" t="str">
        <f t="shared" ref="AP489:AP514" si="101">IF(AO489="","",AO489)</f>
        <v/>
      </c>
      <c r="AQ489" s="1702" t="str">
        <f>IF(TCATrigger="No","",IF(FourPercentTrigger="No","",IF($J$489="","",$J$489)))</f>
        <v/>
      </c>
      <c r="AR489" s="1702" t="str">
        <f>IF(TCATrigger="No","",IF(FourPercentTrigger="No","",IF($K$489="","",$K$489)))</f>
        <v/>
      </c>
      <c r="AS489" s="1702" t="str">
        <f>IF(TCATrigger="No","",IF(FourPercentTrigger="No","",IF($L$489="","",$L$489)))</f>
        <v/>
      </c>
      <c r="AT489" s="1702" t="str">
        <f>IF(TCATrigger="No","",IF(FourPercentTrigger="No","",IF($M$489="","",$M$489)))</f>
        <v/>
      </c>
      <c r="AU489" s="1702" t="str">
        <f>IF(TCATrigger="No","",IF(FourPercentTrigger="No","",IF($N$489="","",$N$489)))</f>
        <v/>
      </c>
      <c r="AV489" s="1702" t="str">
        <f>IF(TCATrigger="No","",IF(FourPercentTrigger="No","",IF($O$489="","",$O$489)))</f>
        <v/>
      </c>
      <c r="AW489" s="1702" t="str">
        <f>IF(TCATrigger="No","",IF(FourPercentTrigger="No","",IF($P$489="","",$P$489)))</f>
        <v/>
      </c>
      <c r="BQ489" s="1685"/>
      <c r="BW489" s="1702" t="s">
        <v>1158</v>
      </c>
    </row>
    <row r="490" spans="1:75" ht="15">
      <c r="A490" s="1685"/>
      <c r="B490" s="1685"/>
      <c r="C490" s="1685"/>
      <c r="D490" s="1685"/>
      <c r="E490" s="1685"/>
      <c r="F490" s="1685"/>
      <c r="G490" s="1751" t="s">
        <v>1159</v>
      </c>
      <c r="H490" s="1701">
        <v>6515</v>
      </c>
      <c r="I490" s="1701" t="str">
        <f>IF(rng02_Expense_OpMaintExpenses_Supplies="","",rng02_Expense_OpMaintExpenses_Supplies)</f>
        <v/>
      </c>
      <c r="J490" s="1701">
        <v>0</v>
      </c>
      <c r="K490" s="1701"/>
      <c r="L490" s="1701">
        <v>0</v>
      </c>
      <c r="M490" s="1701">
        <v>0</v>
      </c>
      <c r="N490" s="1701">
        <v>0</v>
      </c>
      <c r="O490" s="1701">
        <v>0</v>
      </c>
      <c r="P490" s="1701">
        <v>0</v>
      </c>
      <c r="Q490" s="1685"/>
      <c r="R490" s="1685"/>
      <c r="S490" s="1685"/>
      <c r="T490" s="1685"/>
      <c r="U490" s="1685"/>
      <c r="V490" s="1685"/>
      <c r="W490" s="1685"/>
      <c r="X490" s="1685"/>
      <c r="Y490" s="1685"/>
      <c r="Z490" s="1685"/>
      <c r="AA490" s="1685"/>
      <c r="AB490" s="1685"/>
      <c r="AC490" s="1685"/>
      <c r="AD490" s="2069"/>
      <c r="AE490" s="2073"/>
      <c r="AF490" s="1685"/>
      <c r="AG490" s="1685"/>
      <c r="AM490" s="1702" t="s">
        <v>1159</v>
      </c>
      <c r="AN490" s="1702">
        <v>6515</v>
      </c>
      <c r="AO490" s="1702" t="str">
        <f t="shared" si="100"/>
        <v/>
      </c>
      <c r="AP490" s="1702" t="str">
        <f t="shared" si="101"/>
        <v/>
      </c>
      <c r="AQ490" s="1702" t="str">
        <f>IF(TCATrigger="No","",IF(FourPercentTrigger="No","",IF($J$490="","",$J$490)))</f>
        <v/>
      </c>
      <c r="AR490" s="1702" t="str">
        <f>IF(TCATrigger="No","",IF(FourPercentTrigger="No","",IF($K$490="","",$K$490)))</f>
        <v/>
      </c>
      <c r="AS490" s="1702" t="str">
        <f>IF(TCATrigger="No","",IF(FourPercentTrigger="No","",IF($L$490="","",$L$490)))</f>
        <v/>
      </c>
      <c r="AT490" s="1702" t="str">
        <f>IF(TCATrigger="No","",IF(FourPercentTrigger="No","",IF($M$490="","",$M$490)))</f>
        <v/>
      </c>
      <c r="AU490" s="1702" t="str">
        <f>IF(TCATrigger="No","",IF(FourPercentTrigger="No","",IF($N$490="","",$N$490)))</f>
        <v/>
      </c>
      <c r="AV490" s="1702" t="str">
        <f>IF(TCATrigger="No","",IF(FourPercentTrigger="No","",IF($O$490="","",$O$490)))</f>
        <v/>
      </c>
      <c r="AW490" s="1702" t="str">
        <f>IF(TCATrigger="No","",IF(FourPercentTrigger="No","",IF($P$490="","",$P$490)))</f>
        <v/>
      </c>
      <c r="BQ490" s="1685"/>
      <c r="BW490" s="1702" t="s">
        <v>1159</v>
      </c>
    </row>
    <row r="491" spans="1:75" ht="15">
      <c r="A491" s="1685"/>
      <c r="B491" s="1685"/>
      <c r="C491" s="1685"/>
      <c r="D491" s="1685"/>
      <c r="E491" s="1685"/>
      <c r="F491" s="1685"/>
      <c r="G491" s="1751" t="s">
        <v>1160</v>
      </c>
      <c r="H491" s="1701">
        <v>6517</v>
      </c>
      <c r="I491" s="1701" t="str">
        <f>IF(rng02_Expense_OpMaintExpenses_Contracts="","",rng02_Expense_OpMaintExpenses_Contracts)</f>
        <v/>
      </c>
      <c r="J491" s="1701">
        <v>0</v>
      </c>
      <c r="K491" s="1701"/>
      <c r="L491" s="1701">
        <v>0</v>
      </c>
      <c r="M491" s="1701">
        <v>0</v>
      </c>
      <c r="N491" s="1701">
        <v>0</v>
      </c>
      <c r="O491" s="1701">
        <v>0</v>
      </c>
      <c r="P491" s="1701">
        <v>0</v>
      </c>
      <c r="Q491" s="1685"/>
      <c r="R491" s="1685"/>
      <c r="S491" s="1685"/>
      <c r="T491" s="1685"/>
      <c r="U491" s="1685"/>
      <c r="V491" s="1685"/>
      <c r="W491" s="1685"/>
      <c r="X491" s="1685"/>
      <c r="Y491" s="1685"/>
      <c r="Z491" s="1685"/>
      <c r="AA491" s="1685"/>
      <c r="AB491" s="1685"/>
      <c r="AC491" s="1685"/>
      <c r="AD491" s="2069"/>
      <c r="AE491" s="2073"/>
      <c r="AF491" s="1685"/>
      <c r="AG491" s="1685"/>
      <c r="AM491" s="1702" t="s">
        <v>1160</v>
      </c>
      <c r="AN491" s="1702">
        <v>6517</v>
      </c>
      <c r="AO491" s="1702" t="str">
        <f t="shared" si="100"/>
        <v/>
      </c>
      <c r="AP491" s="1702" t="str">
        <f t="shared" si="101"/>
        <v/>
      </c>
      <c r="AQ491" s="1702" t="str">
        <f>IF(TCATrigger="No","",IF(FourPercentTrigger="No","",IF($J$491="","",$J$491)))</f>
        <v/>
      </c>
      <c r="AR491" s="1702" t="str">
        <f>IF(TCATrigger="No","",IF(FourPercentTrigger="No","",IF($K$491="","",$K$491)))</f>
        <v/>
      </c>
      <c r="AS491" s="1702" t="str">
        <f>IF(TCATrigger="No","",IF(FourPercentTrigger="No","",IF($L$491="","",$L$491)))</f>
        <v/>
      </c>
      <c r="AT491" s="1702" t="str">
        <f>IF(TCATrigger="No","",IF(FourPercentTrigger="No","",IF($M$491="","",$M$491)))</f>
        <v/>
      </c>
      <c r="AU491" s="1702" t="str">
        <f>IF(TCATrigger="No","",IF(FourPercentTrigger="No","",IF($N$491="","",$N$491)))</f>
        <v/>
      </c>
      <c r="AV491" s="1702" t="str">
        <f>IF(TCATrigger="No","",IF(FourPercentTrigger="No","",IF($O$491="","",$O$491)))</f>
        <v/>
      </c>
      <c r="AW491" s="1702" t="str">
        <f>IF(TCATrigger="No","",IF(FourPercentTrigger="No","",IF($P$491="","",$P$491)))</f>
        <v/>
      </c>
      <c r="BQ491" s="1685"/>
      <c r="BW491" s="1702" t="s">
        <v>1160</v>
      </c>
    </row>
    <row r="492" spans="1:75" ht="15">
      <c r="A492" s="1685"/>
      <c r="B492" s="1685"/>
      <c r="C492" s="1685"/>
      <c r="D492" s="1685"/>
      <c r="E492" s="1685"/>
      <c r="F492" s="1685"/>
      <c r="G492" s="1751" t="s">
        <v>1161</v>
      </c>
      <c r="H492" s="1701">
        <v>6519</v>
      </c>
      <c r="I492" s="1701" t="str">
        <f>IF(rng02_Expense_OpMaintExpenses_TerminatingContract="","",rng02_Expense_OpMaintExpenses_TerminatingContract)</f>
        <v/>
      </c>
      <c r="J492" s="1701">
        <v>0</v>
      </c>
      <c r="K492" s="1701"/>
      <c r="L492" s="1701">
        <v>0</v>
      </c>
      <c r="M492" s="1701">
        <v>0</v>
      </c>
      <c r="N492" s="1701">
        <v>0</v>
      </c>
      <c r="O492" s="1701">
        <v>0</v>
      </c>
      <c r="P492" s="1701">
        <v>0</v>
      </c>
      <c r="Q492" s="1685"/>
      <c r="R492" s="1685"/>
      <c r="S492" s="1685"/>
      <c r="T492" s="1685"/>
      <c r="U492" s="1685"/>
      <c r="V492" s="1685"/>
      <c r="W492" s="1685"/>
      <c r="X492" s="1685"/>
      <c r="Y492" s="1685"/>
      <c r="Z492" s="1685"/>
      <c r="AA492" s="1685"/>
      <c r="AB492" s="1685"/>
      <c r="AC492" s="1685"/>
      <c r="AD492" s="2069"/>
      <c r="AE492" s="2073"/>
      <c r="AF492" s="1685"/>
      <c r="AG492" s="1685"/>
      <c r="AM492" s="1757" t="s">
        <v>1161</v>
      </c>
      <c r="AN492" s="1702">
        <v>6519</v>
      </c>
      <c r="AO492" s="1702" t="str">
        <f t="shared" si="100"/>
        <v/>
      </c>
      <c r="AP492" s="1757" t="str">
        <f>IF(OR(TCATrigger="No",SUM(AO492:AO493)=0),"",SUM(AO492:AO493))</f>
        <v/>
      </c>
      <c r="AQ492" s="1702" t="str">
        <f>IF(TCATrigger="No","",IF(FourPercentTrigger="No","",IF($J$492="","",$J$492)))</f>
        <v/>
      </c>
      <c r="AR492" s="1702" t="str">
        <f>IF(TCATrigger="No","",IF(FourPercentTrigger="No","",IF($K$492="","",$K$492)))</f>
        <v/>
      </c>
      <c r="AS492" s="1702" t="str">
        <f>IF(TCATrigger="No","",IF(FourPercentTrigger="No","",IF($L$492="","",$L$492)))</f>
        <v/>
      </c>
      <c r="AT492" s="1702" t="str">
        <f>IF(TCATrigger="No","",IF(FourPercentTrigger="No","",IF($M$492="","",$M$492)))</f>
        <v/>
      </c>
      <c r="AU492" s="1702" t="str">
        <f>IF(TCATrigger="No","",IF(FourPercentTrigger="No","",IF($N$492="","",$N$492)))</f>
        <v/>
      </c>
      <c r="AV492" s="1702" t="str">
        <f>IF(TCATrigger="No","",IF(FourPercentTrigger="No","",IF($O$492="","",$O$492)))</f>
        <v/>
      </c>
      <c r="AW492" s="1702" t="str">
        <f>IF(TCATrigger="No","",IF(FourPercentTrigger="No","",IF($P$492="","",$P$492)))</f>
        <v/>
      </c>
      <c r="BQ492" s="1685"/>
      <c r="BW492" s="1757" t="s">
        <v>1161</v>
      </c>
    </row>
    <row r="493" spans="1:75" ht="15">
      <c r="A493" s="1685"/>
      <c r="B493" s="1685"/>
      <c r="C493" s="1685"/>
      <c r="D493" s="1685"/>
      <c r="E493" s="1685"/>
      <c r="F493" s="1685"/>
      <c r="G493" s="1751" t="s">
        <v>1162</v>
      </c>
      <c r="H493" s="1701">
        <v>6520</v>
      </c>
      <c r="I493" s="1701" t="str">
        <f>IF(rng02_Expense_OpMaintExpenses_TerminatingSupplies="","",rng02_Expense_OpMaintExpenses_TerminatingSupplies)</f>
        <v/>
      </c>
      <c r="J493" s="1701">
        <v>0</v>
      </c>
      <c r="K493" s="1701"/>
      <c r="L493" s="1701">
        <v>0</v>
      </c>
      <c r="M493" s="1701">
        <v>0</v>
      </c>
      <c r="N493" s="1701">
        <v>0</v>
      </c>
      <c r="O493" s="1701">
        <v>0</v>
      </c>
      <c r="P493" s="1701">
        <v>0</v>
      </c>
      <c r="Q493" s="1685"/>
      <c r="R493" s="1685"/>
      <c r="S493" s="1685"/>
      <c r="T493" s="1685"/>
      <c r="U493" s="1685"/>
      <c r="V493" s="1685"/>
      <c r="W493" s="1685"/>
      <c r="X493" s="1685"/>
      <c r="Y493" s="1685"/>
      <c r="Z493" s="1685"/>
      <c r="AA493" s="1685"/>
      <c r="AB493" s="1685"/>
      <c r="AC493" s="1685"/>
      <c r="AD493" s="2069"/>
      <c r="AE493" s="2073"/>
      <c r="AF493" s="1685"/>
      <c r="AG493" s="1685"/>
      <c r="AM493" s="1757" t="s">
        <v>1162</v>
      </c>
      <c r="AN493" s="1702">
        <v>6520</v>
      </c>
      <c r="AO493" s="1702" t="str">
        <f t="shared" si="100"/>
        <v/>
      </c>
      <c r="AP493" s="1757"/>
      <c r="AQ493" s="1702" t="str">
        <f>IF(TCATrigger="No","",IF(FourPercentTrigger="No","",IF($J$493="","",$J$493)))</f>
        <v/>
      </c>
      <c r="AR493" s="1702" t="str">
        <f>IF(TCATrigger="No","",IF(FourPercentTrigger="No","",IF($K$493="","",$K$493)))</f>
        <v/>
      </c>
      <c r="AS493" s="1702" t="str">
        <f>IF(TCATrigger="No","",IF(FourPercentTrigger="No","",IF($L$493="","",$L$493)))</f>
        <v/>
      </c>
      <c r="AT493" s="1702" t="str">
        <f>IF(TCATrigger="No","",IF(FourPercentTrigger="No","",IF($M$493="","",$M$493)))</f>
        <v/>
      </c>
      <c r="AU493" s="1702" t="str">
        <f>IF(TCATrigger="No","",IF(FourPercentTrigger="No","",IF($N$493="","",$N$493)))</f>
        <v/>
      </c>
      <c r="AV493" s="1702" t="str">
        <f>IF(TCATrigger="No","",IF(FourPercentTrigger="No","",IF($O$493="","",$O$493)))</f>
        <v/>
      </c>
      <c r="AW493" s="1702" t="str">
        <f>IF(TCATrigger="No","",IF(FourPercentTrigger="No","",IF($P$493="","",$P$493)))</f>
        <v/>
      </c>
      <c r="BQ493" s="1685"/>
      <c r="BW493" s="1757" t="s">
        <v>1162</v>
      </c>
    </row>
    <row r="494" spans="1:75" ht="15">
      <c r="A494" s="1685"/>
      <c r="B494" s="1685"/>
      <c r="C494" s="1685"/>
      <c r="D494" s="1685"/>
      <c r="E494" s="1685"/>
      <c r="F494" s="1685"/>
      <c r="G494" s="1751" t="s">
        <v>1163</v>
      </c>
      <c r="H494" s="1701">
        <v>6521</v>
      </c>
      <c r="I494" s="1701" t="str">
        <f>IF(rng02_Expense_OpMaintExpenses_MaintRentFreeUnit="","",rng02_Expense_OpMaintExpenses_MaintRentFreeUnit)</f>
        <v/>
      </c>
      <c r="J494" s="1701">
        <v>0</v>
      </c>
      <c r="K494" s="1701"/>
      <c r="L494" s="1701">
        <v>0</v>
      </c>
      <c r="M494" s="1701">
        <v>0</v>
      </c>
      <c r="N494" s="1701">
        <v>0</v>
      </c>
      <c r="O494" s="1701">
        <v>0</v>
      </c>
      <c r="P494" s="1701">
        <v>0</v>
      </c>
      <c r="Q494" s="1685"/>
      <c r="R494" s="1685"/>
      <c r="S494" s="1685"/>
      <c r="T494" s="1685"/>
      <c r="U494" s="1685"/>
      <c r="V494" s="1685"/>
      <c r="W494" s="1685"/>
      <c r="X494" s="1685"/>
      <c r="Y494" s="1685"/>
      <c r="Z494" s="1685"/>
      <c r="AA494" s="1685"/>
      <c r="AB494" s="1685"/>
      <c r="AC494" s="1685"/>
      <c r="AD494" s="2069"/>
      <c r="AE494" s="2073"/>
      <c r="AF494" s="1685"/>
      <c r="AG494" s="1685"/>
      <c r="AM494" s="1758" t="s">
        <v>1163</v>
      </c>
      <c r="AN494" s="1702">
        <v>6521</v>
      </c>
      <c r="AO494" s="1702" t="str">
        <f t="shared" si="100"/>
        <v/>
      </c>
      <c r="AP494" s="1758" t="str">
        <f>IF(OR(TCATrigger="No",SUM(AO494,AO503:AO504,AO507,AO509,AO513)=0),"",SUM(AO494,AO503:AO504,AO507,AO509,AO513))</f>
        <v/>
      </c>
      <c r="AQ494" s="1702" t="str">
        <f>IF(TCATrigger="No","",IF(FourPercentTrigger="No","",IF($J$494="","",$J$494)))</f>
        <v/>
      </c>
      <c r="AR494" s="1702" t="str">
        <f>IF(TCATrigger="No","",IF(FourPercentTrigger="No","",IF($K$494="","",$K$494)))</f>
        <v/>
      </c>
      <c r="AS494" s="1702" t="str">
        <f>IF(TCATrigger="No","",IF(FourPercentTrigger="No","",IF($L$494="","",$L$494)))</f>
        <v/>
      </c>
      <c r="AT494" s="1702" t="str">
        <f>IF(TCATrigger="No","",IF(FourPercentTrigger="No","",IF($M$494="","",$M$494)))</f>
        <v/>
      </c>
      <c r="AU494" s="1702" t="str">
        <f>IF(TCATrigger="No","",IF(FourPercentTrigger="No","",IF($N$494="","",$N$494)))</f>
        <v/>
      </c>
      <c r="AV494" s="1702" t="str">
        <f>IF(TCATrigger="No","",IF(FourPercentTrigger="No","",IF($O$494="","",$O$494)))</f>
        <v/>
      </c>
      <c r="AW494" s="1702" t="str">
        <f>IF(TCATrigger="No","",IF(FourPercentTrigger="No","",IF($P$494="","",$P$494)))</f>
        <v/>
      </c>
      <c r="BQ494" s="1685"/>
      <c r="BW494" s="1758" t="s">
        <v>1163</v>
      </c>
    </row>
    <row r="495" spans="1:75" ht="15">
      <c r="A495" s="1685"/>
      <c r="B495" s="1685"/>
      <c r="C495" s="1685"/>
      <c r="D495" s="1685"/>
      <c r="E495" s="1685"/>
      <c r="F495" s="1685"/>
      <c r="G495" s="1751" t="s">
        <v>986</v>
      </c>
      <c r="H495" s="1701">
        <v>6525</v>
      </c>
      <c r="I495" s="1701" t="str">
        <f>IF(rng02_Expense_OpMaintExpenses_TrashRemoval="","",rng02_Expense_OpMaintExpenses_TrashRemoval)</f>
        <v/>
      </c>
      <c r="J495" s="1701">
        <v>0</v>
      </c>
      <c r="K495" s="1701"/>
      <c r="L495" s="1701">
        <v>0</v>
      </c>
      <c r="M495" s="1701">
        <v>0</v>
      </c>
      <c r="N495" s="1701">
        <v>0</v>
      </c>
      <c r="O495" s="1701">
        <v>0</v>
      </c>
      <c r="P495" s="1701">
        <v>0</v>
      </c>
      <c r="Q495" s="1685"/>
      <c r="R495" s="1685"/>
      <c r="S495" s="1685"/>
      <c r="T495" s="1685"/>
      <c r="U495" s="1685"/>
      <c r="V495" s="1685"/>
      <c r="W495" s="1685"/>
      <c r="X495" s="1685"/>
      <c r="Y495" s="1685"/>
      <c r="Z495" s="1685"/>
      <c r="AA495" s="1685"/>
      <c r="AB495" s="1685"/>
      <c r="AC495" s="1685"/>
      <c r="AD495" s="2069"/>
      <c r="AE495" s="2073"/>
      <c r="AF495" s="1685"/>
      <c r="AG495" s="1685"/>
      <c r="AM495" s="1702" t="s">
        <v>986</v>
      </c>
      <c r="AN495" s="1702">
        <v>6525</v>
      </c>
      <c r="AO495" s="1702" t="str">
        <f t="shared" si="100"/>
        <v/>
      </c>
      <c r="AP495" s="1702" t="str">
        <f t="shared" si="101"/>
        <v/>
      </c>
      <c r="AQ495" s="1702" t="str">
        <f>IF(TCATrigger="No","",IF(FourPercentTrigger="No","",IF($J$495="","",$J$495)))</f>
        <v/>
      </c>
      <c r="AR495" s="1702" t="str">
        <f>IF(TCATrigger="No","",IF(FourPercentTrigger="No","",IF($K$495="","",$K$495)))</f>
        <v/>
      </c>
      <c r="AS495" s="1702" t="str">
        <f>IF(TCATrigger="No","",IF(FourPercentTrigger="No","",IF($L$495="","",$L$495)))</f>
        <v/>
      </c>
      <c r="AT495" s="1702" t="str">
        <f>IF(TCATrigger="No","",IF(FourPercentTrigger="No","",IF($M$495="","",$M$495)))</f>
        <v/>
      </c>
      <c r="AU495" s="1702" t="str">
        <f>IF(TCATrigger="No","",IF(FourPercentTrigger="No","",IF($N$495="","",$N$495)))</f>
        <v/>
      </c>
      <c r="AV495" s="1702" t="str">
        <f>IF(TCATrigger="No","",IF(FourPercentTrigger="No","",IF($O$495="","",$O$495)))</f>
        <v/>
      </c>
      <c r="AW495" s="1702" t="str">
        <f>IF(TCATrigger="No","",IF(FourPercentTrigger="No","",IF($P$495="","",$P$495)))</f>
        <v/>
      </c>
      <c r="BQ495" s="1685"/>
      <c r="BW495" s="1702" t="s">
        <v>986</v>
      </c>
    </row>
    <row r="496" spans="1:75" ht="15">
      <c r="A496" s="1685"/>
      <c r="B496" s="1685"/>
      <c r="C496" s="1685"/>
      <c r="D496" s="1685"/>
      <c r="E496" s="1685"/>
      <c r="F496" s="1685"/>
      <c r="G496" s="1751" t="s">
        <v>1164</v>
      </c>
      <c r="H496" s="1701">
        <v>6530</v>
      </c>
      <c r="I496" s="1701" t="str">
        <f>IF(rng02_Expense_OpMaintExpenses_SecurityPayrollContract="","",rng02_Expense_OpMaintExpenses_SecurityPayrollContract)</f>
        <v/>
      </c>
      <c r="J496" s="1701">
        <v>0</v>
      </c>
      <c r="K496" s="1701"/>
      <c r="L496" s="1701">
        <v>0</v>
      </c>
      <c r="M496" s="1701">
        <v>0</v>
      </c>
      <c r="N496" s="1701">
        <v>0</v>
      </c>
      <c r="O496" s="1701">
        <v>0</v>
      </c>
      <c r="P496" s="1701">
        <v>0</v>
      </c>
      <c r="Q496" s="1685"/>
      <c r="R496" s="1685"/>
      <c r="S496" s="1685"/>
      <c r="T496" s="1685"/>
      <c r="U496" s="1685"/>
      <c r="V496" s="1685"/>
      <c r="W496" s="1685"/>
      <c r="X496" s="1685"/>
      <c r="Y496" s="1685"/>
      <c r="Z496" s="1685"/>
      <c r="AA496" s="1685"/>
      <c r="AB496" s="1685"/>
      <c r="AC496" s="1685"/>
      <c r="AD496" s="2069"/>
      <c r="AE496" s="2073"/>
      <c r="AF496" s="1685"/>
      <c r="AG496" s="1685"/>
      <c r="AM496" s="1702" t="s">
        <v>1164</v>
      </c>
      <c r="AN496" s="1702">
        <v>6530</v>
      </c>
      <c r="AO496" s="1702" t="str">
        <f t="shared" si="100"/>
        <v/>
      </c>
      <c r="AP496" s="1702" t="str">
        <f t="shared" si="101"/>
        <v/>
      </c>
      <c r="AQ496" s="1702" t="str">
        <f>IF(TCATrigger="No","",IF(FourPercentTrigger="No","",IF($J$496="","",$J$496)))</f>
        <v/>
      </c>
      <c r="AR496" s="1702" t="str">
        <f>IF(TCATrigger="No","",IF(FourPercentTrigger="No","",IF($K$496="","",$K$496)))</f>
        <v/>
      </c>
      <c r="AS496" s="1702" t="str">
        <f>IF(TCATrigger="No","",IF(FourPercentTrigger="No","",IF($L$496="","",$L$496)))</f>
        <v/>
      </c>
      <c r="AT496" s="1702" t="str">
        <f>IF(TCATrigger="No","",IF(FourPercentTrigger="No","",IF($M$496="","",$M$496)))</f>
        <v/>
      </c>
      <c r="AU496" s="1702" t="str">
        <f>IF(TCATrigger="No","",IF(FourPercentTrigger="No","",IF($N$496="","",$N$496)))</f>
        <v/>
      </c>
      <c r="AV496" s="1702" t="str">
        <f>IF(TCATrigger="No","",IF(FourPercentTrigger="No","",IF($O$496="","",$O$496)))</f>
        <v/>
      </c>
      <c r="AW496" s="1702" t="str">
        <f>IF(TCATrigger="No","",IF(FourPercentTrigger="No","",IF($P$496="","",$P$496)))</f>
        <v/>
      </c>
      <c r="BQ496" s="1685"/>
      <c r="BW496" s="1702" t="s">
        <v>1164</v>
      </c>
    </row>
    <row r="497" spans="1:75" ht="15">
      <c r="A497" s="1685"/>
      <c r="B497" s="1685"/>
      <c r="C497" s="1685"/>
      <c r="D497" s="1685"/>
      <c r="E497" s="1685"/>
      <c r="F497" s="1685"/>
      <c r="G497" s="1751" t="s">
        <v>1165</v>
      </c>
      <c r="H497" s="1701">
        <v>6535</v>
      </c>
      <c r="I497" s="1701" t="str">
        <f>IF(rng02_Expense_OpMaintExpenses_GroundsPayroll="","",rng02_Expense_OpMaintExpenses_GroundsPayroll)</f>
        <v/>
      </c>
      <c r="J497" s="1701">
        <v>0</v>
      </c>
      <c r="K497" s="1701"/>
      <c r="L497" s="1701">
        <v>0</v>
      </c>
      <c r="M497" s="1701">
        <v>0</v>
      </c>
      <c r="N497" s="1701">
        <v>0</v>
      </c>
      <c r="O497" s="1701">
        <v>0</v>
      </c>
      <c r="P497" s="1701">
        <v>0</v>
      </c>
      <c r="Q497" s="1685"/>
      <c r="R497" s="1685"/>
      <c r="S497" s="1685"/>
      <c r="T497" s="1685"/>
      <c r="U497" s="1685"/>
      <c r="V497" s="1685"/>
      <c r="W497" s="1685"/>
      <c r="X497" s="1685"/>
      <c r="Y497" s="1685"/>
      <c r="Z497" s="1685"/>
      <c r="AA497" s="1685"/>
      <c r="AB497" s="1685"/>
      <c r="AC497" s="1685"/>
      <c r="AD497" s="2069"/>
      <c r="AE497" s="2073"/>
      <c r="AF497" s="1685"/>
      <c r="AG497" s="1685"/>
      <c r="AM497" s="1702" t="s">
        <v>1165</v>
      </c>
      <c r="AN497" s="1702">
        <v>6535</v>
      </c>
      <c r="AO497" s="1702" t="str">
        <f t="shared" si="100"/>
        <v/>
      </c>
      <c r="AP497" s="1702" t="str">
        <f t="shared" si="101"/>
        <v/>
      </c>
      <c r="AQ497" s="1702" t="str">
        <f>IF(TCATrigger="No","",IF(FourPercentTrigger="No","",IF($J$497="","",$J$497)))</f>
        <v/>
      </c>
      <c r="AR497" s="1702" t="str">
        <f>IF(TCATrigger="No","",IF(FourPercentTrigger="No","",IF($K$497="","",$K$497)))</f>
        <v/>
      </c>
      <c r="AS497" s="1702" t="str">
        <f>IF(TCATrigger="No","",IF(FourPercentTrigger="No","",IF($L$497="","",$L$497)))</f>
        <v/>
      </c>
      <c r="AT497" s="1702" t="str">
        <f>IF(TCATrigger="No","",IF(FourPercentTrigger="No","",IF($M$497="","",$M$497)))</f>
        <v/>
      </c>
      <c r="AU497" s="1702" t="str">
        <f>IF(TCATrigger="No","",IF(FourPercentTrigger="No","",IF($N$497="","",$N$497)))</f>
        <v/>
      </c>
      <c r="AV497" s="1702" t="str">
        <f>IF(TCATrigger="No","",IF(FourPercentTrigger="No","",IF($O$497="","",$O$497)))</f>
        <v/>
      </c>
      <c r="AW497" s="1702" t="str">
        <f>IF(TCATrigger="No","",IF(FourPercentTrigger="No","",IF($P$497="","",$P$497)))</f>
        <v/>
      </c>
      <c r="BQ497" s="1685"/>
      <c r="BW497" s="1702" t="s">
        <v>1165</v>
      </c>
    </row>
    <row r="498" spans="1:75" ht="15">
      <c r="A498" s="1685"/>
      <c r="B498" s="1685"/>
      <c r="C498" s="1685"/>
      <c r="D498" s="1685"/>
      <c r="E498" s="1685"/>
      <c r="F498" s="1685"/>
      <c r="G498" s="1751" t="s">
        <v>1166</v>
      </c>
      <c r="H498" s="1701">
        <v>6536</v>
      </c>
      <c r="I498" s="1701" t="str">
        <f>IF(rng02_Expense_OpMaintExpenses_GroundsSupplies="","",rng02_Expense_OpMaintExpenses_GroundsSupplies)</f>
        <v/>
      </c>
      <c r="J498" s="1701">
        <v>0</v>
      </c>
      <c r="K498" s="1701"/>
      <c r="L498" s="1701">
        <v>0</v>
      </c>
      <c r="M498" s="1701">
        <v>0</v>
      </c>
      <c r="N498" s="1701">
        <v>0</v>
      </c>
      <c r="O498" s="1701">
        <v>0</v>
      </c>
      <c r="P498" s="1701">
        <v>0</v>
      </c>
      <c r="Q498" s="1685"/>
      <c r="R498" s="1685"/>
      <c r="S498" s="1685"/>
      <c r="T498" s="1685"/>
      <c r="U498" s="1685"/>
      <c r="V498" s="1685"/>
      <c r="W498" s="1685"/>
      <c r="X498" s="1685"/>
      <c r="Y498" s="1685"/>
      <c r="Z498" s="1685"/>
      <c r="AA498" s="1685"/>
      <c r="AB498" s="1685"/>
      <c r="AC498" s="1685"/>
      <c r="AD498" s="2069"/>
      <c r="AE498" s="2073"/>
      <c r="AF498" s="1685"/>
      <c r="AG498" s="1685"/>
      <c r="AM498" s="1702" t="s">
        <v>1166</v>
      </c>
      <c r="AN498" s="1702">
        <v>6536</v>
      </c>
      <c r="AO498" s="1702" t="str">
        <f t="shared" si="100"/>
        <v/>
      </c>
      <c r="AP498" s="1702" t="str">
        <f t="shared" si="101"/>
        <v/>
      </c>
      <c r="AQ498" s="1702" t="str">
        <f>IF(TCATrigger="No","",IF(FourPercentTrigger="No","",IF($J$498="","",$J$498)))</f>
        <v/>
      </c>
      <c r="AR498" s="1702" t="str">
        <f>IF(TCATrigger="No","",IF(FourPercentTrigger="No","",IF($K$498="","",$K$498)))</f>
        <v/>
      </c>
      <c r="AS498" s="1702" t="str">
        <f>IF(TCATrigger="No","",IF(FourPercentTrigger="No","",IF($L$498="","",$L$498)))</f>
        <v/>
      </c>
      <c r="AT498" s="1702" t="str">
        <f>IF(TCATrigger="No","",IF(FourPercentTrigger="No","",IF($M$498="","",$M$498)))</f>
        <v/>
      </c>
      <c r="AU498" s="1702" t="str">
        <f>IF(TCATrigger="No","",IF(FourPercentTrigger="No","",IF($N$498="","",$N$498)))</f>
        <v/>
      </c>
      <c r="AV498" s="1702" t="str">
        <f>IF(TCATrigger="No","",IF(FourPercentTrigger="No","",IF($O$498="","",$O$498)))</f>
        <v/>
      </c>
      <c r="AW498" s="1702" t="str">
        <f>IF(TCATrigger="No","",IF(FourPercentTrigger="No","",IF($P$498="","",$P$498)))</f>
        <v/>
      </c>
      <c r="BQ498" s="1685"/>
      <c r="BW498" s="1702" t="s">
        <v>1166</v>
      </c>
    </row>
    <row r="499" spans="1:75" ht="15">
      <c r="A499" s="1685"/>
      <c r="B499" s="1685"/>
      <c r="C499" s="1685"/>
      <c r="D499" s="1685"/>
      <c r="E499" s="1685"/>
      <c r="F499" s="1685"/>
      <c r="G499" s="1751" t="s">
        <v>1167</v>
      </c>
      <c r="H499" s="1701">
        <v>6537</v>
      </c>
      <c r="I499" s="1701" t="str">
        <f>IF(rng02_Expense_OpMaintExpenses_GroundsContracts="","",rng02_Expense_OpMaintExpenses_GroundsContracts)</f>
        <v/>
      </c>
      <c r="J499" s="1701">
        <v>0</v>
      </c>
      <c r="K499" s="1701"/>
      <c r="L499" s="1701">
        <v>0</v>
      </c>
      <c r="M499" s="1701">
        <v>0</v>
      </c>
      <c r="N499" s="1701">
        <v>0</v>
      </c>
      <c r="O499" s="1701">
        <v>0</v>
      </c>
      <c r="P499" s="1701">
        <v>0</v>
      </c>
      <c r="Q499" s="1685"/>
      <c r="R499" s="1685"/>
      <c r="S499" s="1685"/>
      <c r="T499" s="1685"/>
      <c r="U499" s="1685"/>
      <c r="V499" s="1685"/>
      <c r="W499" s="1685"/>
      <c r="X499" s="1685"/>
      <c r="Y499" s="1685"/>
      <c r="Z499" s="1685"/>
      <c r="AA499" s="1685"/>
      <c r="AB499" s="1685"/>
      <c r="AC499" s="1685"/>
      <c r="AD499" s="2069"/>
      <c r="AE499" s="2073"/>
      <c r="AF499" s="1685"/>
      <c r="AG499" s="1685"/>
      <c r="AM499" s="1702" t="s">
        <v>1167</v>
      </c>
      <c r="AN499" s="1702">
        <v>6537</v>
      </c>
      <c r="AO499" s="1702" t="str">
        <f t="shared" si="100"/>
        <v/>
      </c>
      <c r="AP499" s="1702" t="str">
        <f t="shared" si="101"/>
        <v/>
      </c>
      <c r="AQ499" s="1702" t="str">
        <f>IF(TCATrigger="No","",IF(FourPercentTrigger="No","",IF($J$499="","",$J$499)))</f>
        <v/>
      </c>
      <c r="AR499" s="1702" t="str">
        <f>IF(TCATrigger="No","",IF(FourPercentTrigger="No","",IF($K$499="","",$K$499)))</f>
        <v/>
      </c>
      <c r="AS499" s="1702" t="str">
        <f>IF(TCATrigger="No","",IF(FourPercentTrigger="No","",IF($L$499="","",$L$499)))</f>
        <v/>
      </c>
      <c r="AT499" s="1702" t="str">
        <f>IF(TCATrigger="No","",IF(FourPercentTrigger="No","",IF($M$499="","",$M$499)))</f>
        <v/>
      </c>
      <c r="AU499" s="1702" t="str">
        <f>IF(TCATrigger="No","",IF(FourPercentTrigger="No","",IF($N$499="","",$N$499)))</f>
        <v/>
      </c>
      <c r="AV499" s="1702" t="str">
        <f>IF(TCATrigger="No","",IF(FourPercentTrigger="No","",IF($O$499="","",$O$499)))</f>
        <v/>
      </c>
      <c r="AW499" s="1702" t="str">
        <f>IF(TCATrigger="No","",IF(FourPercentTrigger="No","",IF($P$499="","",$P$499)))</f>
        <v/>
      </c>
      <c r="BQ499" s="1685"/>
      <c r="BW499" s="1702" t="s">
        <v>1167</v>
      </c>
    </row>
    <row r="500" spans="1:75" ht="15">
      <c r="A500" s="1685"/>
      <c r="B500" s="1685"/>
      <c r="C500" s="1685"/>
      <c r="D500" s="1685"/>
      <c r="E500" s="1685"/>
      <c r="F500" s="1685"/>
      <c r="G500" s="1751" t="s">
        <v>1168</v>
      </c>
      <c r="H500" s="1701">
        <v>6540</v>
      </c>
      <c r="I500" s="1701" t="str">
        <f>IF(rng02_Expense_OpMaintExpenses_RepairsPayroll="","",rng02_Expense_OpMaintExpenses_RepairsPayroll)</f>
        <v/>
      </c>
      <c r="J500" s="1701">
        <v>0</v>
      </c>
      <c r="K500" s="1701"/>
      <c r="L500" s="1701">
        <v>0</v>
      </c>
      <c r="M500" s="1701">
        <v>0</v>
      </c>
      <c r="N500" s="1701">
        <v>0</v>
      </c>
      <c r="O500" s="1701">
        <v>0</v>
      </c>
      <c r="P500" s="1701">
        <v>0</v>
      </c>
      <c r="Q500" s="1685"/>
      <c r="R500" s="1685"/>
      <c r="S500" s="1685"/>
      <c r="T500" s="1685"/>
      <c r="U500" s="1685"/>
      <c r="V500" s="1685"/>
      <c r="W500" s="1685"/>
      <c r="X500" s="1685"/>
      <c r="Y500" s="1685"/>
      <c r="Z500" s="1685"/>
      <c r="AA500" s="1685"/>
      <c r="AB500" s="1685"/>
      <c r="AC500" s="1685"/>
      <c r="AD500" s="2069"/>
      <c r="AE500" s="2073"/>
      <c r="AF500" s="1685"/>
      <c r="AG500" s="1685"/>
      <c r="AM500" s="1702" t="s">
        <v>1168</v>
      </c>
      <c r="AN500" s="1702">
        <v>6540</v>
      </c>
      <c r="AO500" s="1702" t="str">
        <f t="shared" si="100"/>
        <v/>
      </c>
      <c r="AP500" s="1702" t="str">
        <f t="shared" si="101"/>
        <v/>
      </c>
      <c r="AQ500" s="1702" t="str">
        <f>IF(TCATrigger="No","",IF(FourPercentTrigger="No","",IF($J$500="","",$J$500)))</f>
        <v/>
      </c>
      <c r="AR500" s="1702" t="str">
        <f>IF(TCATrigger="No","",IF(FourPercentTrigger="No","",IF($K$500="","",$K$500)))</f>
        <v/>
      </c>
      <c r="AS500" s="1702" t="str">
        <f>IF(TCATrigger="No","",IF(FourPercentTrigger="No","",IF($L$500="","",$L$500)))</f>
        <v/>
      </c>
      <c r="AT500" s="1702" t="str">
        <f>IF(TCATrigger="No","",IF(FourPercentTrigger="No","",IF($M$500="","",$M$500)))</f>
        <v/>
      </c>
      <c r="AU500" s="1702" t="str">
        <f>IF(TCATrigger="No","",IF(FourPercentTrigger="No","",IF($N$500="","",$N$500)))</f>
        <v/>
      </c>
      <c r="AV500" s="1702" t="str">
        <f>IF(TCATrigger="No","",IF(FourPercentTrigger="No","",IF($O$500="","",$O$500)))</f>
        <v/>
      </c>
      <c r="AW500" s="1702" t="str">
        <f>IF(TCATrigger="No","",IF(FourPercentTrigger="No","",IF($P$500="","",$P$500)))</f>
        <v/>
      </c>
      <c r="BQ500" s="1685"/>
      <c r="BW500" s="1702" t="s">
        <v>1168</v>
      </c>
    </row>
    <row r="501" spans="1:75" ht="15">
      <c r="A501" s="1685"/>
      <c r="B501" s="1685"/>
      <c r="C501" s="1685"/>
      <c r="D501" s="1685"/>
      <c r="E501" s="1685"/>
      <c r="F501" s="1685"/>
      <c r="G501" s="1751" t="s">
        <v>1169</v>
      </c>
      <c r="H501" s="1701">
        <v>6541</v>
      </c>
      <c r="I501" s="1701" t="str">
        <f>IF(rng02_Expense_OpMaintExpenses_RepairsSupplies="","",rng02_Expense_OpMaintExpenses_RepairsSupplies)</f>
        <v/>
      </c>
      <c r="J501" s="1701">
        <v>0</v>
      </c>
      <c r="K501" s="1701"/>
      <c r="L501" s="1701">
        <v>0</v>
      </c>
      <c r="M501" s="1701">
        <v>0</v>
      </c>
      <c r="N501" s="1701">
        <v>0</v>
      </c>
      <c r="O501" s="1701">
        <v>0</v>
      </c>
      <c r="P501" s="1701">
        <v>0</v>
      </c>
      <c r="Q501" s="1685"/>
      <c r="R501" s="1685"/>
      <c r="S501" s="1685"/>
      <c r="T501" s="1685"/>
      <c r="U501" s="1685"/>
      <c r="V501" s="1685"/>
      <c r="W501" s="1685"/>
      <c r="X501" s="1685"/>
      <c r="Y501" s="1685"/>
      <c r="Z501" s="1685"/>
      <c r="AA501" s="1685"/>
      <c r="AB501" s="1685"/>
      <c r="AC501" s="1685"/>
      <c r="AD501" s="2069"/>
      <c r="AE501" s="2073"/>
      <c r="AF501" s="1685"/>
      <c r="AG501" s="1685"/>
      <c r="AM501" s="1759" t="s">
        <v>1169</v>
      </c>
      <c r="AN501" s="1702">
        <v>6541</v>
      </c>
      <c r="AO501" s="1702" t="str">
        <f t="shared" si="100"/>
        <v/>
      </c>
      <c r="AP501" s="1759" t="str">
        <f>IF(OR(TCATrigger="No",SUM(AO501,AO512)=0),"",SUM(AO501,AO512))</f>
        <v/>
      </c>
      <c r="AQ501" s="1702" t="str">
        <f>IF(TCATrigger="No","",IF(FourPercentTrigger="No","",IF($J$501="","",$J$501)))</f>
        <v/>
      </c>
      <c r="AR501" s="1702" t="str">
        <f>IF(TCATrigger="No","",IF(FourPercentTrigger="No","",IF($K$501="","",$K$501)))</f>
        <v/>
      </c>
      <c r="AS501" s="1702" t="str">
        <f>IF(TCATrigger="No","",IF(FourPercentTrigger="No","",IF($L$501="","",$L$501)))</f>
        <v/>
      </c>
      <c r="AT501" s="1702" t="str">
        <f>IF(TCATrigger="No","",IF(FourPercentTrigger="No","",IF($M$501="","",$M$501)))</f>
        <v/>
      </c>
      <c r="AU501" s="1702" t="str">
        <f>IF(TCATrigger="No","",IF(FourPercentTrigger="No","",IF($N$501="","",$N$501)))</f>
        <v/>
      </c>
      <c r="AV501" s="1702" t="str">
        <f>IF(TCATrigger="No","",IF(FourPercentTrigger="No","",IF($O$501="","",$O$501)))</f>
        <v/>
      </c>
      <c r="AW501" s="1702" t="str">
        <f>IF(TCATrigger="No","",IF(FourPercentTrigger="No","",IF($P$501="","",$P$501)))</f>
        <v/>
      </c>
      <c r="BQ501" s="1685"/>
      <c r="BW501" s="1759" t="s">
        <v>1169</v>
      </c>
    </row>
    <row r="502" spans="1:75" ht="15">
      <c r="A502" s="1685"/>
      <c r="B502" s="1685"/>
      <c r="C502" s="1685"/>
      <c r="D502" s="1685"/>
      <c r="E502" s="1685"/>
      <c r="F502" s="1685"/>
      <c r="G502" s="1751" t="s">
        <v>1170</v>
      </c>
      <c r="H502" s="1701">
        <v>6542</v>
      </c>
      <c r="I502" s="1701" t="str">
        <f>IF(rng02_Expense_OpMaintExpenses_RepairsContracts="","",rng02_Expense_OpMaintExpenses_RepairsContracts)</f>
        <v/>
      </c>
      <c r="J502" s="1701">
        <v>0</v>
      </c>
      <c r="K502" s="1701"/>
      <c r="L502" s="1701">
        <v>0</v>
      </c>
      <c r="M502" s="1701">
        <v>0</v>
      </c>
      <c r="N502" s="1701">
        <v>0</v>
      </c>
      <c r="O502" s="1701">
        <v>0</v>
      </c>
      <c r="P502" s="1701">
        <v>0</v>
      </c>
      <c r="Q502" s="1685"/>
      <c r="R502" s="1685"/>
      <c r="S502" s="1685"/>
      <c r="T502" s="1685"/>
      <c r="U502" s="1685"/>
      <c r="V502" s="1685"/>
      <c r="W502" s="1685"/>
      <c r="X502" s="1685"/>
      <c r="Y502" s="1685"/>
      <c r="Z502" s="1685"/>
      <c r="AA502" s="1685"/>
      <c r="AB502" s="1685"/>
      <c r="AC502" s="1685"/>
      <c r="AD502" s="2069"/>
      <c r="AE502" s="2073"/>
      <c r="AF502" s="1685"/>
      <c r="AG502" s="1685"/>
      <c r="AM502" s="1702" t="s">
        <v>1170</v>
      </c>
      <c r="AN502" s="1702">
        <v>6542</v>
      </c>
      <c r="AO502" s="1702" t="str">
        <f t="shared" si="100"/>
        <v/>
      </c>
      <c r="AP502" s="1702" t="str">
        <f t="shared" si="101"/>
        <v/>
      </c>
      <c r="AQ502" s="1702" t="str">
        <f>IF(TCATrigger="No","",IF(FourPercentTrigger="No","",IF($J$502="","",$J$502)))</f>
        <v/>
      </c>
      <c r="AR502" s="1702" t="str">
        <f>IF(TCATrigger="No","",IF(FourPercentTrigger="No","",IF($K$502="","",$K$502)))</f>
        <v/>
      </c>
      <c r="AS502" s="1702" t="str">
        <f>IF(TCATrigger="No","",IF(FourPercentTrigger="No","",IF($L$502="","",$L$502)))</f>
        <v/>
      </c>
      <c r="AT502" s="1702" t="str">
        <f>IF(TCATrigger="No","",IF(FourPercentTrigger="No","",IF($M$502="","",$M$502)))</f>
        <v/>
      </c>
      <c r="AU502" s="1702" t="str">
        <f>IF(TCATrigger="No","",IF(FourPercentTrigger="No","",IF($N$502="","",$N$502)))</f>
        <v/>
      </c>
      <c r="AV502" s="1702" t="str">
        <f>IF(TCATrigger="No","",IF(FourPercentTrigger="No","",IF($O$502="","",$O$502)))</f>
        <v/>
      </c>
      <c r="AW502" s="1702" t="str">
        <f>IF(TCATrigger="No","",IF(FourPercentTrigger="No","",IF($P$502="","",$P$502)))</f>
        <v/>
      </c>
      <c r="BQ502" s="1685"/>
      <c r="BW502" s="1702" t="s">
        <v>1170</v>
      </c>
    </row>
    <row r="503" spans="1:75" ht="15">
      <c r="A503" s="1685"/>
      <c r="B503" s="1685"/>
      <c r="C503" s="1685"/>
      <c r="D503" s="1685"/>
      <c r="E503" s="1685"/>
      <c r="F503" s="1685"/>
      <c r="G503" s="1751" t="s">
        <v>1171</v>
      </c>
      <c r="H503" s="1701">
        <v>6543</v>
      </c>
      <c r="I503" s="1701" t="str">
        <f>IF(rng02_Expense_OpMaintExpenses_PlumbingMaint="","",rng02_Expense_OpMaintExpenses_PlumbingMaint)</f>
        <v/>
      </c>
      <c r="J503" s="1701">
        <v>0</v>
      </c>
      <c r="K503" s="1701"/>
      <c r="L503" s="1701">
        <v>0</v>
      </c>
      <c r="M503" s="1701">
        <v>0</v>
      </c>
      <c r="N503" s="1701">
        <v>0</v>
      </c>
      <c r="O503" s="1701">
        <v>0</v>
      </c>
      <c r="P503" s="1701">
        <v>0</v>
      </c>
      <c r="Q503" s="1685"/>
      <c r="R503" s="1685"/>
      <c r="S503" s="1685"/>
      <c r="T503" s="1685"/>
      <c r="U503" s="1685"/>
      <c r="V503" s="1685"/>
      <c r="W503" s="1685"/>
      <c r="X503" s="1685"/>
      <c r="Y503" s="1685"/>
      <c r="Z503" s="1685"/>
      <c r="AA503" s="1685"/>
      <c r="AB503" s="1685"/>
      <c r="AC503" s="1685"/>
      <c r="AD503" s="2069"/>
      <c r="AE503" s="2073"/>
      <c r="AF503" s="1685"/>
      <c r="AG503" s="1685"/>
      <c r="AM503" s="1758" t="s">
        <v>1171</v>
      </c>
      <c r="AN503" s="1702">
        <v>6543</v>
      </c>
      <c r="AO503" s="1702" t="str">
        <f t="shared" si="100"/>
        <v/>
      </c>
      <c r="AP503" s="1758"/>
      <c r="AQ503" s="1702" t="str">
        <f>IF(TCATrigger="No","",IF(FourPercentTrigger="No","",IF($J$503="","",$J$503)))</f>
        <v/>
      </c>
      <c r="AR503" s="1702" t="str">
        <f>IF(TCATrigger="No","",IF(FourPercentTrigger="No","",IF($K$503="","",$K$503)))</f>
        <v/>
      </c>
      <c r="AS503" s="1702" t="str">
        <f>IF(TCATrigger="No","",IF(FourPercentTrigger="No","",IF($L$503="","",$L$503)))</f>
        <v/>
      </c>
      <c r="AT503" s="1702" t="str">
        <f>IF(TCATrigger="No","",IF(FourPercentTrigger="No","",IF($M$503="","",$M$503)))</f>
        <v/>
      </c>
      <c r="AU503" s="1702" t="str">
        <f>IF(TCATrigger="No","",IF(FourPercentTrigger="No","",IF($N$503="","",$N$503)))</f>
        <v/>
      </c>
      <c r="AV503" s="1702" t="str">
        <f>IF(TCATrigger="No","",IF(FourPercentTrigger="No","",IF($O$503="","",$O$503)))</f>
        <v/>
      </c>
      <c r="AW503" s="1702" t="str">
        <f>IF(TCATrigger="No","",IF(FourPercentTrigger="No","",IF($P$503="","",$P$503)))</f>
        <v/>
      </c>
      <c r="BQ503" s="1685"/>
      <c r="BW503" s="1758" t="s">
        <v>1171</v>
      </c>
    </row>
    <row r="504" spans="1:75" ht="15">
      <c r="A504" s="1685"/>
      <c r="B504" s="1685"/>
      <c r="C504" s="1685"/>
      <c r="D504" s="1685"/>
      <c r="E504" s="1685"/>
      <c r="F504" s="1685"/>
      <c r="G504" s="1751" t="s">
        <v>1172</v>
      </c>
      <c r="H504" s="1701">
        <v>6544</v>
      </c>
      <c r="I504" s="1701" t="str">
        <f>IF(rng02_Expense_OpMaintExpenses_ElectricalMaint="","",rng02_Expense_OpMaintExpenses_ElectricalMaint)</f>
        <v/>
      </c>
      <c r="J504" s="1701">
        <v>0</v>
      </c>
      <c r="K504" s="1701"/>
      <c r="L504" s="1701">
        <v>0</v>
      </c>
      <c r="M504" s="1701">
        <v>0</v>
      </c>
      <c r="N504" s="1701">
        <v>0</v>
      </c>
      <c r="O504" s="1701">
        <v>0</v>
      </c>
      <c r="P504" s="1701">
        <v>0</v>
      </c>
      <c r="Q504" s="1685"/>
      <c r="R504" s="1685"/>
      <c r="S504" s="1685"/>
      <c r="T504" s="1685"/>
      <c r="U504" s="1685"/>
      <c r="V504" s="1685"/>
      <c r="W504" s="1685"/>
      <c r="X504" s="1685"/>
      <c r="Y504" s="1685"/>
      <c r="Z504" s="1685"/>
      <c r="AA504" s="1685"/>
      <c r="AB504" s="1685"/>
      <c r="AC504" s="1685"/>
      <c r="AD504" s="2069"/>
      <c r="AE504" s="2073"/>
      <c r="AF504" s="1685"/>
      <c r="AG504" s="1685"/>
      <c r="AM504" s="1758" t="s">
        <v>1172</v>
      </c>
      <c r="AN504" s="1702">
        <v>6544</v>
      </c>
      <c r="AO504" s="1702" t="str">
        <f t="shared" si="100"/>
        <v/>
      </c>
      <c r="AP504" s="1758"/>
      <c r="AQ504" s="1702" t="str">
        <f>IF(TCATrigger="No","",IF(FourPercentTrigger="No","",IF($J$504="","",$J$504)))</f>
        <v/>
      </c>
      <c r="AR504" s="1702" t="str">
        <f>IF(TCATrigger="No","",IF(FourPercentTrigger="No","",IF($K$504="","",$K$504)))</f>
        <v/>
      </c>
      <c r="AS504" s="1702" t="str">
        <f>IF(TCATrigger="No","",IF(FourPercentTrigger="No","",IF($L$504="","",$L$504)))</f>
        <v/>
      </c>
      <c r="AT504" s="1702" t="str">
        <f>IF(TCATrigger="No","",IF(FourPercentTrigger="No","",IF($M$504="","",$M$504)))</f>
        <v/>
      </c>
      <c r="AU504" s="1702" t="str">
        <f>IF(TCATrigger="No","",IF(FourPercentTrigger="No","",IF($N$504="","",$N$504)))</f>
        <v/>
      </c>
      <c r="AV504" s="1702" t="str">
        <f>IF(TCATrigger="No","",IF(FourPercentTrigger="No","",IF($O$504="","",$O$504)))</f>
        <v/>
      </c>
      <c r="AW504" s="1702" t="str">
        <f>IF(TCATrigger="No","",IF(FourPercentTrigger="No","",IF($P$504="","",$P$504)))</f>
        <v/>
      </c>
      <c r="BQ504" s="1685"/>
      <c r="BW504" s="1758" t="s">
        <v>1172</v>
      </c>
    </row>
    <row r="505" spans="1:75" ht="15">
      <c r="A505" s="1685"/>
      <c r="B505" s="1685"/>
      <c r="C505" s="1685"/>
      <c r="D505" s="1685"/>
      <c r="E505" s="1685"/>
      <c r="F505" s="1685"/>
      <c r="G505" s="1751" t="s">
        <v>1173</v>
      </c>
      <c r="H505" s="1701">
        <v>6545</v>
      </c>
      <c r="I505" s="1701" t="str">
        <f>IF(rng02_Expense_OpMaintExpenses_ElevatorMaint="","",rng02_Expense_OpMaintExpenses_ElevatorMaint)</f>
        <v/>
      </c>
      <c r="J505" s="1701">
        <v>0</v>
      </c>
      <c r="K505" s="1701"/>
      <c r="L505" s="1701">
        <v>0</v>
      </c>
      <c r="M505" s="1701">
        <v>0</v>
      </c>
      <c r="N505" s="1701">
        <v>0</v>
      </c>
      <c r="O505" s="1701">
        <v>0</v>
      </c>
      <c r="P505" s="1701">
        <v>0</v>
      </c>
      <c r="Q505" s="1685"/>
      <c r="R505" s="1685"/>
      <c r="S505" s="1685"/>
      <c r="T505" s="1685"/>
      <c r="U505" s="1685"/>
      <c r="V505" s="1685"/>
      <c r="W505" s="1685"/>
      <c r="X505" s="1685"/>
      <c r="Y505" s="1685"/>
      <c r="Z505" s="1685"/>
      <c r="AA505" s="1685"/>
      <c r="AB505" s="1685"/>
      <c r="AC505" s="1685"/>
      <c r="AD505" s="2069"/>
      <c r="AE505" s="2073"/>
      <c r="AF505" s="1685"/>
      <c r="AG505" s="1685"/>
      <c r="AM505" s="1702" t="s">
        <v>1173</v>
      </c>
      <c r="AN505" s="1702">
        <v>6545</v>
      </c>
      <c r="AO505" s="1702" t="str">
        <f t="shared" si="100"/>
        <v/>
      </c>
      <c r="AP505" s="1702" t="str">
        <f t="shared" si="101"/>
        <v/>
      </c>
      <c r="AQ505" s="1702" t="str">
        <f>IF(TCATrigger="No","",IF(FourPercentTrigger="No","",IF($J$505="","",$J$505)))</f>
        <v/>
      </c>
      <c r="AR505" s="1702" t="str">
        <f>IF(TCATrigger="No","",IF(FourPercentTrigger="No","",IF($K$505="","",$K$505)))</f>
        <v/>
      </c>
      <c r="AS505" s="1702" t="str">
        <f>IF(TCATrigger="No","",IF(FourPercentTrigger="No","",IF($L$505="","",$L$505)))</f>
        <v/>
      </c>
      <c r="AT505" s="1702" t="str">
        <f>IF(TCATrigger="No","",IF(FourPercentTrigger="No","",IF($M$505="","",$M$505)))</f>
        <v/>
      </c>
      <c r="AU505" s="1702" t="str">
        <f>IF(TCATrigger="No","",IF(FourPercentTrigger="No","",IF($N$505="","",$N$505)))</f>
        <v/>
      </c>
      <c r="AV505" s="1702" t="str">
        <f>IF(TCATrigger="No","",IF(FourPercentTrigger="No","",IF($O$505="","",$O$505)))</f>
        <v/>
      </c>
      <c r="AW505" s="1702" t="str">
        <f>IF(TCATrigger="No","",IF(FourPercentTrigger="No","",IF($P$505="","",$P$505)))</f>
        <v/>
      </c>
      <c r="BQ505" s="1685"/>
      <c r="BW505" s="1702" t="s">
        <v>1173</v>
      </c>
    </row>
    <row r="506" spans="1:75" ht="15">
      <c r="A506" s="1685"/>
      <c r="B506" s="1685"/>
      <c r="C506" s="1685"/>
      <c r="D506" s="1685"/>
      <c r="E506" s="1685"/>
      <c r="F506" s="1685"/>
      <c r="G506" s="1751" t="s">
        <v>1174</v>
      </c>
      <c r="H506" s="1701">
        <v>6546</v>
      </c>
      <c r="I506" s="1701" t="str">
        <f>IF(rng02_Expense_OpMaintExpenses_HVACMaint="","",rng02_Expense_OpMaintExpenses_HVACMaint)</f>
        <v/>
      </c>
      <c r="J506" s="1701">
        <v>0</v>
      </c>
      <c r="K506" s="1701"/>
      <c r="L506" s="1701">
        <v>0</v>
      </c>
      <c r="M506" s="1701">
        <v>0</v>
      </c>
      <c r="N506" s="1701">
        <v>0</v>
      </c>
      <c r="O506" s="1701">
        <v>0</v>
      </c>
      <c r="P506" s="1701">
        <v>0</v>
      </c>
      <c r="Q506" s="1685"/>
      <c r="R506" s="1685"/>
      <c r="S506" s="1685"/>
      <c r="T506" s="1685"/>
      <c r="U506" s="1685"/>
      <c r="V506" s="1685"/>
      <c r="W506" s="1685"/>
      <c r="X506" s="1685"/>
      <c r="Y506" s="1685"/>
      <c r="Z506" s="1685"/>
      <c r="AA506" s="1685"/>
      <c r="AB506" s="1685"/>
      <c r="AC506" s="1685"/>
      <c r="AD506" s="2069"/>
      <c r="AE506" s="2073"/>
      <c r="AF506" s="1685"/>
      <c r="AG506" s="1685"/>
      <c r="AM506" s="1702" t="s">
        <v>1174</v>
      </c>
      <c r="AN506" s="1702">
        <v>6546</v>
      </c>
      <c r="AO506" s="1702" t="str">
        <f t="shared" si="100"/>
        <v/>
      </c>
      <c r="AP506" s="1702" t="str">
        <f t="shared" si="101"/>
        <v/>
      </c>
      <c r="AQ506" s="1702" t="str">
        <f>IF(TCATrigger="No","",IF(FourPercentTrigger="No","",IF($J$506="","",$J$506)))</f>
        <v/>
      </c>
      <c r="AR506" s="1702" t="str">
        <f>IF(TCATrigger="No","",IF(FourPercentTrigger="No","",IF($K$506="","",$K$506)))</f>
        <v/>
      </c>
      <c r="AS506" s="1702" t="str">
        <f>IF(TCATrigger="No","",IF(FourPercentTrigger="No","",IF($L$506="","",$L$506)))</f>
        <v/>
      </c>
      <c r="AT506" s="1702" t="str">
        <f>IF(TCATrigger="No","",IF(FourPercentTrigger="No","",IF($M$506="","",$M$506)))</f>
        <v/>
      </c>
      <c r="AU506" s="1702" t="str">
        <f>IF(TCATrigger="No","",IF(FourPercentTrigger="No","",IF($N$506="","",$N$506)))</f>
        <v/>
      </c>
      <c r="AV506" s="1702" t="str">
        <f>IF(TCATrigger="No","",IF(FourPercentTrigger="No","",IF($O$506="","",$O$506)))</f>
        <v/>
      </c>
      <c r="AW506" s="1702" t="str">
        <f>IF(TCATrigger="No","",IF(FourPercentTrigger="No","",IF($P$506="","",$P$506)))</f>
        <v/>
      </c>
      <c r="BQ506" s="1685"/>
      <c r="BW506" s="1702" t="s">
        <v>1174</v>
      </c>
    </row>
    <row r="507" spans="1:75" ht="15">
      <c r="A507" s="1685"/>
      <c r="B507" s="1685"/>
      <c r="C507" s="1685"/>
      <c r="D507" s="1685"/>
      <c r="E507" s="1685"/>
      <c r="F507" s="1685"/>
      <c r="G507" s="1751" t="s">
        <v>1175</v>
      </c>
      <c r="H507" s="1701">
        <v>6547</v>
      </c>
      <c r="I507" s="1701" t="str">
        <f>IF(rng02_Expense_OpMaintExpenses_REAC="","",rng02_Expense_OpMaintExpenses_REAC)</f>
        <v/>
      </c>
      <c r="J507" s="1701">
        <v>0</v>
      </c>
      <c r="K507" s="1701"/>
      <c r="L507" s="1701">
        <v>0</v>
      </c>
      <c r="M507" s="1701">
        <v>0</v>
      </c>
      <c r="N507" s="1701">
        <v>0</v>
      </c>
      <c r="O507" s="1701">
        <v>0</v>
      </c>
      <c r="P507" s="1701">
        <v>0</v>
      </c>
      <c r="Q507" s="1685"/>
      <c r="R507" s="1685"/>
      <c r="S507" s="1685"/>
      <c r="T507" s="1685"/>
      <c r="U507" s="1685"/>
      <c r="V507" s="1685"/>
      <c r="W507" s="1685"/>
      <c r="X507" s="1685"/>
      <c r="Y507" s="1685"/>
      <c r="Z507" s="1685"/>
      <c r="AA507" s="1685"/>
      <c r="AB507" s="1685"/>
      <c r="AC507" s="1685"/>
      <c r="AD507" s="2069"/>
      <c r="AE507" s="2073"/>
      <c r="AF507" s="1685"/>
      <c r="AG507" s="1685"/>
      <c r="AM507" s="1758" t="s">
        <v>1175</v>
      </c>
      <c r="AN507" s="1702">
        <v>6547</v>
      </c>
      <c r="AO507" s="1702" t="str">
        <f t="shared" si="100"/>
        <v/>
      </c>
      <c r="AP507" s="1758"/>
      <c r="AQ507" s="1702" t="str">
        <f>IF(TCATrigger="No","",IF(FourPercentTrigger="No","",IF($J$507="","",$J$507)))</f>
        <v/>
      </c>
      <c r="AR507" s="1702" t="str">
        <f>IF(TCATrigger="No","",IF(FourPercentTrigger="No","",IF($K$507="","",$K$507)))</f>
        <v/>
      </c>
      <c r="AS507" s="1702" t="str">
        <f>IF(TCATrigger="No","",IF(FourPercentTrigger="No","",IF($L$507="","",$L$507)))</f>
        <v/>
      </c>
      <c r="AT507" s="1702" t="str">
        <f>IF(TCATrigger="No","",IF(FourPercentTrigger="No","",IF($M$507="","",$M$507)))</f>
        <v/>
      </c>
      <c r="AU507" s="1702" t="str">
        <f>IF(TCATrigger="No","",IF(FourPercentTrigger="No","",IF($N$507="","",$N$507)))</f>
        <v/>
      </c>
      <c r="AV507" s="1702" t="str">
        <f>IF(TCATrigger="No","",IF(FourPercentTrigger="No","",IF($O$507="","",$O$507)))</f>
        <v/>
      </c>
      <c r="AW507" s="1702" t="str">
        <f>IF(TCATrigger="No","",IF(FourPercentTrigger="No","",IF($P$507="","",$P$507)))</f>
        <v/>
      </c>
      <c r="BQ507" s="1685"/>
      <c r="BW507" s="1758" t="s">
        <v>1175</v>
      </c>
    </row>
    <row r="508" spans="1:75" ht="15">
      <c r="A508" s="1685"/>
      <c r="B508" s="1685"/>
      <c r="C508" s="1685"/>
      <c r="D508" s="1685"/>
      <c r="E508" s="1685"/>
      <c r="F508" s="1685"/>
      <c r="G508" s="1751" t="s">
        <v>1176</v>
      </c>
      <c r="H508" s="1701">
        <v>6548</v>
      </c>
      <c r="I508" s="1701" t="str">
        <f>IF(rng02_Expense_OpMaintExpenses_SnowRemoval="","",rng02_Expense_OpMaintExpenses_SnowRemoval)</f>
        <v/>
      </c>
      <c r="J508" s="1701">
        <v>0</v>
      </c>
      <c r="K508" s="1701"/>
      <c r="L508" s="1701">
        <v>0</v>
      </c>
      <c r="M508" s="1701">
        <v>0</v>
      </c>
      <c r="N508" s="1701">
        <v>0</v>
      </c>
      <c r="O508" s="1701">
        <v>0</v>
      </c>
      <c r="P508" s="1701">
        <v>0</v>
      </c>
      <c r="Q508" s="1685"/>
      <c r="R508" s="1685"/>
      <c r="S508" s="1685"/>
      <c r="T508" s="1685"/>
      <c r="U508" s="1685"/>
      <c r="V508" s="1685"/>
      <c r="W508" s="1685"/>
      <c r="X508" s="1685"/>
      <c r="Y508" s="1685"/>
      <c r="Z508" s="1685"/>
      <c r="AA508" s="1685"/>
      <c r="AB508" s="1685"/>
      <c r="AC508" s="1685"/>
      <c r="AD508" s="2069"/>
      <c r="AE508" s="2073"/>
      <c r="AF508" s="1685"/>
      <c r="AG508" s="1685"/>
      <c r="AM508" s="1702" t="s">
        <v>1176</v>
      </c>
      <c r="AN508" s="1702">
        <v>6548</v>
      </c>
      <c r="AO508" s="1702" t="str">
        <f t="shared" si="100"/>
        <v/>
      </c>
      <c r="AP508" s="1702" t="str">
        <f t="shared" si="101"/>
        <v/>
      </c>
      <c r="AQ508" s="1702" t="str">
        <f>IF(TCATrigger="No","",IF(FourPercentTrigger="No","",IF($J$508="","",$J$508)))</f>
        <v/>
      </c>
      <c r="AR508" s="1702" t="str">
        <f>IF(TCATrigger="No","",IF(FourPercentTrigger="No","",IF($K$508="","",$K$508)))</f>
        <v/>
      </c>
      <c r="AS508" s="1702" t="str">
        <f>IF(TCATrigger="No","",IF(FourPercentTrigger="No","",IF($L$508="","",$L$508)))</f>
        <v/>
      </c>
      <c r="AT508" s="1702" t="str">
        <f>IF(TCATrigger="No","",IF(FourPercentTrigger="No","",IF($M$508="","",$M$508)))</f>
        <v/>
      </c>
      <c r="AU508" s="1702" t="str">
        <f>IF(TCATrigger="No","",IF(FourPercentTrigger="No","",IF($N$508="","",$N$508)))</f>
        <v/>
      </c>
      <c r="AV508" s="1702" t="str">
        <f>IF(TCATrigger="No","",IF(FourPercentTrigger="No","",IF($O$508="","",$O$508)))</f>
        <v/>
      </c>
      <c r="AW508" s="1702" t="str">
        <f>IF(TCATrigger="No","",IF(FourPercentTrigger="No","",IF($P$508="","",$P$508)))</f>
        <v/>
      </c>
      <c r="BQ508" s="1685"/>
      <c r="BW508" s="1702" t="s">
        <v>1176</v>
      </c>
    </row>
    <row r="509" spans="1:75" ht="15">
      <c r="A509" s="1685"/>
      <c r="B509" s="1685"/>
      <c r="C509" s="1685"/>
      <c r="D509" s="1685"/>
      <c r="E509" s="1685"/>
      <c r="F509" s="1685"/>
      <c r="G509" s="1751" t="s">
        <v>1177</v>
      </c>
      <c r="H509" s="1701">
        <v>6550</v>
      </c>
      <c r="I509" s="1701" t="str">
        <f>IF(rng02_Expense_OpMaintExpenses_ApplianceReplacement="","",rng02_Expense_OpMaintExpenses_ApplianceReplacement)</f>
        <v/>
      </c>
      <c r="J509" s="1701">
        <v>0</v>
      </c>
      <c r="K509" s="1701"/>
      <c r="L509" s="1701">
        <v>0</v>
      </c>
      <c r="M509" s="1701">
        <v>0</v>
      </c>
      <c r="N509" s="1701">
        <v>0</v>
      </c>
      <c r="O509" s="1701">
        <v>0</v>
      </c>
      <c r="P509" s="1701">
        <v>0</v>
      </c>
      <c r="Q509" s="1685"/>
      <c r="R509" s="1685"/>
      <c r="S509" s="1685"/>
      <c r="T509" s="1685"/>
      <c r="U509" s="1685"/>
      <c r="V509" s="1685"/>
      <c r="W509" s="1685"/>
      <c r="X509" s="1685"/>
      <c r="Y509" s="1685"/>
      <c r="Z509" s="1685"/>
      <c r="AA509" s="1685"/>
      <c r="AB509" s="1685"/>
      <c r="AC509" s="1685"/>
      <c r="AD509" s="2069"/>
      <c r="AE509" s="2073"/>
      <c r="AF509" s="1685"/>
      <c r="AG509" s="1685"/>
      <c r="AM509" s="1758" t="s">
        <v>1177</v>
      </c>
      <c r="AN509" s="1702">
        <v>6550</v>
      </c>
      <c r="AO509" s="1702" t="str">
        <f t="shared" si="100"/>
        <v/>
      </c>
      <c r="AP509" s="1758"/>
      <c r="AQ509" s="1702" t="str">
        <f>IF(TCATrigger="No","",IF(FourPercentTrigger="No","",IF($J$509="","",$J$509)))</f>
        <v/>
      </c>
      <c r="AR509" s="1702" t="str">
        <f>IF(TCATrigger="No","",IF(FourPercentTrigger="No","",IF($K$509="","",$K$509)))</f>
        <v/>
      </c>
      <c r="AS509" s="1702" t="str">
        <f>IF(TCATrigger="No","",IF(FourPercentTrigger="No","",IF($L$509="","",$L$509)))</f>
        <v/>
      </c>
      <c r="AT509" s="1702" t="str">
        <f>IF(TCATrigger="No","",IF(FourPercentTrigger="No","",IF($M$509="","",$M$509)))</f>
        <v/>
      </c>
      <c r="AU509" s="1702" t="str">
        <f>IF(TCATrigger="No","",IF(FourPercentTrigger="No","",IF($N$509="","",$N$509)))</f>
        <v/>
      </c>
      <c r="AV509" s="1702" t="str">
        <f>IF(TCATrigger="No","",IF(FourPercentTrigger="No","",IF($O$509="","",$O$509)))</f>
        <v/>
      </c>
      <c r="AW509" s="1702" t="str">
        <f>IF(TCATrigger="No","",IF(FourPercentTrigger="No","",IF($P$509="","",$P$509)))</f>
        <v/>
      </c>
      <c r="BQ509" s="1685"/>
      <c r="BW509" s="1758" t="s">
        <v>1177</v>
      </c>
    </row>
    <row r="510" spans="1:75" ht="15">
      <c r="A510" s="1685"/>
      <c r="B510" s="1685"/>
      <c r="C510" s="1685"/>
      <c r="D510" s="1685"/>
      <c r="E510" s="1685"/>
      <c r="F510" s="1685"/>
      <c r="G510" s="1751" t="s">
        <v>1178</v>
      </c>
      <c r="H510" s="1701">
        <v>6560</v>
      </c>
      <c r="I510" s="1701" t="str">
        <f>IF(rng02_Expense_OpMaintExpenses_DecoratingPR="","",rng02_Expense_OpMaintExpenses_DecoratingPR)</f>
        <v/>
      </c>
      <c r="J510" s="1701">
        <v>0</v>
      </c>
      <c r="K510" s="1701"/>
      <c r="L510" s="1701">
        <v>0</v>
      </c>
      <c r="M510" s="1701">
        <v>0</v>
      </c>
      <c r="N510" s="1701">
        <v>0</v>
      </c>
      <c r="O510" s="1701">
        <v>0</v>
      </c>
      <c r="P510" s="1701">
        <v>0</v>
      </c>
      <c r="Q510" s="1685"/>
      <c r="R510" s="1685"/>
      <c r="S510" s="1685"/>
      <c r="T510" s="1685"/>
      <c r="U510" s="1685"/>
      <c r="V510" s="1685"/>
      <c r="W510" s="1685"/>
      <c r="X510" s="1685"/>
      <c r="Y510" s="1685"/>
      <c r="Z510" s="1685"/>
      <c r="AA510" s="1685"/>
      <c r="AB510" s="1685"/>
      <c r="AC510" s="1685"/>
      <c r="AD510" s="2069"/>
      <c r="AE510" s="2073"/>
      <c r="AF510" s="1685"/>
      <c r="AG510" s="1685"/>
      <c r="AM510" s="1702" t="s">
        <v>1178</v>
      </c>
      <c r="AN510" s="1702">
        <v>6560</v>
      </c>
      <c r="AO510" s="1702" t="str">
        <f t="shared" si="100"/>
        <v/>
      </c>
      <c r="AP510" s="1702" t="str">
        <f t="shared" si="101"/>
        <v/>
      </c>
      <c r="AQ510" s="1702" t="str">
        <f>IF(TCATrigger="No","",IF(FourPercentTrigger="No","",IF($J$510="","",$J$510)))</f>
        <v/>
      </c>
      <c r="AR510" s="1702" t="str">
        <f>IF(TCATrigger="No","",IF(FourPercentTrigger="No","",IF($K$510="","",$K$510)))</f>
        <v/>
      </c>
      <c r="AS510" s="1702" t="str">
        <f>IF(TCATrigger="No","",IF(FourPercentTrigger="No","",IF($L$510="","",$L$510)))</f>
        <v/>
      </c>
      <c r="AT510" s="1702" t="str">
        <f>IF(TCATrigger="No","",IF(FourPercentTrigger="No","",IF($M$510="","",$M$510)))</f>
        <v/>
      </c>
      <c r="AU510" s="1702" t="str">
        <f>IF(TCATrigger="No","",IF(FourPercentTrigger="No","",IF($N$510="","",$N$510)))</f>
        <v/>
      </c>
      <c r="AV510" s="1702" t="str">
        <f>IF(TCATrigger="No","",IF(FourPercentTrigger="No","",IF($O$510="","",$O$510)))</f>
        <v/>
      </c>
      <c r="AW510" s="1702" t="str">
        <f>IF(TCATrigger="No","",IF(FourPercentTrigger="No","",IF($P$510="","",$P$510)))</f>
        <v/>
      </c>
      <c r="BQ510" s="1685"/>
      <c r="BW510" s="1702" t="s">
        <v>1178</v>
      </c>
    </row>
    <row r="511" spans="1:75" ht="15">
      <c r="A511" s="1685"/>
      <c r="B511" s="1685"/>
      <c r="C511" s="1685"/>
      <c r="D511" s="1685"/>
      <c r="E511" s="1685"/>
      <c r="F511" s="1685"/>
      <c r="G511" s="1751" t="s">
        <v>1179</v>
      </c>
      <c r="H511" s="1701">
        <v>6561</v>
      </c>
      <c r="I511" s="1701" t="str">
        <f>IF(rng02_Expense_OpMaintExpenses_DecoratingSupplies="","",rng02_Expense_OpMaintExpenses_DecoratingSupplies)</f>
        <v/>
      </c>
      <c r="J511" s="1701">
        <v>0</v>
      </c>
      <c r="K511" s="1701"/>
      <c r="L511" s="1701">
        <v>0</v>
      </c>
      <c r="M511" s="1701">
        <v>0</v>
      </c>
      <c r="N511" s="1701">
        <v>0</v>
      </c>
      <c r="O511" s="1701">
        <v>0</v>
      </c>
      <c r="P511" s="1701">
        <v>0</v>
      </c>
      <c r="Q511" s="1685"/>
      <c r="R511" s="1685"/>
      <c r="S511" s="1685"/>
      <c r="T511" s="1685"/>
      <c r="U511" s="1685"/>
      <c r="V511" s="1685"/>
      <c r="W511" s="1685"/>
      <c r="X511" s="1685"/>
      <c r="Y511" s="1685"/>
      <c r="Z511" s="1685"/>
      <c r="AA511" s="1685"/>
      <c r="AB511" s="1685"/>
      <c r="AC511" s="1685"/>
      <c r="AD511" s="2069"/>
      <c r="AE511" s="2073"/>
      <c r="AF511" s="1685"/>
      <c r="AG511" s="1685"/>
      <c r="AM511" s="1702" t="s">
        <v>1179</v>
      </c>
      <c r="AN511" s="1702">
        <v>6561</v>
      </c>
      <c r="AO511" s="1702" t="str">
        <f t="shared" si="100"/>
        <v/>
      </c>
      <c r="AP511" s="1702" t="str">
        <f t="shared" si="101"/>
        <v/>
      </c>
      <c r="AQ511" s="1702" t="str">
        <f>IF(TCATrigger="No","",IF(FourPercentTrigger="No","",IF($J$511="","",$J$511)))</f>
        <v/>
      </c>
      <c r="AR511" s="1702" t="str">
        <f>IF(TCATrigger="No","",IF(FourPercentTrigger="No","",IF($K$511="","",$K$511)))</f>
        <v/>
      </c>
      <c r="AS511" s="1702" t="str">
        <f>IF(TCATrigger="No","",IF(FourPercentTrigger="No","",IF($L$511="","",$L$511)))</f>
        <v/>
      </c>
      <c r="AT511" s="1702" t="str">
        <f>IF(TCATrigger="No","",IF(FourPercentTrigger="No","",IF($M$511="","",$M$511)))</f>
        <v/>
      </c>
      <c r="AU511" s="1702" t="str">
        <f>IF(TCATrigger="No","",IF(FourPercentTrigger="No","",IF($N$511="","",$N$511)))</f>
        <v/>
      </c>
      <c r="AV511" s="1702" t="str">
        <f>IF(TCATrigger="No","",IF(FourPercentTrigger="No","",IF($O$511="","",$O$511)))</f>
        <v/>
      </c>
      <c r="AW511" s="1702" t="str">
        <f>IF(TCATrigger="No","",IF(FourPercentTrigger="No","",IF($P$511="","",$P$511)))</f>
        <v/>
      </c>
      <c r="BQ511" s="1685"/>
      <c r="BW511" s="1702" t="s">
        <v>1179</v>
      </c>
    </row>
    <row r="512" spans="1:75" ht="15">
      <c r="A512" s="1685"/>
      <c r="B512" s="1685"/>
      <c r="C512" s="1685"/>
      <c r="D512" s="1685"/>
      <c r="E512" s="1685"/>
      <c r="F512" s="1685"/>
      <c r="G512" s="1751" t="s">
        <v>1180</v>
      </c>
      <c r="H512" s="1701">
        <v>6570</v>
      </c>
      <c r="I512" s="1701" t="str">
        <f>IF(rng02_Expense_OpMaintExpenses_VehicleEquipOpsRepairs="","",rng02_Expense_OpMaintExpenses_VehicleEquipOpsRepairs)</f>
        <v/>
      </c>
      <c r="J512" s="1701">
        <v>0</v>
      </c>
      <c r="K512" s="1701"/>
      <c r="L512" s="1701">
        <v>0</v>
      </c>
      <c r="M512" s="1701">
        <v>0</v>
      </c>
      <c r="N512" s="1701">
        <v>0</v>
      </c>
      <c r="O512" s="1701">
        <v>0</v>
      </c>
      <c r="P512" s="1701">
        <v>0</v>
      </c>
      <c r="Q512" s="1685"/>
      <c r="R512" s="1685"/>
      <c r="S512" s="1685"/>
      <c r="T512" s="1685"/>
      <c r="U512" s="1685"/>
      <c r="V512" s="1685"/>
      <c r="W512" s="1685"/>
      <c r="X512" s="1685"/>
      <c r="Y512" s="1685"/>
      <c r="Z512" s="1685"/>
      <c r="AA512" s="1685"/>
      <c r="AB512" s="1685"/>
      <c r="AC512" s="1685"/>
      <c r="AD512" s="2069"/>
      <c r="AE512" s="2073"/>
      <c r="AF512" s="1685"/>
      <c r="AG512" s="1685"/>
      <c r="AM512" s="1759" t="s">
        <v>1180</v>
      </c>
      <c r="AN512" s="1702">
        <v>6570</v>
      </c>
      <c r="AO512" s="1702" t="str">
        <f t="shared" si="100"/>
        <v/>
      </c>
      <c r="AP512" s="1759"/>
      <c r="AQ512" s="1702" t="str">
        <f>IF(TCATrigger="No","",IF(FourPercentTrigger="No","",IF($J$512="","",$J$512)))</f>
        <v/>
      </c>
      <c r="AR512" s="1702" t="str">
        <f>IF(TCATrigger="No","",IF(FourPercentTrigger="No","",IF($K$512="","",$K$512)))</f>
        <v/>
      </c>
      <c r="AS512" s="1702" t="str">
        <f>IF(TCATrigger="No","",IF(FourPercentTrigger="No","",IF($L$512="","",$L$512)))</f>
        <v/>
      </c>
      <c r="AT512" s="1702" t="str">
        <f>IF(TCATrigger="No","",IF(FourPercentTrigger="No","",IF($M$512="","",$M$512)))</f>
        <v/>
      </c>
      <c r="AU512" s="1702" t="str">
        <f>IF(TCATrigger="No","",IF(FourPercentTrigger="No","",IF($N$512="","",$N$512)))</f>
        <v/>
      </c>
      <c r="AV512" s="1702" t="str">
        <f>IF(TCATrigger="No","",IF(FourPercentTrigger="No","",IF($O$512="","",$O$512)))</f>
        <v/>
      </c>
      <c r="AW512" s="1702" t="str">
        <f>IF(TCATrigger="No","",IF(FourPercentTrigger="No","",IF($P$512="","",$P$512)))</f>
        <v/>
      </c>
      <c r="BQ512" s="1685"/>
      <c r="BW512" s="1759" t="s">
        <v>1180</v>
      </c>
    </row>
    <row r="513" spans="1:75" ht="15">
      <c r="A513" s="1685"/>
      <c r="B513" s="1685"/>
      <c r="C513" s="1685"/>
      <c r="D513" s="1685"/>
      <c r="E513" s="1685"/>
      <c r="F513" s="1685"/>
      <c r="G513" s="1751" t="s">
        <v>1181</v>
      </c>
      <c r="H513" s="1701">
        <v>6590</v>
      </c>
      <c r="I513" s="1701" t="str">
        <f>IF(rng02_Expense_OpMaintExpenses_MiscOpsMaintExpenses="","",rng02_Expense_OpMaintExpenses_MiscOpsMaintExpenses)</f>
        <v/>
      </c>
      <c r="J513" s="1701">
        <v>0</v>
      </c>
      <c r="K513" s="1701"/>
      <c r="L513" s="1701">
        <v>0</v>
      </c>
      <c r="M513" s="1701">
        <v>0</v>
      </c>
      <c r="N513" s="1701">
        <v>0</v>
      </c>
      <c r="O513" s="1701">
        <v>0</v>
      </c>
      <c r="P513" s="1701">
        <v>0</v>
      </c>
      <c r="Q513" s="1685"/>
      <c r="R513" s="1685"/>
      <c r="S513" s="1685"/>
      <c r="T513" s="1685"/>
      <c r="U513" s="1685"/>
      <c r="V513" s="1685"/>
      <c r="W513" s="1685"/>
      <c r="X513" s="1685"/>
      <c r="Y513" s="1685"/>
      <c r="Z513" s="1685"/>
      <c r="AA513" s="1685"/>
      <c r="AB513" s="1685"/>
      <c r="AC513" s="1685"/>
      <c r="AD513" s="2069"/>
      <c r="AE513" s="2073"/>
      <c r="AF513" s="1685"/>
      <c r="AG513" s="1685"/>
      <c r="AM513" s="1758" t="s">
        <v>1181</v>
      </c>
      <c r="AN513" s="1702">
        <v>6590</v>
      </c>
      <c r="AO513" s="1702" t="str">
        <f t="shared" si="100"/>
        <v/>
      </c>
      <c r="AP513" s="1758"/>
      <c r="AQ513" s="1702" t="str">
        <f>IF(TCATrigger="No","",IF(FourPercentTrigger="No","",IF($J$513="","",$J$513)))</f>
        <v/>
      </c>
      <c r="AR513" s="1702" t="str">
        <f>IF(TCATrigger="No","",IF(FourPercentTrigger="No","",IF($K$513="","",$K$513)))</f>
        <v/>
      </c>
      <c r="AS513" s="1702" t="str">
        <f>IF(TCATrigger="No","",IF(FourPercentTrigger="No","",IF($L$513="","",$L$513)))</f>
        <v/>
      </c>
      <c r="AT513" s="1702" t="str">
        <f>IF(TCATrigger="No","",IF(FourPercentTrigger="No","",IF($M$513="","",$M$513)))</f>
        <v/>
      </c>
      <c r="AU513" s="1702" t="str">
        <f>IF(TCATrigger="No","",IF(FourPercentTrigger="No","",IF($N$513="","",$N$513)))</f>
        <v/>
      </c>
      <c r="AV513" s="1702" t="str">
        <f>IF(TCATrigger="No","",IF(FourPercentTrigger="No","",IF($O$513="","",$O$513)))</f>
        <v/>
      </c>
      <c r="AW513" s="1702" t="str">
        <f>IF(TCATrigger="No","",IF(FourPercentTrigger="No","",IF($P$513="","",$P$513)))</f>
        <v/>
      </c>
      <c r="BQ513" s="1685"/>
      <c r="BW513" s="1758" t="s">
        <v>1181</v>
      </c>
    </row>
    <row r="514" spans="1:75" ht="15">
      <c r="A514" s="1685"/>
      <c r="B514" s="1685"/>
      <c r="C514" s="1685"/>
      <c r="D514" s="1685"/>
      <c r="E514" s="1685"/>
      <c r="F514" s="1685"/>
      <c r="G514" s="1701" t="s">
        <v>1182</v>
      </c>
      <c r="H514" s="1701"/>
      <c r="I514" s="1701">
        <f>IF(rng02_Expense_OpMaintExpenses_TotalOpsMaintExpenses="","",rng02_Expense_OpMaintExpenses_TotalOpsMaintExpenses)</f>
        <v>0</v>
      </c>
      <c r="J514" s="1701">
        <v>0</v>
      </c>
      <c r="K514" s="1701">
        <v>0</v>
      </c>
      <c r="L514" s="1701">
        <v>0</v>
      </c>
      <c r="M514" s="1701">
        <v>0</v>
      </c>
      <c r="N514" s="1701">
        <v>0</v>
      </c>
      <c r="O514" s="1701">
        <v>0</v>
      </c>
      <c r="P514" s="1701">
        <v>0</v>
      </c>
      <c r="Q514" s="1685"/>
      <c r="R514" s="1685"/>
      <c r="S514" s="1685"/>
      <c r="T514" s="1685"/>
      <c r="U514" s="1685"/>
      <c r="V514" s="1685"/>
      <c r="W514" s="1685"/>
      <c r="X514" s="1685"/>
      <c r="Y514" s="1685"/>
      <c r="Z514" s="1685"/>
      <c r="AA514" s="1685"/>
      <c r="AB514" s="1685"/>
      <c r="AC514" s="1685"/>
      <c r="AD514" s="2069"/>
      <c r="AE514" s="2073"/>
      <c r="AF514" s="1685"/>
      <c r="AG514" s="1685"/>
      <c r="AM514" s="1702" t="s">
        <v>1182</v>
      </c>
      <c r="AN514" s="1702"/>
      <c r="AO514" s="1702" t="str">
        <f>IF(TCATrigger="No","",$I$449)</f>
        <v/>
      </c>
      <c r="AP514" s="1702" t="str">
        <f t="shared" si="101"/>
        <v/>
      </c>
      <c r="AQ514" s="1702" t="str">
        <f>IF(TCATrigger="No","",IF(FourPercentTrigger="No","",IF($J$514="","",$J$514)))</f>
        <v/>
      </c>
      <c r="AR514" s="1702" t="str">
        <f>IF(TCATrigger="No","",IF(FourPercentTrigger="No","",IF($K$514="","",$K$514)))</f>
        <v/>
      </c>
      <c r="AS514" s="1702" t="str">
        <f>IF(TCATrigger="No","",IF(FourPercentTrigger="No","",IF($L$514="","",$L$514)))</f>
        <v/>
      </c>
      <c r="AT514" s="1702" t="str">
        <f>IF(TCATrigger="No","",IF(FourPercentTrigger="No","",IF($M$514="","",$M$514)))</f>
        <v/>
      </c>
      <c r="AU514" s="1702" t="str">
        <f>IF(TCATrigger="No","",IF(FourPercentTrigger="No","",IF($N$514="","",$N$514)))</f>
        <v/>
      </c>
      <c r="AV514" s="1702" t="str">
        <f>IF(TCATrigger="No","",IF(FourPercentTrigger="No","",IF($O$514="","",$O$514)))</f>
        <v/>
      </c>
      <c r="AW514" s="1702" t="str">
        <f>IF(TCATrigger="No","",IF(FourPercentTrigger="No","",IF($P$514="","",$P$514)))</f>
        <v/>
      </c>
      <c r="BQ514" s="1685"/>
      <c r="BW514" s="1702" t="s">
        <v>1182</v>
      </c>
    </row>
    <row r="515" spans="1:75" ht="15">
      <c r="A515" s="1685"/>
      <c r="B515" s="1685"/>
      <c r="C515" s="1685"/>
      <c r="D515" s="1685"/>
      <c r="E515" s="1685"/>
      <c r="F515" s="1685"/>
      <c r="G515" s="1701"/>
      <c r="H515" s="1701"/>
      <c r="I515" s="1701"/>
      <c r="J515" s="1701"/>
      <c r="K515" s="1701"/>
      <c r="L515" s="1701"/>
      <c r="M515" s="1701"/>
      <c r="N515" s="1701"/>
      <c r="O515" s="1701"/>
      <c r="P515" s="1701"/>
      <c r="Q515" s="1685"/>
      <c r="R515" s="1685"/>
      <c r="S515" s="1685"/>
      <c r="T515" s="1685"/>
      <c r="U515" s="1685"/>
      <c r="V515" s="1685"/>
      <c r="W515" s="1685"/>
      <c r="X515" s="1685"/>
      <c r="Y515" s="1685"/>
      <c r="Z515" s="1685"/>
      <c r="AA515" s="1685"/>
      <c r="AB515" s="1685"/>
      <c r="AC515" s="1685"/>
      <c r="AD515" s="2069"/>
      <c r="AE515" s="2073"/>
      <c r="AF515" s="1685"/>
      <c r="AG515" s="1685"/>
      <c r="BQ515" s="1685"/>
    </row>
    <row r="516" spans="1:75" ht="15">
      <c r="A516" s="1685"/>
      <c r="B516" s="1685"/>
      <c r="C516" s="1685"/>
      <c r="D516" s="1685"/>
      <c r="E516" s="1685"/>
      <c r="F516" s="1685"/>
      <c r="G516" s="1701" t="s">
        <v>1183</v>
      </c>
      <c r="H516" s="1701"/>
      <c r="I516" s="1701"/>
      <c r="J516" s="1701"/>
      <c r="K516" s="1701"/>
      <c r="L516" s="1701"/>
      <c r="M516" s="1701"/>
      <c r="N516" s="1701"/>
      <c r="O516" s="1701"/>
      <c r="P516" s="1701"/>
      <c r="Q516" s="1685"/>
      <c r="R516" s="1685"/>
      <c r="S516" s="1685"/>
      <c r="T516" s="1685"/>
      <c r="U516" s="1685"/>
      <c r="V516" s="1685"/>
      <c r="W516" s="1685"/>
      <c r="X516" s="1685"/>
      <c r="Y516" s="1685"/>
      <c r="Z516" s="1685"/>
      <c r="AA516" s="1685"/>
      <c r="AB516" s="1685"/>
      <c r="AC516" s="1685"/>
      <c r="AD516" s="2069"/>
      <c r="AE516" s="2073"/>
      <c r="AF516" s="1685"/>
      <c r="AG516" s="1685"/>
      <c r="AM516" s="1677" t="s">
        <v>1183</v>
      </c>
      <c r="BQ516" s="1685"/>
      <c r="BW516" s="1677" t="s">
        <v>1183</v>
      </c>
    </row>
    <row r="517" spans="1:75" ht="15">
      <c r="A517" s="1685"/>
      <c r="B517" s="1685"/>
      <c r="C517" s="1685"/>
      <c r="D517" s="1685"/>
      <c r="E517" s="1685"/>
      <c r="F517" s="1685"/>
      <c r="G517" s="1751" t="s">
        <v>1184</v>
      </c>
      <c r="H517" s="1701">
        <v>6710</v>
      </c>
      <c r="I517" s="1701" t="str">
        <f>IF(rng02_Expense_TaxesInsurance_RETaxes="","",rng02_Expense_TaxesInsurance_RETaxes)</f>
        <v/>
      </c>
      <c r="J517" s="1701">
        <v>0</v>
      </c>
      <c r="K517" s="1701"/>
      <c r="L517" s="1701">
        <v>0</v>
      </c>
      <c r="M517" s="1701">
        <v>0</v>
      </c>
      <c r="N517" s="1701">
        <v>0</v>
      </c>
      <c r="O517" s="1701">
        <v>0</v>
      </c>
      <c r="P517" s="1701">
        <v>0</v>
      </c>
      <c r="Q517" s="1685"/>
      <c r="R517" s="1685"/>
      <c r="S517" s="1685"/>
      <c r="T517" s="1685"/>
      <c r="U517" s="1685"/>
      <c r="V517" s="1685"/>
      <c r="W517" s="1685"/>
      <c r="X517" s="1685"/>
      <c r="Y517" s="1685"/>
      <c r="Z517" s="1685"/>
      <c r="AA517" s="1685"/>
      <c r="AB517" s="1685"/>
      <c r="AC517" s="1685"/>
      <c r="AD517" s="2069"/>
      <c r="AE517" s="2073"/>
      <c r="AF517" s="1685"/>
      <c r="AG517" s="1685"/>
      <c r="AM517" s="1702" t="s">
        <v>1184</v>
      </c>
      <c r="AN517" s="1702">
        <v>6710</v>
      </c>
      <c r="AO517" s="1702" t="str">
        <f t="shared" ref="AO517:AO525" si="102">IF(TCATrigger="No","",$I517)</f>
        <v/>
      </c>
      <c r="AP517" s="1702" t="str">
        <f t="shared" ref="AP517:AP526" si="103">IF(AO517="","",AO517)</f>
        <v/>
      </c>
      <c r="AQ517" s="1702" t="str">
        <f>IF(TCATrigger="No","",IF(FourPercentTrigger="No","",IF($J$517="","",$J$517)))</f>
        <v/>
      </c>
      <c r="AR517" s="1702" t="str">
        <f>IF(TCATrigger="No","",IF(FourPercentTrigger="No","",IF($K$517="","",$K$517)))</f>
        <v/>
      </c>
      <c r="AS517" s="1702" t="str">
        <f>IF(TCATrigger="No","",IF(FourPercentTrigger="No","",IF($L$517="","",$L$517)))</f>
        <v/>
      </c>
      <c r="AT517" s="1702" t="str">
        <f>IF(TCATrigger="No","",IF(FourPercentTrigger="No","",IF($M$517="","",$M$517)))</f>
        <v/>
      </c>
      <c r="AU517" s="1702" t="str">
        <f>IF(TCATrigger="No","",IF(FourPercentTrigger="No","",IF($N$517="","",$N$517)))</f>
        <v/>
      </c>
      <c r="AV517" s="1702" t="str">
        <f>IF(TCATrigger="No","",IF(FourPercentTrigger="No","",IF($O$517="","",$O$517)))</f>
        <v/>
      </c>
      <c r="AW517" s="1702" t="str">
        <f>IF(TCATrigger="No","",IF(FourPercentTrigger="No","",IF($P$517="","",$P$517)))</f>
        <v/>
      </c>
      <c r="BQ517" s="1685"/>
      <c r="BW517" s="1702" t="s">
        <v>1184</v>
      </c>
    </row>
    <row r="518" spans="1:75" ht="15">
      <c r="A518" s="1685"/>
      <c r="B518" s="1685"/>
      <c r="C518" s="1685"/>
      <c r="D518" s="1685"/>
      <c r="E518" s="1685"/>
      <c r="F518" s="1685"/>
      <c r="G518" s="1751" t="s">
        <v>1185</v>
      </c>
      <c r="H518" s="1701">
        <v>6711</v>
      </c>
      <c r="I518" s="1701" t="str">
        <f>IF(rng02_Expense_TaxesInsurance_PayrollTaxes="","",rng02_Expense_TaxesInsurance_PayrollTaxes)</f>
        <v/>
      </c>
      <c r="J518" s="1701">
        <v>0</v>
      </c>
      <c r="K518" s="1701"/>
      <c r="L518" s="1701">
        <v>0</v>
      </c>
      <c r="M518" s="1701">
        <v>0</v>
      </c>
      <c r="N518" s="1701">
        <v>0</v>
      </c>
      <c r="O518" s="1701">
        <v>0</v>
      </c>
      <c r="P518" s="1701">
        <v>0</v>
      </c>
      <c r="Q518" s="1685"/>
      <c r="R518" s="1685"/>
      <c r="S518" s="1685"/>
      <c r="T518" s="1685"/>
      <c r="U518" s="1685"/>
      <c r="V518" s="1685"/>
      <c r="W518" s="1685"/>
      <c r="X518" s="1685"/>
      <c r="Y518" s="1685"/>
      <c r="Z518" s="1685"/>
      <c r="AA518" s="1685"/>
      <c r="AB518" s="1685"/>
      <c r="AC518" s="1685"/>
      <c r="AD518" s="2069"/>
      <c r="AE518" s="2073"/>
      <c r="AF518" s="1685"/>
      <c r="AG518" s="1685"/>
      <c r="AM518" s="1702" t="s">
        <v>1185</v>
      </c>
      <c r="AN518" s="1702">
        <v>6711</v>
      </c>
      <c r="AO518" s="1702" t="str">
        <f t="shared" si="102"/>
        <v/>
      </c>
      <c r="AP518" s="1702" t="str">
        <f t="shared" si="103"/>
        <v/>
      </c>
      <c r="AQ518" s="1702" t="str">
        <f>IF(TCATrigger="No","",IF(FourPercentTrigger="No","",IF($J$518="","",$J$518)))</f>
        <v/>
      </c>
      <c r="AR518" s="1702" t="str">
        <f>IF(TCATrigger="No","",IF(FourPercentTrigger="No","",IF($K$518="","",$K$518)))</f>
        <v/>
      </c>
      <c r="AS518" s="1702" t="str">
        <f>IF(TCATrigger="No","",IF(FourPercentTrigger="No","",IF($L$518="","",$L$518)))</f>
        <v/>
      </c>
      <c r="AT518" s="1702" t="str">
        <f>IF(TCATrigger="No","",IF(FourPercentTrigger="No","",IF($M$518="","",$M$518)))</f>
        <v/>
      </c>
      <c r="AU518" s="1702" t="str">
        <f>IF(TCATrigger="No","",IF(FourPercentTrigger="No","",IF($N$518="","",$N$518)))</f>
        <v/>
      </c>
      <c r="AV518" s="1702" t="str">
        <f>IF(TCATrigger="No","",IF(FourPercentTrigger="No","",IF($O$518="","",$O$518)))</f>
        <v/>
      </c>
      <c r="AW518" s="1702" t="str">
        <f>IF(TCATrigger="No","",IF(FourPercentTrigger="No","",IF($P$518="","",$P$518)))</f>
        <v/>
      </c>
      <c r="BQ518" s="1685"/>
      <c r="BW518" s="1702" t="s">
        <v>1185</v>
      </c>
    </row>
    <row r="519" spans="1:75" ht="15">
      <c r="A519" s="1685"/>
      <c r="B519" s="1685"/>
      <c r="C519" s="1685"/>
      <c r="D519" s="1685"/>
      <c r="E519" s="1685"/>
      <c r="F519" s="1685"/>
      <c r="G519" s="1751" t="s">
        <v>1186</v>
      </c>
      <c r="H519" s="1701">
        <v>6719</v>
      </c>
      <c r="I519" s="1701" t="str">
        <f>IF(rng02_Expense_TaxesInsurance_MiscTaxesLicensesPermits="","",rng02_Expense_TaxesInsurance_MiscTaxesLicensesPermits)</f>
        <v/>
      </c>
      <c r="J519" s="1701">
        <v>0</v>
      </c>
      <c r="K519" s="1701"/>
      <c r="L519" s="1701">
        <v>0</v>
      </c>
      <c r="M519" s="1701">
        <v>0</v>
      </c>
      <c r="N519" s="1701">
        <v>0</v>
      </c>
      <c r="O519" s="1701">
        <v>0</v>
      </c>
      <c r="P519" s="1701">
        <v>0</v>
      </c>
      <c r="Q519" s="1685"/>
      <c r="R519" s="1685"/>
      <c r="S519" s="1685"/>
      <c r="T519" s="1685"/>
      <c r="U519" s="1685"/>
      <c r="V519" s="1685"/>
      <c r="W519" s="1685"/>
      <c r="X519" s="1685"/>
      <c r="Y519" s="1685"/>
      <c r="Z519" s="1685"/>
      <c r="AA519" s="1685"/>
      <c r="AB519" s="1685"/>
      <c r="AC519" s="1685"/>
      <c r="AD519" s="2069"/>
      <c r="AE519" s="2073"/>
      <c r="AF519" s="1685"/>
      <c r="AG519" s="1685"/>
      <c r="AM519" s="1760" t="s">
        <v>1186</v>
      </c>
      <c r="AN519" s="1702">
        <v>6719</v>
      </c>
      <c r="AO519" s="1702" t="str">
        <f t="shared" si="102"/>
        <v/>
      </c>
      <c r="AP519" s="1760" t="str">
        <f>IF(OR(TCATrigger="No",SUM(AO519,AO525)=0),"",SUM(AO519,AO525))</f>
        <v/>
      </c>
      <c r="AQ519" s="1702" t="str">
        <f>IF(TCATrigger="No","",IF(FourPercentTrigger="No","",IF($J$519="","",$J$519)))</f>
        <v/>
      </c>
      <c r="AR519" s="1702" t="str">
        <f>IF(TCATrigger="No","",IF(FourPercentTrigger="No","",IF($K$519="","",$K$519)))</f>
        <v/>
      </c>
      <c r="AS519" s="1702" t="str">
        <f>IF(TCATrigger="No","",IF(FourPercentTrigger="No","",IF($L$519="","",$L$519)))</f>
        <v/>
      </c>
      <c r="AT519" s="1702" t="str">
        <f>IF(TCATrigger="No","",IF(FourPercentTrigger="No","",IF($M$519="","",$M$519)))</f>
        <v/>
      </c>
      <c r="AU519" s="1702" t="str">
        <f>IF(TCATrigger="No","",IF(FourPercentTrigger="No","",IF($N$519="","",$N$519)))</f>
        <v/>
      </c>
      <c r="AV519" s="1702" t="str">
        <f>IF(TCATrigger="No","",IF(FourPercentTrigger="No","",IF($O$519="","",$O$519)))</f>
        <v/>
      </c>
      <c r="AW519" s="1702" t="str">
        <f>IF(TCATrigger="No","",IF(FourPercentTrigger="No","",IF($P$519="","",$P$519)))</f>
        <v/>
      </c>
      <c r="BQ519" s="1685"/>
      <c r="BW519" s="1760" t="s">
        <v>1186</v>
      </c>
    </row>
    <row r="520" spans="1:75" ht="15">
      <c r="A520" s="1685"/>
      <c r="B520" s="1685"/>
      <c r="C520" s="1685"/>
      <c r="D520" s="1685"/>
      <c r="E520" s="1685"/>
      <c r="F520" s="1685"/>
      <c r="G520" s="1751" t="s">
        <v>1187</v>
      </c>
      <c r="H520" s="1701">
        <v>6720</v>
      </c>
      <c r="I520" s="1701" t="str">
        <f>IF(rng02_Expense_TaxesInsurance_PropertyLiabilityInsurance="","",rng02_Expense_TaxesInsurance_PropertyLiabilityInsurance)</f>
        <v/>
      </c>
      <c r="J520" s="1701">
        <v>0</v>
      </c>
      <c r="K520" s="1701"/>
      <c r="L520" s="1701">
        <v>0</v>
      </c>
      <c r="M520" s="1701">
        <v>0</v>
      </c>
      <c r="N520" s="1701">
        <v>0</v>
      </c>
      <c r="O520" s="1701">
        <v>0</v>
      </c>
      <c r="P520" s="1701">
        <v>0</v>
      </c>
      <c r="Q520" s="1685"/>
      <c r="R520" s="1685"/>
      <c r="S520" s="1685"/>
      <c r="T520" s="1685"/>
      <c r="U520" s="1685"/>
      <c r="V520" s="1685"/>
      <c r="W520" s="1685"/>
      <c r="X520" s="1685"/>
      <c r="Y520" s="1685"/>
      <c r="Z520" s="1685"/>
      <c r="AA520" s="1685"/>
      <c r="AB520" s="1685"/>
      <c r="AC520" s="1685"/>
      <c r="AD520" s="2069"/>
      <c r="AE520" s="2073"/>
      <c r="AF520" s="1685"/>
      <c r="AG520" s="1685"/>
      <c r="AM520" s="1702" t="s">
        <v>1187</v>
      </c>
      <c r="AN520" s="1702">
        <v>6720</v>
      </c>
      <c r="AO520" s="1702" t="str">
        <f t="shared" si="102"/>
        <v/>
      </c>
      <c r="AP520" s="1702" t="str">
        <f t="shared" si="103"/>
        <v/>
      </c>
      <c r="AQ520" s="1702" t="str">
        <f>IF(TCATrigger="No","",IF(FourPercentTrigger="No","",IF($J$520="","",$J$520)))</f>
        <v/>
      </c>
      <c r="AR520" s="1702" t="str">
        <f>IF(TCATrigger="No","",IF(FourPercentTrigger="No","",IF($K$520="","",$K$520)))</f>
        <v/>
      </c>
      <c r="AS520" s="1702" t="str">
        <f>IF(TCATrigger="No","",IF(FourPercentTrigger="No","",IF($L$520="","",$L$520)))</f>
        <v/>
      </c>
      <c r="AT520" s="1702" t="str">
        <f>IF(TCATrigger="No","",IF(FourPercentTrigger="No","",IF($M$520="","",$M$520)))</f>
        <v/>
      </c>
      <c r="AU520" s="1702" t="str">
        <f>IF(TCATrigger="No","",IF(FourPercentTrigger="No","",IF($N$520="","",$N$520)))</f>
        <v/>
      </c>
      <c r="AV520" s="1702" t="str">
        <f>IF(TCATrigger="No","",IF(FourPercentTrigger="No","",IF($O$520="","",$O$520)))</f>
        <v/>
      </c>
      <c r="AW520" s="1702" t="str">
        <f>IF(TCATrigger="No","",IF(FourPercentTrigger="No","",IF($P$520="","",$P$520)))</f>
        <v/>
      </c>
      <c r="BQ520" s="1685"/>
      <c r="BW520" s="1702" t="s">
        <v>1187</v>
      </c>
    </row>
    <row r="521" spans="1:75" ht="15">
      <c r="A521" s="1685"/>
      <c r="B521" s="1685"/>
      <c r="C521" s="1685"/>
      <c r="D521" s="1685"/>
      <c r="E521" s="1685"/>
      <c r="F521" s="1685"/>
      <c r="G521" s="1751" t="s">
        <v>1188</v>
      </c>
      <c r="H521" s="1701">
        <v>6721</v>
      </c>
      <c r="I521" s="1701" t="str">
        <f>IF(rng02_Expense_TaxesInsurance_FidelityBondInsurance="","",rng02_Expense_TaxesInsurance_FidelityBondInsurance)</f>
        <v/>
      </c>
      <c r="J521" s="1701">
        <v>0</v>
      </c>
      <c r="K521" s="1701"/>
      <c r="L521" s="1701">
        <v>0</v>
      </c>
      <c r="M521" s="1701">
        <v>0</v>
      </c>
      <c r="N521" s="1701">
        <v>0</v>
      </c>
      <c r="O521" s="1701">
        <v>0</v>
      </c>
      <c r="P521" s="1701">
        <v>0</v>
      </c>
      <c r="Q521" s="1685"/>
      <c r="R521" s="1685"/>
      <c r="S521" s="1685"/>
      <c r="T521" s="1685"/>
      <c r="U521" s="1685"/>
      <c r="V521" s="1685"/>
      <c r="W521" s="1685"/>
      <c r="X521" s="1685"/>
      <c r="Y521" s="1685"/>
      <c r="Z521" s="1685"/>
      <c r="AA521" s="1685"/>
      <c r="AB521" s="1685"/>
      <c r="AC521" s="1685"/>
      <c r="AD521" s="2069"/>
      <c r="AE521" s="2073"/>
      <c r="AF521" s="1685"/>
      <c r="AG521" s="1685"/>
      <c r="AM521" s="1702" t="s">
        <v>1188</v>
      </c>
      <c r="AN521" s="1702">
        <v>6721</v>
      </c>
      <c r="AO521" s="1702" t="str">
        <f t="shared" si="102"/>
        <v/>
      </c>
      <c r="AP521" s="1702" t="str">
        <f t="shared" si="103"/>
        <v/>
      </c>
      <c r="AQ521" s="1702" t="str">
        <f>IF(TCATrigger="No","",IF(FourPercentTrigger="No","",IF($J$521="","",$J$521)))</f>
        <v/>
      </c>
      <c r="AR521" s="1702" t="str">
        <f>IF(TCATrigger="No","",IF(FourPercentTrigger="No","",IF($K$521="","",$K$521)))</f>
        <v/>
      </c>
      <c r="AS521" s="1702" t="str">
        <f>IF(TCATrigger="No","",IF(FourPercentTrigger="No","",IF($L$521="","",$L$521)))</f>
        <v/>
      </c>
      <c r="AT521" s="1702" t="str">
        <f>IF(TCATrigger="No","",IF(FourPercentTrigger="No","",IF($M$521="","",$M$521)))</f>
        <v/>
      </c>
      <c r="AU521" s="1702" t="str">
        <f>IF(TCATrigger="No","",IF(FourPercentTrigger="No","",IF($N$521="","",$N$521)))</f>
        <v/>
      </c>
      <c r="AV521" s="1702" t="str">
        <f>IF(TCATrigger="No","",IF(FourPercentTrigger="No","",IF($O$521="","",$O$521)))</f>
        <v/>
      </c>
      <c r="AW521" s="1702" t="str">
        <f>IF(TCATrigger="No","",IF(FourPercentTrigger="No","",IF($P$521="","",$P$521)))</f>
        <v/>
      </c>
      <c r="BQ521" s="1685"/>
      <c r="BW521" s="1702" t="s">
        <v>1188</v>
      </c>
    </row>
    <row r="522" spans="1:75" ht="15">
      <c r="A522" s="1685"/>
      <c r="B522" s="1685"/>
      <c r="C522" s="1685"/>
      <c r="D522" s="1685"/>
      <c r="E522" s="1685"/>
      <c r="F522" s="1685"/>
      <c r="G522" s="1751" t="s">
        <v>1189</v>
      </c>
      <c r="H522" s="1701">
        <v>6722</v>
      </c>
      <c r="I522" s="1701" t="str">
        <f>IF(rng02_Expense_TaxesInsurance_WorkComp="","",rng02_Expense_TaxesInsurance_WorkComp)</f>
        <v/>
      </c>
      <c r="J522" s="1701">
        <v>0</v>
      </c>
      <c r="K522" s="1701"/>
      <c r="L522" s="1701">
        <v>0</v>
      </c>
      <c r="M522" s="1701">
        <v>0</v>
      </c>
      <c r="N522" s="1701">
        <v>0</v>
      </c>
      <c r="O522" s="1701">
        <v>0</v>
      </c>
      <c r="P522" s="1701">
        <v>0</v>
      </c>
      <c r="Q522" s="1685"/>
      <c r="R522" s="1685"/>
      <c r="S522" s="1685"/>
      <c r="T522" s="1685"/>
      <c r="U522" s="1685"/>
      <c r="V522" s="1685"/>
      <c r="W522" s="1685"/>
      <c r="X522" s="1685"/>
      <c r="Y522" s="1685"/>
      <c r="Z522" s="1685"/>
      <c r="AA522" s="1685"/>
      <c r="AB522" s="1685"/>
      <c r="AC522" s="1685"/>
      <c r="AD522" s="2069"/>
      <c r="AE522" s="2073"/>
      <c r="AF522" s="1685"/>
      <c r="AG522" s="1685"/>
      <c r="AM522" s="1702" t="s">
        <v>1189</v>
      </c>
      <c r="AN522" s="1702">
        <v>6722</v>
      </c>
      <c r="AO522" s="1702" t="str">
        <f t="shared" si="102"/>
        <v/>
      </c>
      <c r="AP522" s="1702" t="str">
        <f t="shared" si="103"/>
        <v/>
      </c>
      <c r="AQ522" s="1702" t="str">
        <f>IF(TCATrigger="No","",IF(FourPercentTrigger="No","",IF($J$522="","",$J$522)))</f>
        <v/>
      </c>
      <c r="AR522" s="1702" t="str">
        <f>IF(TCATrigger="No","",IF(FourPercentTrigger="No","",IF($K$522="","",$K$522)))</f>
        <v/>
      </c>
      <c r="AS522" s="1702" t="str">
        <f>IF(TCATrigger="No","",IF(FourPercentTrigger="No","",IF($L$522="","",$L$522)))</f>
        <v/>
      </c>
      <c r="AT522" s="1702" t="str">
        <f>IF(TCATrigger="No","",IF(FourPercentTrigger="No","",IF($M$522="","",$M$522)))</f>
        <v/>
      </c>
      <c r="AU522" s="1702" t="str">
        <f>IF(TCATrigger="No","",IF(FourPercentTrigger="No","",IF($N$522="","",$N$522)))</f>
        <v/>
      </c>
      <c r="AV522" s="1702" t="str">
        <f>IF(TCATrigger="No","",IF(FourPercentTrigger="No","",IF($O$522="","",$O$522)))</f>
        <v/>
      </c>
      <c r="AW522" s="1702" t="str">
        <f>IF(TCATrigger="No","",IF(FourPercentTrigger="No","",IF($P$522="","",$P$522)))</f>
        <v/>
      </c>
      <c r="BQ522" s="1685"/>
      <c r="BW522" s="1702" t="s">
        <v>1189</v>
      </c>
    </row>
    <row r="523" spans="1:75" ht="15">
      <c r="A523" s="1685"/>
      <c r="B523" s="1685"/>
      <c r="C523" s="1685"/>
      <c r="D523" s="1685"/>
      <c r="E523" s="1685"/>
      <c r="F523" s="1685"/>
      <c r="G523" s="1751" t="s">
        <v>1190</v>
      </c>
      <c r="H523" s="1701">
        <v>6723</v>
      </c>
      <c r="I523" s="1701" t="str">
        <f>IF(rng02_Expense_TaxesInsurance_HealthInsOtherEmpBenefits="","",rng02_Expense_TaxesInsurance_HealthInsOtherEmpBenefits)</f>
        <v/>
      </c>
      <c r="J523" s="1701">
        <v>0</v>
      </c>
      <c r="K523" s="1701"/>
      <c r="L523" s="1701">
        <v>0</v>
      </c>
      <c r="M523" s="1701">
        <v>0</v>
      </c>
      <c r="N523" s="1701">
        <v>0</v>
      </c>
      <c r="O523" s="1701">
        <v>0</v>
      </c>
      <c r="P523" s="1701">
        <v>0</v>
      </c>
      <c r="Q523" s="1685"/>
      <c r="R523" s="1685"/>
      <c r="S523" s="1685"/>
      <c r="T523" s="1685"/>
      <c r="U523" s="1685"/>
      <c r="V523" s="1685"/>
      <c r="W523" s="1685"/>
      <c r="X523" s="1685"/>
      <c r="Y523" s="1685"/>
      <c r="Z523" s="1685"/>
      <c r="AA523" s="1685"/>
      <c r="AB523" s="1685"/>
      <c r="AC523" s="1685"/>
      <c r="AD523" s="2069"/>
      <c r="AE523" s="2073"/>
      <c r="AF523" s="1685"/>
      <c r="AG523" s="1685"/>
      <c r="AM523" s="1702" t="s">
        <v>1190</v>
      </c>
      <c r="AN523" s="1702">
        <v>6723</v>
      </c>
      <c r="AO523" s="1702" t="str">
        <f t="shared" si="102"/>
        <v/>
      </c>
      <c r="AP523" s="1702" t="str">
        <f t="shared" si="103"/>
        <v/>
      </c>
      <c r="AQ523" s="1702" t="str">
        <f>IF(TCATrigger="No","",IF(FourPercentTrigger="No","",IF($J$523="","",$J$523)))</f>
        <v/>
      </c>
      <c r="AR523" s="1702" t="str">
        <f>IF(TCATrigger="No","",IF(FourPercentTrigger="No","",IF($K$523="","",$K$523)))</f>
        <v/>
      </c>
      <c r="AS523" s="1702" t="str">
        <f>IF(TCATrigger="No","",IF(FourPercentTrigger="No","",IF($L$523="","",$L$523)))</f>
        <v/>
      </c>
      <c r="AT523" s="1702" t="str">
        <f>IF(TCATrigger="No","",IF(FourPercentTrigger="No","",IF($M$523="","",$M$523)))</f>
        <v/>
      </c>
      <c r="AU523" s="1702" t="str">
        <f>IF(TCATrigger="No","",IF(FourPercentTrigger="No","",IF($N$523="","",$N$523)))</f>
        <v/>
      </c>
      <c r="AV523" s="1702" t="str">
        <f>IF(TCATrigger="No","",IF(FourPercentTrigger="No","",IF($O$523="","",$O$523)))</f>
        <v/>
      </c>
      <c r="AW523" s="1702" t="str">
        <f>IF(TCATrigger="No","",IF(FourPercentTrigger="No","",IF($P$523="","",$P$523)))</f>
        <v/>
      </c>
      <c r="BQ523" s="1685"/>
      <c r="BW523" s="1702" t="s">
        <v>1190</v>
      </c>
    </row>
    <row r="524" spans="1:75" ht="15">
      <c r="A524" s="1685"/>
      <c r="B524" s="1685"/>
      <c r="C524" s="1685"/>
      <c r="D524" s="1685"/>
      <c r="E524" s="1685"/>
      <c r="F524" s="1685"/>
      <c r="G524" s="1751" t="s">
        <v>1191</v>
      </c>
      <c r="H524" s="1701">
        <v>6729</v>
      </c>
      <c r="I524" s="1701" t="str">
        <f>IF(rng02_Expense_TaxesInsurance_OtherIns="","",rng02_Expense_TaxesInsurance_OtherIns)</f>
        <v/>
      </c>
      <c r="J524" s="1701">
        <v>0</v>
      </c>
      <c r="K524" s="1701"/>
      <c r="L524" s="1701">
        <v>0</v>
      </c>
      <c r="M524" s="1701">
        <v>0</v>
      </c>
      <c r="N524" s="1701">
        <v>0</v>
      </c>
      <c r="O524" s="1701">
        <v>0</v>
      </c>
      <c r="P524" s="1701">
        <v>0</v>
      </c>
      <c r="Q524" s="1685"/>
      <c r="R524" s="1685"/>
      <c r="S524" s="1685"/>
      <c r="T524" s="1685"/>
      <c r="U524" s="1685"/>
      <c r="V524" s="1685"/>
      <c r="W524" s="1685"/>
      <c r="X524" s="1685"/>
      <c r="Y524" s="1685"/>
      <c r="Z524" s="1685"/>
      <c r="AA524" s="1685"/>
      <c r="AB524" s="1685"/>
      <c r="AC524" s="1685"/>
      <c r="AD524" s="2069"/>
      <c r="AE524" s="2073"/>
      <c r="AF524" s="1685"/>
      <c r="AG524" s="1685"/>
      <c r="AM524" s="1702" t="s">
        <v>1191</v>
      </c>
      <c r="AN524" s="1702">
        <v>6729</v>
      </c>
      <c r="AO524" s="1702" t="str">
        <f t="shared" si="102"/>
        <v/>
      </c>
      <c r="AP524" s="1702" t="str">
        <f t="shared" si="103"/>
        <v/>
      </c>
      <c r="AQ524" s="1702" t="str">
        <f>IF(TCATrigger="No","",IF(FourPercentTrigger="No","",IF($J$524="","",$J$524)))</f>
        <v/>
      </c>
      <c r="AR524" s="1702" t="str">
        <f>IF(TCATrigger="No","",IF(FourPercentTrigger="No","",IF($K$524="","",$K$524)))</f>
        <v/>
      </c>
      <c r="AS524" s="1702" t="str">
        <f>IF(TCATrigger="No","",IF(FourPercentTrigger="No","",IF($L$524="","",$L$524)))</f>
        <v/>
      </c>
      <c r="AT524" s="1702" t="str">
        <f>IF(TCATrigger="No","",IF(FourPercentTrigger="No","",IF($M$524="","",$M$524)))</f>
        <v/>
      </c>
      <c r="AU524" s="1702" t="str">
        <f>IF(TCATrigger="No","",IF(FourPercentTrigger="No","",IF($N$524="","",$N$524)))</f>
        <v/>
      </c>
      <c r="AV524" s="1702" t="str">
        <f>IF(TCATrigger="No","",IF(FourPercentTrigger="No","",IF($O$524="","",$O$524)))</f>
        <v/>
      </c>
      <c r="AW524" s="1702" t="str">
        <f>IF(TCATrigger="No","",IF(FourPercentTrigger="No","",IF($P$524="","",$P$524)))</f>
        <v/>
      </c>
      <c r="BQ524" s="1685"/>
      <c r="BW524" s="1702" t="s">
        <v>1191</v>
      </c>
    </row>
    <row r="525" spans="1:75" ht="15">
      <c r="A525" s="1685"/>
      <c r="B525" s="1685"/>
      <c r="C525" s="1685"/>
      <c r="D525" s="1685"/>
      <c r="E525" s="1685"/>
      <c r="F525" s="1685"/>
      <c r="G525" s="1751" t="s">
        <v>1192</v>
      </c>
      <c r="H525" s="1701">
        <v>6790</v>
      </c>
      <c r="I525" s="1701" t="str">
        <f>IF(rng02_Expense_TaxesInsurance_Misc="","",rng02_Expense_TaxesInsurance_Misc)</f>
        <v/>
      </c>
      <c r="J525" s="1701">
        <v>0</v>
      </c>
      <c r="K525" s="1701"/>
      <c r="L525" s="1701">
        <v>0</v>
      </c>
      <c r="M525" s="1701">
        <v>0</v>
      </c>
      <c r="N525" s="1701">
        <v>0</v>
      </c>
      <c r="O525" s="1701">
        <v>0</v>
      </c>
      <c r="P525" s="1701">
        <v>0</v>
      </c>
      <c r="Q525" s="1685"/>
      <c r="R525" s="1685"/>
      <c r="S525" s="1685"/>
      <c r="T525" s="1685"/>
      <c r="U525" s="1685"/>
      <c r="V525" s="1685"/>
      <c r="W525" s="1685"/>
      <c r="X525" s="1685"/>
      <c r="Y525" s="1685"/>
      <c r="Z525" s="1685"/>
      <c r="AA525" s="1685"/>
      <c r="AB525" s="1685"/>
      <c r="AC525" s="1685"/>
      <c r="AD525" s="2069"/>
      <c r="AE525" s="2073"/>
      <c r="AF525" s="1685"/>
      <c r="AG525" s="1685"/>
      <c r="AM525" s="1760" t="s">
        <v>1192</v>
      </c>
      <c r="AN525" s="1702">
        <v>6790</v>
      </c>
      <c r="AO525" s="1702" t="str">
        <f t="shared" si="102"/>
        <v/>
      </c>
      <c r="AP525" s="1760"/>
      <c r="AQ525" s="1702" t="str">
        <f>IF(TCATrigger="No","",IF(FourPercentTrigger="No","",IF($J$525="","",$J$525)))</f>
        <v/>
      </c>
      <c r="AR525" s="1702" t="str">
        <f>IF(TCATrigger="No","",IF(FourPercentTrigger="No","",IF($K$525="","",$K$525)))</f>
        <v/>
      </c>
      <c r="AS525" s="1702" t="str">
        <f>IF(TCATrigger="No","",IF(FourPercentTrigger="No","",IF($L$525="","",$L$525)))</f>
        <v/>
      </c>
      <c r="AT525" s="1702" t="str">
        <f>IF(TCATrigger="No","",IF(FourPercentTrigger="No","",IF($M$525="","",$M$525)))</f>
        <v/>
      </c>
      <c r="AU525" s="1702" t="str">
        <f>IF(TCATrigger="No","",IF(FourPercentTrigger="No","",IF($N$525="","",$N$525)))</f>
        <v/>
      </c>
      <c r="AV525" s="1702" t="str">
        <f>IF(TCATrigger="No","",IF(FourPercentTrigger="No","",IF($O$525="","",$O$525)))</f>
        <v/>
      </c>
      <c r="AW525" s="1702" t="str">
        <f>IF(TCATrigger="No","",IF(FourPercentTrigger="No","",IF($P$525="","",$P$525)))</f>
        <v/>
      </c>
      <c r="BQ525" s="1685"/>
      <c r="BW525" s="1760" t="s">
        <v>1192</v>
      </c>
    </row>
    <row r="526" spans="1:75" ht="15">
      <c r="A526" s="1685"/>
      <c r="B526" s="1685"/>
      <c r="C526" s="1685"/>
      <c r="D526" s="1685"/>
      <c r="E526" s="1685"/>
      <c r="F526" s="1685"/>
      <c r="G526" s="1701" t="s">
        <v>1193</v>
      </c>
      <c r="H526" s="1701"/>
      <c r="I526" s="1701">
        <f>IF(rng02_Expense_TaxesInsurance_TotTaxesInsurance="","",rng02_Expense_TaxesInsurance_TotTaxesInsurance)</f>
        <v>0</v>
      </c>
      <c r="J526" s="1701">
        <v>0</v>
      </c>
      <c r="K526" s="1701">
        <v>0</v>
      </c>
      <c r="L526" s="1701">
        <v>0</v>
      </c>
      <c r="M526" s="1701">
        <v>0</v>
      </c>
      <c r="N526" s="1701">
        <v>0</v>
      </c>
      <c r="O526" s="1701">
        <v>0</v>
      </c>
      <c r="P526" s="1701">
        <v>0</v>
      </c>
      <c r="Q526" s="1685"/>
      <c r="R526" s="1685"/>
      <c r="S526" s="1685"/>
      <c r="T526" s="1685"/>
      <c r="U526" s="1685"/>
      <c r="V526" s="1685"/>
      <c r="W526" s="1685"/>
      <c r="X526" s="1685"/>
      <c r="Y526" s="1685"/>
      <c r="Z526" s="1685"/>
      <c r="AA526" s="1685"/>
      <c r="AB526" s="1685"/>
      <c r="AC526" s="1685"/>
      <c r="AD526" s="2069"/>
      <c r="AE526" s="2073"/>
      <c r="AF526" s="1685"/>
      <c r="AG526" s="1685"/>
      <c r="AM526" s="1702" t="s">
        <v>1193</v>
      </c>
      <c r="AN526" s="1702"/>
      <c r="AO526" s="1702" t="str">
        <f>IF(OR(TCATrigger="No",$I$526=""),"",$I$526)</f>
        <v/>
      </c>
      <c r="AP526" s="1702" t="str">
        <f t="shared" si="103"/>
        <v/>
      </c>
      <c r="AQ526" s="1702" t="str">
        <f>IF(TCATrigger="No","",IF(FourPercentTrigger="No","",IF($J$526="","",$J$526)))</f>
        <v/>
      </c>
      <c r="AR526" s="1702" t="str">
        <f>IF(TCATrigger="No","",IF(FourPercentTrigger="No","",IF($K$526="","",$K$526)))</f>
        <v/>
      </c>
      <c r="AS526" s="1702" t="str">
        <f>IF(TCATrigger="No","",IF(FourPercentTrigger="No","",IF($L$526="","",$L$526)))</f>
        <v/>
      </c>
      <c r="AT526" s="1702" t="str">
        <f>IF(TCATrigger="No","",IF(FourPercentTrigger="No","",IF($M$526="","",$M$526)))</f>
        <v/>
      </c>
      <c r="AU526" s="1702" t="str">
        <f>IF(TCATrigger="No","",IF(FourPercentTrigger="No","",IF($N$526="","",$N$526)))</f>
        <v/>
      </c>
      <c r="AV526" s="1702" t="str">
        <f>IF(TCATrigger="No","",IF(FourPercentTrigger="No","",IF($O$526="","",$O$526)))</f>
        <v/>
      </c>
      <c r="AW526" s="1702" t="str">
        <f>IF(TCATrigger="No","",IF(FourPercentTrigger="No","",IF($P$526="","",$P$526)))</f>
        <v/>
      </c>
      <c r="BQ526" s="1685"/>
      <c r="BW526" s="1702" t="s">
        <v>1193</v>
      </c>
    </row>
    <row r="527" spans="1:75" ht="15">
      <c r="A527" s="1685"/>
      <c r="B527" s="1685"/>
      <c r="C527" s="1685"/>
      <c r="D527" s="1685"/>
      <c r="E527" s="1685"/>
      <c r="F527" s="1685"/>
      <c r="G527" s="1701"/>
      <c r="H527" s="1701"/>
      <c r="I527" s="1701"/>
      <c r="J527" s="1701"/>
      <c r="K527" s="1701"/>
      <c r="L527" s="1701"/>
      <c r="M527" s="1701"/>
      <c r="N527" s="1701"/>
      <c r="O527" s="1701"/>
      <c r="P527" s="1701"/>
      <c r="Q527" s="1685"/>
      <c r="R527" s="1685"/>
      <c r="S527" s="1685"/>
      <c r="T527" s="1685"/>
      <c r="U527" s="1685"/>
      <c r="V527" s="1685"/>
      <c r="W527" s="1685"/>
      <c r="X527" s="1685"/>
      <c r="Y527" s="1685"/>
      <c r="Z527" s="1685"/>
      <c r="AA527" s="1685"/>
      <c r="AB527" s="1685"/>
      <c r="AC527" s="1685"/>
      <c r="AD527" s="2069"/>
      <c r="AE527" s="2073"/>
      <c r="AF527" s="1685"/>
      <c r="AG527" s="1685"/>
      <c r="AV527" s="1683"/>
      <c r="BI527" s="1683"/>
      <c r="BQ527" s="1685"/>
    </row>
    <row r="528" spans="1:75" ht="15">
      <c r="A528" s="1685"/>
      <c r="B528" s="1685"/>
      <c r="C528" s="1685"/>
      <c r="D528" s="1685"/>
      <c r="E528" s="1685"/>
      <c r="F528" s="1685"/>
      <c r="G528" s="1701" t="s">
        <v>1123</v>
      </c>
      <c r="H528" s="1701">
        <v>6900</v>
      </c>
      <c r="I528" s="1701">
        <v>0</v>
      </c>
      <c r="J528" s="1701">
        <v>0</v>
      </c>
      <c r="K528" s="1701">
        <v>0</v>
      </c>
      <c r="L528" s="1701">
        <v>0</v>
      </c>
      <c r="M528" s="1701">
        <v>0</v>
      </c>
      <c r="N528" s="1701">
        <v>0</v>
      </c>
      <c r="O528" s="1701">
        <v>0</v>
      </c>
      <c r="P528" s="1701">
        <v>0</v>
      </c>
      <c r="Q528" s="1685"/>
      <c r="R528" s="1685"/>
      <c r="S528" s="1685"/>
      <c r="T528" s="1685"/>
      <c r="U528" s="1685"/>
      <c r="V528" s="1685"/>
      <c r="W528" s="1685"/>
      <c r="X528" s="1685"/>
      <c r="Y528" s="1685"/>
      <c r="Z528" s="1685"/>
      <c r="AA528" s="1685"/>
      <c r="AB528" s="1685"/>
      <c r="AC528" s="1685"/>
      <c r="AD528" s="2069"/>
      <c r="AE528" s="2073"/>
      <c r="AF528" s="1685"/>
      <c r="AG528" s="1685"/>
      <c r="AM528" s="1702" t="s">
        <v>1123</v>
      </c>
      <c r="AN528" s="1702">
        <v>6900</v>
      </c>
      <c r="AO528" s="1702" t="str">
        <f>IF(TCATrigger="No","",$I528)</f>
        <v/>
      </c>
      <c r="AP528" s="1702" t="str">
        <f>IF(AO528="","",AO528)</f>
        <v/>
      </c>
      <c r="AQ528" s="1702" t="str">
        <f>IF(TCATrigger="No","",IF(FourPercentTrigger="No","",IF($J$528="","",$J$528)))</f>
        <v/>
      </c>
      <c r="AR528" s="1702" t="str">
        <f>IF(TCATrigger="No","",IF(FourPercentTrigger="No","",IF($K$528="","",$K$528)))</f>
        <v/>
      </c>
      <c r="AS528" s="1702" t="str">
        <f>IF(TCATrigger="No","",IF(FourPercentTrigger="No","",IF($L$528="","",$L$528)))</f>
        <v/>
      </c>
      <c r="AT528" s="1702" t="str">
        <f>IF(TCATrigger="No","",IF(FourPercentTrigger="No","",IF($M$528="","",$M$528)))</f>
        <v/>
      </c>
      <c r="AU528" s="1702" t="str">
        <f>IF(TCATrigger="No","",IF(FourPercentTrigger="No","",IF($N$528="","",$N$528)))</f>
        <v/>
      </c>
      <c r="AV528" s="1702" t="str">
        <f>IF(TCATrigger="No","",IF(FourPercentTrigger="No","",IF($O$528="","",$O$528)))</f>
        <v/>
      </c>
      <c r="AW528" s="1702" t="str">
        <f>IF(TCATrigger="No","",IF(FourPercentTrigger="No","",IF($P$528="","",$P$528)))</f>
        <v/>
      </c>
      <c r="BQ528" s="1685"/>
      <c r="BW528" s="1702" t="s">
        <v>1123</v>
      </c>
    </row>
    <row r="529" spans="1:75" ht="15">
      <c r="A529" s="1685"/>
      <c r="B529" s="1685"/>
      <c r="C529" s="1685"/>
      <c r="D529" s="1685"/>
      <c r="E529" s="1685"/>
      <c r="F529" s="1685"/>
      <c r="G529" s="1701"/>
      <c r="H529" s="1701"/>
      <c r="I529" s="1701"/>
      <c r="J529" s="1701"/>
      <c r="K529" s="1701"/>
      <c r="L529" s="1701"/>
      <c r="M529" s="1701"/>
      <c r="N529" s="1701"/>
      <c r="O529" s="1701"/>
      <c r="P529" s="1701"/>
      <c r="Q529" s="1685"/>
      <c r="R529" s="1685"/>
      <c r="S529" s="1685"/>
      <c r="T529" s="1685"/>
      <c r="U529" s="1685"/>
      <c r="V529" s="1685"/>
      <c r="W529" s="1685"/>
      <c r="X529" s="1685"/>
      <c r="Y529" s="1685"/>
      <c r="Z529" s="1685"/>
      <c r="AA529" s="1685"/>
      <c r="AB529" s="1685"/>
      <c r="AC529" s="1685"/>
      <c r="AD529" s="2069"/>
      <c r="AE529" s="2073"/>
      <c r="AF529" s="1685"/>
      <c r="AG529" s="1685"/>
      <c r="BQ529" s="1685"/>
    </row>
    <row r="530" spans="1:75" ht="15">
      <c r="A530" s="1685"/>
      <c r="B530" s="1685"/>
      <c r="C530" s="1685"/>
      <c r="D530" s="1685"/>
      <c r="E530" s="1685"/>
      <c r="F530" s="1685"/>
      <c r="G530" s="1701" t="s">
        <v>1194</v>
      </c>
      <c r="H530" s="1701"/>
      <c r="I530" s="1701" t="str">
        <f>IF(rng02_Expense_ReplacementReserves="","",rng02_Expense_ReplacementReserves)</f>
        <v/>
      </c>
      <c r="J530" s="1701">
        <v>0</v>
      </c>
      <c r="K530" s="1701"/>
      <c r="L530" s="1701">
        <v>0</v>
      </c>
      <c r="M530" s="1701">
        <v>0</v>
      </c>
      <c r="N530" s="1701">
        <v>0</v>
      </c>
      <c r="O530" s="1701">
        <v>0</v>
      </c>
      <c r="P530" s="1701">
        <v>0</v>
      </c>
      <c r="Q530" s="1685"/>
      <c r="R530" s="1685"/>
      <c r="S530" s="1685"/>
      <c r="T530" s="1685"/>
      <c r="U530" s="1685"/>
      <c r="V530" s="1685"/>
      <c r="W530" s="1685"/>
      <c r="X530" s="1685"/>
      <c r="Y530" s="1685"/>
      <c r="Z530" s="1685"/>
      <c r="AA530" s="1685"/>
      <c r="AB530" s="1685"/>
      <c r="AC530" s="1685"/>
      <c r="AD530" s="2069"/>
      <c r="AE530" s="2073"/>
      <c r="AF530" s="1685"/>
      <c r="AG530" s="1685"/>
      <c r="AM530" s="1702" t="s">
        <v>1194</v>
      </c>
      <c r="AN530" s="1702"/>
      <c r="AO530" s="1702" t="str">
        <f>IF(TCATrigger="No","",$I530)</f>
        <v/>
      </c>
      <c r="AP530" s="1702" t="str">
        <f>IF(AO530="","",AO530)</f>
        <v/>
      </c>
      <c r="AQ530" s="1702" t="str">
        <f>IF(TCATrigger="No","",IF(FourPercentTrigger="No","",IF($J$530="","",$J$530)))</f>
        <v/>
      </c>
      <c r="AR530" s="1702" t="str">
        <f>IF(TCATrigger="No","",IF(FourPercentTrigger="No","",IF($K$530="","",$K$530)))</f>
        <v/>
      </c>
      <c r="AS530" s="1702" t="str">
        <f>IF(TCATrigger="No","",IF(FourPercentTrigger="No","",IF($L$530="","",$L$530)))</f>
        <v/>
      </c>
      <c r="AT530" s="1702" t="str">
        <f>IF(TCATrigger="No","",IF(FourPercentTrigger="No","",IF($M$530="","",$M$530)))</f>
        <v/>
      </c>
      <c r="AU530" s="1702" t="str">
        <f>IF(TCATrigger="No","",IF(FourPercentTrigger="No","",IF($N$530="","",$N$530)))</f>
        <v/>
      </c>
      <c r="AV530" s="1702" t="str">
        <f>IF(TCATrigger="No","",IF(FourPercentTrigger="No","",IF($O$530="","",$O$530)))</f>
        <v/>
      </c>
      <c r="AW530" s="1702" t="str">
        <f>IF(TCATrigger="No","",IF(FourPercentTrigger="No","",IF($P$530="","",$P$530)))</f>
        <v/>
      </c>
      <c r="BQ530" s="1685"/>
      <c r="BW530" s="1702" t="s">
        <v>1194</v>
      </c>
    </row>
    <row r="531" spans="1:75" ht="15">
      <c r="A531" s="1685"/>
      <c r="B531" s="1685"/>
      <c r="C531" s="1685"/>
      <c r="D531" s="1685"/>
      <c r="E531" s="1685"/>
      <c r="F531" s="1685"/>
      <c r="G531" s="1701"/>
      <c r="H531" s="1701"/>
      <c r="I531" s="1701"/>
      <c r="J531" s="1701"/>
      <c r="K531" s="1701"/>
      <c r="L531" s="1701"/>
      <c r="M531" s="1701"/>
      <c r="N531" s="1701"/>
      <c r="O531" s="1701"/>
      <c r="P531" s="1701"/>
      <c r="Q531" s="1685"/>
      <c r="R531" s="1685"/>
      <c r="S531" s="1685"/>
      <c r="T531" s="1685"/>
      <c r="U531" s="1685"/>
      <c r="V531" s="1685"/>
      <c r="W531" s="1685"/>
      <c r="X531" s="1685"/>
      <c r="Y531" s="1685"/>
      <c r="Z531" s="1685"/>
      <c r="AA531" s="1685"/>
      <c r="AB531" s="1685"/>
      <c r="AC531" s="1685"/>
      <c r="AD531" s="2069"/>
      <c r="AE531" s="2073"/>
      <c r="AF531" s="1685"/>
      <c r="AG531" s="1685"/>
      <c r="BQ531" s="1685"/>
    </row>
    <row r="532" spans="1:75" ht="15">
      <c r="A532" s="1685"/>
      <c r="B532" s="1685"/>
      <c r="C532" s="1685"/>
      <c r="D532" s="1685"/>
      <c r="E532" s="1685"/>
      <c r="F532" s="1685"/>
      <c r="G532" s="1701" t="s">
        <v>1195</v>
      </c>
      <c r="H532" s="1701"/>
      <c r="I532" s="1701">
        <f>IF(rng02_Expense_TotalNetOperatingExpenses="","",rng02_Expense_TotalNetOperatingExpenses)</f>
        <v>0</v>
      </c>
      <c r="J532" s="1701">
        <v>0</v>
      </c>
      <c r="K532" s="1701">
        <v>0</v>
      </c>
      <c r="L532" s="1701">
        <v>0</v>
      </c>
      <c r="M532" s="1701">
        <v>0</v>
      </c>
      <c r="N532" s="1701">
        <v>0</v>
      </c>
      <c r="O532" s="1701">
        <v>0</v>
      </c>
      <c r="P532" s="1701">
        <v>0</v>
      </c>
      <c r="Q532" s="1685"/>
      <c r="R532" s="1685"/>
      <c r="S532" s="1685"/>
      <c r="T532" s="1685"/>
      <c r="U532" s="1685"/>
      <c r="V532" s="1685"/>
      <c r="W532" s="1685"/>
      <c r="X532" s="1685"/>
      <c r="Y532" s="1685"/>
      <c r="Z532" s="1685"/>
      <c r="AA532" s="1685"/>
      <c r="AB532" s="1685"/>
      <c r="AC532" s="1685"/>
      <c r="AD532" s="2069"/>
      <c r="AE532" s="2073"/>
      <c r="AF532" s="1685"/>
      <c r="AG532" s="1685"/>
      <c r="AM532" s="1702" t="s">
        <v>1195</v>
      </c>
      <c r="AN532" s="1702"/>
      <c r="AO532" s="1702" t="str">
        <f>IF(TCATrigger="No","",$I532)</f>
        <v/>
      </c>
      <c r="AP532" s="1702" t="str">
        <f t="shared" ref="AP532:AP533" si="104">IF(AO532="","",AO532)</f>
        <v/>
      </c>
      <c r="AQ532" s="1702" t="str">
        <f>IF(TCATrigger="No","",IF(FourPercentTrigger="No","",IF($J$532="","",$J$532)))</f>
        <v/>
      </c>
      <c r="AR532" s="1702" t="str">
        <f>IF(TCATrigger="No","",IF(FourPercentTrigger="No","",IF($K$532="","",$K$532)))</f>
        <v/>
      </c>
      <c r="AS532" s="1702" t="str">
        <f>IF(TCATrigger="No","",IF(FourPercentTrigger="No","",IF($L$532="","",$L$532)))</f>
        <v/>
      </c>
      <c r="AT532" s="1702" t="str">
        <f>IF(TCATrigger="No","",IF(FourPercentTrigger="No","",IF($M$532="","",$M$532)))</f>
        <v/>
      </c>
      <c r="AU532" s="1702" t="str">
        <f>IF(TCATrigger="No","",IF(FourPercentTrigger="No","",IF($N$532="","",$N$532)))</f>
        <v/>
      </c>
      <c r="AV532" s="1702" t="str">
        <f>IF(TCATrigger="No","",IF(FourPercentTrigger="No","",IF($O$532="","",$O$532)))</f>
        <v/>
      </c>
      <c r="AW532" s="1702" t="str">
        <f>IF(TCATrigger="No","",IF(FourPercentTrigger="No","",IF($P$532="","",$P$532)))</f>
        <v/>
      </c>
      <c r="BQ532" s="1685"/>
      <c r="BW532" s="1702" t="s">
        <v>1195</v>
      </c>
    </row>
    <row r="533" spans="1:75" ht="15">
      <c r="A533" s="1685"/>
      <c r="B533" s="1685"/>
      <c r="C533" s="1685"/>
      <c r="D533" s="1685"/>
      <c r="E533" s="1685"/>
      <c r="F533" s="1685"/>
      <c r="G533" s="1701" t="s">
        <v>1196</v>
      </c>
      <c r="H533" s="1701"/>
      <c r="I533" s="1701">
        <f>IF(rng02_Expense_NetOperatingIncome="","",rng02_Expense_NetOperatingIncome)</f>
        <v>0</v>
      </c>
      <c r="J533" s="1701">
        <v>0</v>
      </c>
      <c r="K533" s="1701">
        <v>0</v>
      </c>
      <c r="L533" s="1701">
        <v>0</v>
      </c>
      <c r="M533" s="1701"/>
      <c r="N533" s="1701"/>
      <c r="O533" s="1701">
        <v>0</v>
      </c>
      <c r="P533" s="1701">
        <v>0</v>
      </c>
      <c r="Q533" s="1685"/>
      <c r="R533" s="1685"/>
      <c r="S533" s="1685"/>
      <c r="T533" s="1685"/>
      <c r="U533" s="1685"/>
      <c r="V533" s="1685"/>
      <c r="W533" s="1685"/>
      <c r="X533" s="1685"/>
      <c r="Y533" s="1685"/>
      <c r="Z533" s="1685"/>
      <c r="AA533" s="1685"/>
      <c r="AB533" s="1685"/>
      <c r="AC533" s="1685"/>
      <c r="AD533" s="2069"/>
      <c r="AE533" s="2073"/>
      <c r="AF533" s="1685"/>
      <c r="AG533" s="1685"/>
      <c r="AM533" s="1702" t="s">
        <v>1196</v>
      </c>
      <c r="AN533" s="1702"/>
      <c r="AO533" s="1702" t="str">
        <f>IF(TCATrigger="No","",$I533)</f>
        <v/>
      </c>
      <c r="AP533" s="1702" t="str">
        <f t="shared" si="104"/>
        <v/>
      </c>
      <c r="AQ533" s="1702" t="str">
        <f>IF(TCATrigger="No","",IF(FourPercentTrigger="No","",IF($J$533="","",$J$533)))</f>
        <v/>
      </c>
      <c r="AR533" s="1702" t="str">
        <f>IF(TCATrigger="No","",IF(FourPercentTrigger="No","",IF($K$533="","",$K$533)))</f>
        <v/>
      </c>
      <c r="AS533" s="1702" t="str">
        <f>IF(TCATrigger="No","",IF(FourPercentTrigger="No","",IF($L$533="","",$L$533)))</f>
        <v/>
      </c>
      <c r="AT533" s="1702" t="str">
        <f>IF(TCATrigger="No","",IF(FourPercentTrigger="No","",IF($M$533="","",$M$533)))</f>
        <v/>
      </c>
      <c r="AU533" s="1702" t="str">
        <f>IF(TCATrigger="No","",IF(FourPercentTrigger="No","",IF($N$533="","",$N$533)))</f>
        <v/>
      </c>
      <c r="AV533" s="1702" t="str">
        <f>IF(TCATrigger="No","",IF(FourPercentTrigger="No","",IF($O$533="","",$O$533)))</f>
        <v/>
      </c>
      <c r="AW533" s="1702" t="str">
        <f>IF(TCATrigger="No","",IF(FourPercentTrigger="No","",IF($P$533="","",$P$533)))</f>
        <v/>
      </c>
      <c r="BQ533" s="1685"/>
      <c r="BW533" s="1702" t="s">
        <v>1196</v>
      </c>
    </row>
    <row r="534" spans="1:75" ht="15">
      <c r="A534" s="1685"/>
      <c r="B534" s="1685"/>
      <c r="C534" s="1685"/>
      <c r="D534" s="1685"/>
      <c r="E534" s="1685"/>
      <c r="F534" s="1685"/>
      <c r="G534" s="1701"/>
      <c r="H534" s="1701"/>
      <c r="I534" s="1701"/>
      <c r="J534" s="1701"/>
      <c r="K534" s="1701"/>
      <c r="L534" s="1701"/>
      <c r="M534" s="1701"/>
      <c r="N534" s="1701"/>
      <c r="O534" s="1701"/>
      <c r="P534" s="1701"/>
      <c r="Q534" s="1685"/>
      <c r="R534" s="1685"/>
      <c r="S534" s="1685"/>
      <c r="T534" s="1685"/>
      <c r="U534" s="1685"/>
      <c r="V534" s="1685"/>
      <c r="W534" s="1685"/>
      <c r="X534" s="1685"/>
      <c r="Y534" s="1685"/>
      <c r="Z534" s="1685"/>
      <c r="AA534" s="1685"/>
      <c r="AB534" s="1685"/>
      <c r="AC534" s="1685"/>
      <c r="AD534" s="2069"/>
      <c r="AE534" s="2073"/>
      <c r="AF534" s="1685"/>
      <c r="AG534" s="1685"/>
      <c r="BQ534" s="1685"/>
    </row>
    <row r="535" spans="1:75" ht="15">
      <c r="A535" s="1685"/>
      <c r="B535" s="1685"/>
      <c r="C535" s="1685"/>
      <c r="D535" s="1685"/>
      <c r="E535" s="1685"/>
      <c r="F535" s="1685"/>
      <c r="G535" s="1701" t="s">
        <v>1197</v>
      </c>
      <c r="H535" s="1701"/>
      <c r="I535" s="1701"/>
      <c r="J535" s="1701"/>
      <c r="K535" s="1701"/>
      <c r="L535" s="1701"/>
      <c r="M535" s="1701"/>
      <c r="N535" s="1701"/>
      <c r="O535" s="1701"/>
      <c r="P535" s="1701"/>
      <c r="Q535" s="1685"/>
      <c r="R535" s="1685"/>
      <c r="S535" s="1685"/>
      <c r="T535" s="1685"/>
      <c r="U535" s="1685"/>
      <c r="V535" s="1685"/>
      <c r="W535" s="1685"/>
      <c r="X535" s="1685"/>
      <c r="Y535" s="1685"/>
      <c r="Z535" s="1685"/>
      <c r="AA535" s="1685"/>
      <c r="AB535" s="1685"/>
      <c r="AC535" s="1685"/>
      <c r="AD535" s="2069"/>
      <c r="AE535" s="2073"/>
      <c r="AF535" s="1685"/>
      <c r="AG535" s="1685"/>
      <c r="AM535" s="1677" t="s">
        <v>1197</v>
      </c>
      <c r="BQ535" s="1685"/>
      <c r="BW535" s="1677" t="s">
        <v>1197</v>
      </c>
    </row>
    <row r="536" spans="1:75" ht="15">
      <c r="A536" s="1685"/>
      <c r="B536" s="1685"/>
      <c r="C536" s="1685"/>
      <c r="D536" s="1685"/>
      <c r="E536" s="1685"/>
      <c r="F536" s="1685"/>
      <c r="G536" s="1751" t="s">
        <v>1198</v>
      </c>
      <c r="H536" s="1701"/>
      <c r="I536" s="1701">
        <f>IF(rng02_Expense_DebtServiceFirstMortgageDebtSrvc="","",rng02_Expense_DebtServiceFirstMortgageDebtSrvc)</f>
        <v>0</v>
      </c>
      <c r="J536" s="1701">
        <v>0</v>
      </c>
      <c r="K536" s="1701"/>
      <c r="L536" s="1701">
        <v>0</v>
      </c>
      <c r="M536" s="1701"/>
      <c r="N536" s="1701"/>
      <c r="O536" s="1701">
        <v>0</v>
      </c>
      <c r="P536" s="1701">
        <v>0</v>
      </c>
      <c r="Q536" s="1685"/>
      <c r="R536" s="1685"/>
      <c r="S536" s="1685"/>
      <c r="T536" s="1685"/>
      <c r="U536" s="1685"/>
      <c r="V536" s="1685"/>
      <c r="W536" s="1685"/>
      <c r="X536" s="1685"/>
      <c r="Y536" s="1685"/>
      <c r="Z536" s="1685"/>
      <c r="AA536" s="1685"/>
      <c r="AB536" s="1685"/>
      <c r="AC536" s="1685"/>
      <c r="AD536" s="2069"/>
      <c r="AE536" s="2073"/>
      <c r="AF536" s="1685"/>
      <c r="AG536" s="1685"/>
      <c r="AM536" s="1702" t="s">
        <v>1198</v>
      </c>
      <c r="AN536" s="1702"/>
      <c r="AO536" s="1702" t="str">
        <f>IF(TCATrigger="No","",$I536)</f>
        <v/>
      </c>
      <c r="AP536" s="1702" t="str">
        <f t="shared" ref="AP536:AP540" si="105">IF(AO536="","",AO536)</f>
        <v/>
      </c>
      <c r="AQ536" s="1702" t="str">
        <f>IF(TCATrigger="No","",IF(FourPercentTrigger="No","",IF($J$536="","",$J$536)))</f>
        <v/>
      </c>
      <c r="AR536" s="1702" t="str">
        <f>IF(TCATrigger="No","",IF(FourPercentTrigger="No","",IF($K$536="","",$K$536)))</f>
        <v/>
      </c>
      <c r="AS536" s="1702" t="str">
        <f>IF(TCATrigger="No","",IF(FourPercentTrigger="No","",IF($L$536="","",$L$536)))</f>
        <v/>
      </c>
      <c r="AT536" s="1702" t="str">
        <f>IF(TCATrigger="No","",IF(FourPercentTrigger="No","",IF($M$536="","",$M$536)))</f>
        <v/>
      </c>
      <c r="AU536" s="1702" t="str">
        <f>IF(TCATrigger="No","",IF(FourPercentTrigger="No","",IF($N$536="","",$N$536)))</f>
        <v/>
      </c>
      <c r="AV536" s="1702" t="str">
        <f>IF(TCATrigger="No","",IF(FourPercentTrigger="No","",IF($O$536="","",$O$536)))</f>
        <v/>
      </c>
      <c r="AW536" s="1702" t="str">
        <f>IF(TCATrigger="No","",IF(FourPercentTrigger="No","",IF($P$536="","",$P$536)))</f>
        <v/>
      </c>
      <c r="BQ536" s="1685"/>
      <c r="BW536" s="1702" t="s">
        <v>1198</v>
      </c>
    </row>
    <row r="537" spans="1:75" ht="15">
      <c r="A537" s="1685"/>
      <c r="B537" s="1685"/>
      <c r="C537" s="1685"/>
      <c r="D537" s="1685"/>
      <c r="E537" s="1685"/>
      <c r="F537" s="1685"/>
      <c r="G537" s="1751" t="s">
        <v>1199</v>
      </c>
      <c r="H537" s="1701"/>
      <c r="I537" s="1701">
        <f>IF(rng02_Expense_DebtServiceFirstMortgageInPremium="","",rng02_Expense_DebtServiceFirstMortgageInPremium)</f>
        <v>0</v>
      </c>
      <c r="J537" s="1701">
        <v>0</v>
      </c>
      <c r="K537" s="1701"/>
      <c r="L537" s="1701">
        <v>0</v>
      </c>
      <c r="M537" s="1701"/>
      <c r="N537" s="1701"/>
      <c r="O537" s="1701">
        <v>0</v>
      </c>
      <c r="P537" s="1701">
        <v>0</v>
      </c>
      <c r="Q537" s="1685"/>
      <c r="R537" s="1685"/>
      <c r="S537" s="1685"/>
      <c r="T537" s="1685"/>
      <c r="U537" s="1685"/>
      <c r="V537" s="1685"/>
      <c r="W537" s="1685"/>
      <c r="X537" s="1685"/>
      <c r="Y537" s="1685"/>
      <c r="Z537" s="1685"/>
      <c r="AA537" s="1685"/>
      <c r="AB537" s="1685"/>
      <c r="AC537" s="1685"/>
      <c r="AD537" s="2069"/>
      <c r="AE537" s="2073"/>
      <c r="AF537" s="1685"/>
      <c r="AG537" s="1685"/>
      <c r="AM537" s="1702" t="s">
        <v>1199</v>
      </c>
      <c r="AN537" s="1702"/>
      <c r="AO537" s="1702" t="str">
        <f>IF(TCATrigger="No","",$I537)</f>
        <v/>
      </c>
      <c r="AP537" s="1702" t="str">
        <f t="shared" si="105"/>
        <v/>
      </c>
      <c r="AQ537" s="1702" t="str">
        <f>IF(TCATrigger="No","",IF(FourPercentTrigger="No","",IF($J$537="","",$J$537)))</f>
        <v/>
      </c>
      <c r="AR537" s="1702" t="str">
        <f>IF(TCATrigger="No","",IF(FourPercentTrigger="No","",IF($K$537="","",$K$537)))</f>
        <v/>
      </c>
      <c r="AS537" s="1702" t="str">
        <f>IF(TCATrigger="No","",IF(FourPercentTrigger="No","",IF($L$537="","",$L$537)))</f>
        <v/>
      </c>
      <c r="AT537" s="1702" t="str">
        <f>IF(TCATrigger="No","",IF(FourPercentTrigger="No","",IF($M$537="","",$M$537)))</f>
        <v/>
      </c>
      <c r="AU537" s="1702" t="str">
        <f>IF(TCATrigger="No","",IF(FourPercentTrigger="No","",IF($N$537="","",$N$537)))</f>
        <v/>
      </c>
      <c r="AV537" s="1702" t="str">
        <f>IF(TCATrigger="No","",IF(FourPercentTrigger="No","",IF($O$537="","",$O$537)))</f>
        <v/>
      </c>
      <c r="AW537" s="1702" t="str">
        <f>IF(TCATrigger="No","",IF(FourPercentTrigger="No","",IF($P$537="","",$P$537)))</f>
        <v/>
      </c>
      <c r="BQ537" s="1685"/>
      <c r="BW537" s="1702" t="s">
        <v>1199</v>
      </c>
    </row>
    <row r="538" spans="1:75" ht="15">
      <c r="A538" s="1685"/>
      <c r="B538" s="1685"/>
      <c r="C538" s="1685"/>
      <c r="D538" s="1685"/>
      <c r="E538" s="1685"/>
      <c r="F538" s="1685"/>
      <c r="G538" s="1751" t="s">
        <v>1200</v>
      </c>
      <c r="H538" s="1701"/>
      <c r="I538" s="1701">
        <f>IF(rng02_Expense_DebtServiceSecondMortgageDebtSrvc="","",rng02_Expense_DebtServiceSecondMortgageDebtSrvc)</f>
        <v>0</v>
      </c>
      <c r="J538" s="1701">
        <v>0</v>
      </c>
      <c r="K538" s="1701"/>
      <c r="L538" s="1701">
        <v>0</v>
      </c>
      <c r="M538" s="1701"/>
      <c r="N538" s="1701"/>
      <c r="O538" s="1701">
        <v>0</v>
      </c>
      <c r="P538" s="1701">
        <v>0</v>
      </c>
      <c r="Q538" s="1685"/>
      <c r="R538" s="1685"/>
      <c r="S538" s="1685"/>
      <c r="T538" s="1685"/>
      <c r="U538" s="1685"/>
      <c r="V538" s="1685"/>
      <c r="W538" s="1685"/>
      <c r="X538" s="1685"/>
      <c r="Y538" s="1685"/>
      <c r="Z538" s="1685"/>
      <c r="AA538" s="1685"/>
      <c r="AB538" s="1685"/>
      <c r="AC538" s="1685"/>
      <c r="AD538" s="2069"/>
      <c r="AE538" s="2073"/>
      <c r="AF538" s="1685"/>
      <c r="AG538" s="1685"/>
      <c r="AM538" s="1702" t="s">
        <v>1200</v>
      </c>
      <c r="AN538" s="1702"/>
      <c r="AO538" s="1702" t="str">
        <f>IF(TCATrigger="No","",$I538)</f>
        <v/>
      </c>
      <c r="AP538" s="1702" t="str">
        <f t="shared" si="105"/>
        <v/>
      </c>
      <c r="AQ538" s="1702" t="str">
        <f>IF(TCATrigger="No","",IF(FourPercentTrigger="No","",IF($J$538="","",$J$538)))</f>
        <v/>
      </c>
      <c r="AR538" s="1702" t="str">
        <f>IF(TCATrigger="No","",IF(FourPercentTrigger="No","",IF($K$538="","",$K$538)))</f>
        <v/>
      </c>
      <c r="AS538" s="1702" t="str">
        <f>IF(TCATrigger="No","",IF(FourPercentTrigger="No","",IF($L$538="","",$L$538)))</f>
        <v/>
      </c>
      <c r="AT538" s="1702" t="str">
        <f>IF(TCATrigger="No","",IF(FourPercentTrigger="No","",IF($M$538="","",$M$538)))</f>
        <v/>
      </c>
      <c r="AU538" s="1702" t="str">
        <f>IF(TCATrigger="No","",IF(FourPercentTrigger="No","",IF($N$538="","",$N$538)))</f>
        <v/>
      </c>
      <c r="AV538" s="1702" t="str">
        <f>IF(TCATrigger="No","",IF(FourPercentTrigger="No","",IF($O$538="","",$O$538)))</f>
        <v/>
      </c>
      <c r="AW538" s="1702" t="str">
        <f>IF(TCATrigger="No","",IF(FourPercentTrigger="No","",IF($P$538="","",$P$538)))</f>
        <v/>
      </c>
      <c r="BQ538" s="1685"/>
      <c r="BW538" s="1702" t="s">
        <v>1200</v>
      </c>
    </row>
    <row r="539" spans="1:75" ht="15">
      <c r="A539" s="1685"/>
      <c r="B539" s="1685"/>
      <c r="C539" s="1685"/>
      <c r="D539" s="1685"/>
      <c r="E539" s="1685"/>
      <c r="F539" s="1685"/>
      <c r="G539" s="1751" t="s">
        <v>1201</v>
      </c>
      <c r="H539" s="1701"/>
      <c r="I539" s="1701">
        <f>IF(rng02_Expense_DebtServiceOtherDebtSrvc="","",rng02_Expense_DebtServiceOtherDebtSrvc)</f>
        <v>0</v>
      </c>
      <c r="J539" s="1701">
        <v>0</v>
      </c>
      <c r="K539" s="1701"/>
      <c r="L539" s="1701">
        <v>0</v>
      </c>
      <c r="M539" s="1701"/>
      <c r="N539" s="1701"/>
      <c r="O539" s="1701">
        <v>0</v>
      </c>
      <c r="P539" s="1701">
        <v>0</v>
      </c>
      <c r="Q539" s="1685"/>
      <c r="R539" s="1685"/>
      <c r="S539" s="1685"/>
      <c r="T539" s="1685"/>
      <c r="U539" s="1685"/>
      <c r="V539" s="1685"/>
      <c r="W539" s="1685"/>
      <c r="X539" s="1685"/>
      <c r="Y539" s="1685"/>
      <c r="Z539" s="1685"/>
      <c r="AA539" s="1685"/>
      <c r="AB539" s="1685"/>
      <c r="AC539" s="1685"/>
      <c r="AD539" s="2069"/>
      <c r="AE539" s="2073"/>
      <c r="AF539" s="1685"/>
      <c r="AG539" s="1685"/>
      <c r="AM539" s="1702" t="s">
        <v>1201</v>
      </c>
      <c r="AN539" s="1702"/>
      <c r="AO539" s="1702" t="str">
        <f>IF(TCATrigger="No","",$I539)</f>
        <v/>
      </c>
      <c r="AP539" s="1702" t="str">
        <f t="shared" si="105"/>
        <v/>
      </c>
      <c r="AQ539" s="1702" t="str">
        <f>IF(TCATrigger="No","",IF(FourPercentTrigger="No","",IF($J$539="","",$J$539)))</f>
        <v/>
      </c>
      <c r="AR539" s="1702" t="str">
        <f>IF(TCATrigger="No","",IF(FourPercentTrigger="No","",IF($K$539="","",$K$539)))</f>
        <v/>
      </c>
      <c r="AS539" s="1702" t="str">
        <f>IF(TCATrigger="No","",IF(FourPercentTrigger="No","",IF($L$539="","",$L$539)))</f>
        <v/>
      </c>
      <c r="AT539" s="1702" t="str">
        <f>IF(TCATrigger="No","",IF(FourPercentTrigger="No","",IF($M$539="","",$M$539)))</f>
        <v/>
      </c>
      <c r="AU539" s="1702" t="str">
        <f>IF(TCATrigger="No","",IF(FourPercentTrigger="No","",IF($N$539="","",$N$539)))</f>
        <v/>
      </c>
      <c r="AV539" s="1702" t="str">
        <f>IF(TCATrigger="No","",IF(FourPercentTrigger="No","",IF($O$539="","",$O$539)))</f>
        <v/>
      </c>
      <c r="AW539" s="1702" t="str">
        <f>IF(TCATrigger="No","",IF(FourPercentTrigger="No","",IF($P$539="","",$P$539)))</f>
        <v/>
      </c>
      <c r="BQ539" s="1685"/>
      <c r="BW539" s="1702" t="s">
        <v>1201</v>
      </c>
    </row>
    <row r="540" spans="1:75" ht="15">
      <c r="A540" s="1685"/>
      <c r="B540" s="1685"/>
      <c r="C540" s="1685"/>
      <c r="D540" s="1685"/>
      <c r="E540" s="1685"/>
      <c r="F540" s="1685"/>
      <c r="G540" s="1701" t="s">
        <v>1202</v>
      </c>
      <c r="H540" s="1701"/>
      <c r="I540" s="1701">
        <f>IF(rng02_Expense_TotalMortgageDebtSrvc="","",rng02_Expense_TotalMortgageDebtSrvc)</f>
        <v>0</v>
      </c>
      <c r="J540" s="1701">
        <v>0</v>
      </c>
      <c r="K540" s="1701">
        <v>0</v>
      </c>
      <c r="L540" s="1701">
        <v>0</v>
      </c>
      <c r="M540" s="1701"/>
      <c r="N540" s="1701"/>
      <c r="O540" s="1701">
        <v>0</v>
      </c>
      <c r="P540" s="1701">
        <v>0</v>
      </c>
      <c r="Q540" s="1685"/>
      <c r="R540" s="1685"/>
      <c r="S540" s="1685"/>
      <c r="T540" s="1685"/>
      <c r="U540" s="1685"/>
      <c r="V540" s="1685"/>
      <c r="W540" s="1685"/>
      <c r="X540" s="1685"/>
      <c r="Y540" s="1685"/>
      <c r="Z540" s="1685"/>
      <c r="AA540" s="1685"/>
      <c r="AB540" s="1685"/>
      <c r="AC540" s="1685"/>
      <c r="AD540" s="2069"/>
      <c r="AE540" s="2073"/>
      <c r="AF540" s="1685"/>
      <c r="AG540" s="1685"/>
      <c r="AM540" s="1702" t="s">
        <v>1202</v>
      </c>
      <c r="AN540" s="1702"/>
      <c r="AO540" s="1702" t="str">
        <f>IF(TCATrigger="No","",$I540)</f>
        <v/>
      </c>
      <c r="AP540" s="1702" t="str">
        <f t="shared" si="105"/>
        <v/>
      </c>
      <c r="AQ540" s="1702" t="str">
        <f>IF(TCATrigger="No","",IF(FourPercentTrigger="No","",IF($J$540="","",$J$540)))</f>
        <v/>
      </c>
      <c r="AR540" s="1702" t="str">
        <f>IF(TCATrigger="No","",IF(FourPercentTrigger="No","",IF($K$540="","",$K$540)))</f>
        <v/>
      </c>
      <c r="AS540" s="1702" t="str">
        <f>IF(TCATrigger="No","",IF(FourPercentTrigger="No","",IF($L$540="","",$L$540)))</f>
        <v/>
      </c>
      <c r="AT540" s="1702" t="str">
        <f>IF(TCATrigger="No","",IF(FourPercentTrigger="No","",IF($M$540="","",$M$540)))</f>
        <v/>
      </c>
      <c r="AU540" s="1702" t="str">
        <f>IF(TCATrigger="No","",IF(FourPercentTrigger="No","",IF($N$540="","",$N$540)))</f>
        <v/>
      </c>
      <c r="AV540" s="1702" t="str">
        <f>IF(TCATrigger="No","",IF(FourPercentTrigger="No","",IF($O$540="","",$O$540)))</f>
        <v/>
      </c>
      <c r="AW540" s="1702" t="str">
        <f>IF(TCATrigger="No","",IF(FourPercentTrigger="No","",IF($P$540="","",$P$540)))</f>
        <v/>
      </c>
      <c r="BQ540" s="1685"/>
      <c r="BW540" s="1702" t="s">
        <v>1202</v>
      </c>
    </row>
    <row r="541" spans="1:75" ht="15">
      <c r="A541" s="1685"/>
      <c r="B541" s="1685"/>
      <c r="C541" s="1685"/>
      <c r="D541" s="1685"/>
      <c r="E541" s="1685"/>
      <c r="F541" s="1685"/>
      <c r="G541" s="1701"/>
      <c r="H541" s="1701"/>
      <c r="I541" s="1701"/>
      <c r="J541" s="1701"/>
      <c r="K541" s="1701"/>
      <c r="L541" s="1701"/>
      <c r="M541" s="1701"/>
      <c r="N541" s="1701"/>
      <c r="O541" s="1701"/>
      <c r="P541" s="1701"/>
      <c r="Q541" s="1685"/>
      <c r="R541" s="1685"/>
      <c r="S541" s="1685"/>
      <c r="T541" s="1685"/>
      <c r="U541" s="1685"/>
      <c r="V541" s="1685"/>
      <c r="W541" s="1685"/>
      <c r="X541" s="1685"/>
      <c r="Y541" s="1685"/>
      <c r="Z541" s="1685"/>
      <c r="AA541" s="1685"/>
      <c r="AB541" s="1685"/>
      <c r="AC541" s="1685"/>
      <c r="AD541" s="2069"/>
      <c r="AE541" s="2073"/>
      <c r="AF541" s="1685"/>
      <c r="AG541" s="1685"/>
      <c r="BQ541" s="1685"/>
    </row>
    <row r="542" spans="1:75" ht="15">
      <c r="A542" s="1685"/>
      <c r="B542" s="1685"/>
      <c r="C542" s="1685"/>
      <c r="D542" s="1685"/>
      <c r="E542" s="1685"/>
      <c r="F542" s="1685"/>
      <c r="G542" s="1701" t="s">
        <v>1203</v>
      </c>
      <c r="H542" s="1701"/>
      <c r="I542" s="1701" t="str">
        <f>IF(rng02_Expense_DebtServiceFirtMortgageDSCR="","",rng02_Expense_DebtServiceFirtMortgageDSCR)</f>
        <v>NAP</v>
      </c>
      <c r="J542" s="1701" t="s">
        <v>1204</v>
      </c>
      <c r="K542" s="1701" t="s">
        <v>1204</v>
      </c>
      <c r="L542" s="1701" t="s">
        <v>1204</v>
      </c>
      <c r="M542" s="1701"/>
      <c r="N542" s="1701"/>
      <c r="O542" s="1701" t="s">
        <v>1204</v>
      </c>
      <c r="P542" s="1701"/>
      <c r="Q542" s="1685"/>
      <c r="R542" s="1685"/>
      <c r="S542" s="1685"/>
      <c r="T542" s="1685"/>
      <c r="U542" s="1685"/>
      <c r="V542" s="1685"/>
      <c r="W542" s="1685"/>
      <c r="X542" s="1685"/>
      <c r="Y542" s="1685"/>
      <c r="Z542" s="1685"/>
      <c r="AA542" s="1685"/>
      <c r="AB542" s="1685"/>
      <c r="AC542" s="1685"/>
      <c r="AD542" s="2069"/>
      <c r="AE542" s="2073"/>
      <c r="AF542" s="1685"/>
      <c r="AG542" s="1685"/>
      <c r="AM542" s="1702" t="s">
        <v>1203</v>
      </c>
      <c r="AN542" s="1702"/>
      <c r="AO542" s="1702" t="str">
        <f>IF(TCATrigger="No","",$I542)</f>
        <v/>
      </c>
      <c r="AP542" s="1702" t="str">
        <f>IF(AO542="","",AO542)</f>
        <v/>
      </c>
      <c r="AQ542" s="1702" t="str">
        <f>IF(TCATrigger="No","",IF(FourPercentTrigger="No","",IF($J$542="","",$J$542)))</f>
        <v/>
      </c>
      <c r="AR542" s="1702" t="str">
        <f>IF(TCATrigger="No","",IF(FourPercentTrigger="No","",IF($K$542="","",$K$542)))</f>
        <v/>
      </c>
      <c r="AS542" s="1702" t="str">
        <f>IF(TCATrigger="No","",IF(FourPercentTrigger="No","",IF($L$542="","",$L$542)))</f>
        <v/>
      </c>
      <c r="AT542" s="1702" t="str">
        <f>IF(TCATrigger="No","",IF(FourPercentTrigger="No","",IF($M$542="","",$M$542)))</f>
        <v/>
      </c>
      <c r="AU542" s="1702" t="str">
        <f>IF(TCATrigger="No","",IF(FourPercentTrigger="No","",IF($N$542="","",$N$542)))</f>
        <v/>
      </c>
      <c r="AV542" s="1702" t="str">
        <f>IF(TCATrigger="No","",IF(FourPercentTrigger="No","",IF($O$542="","",$O$542)))</f>
        <v/>
      </c>
      <c r="BQ542" s="1685"/>
      <c r="BW542" s="1702" t="s">
        <v>1203</v>
      </c>
    </row>
    <row r="543" spans="1:75" ht="15">
      <c r="A543" s="1685"/>
      <c r="B543" s="1685"/>
      <c r="C543" s="1685"/>
      <c r="D543" s="1685"/>
      <c r="E543" s="1685"/>
      <c r="F543" s="1685"/>
      <c r="G543" s="1685"/>
      <c r="H543" s="1685"/>
      <c r="I543" s="1685"/>
      <c r="J543" s="1685"/>
      <c r="K543" s="1685"/>
      <c r="L543" s="1685"/>
      <c r="M543" s="1685"/>
      <c r="N543" s="1685"/>
      <c r="O543" s="1685"/>
      <c r="P543" s="1685"/>
      <c r="Q543" s="1685"/>
      <c r="R543" s="1685"/>
      <c r="S543" s="1685"/>
      <c r="T543" s="1685"/>
      <c r="U543" s="1685"/>
      <c r="V543" s="1685"/>
      <c r="W543" s="1685"/>
      <c r="X543" s="1685"/>
      <c r="Y543" s="1685"/>
      <c r="Z543" s="1685"/>
      <c r="AA543" s="1685"/>
      <c r="AB543" s="1685"/>
      <c r="AC543" s="1685"/>
      <c r="AD543" s="2069"/>
      <c r="AE543" s="2073"/>
      <c r="AF543" s="1685"/>
      <c r="AG543" s="1685"/>
      <c r="BQ543" s="1685"/>
    </row>
    <row r="544" spans="1:75" ht="15">
      <c r="A544" s="1685"/>
      <c r="B544" s="1685"/>
      <c r="C544" s="1685"/>
      <c r="D544" s="1685"/>
      <c r="E544" s="1685"/>
      <c r="F544" s="1685"/>
      <c r="G544" s="1685"/>
      <c r="H544" s="1685"/>
      <c r="I544" s="1685"/>
      <c r="J544" s="1685"/>
      <c r="K544" s="1685"/>
      <c r="L544" s="1685"/>
      <c r="M544" s="1685"/>
      <c r="N544" s="1685"/>
      <c r="O544" s="1685"/>
      <c r="P544" s="1685"/>
      <c r="Q544" s="1685"/>
      <c r="R544" s="1685"/>
      <c r="S544" s="1685"/>
      <c r="T544" s="1685"/>
      <c r="U544" s="1685"/>
      <c r="V544" s="1685"/>
      <c r="W544" s="1685"/>
      <c r="X544" s="1685"/>
      <c r="Y544" s="1685"/>
      <c r="Z544" s="1685"/>
      <c r="AA544" s="1685"/>
      <c r="AB544" s="1685"/>
      <c r="AC544" s="1685"/>
      <c r="AD544" s="2069"/>
      <c r="AE544" s="2073"/>
      <c r="AF544" s="1685"/>
      <c r="AG544" s="1685"/>
      <c r="BQ544" s="1685"/>
    </row>
    <row r="545" spans="1:75" ht="18.75">
      <c r="A545" s="1798" t="s">
        <v>2332</v>
      </c>
      <c r="B545" s="1798" t="s">
        <v>2333</v>
      </c>
      <c r="C545" s="1798"/>
      <c r="D545" s="1798"/>
      <c r="E545" s="1798"/>
      <c r="F545" s="1798"/>
      <c r="G545" s="1798"/>
      <c r="H545" s="1798"/>
      <c r="I545" s="1798"/>
      <c r="J545" s="1798"/>
      <c r="K545" s="1685"/>
      <c r="L545" s="1685"/>
      <c r="M545" s="1806" t="s">
        <v>2389</v>
      </c>
      <c r="N545" s="1806" t="s">
        <v>2390</v>
      </c>
      <c r="O545" s="1806"/>
      <c r="P545" s="1807"/>
      <c r="Q545" s="1807"/>
      <c r="R545" s="1807"/>
      <c r="S545" s="1800"/>
      <c r="T545" s="1800"/>
      <c r="U545" s="1685"/>
      <c r="V545" s="1685"/>
      <c r="W545" s="1685"/>
      <c r="X545" s="1685"/>
      <c r="Y545" s="1685"/>
      <c r="Z545" s="1685"/>
      <c r="AA545" s="1685"/>
      <c r="AB545" s="1685"/>
      <c r="AC545" s="1685"/>
      <c r="AD545" s="2069"/>
      <c r="AE545" s="2073"/>
      <c r="AF545" s="1685"/>
      <c r="AG545" s="1685"/>
      <c r="AM545" s="1813" t="s">
        <v>2393</v>
      </c>
      <c r="AN545" s="1813"/>
      <c r="AO545" s="1813"/>
      <c r="AP545" s="1814"/>
      <c r="AQ545" s="1814"/>
      <c r="AR545" s="1814"/>
      <c r="BQ545" s="1685"/>
      <c r="BW545" s="1813" t="s">
        <v>2393</v>
      </c>
    </row>
    <row r="546" spans="1:75" s="1801" customFormat="1" ht="15">
      <c r="A546" s="1804" t="s">
        <v>840</v>
      </c>
      <c r="B546" s="1804" t="s">
        <v>1445</v>
      </c>
      <c r="C546" s="1804" t="s">
        <v>2349</v>
      </c>
      <c r="D546" s="1804" t="s">
        <v>2376</v>
      </c>
      <c r="E546" s="1804" t="s">
        <v>2377</v>
      </c>
      <c r="F546" s="1804" t="s">
        <v>885</v>
      </c>
      <c r="G546" s="1804" t="s">
        <v>2392</v>
      </c>
      <c r="H546" s="1804" t="s">
        <v>1002</v>
      </c>
      <c r="I546" s="1808" t="s">
        <v>2365</v>
      </c>
      <c r="J546" s="1804" t="s">
        <v>43</v>
      </c>
      <c r="K546" s="1800"/>
      <c r="L546" s="1800"/>
      <c r="M546" s="1808" t="s">
        <v>2391</v>
      </c>
      <c r="N546" s="1808" t="s">
        <v>885</v>
      </c>
      <c r="O546" s="1808" t="s">
        <v>2392</v>
      </c>
      <c r="P546" s="1808" t="s">
        <v>1214</v>
      </c>
      <c r="Q546" s="1808" t="s">
        <v>888</v>
      </c>
      <c r="R546" s="1808" t="s">
        <v>43</v>
      </c>
      <c r="S546" s="1800"/>
      <c r="T546" s="1800"/>
      <c r="U546" s="1800"/>
      <c r="V546" s="1800"/>
      <c r="W546" s="1800"/>
      <c r="X546" s="1800"/>
      <c r="Y546" s="1800"/>
      <c r="Z546" s="1800"/>
      <c r="AA546" s="1800"/>
      <c r="AB546" s="1800"/>
      <c r="AC546" s="1800"/>
      <c r="AD546" s="2070"/>
      <c r="AE546" s="2074"/>
      <c r="AF546" s="1800"/>
      <c r="AG546" s="1800"/>
      <c r="AM546" s="1808" t="s">
        <v>1215</v>
      </c>
      <c r="AN546" s="1808" t="s">
        <v>52</v>
      </c>
      <c r="AO546" s="1808" t="s">
        <v>885</v>
      </c>
      <c r="AP546" s="1808" t="s">
        <v>2394</v>
      </c>
      <c r="AQ546" s="1808" t="s">
        <v>1214</v>
      </c>
      <c r="AR546" s="1808" t="s">
        <v>1223</v>
      </c>
      <c r="AS546" s="1677"/>
      <c r="AT546" s="1677"/>
      <c r="AU546" s="1677"/>
      <c r="AV546" s="1677"/>
      <c r="AW546" s="1677"/>
      <c r="BN546" s="2077"/>
      <c r="BO546" s="2080"/>
      <c r="BQ546" s="1800"/>
      <c r="BW546" s="1808" t="s">
        <v>1215</v>
      </c>
    </row>
    <row r="547" spans="1:75" ht="15">
      <c r="A547" s="1685" t="s">
        <v>1205</v>
      </c>
      <c r="B547" s="1799" t="s">
        <v>2335</v>
      </c>
      <c r="C547" s="1799" t="s">
        <v>2351</v>
      </c>
      <c r="D547" s="1799" t="s">
        <v>2364</v>
      </c>
      <c r="E547" s="1685" t="str">
        <f>IF(rng02_Sources_Debt1="","",rng02_Sources_Debt1)</f>
        <v/>
      </c>
      <c r="F547" s="1685" t="str">
        <f>IF(OR(rng02_Sources_Debt_Rate1=0,rng02_Sources_Debt_Rate1=""),"",rng02_Sources_Debt_Rate1)</f>
        <v/>
      </c>
      <c r="G547" s="1685" t="str">
        <f>IF(OR(rng02_Sources_Debt_Term1=0,rng02_Sources_Debt_Term1=""),"",rng02_Sources_Debt_Term1*12)</f>
        <v/>
      </c>
      <c r="H547" s="1685" t="str">
        <f>IF(rng02_Sources_Debt_Total1="","",rng02_Sources_Debt_Total1)</f>
        <v/>
      </c>
      <c r="I547" s="1685">
        <f>IF(rng02_Sources_Debt_AnDebtServPayment1="","",rng02_Sources_Debt_AnDebtServPayment1)</f>
        <v>0</v>
      </c>
      <c r="J547" s="1685" t="str">
        <f>IF(rng02_Sources_Debt1="","","Housing Program")</f>
        <v/>
      </c>
      <c r="K547" s="1685"/>
      <c r="L547" s="1685"/>
      <c r="M547" s="1819" t="str">
        <f>IF(AND(Table36[[#This Row],[Total]]&gt;0, Table36[[#This Row],[Total]]&lt;&gt;""),Table36[[#This Row],[Source]],"")</f>
        <v/>
      </c>
      <c r="N547" s="1809" t="str">
        <f>IF(Table37[[#This Row],[Funding Source]]="","",Table36[[#This Row],[Interest Rate]])</f>
        <v/>
      </c>
      <c r="O547" s="1685" t="str">
        <f>IF(Table37[[#This Row],[Funding Source]]="","",Table36[[#This Row],[Term (Months)]])</f>
        <v/>
      </c>
      <c r="P547" s="1685" t="str">
        <f>IF(Table37[[#This Row],[Funding Source]]="","",Table36[[#This Row],[Total]])</f>
        <v/>
      </c>
      <c r="Q547" s="1685" t="str">
        <f>IF(Table37[[#This Row],[Funding Source]]="","",Table36[[#This Row],[Annual Debt Service]])</f>
        <v/>
      </c>
      <c r="R547" s="1819" t="str">
        <f>IF(Table37[[#This Row],[Funding Source]]="","",Table36[[#This Row],[Program Type]])</f>
        <v/>
      </c>
      <c r="S547" s="1685"/>
      <c r="T547" s="1685"/>
      <c r="U547" s="1685"/>
      <c r="V547" s="1685"/>
      <c r="W547" s="1685"/>
      <c r="X547" s="1685"/>
      <c r="Y547" s="1685"/>
      <c r="Z547" s="1685"/>
      <c r="AA547" s="1685"/>
      <c r="AB547" s="1685"/>
      <c r="AC547" s="1685"/>
      <c r="AD547" s="2069"/>
      <c r="AE547" s="2073"/>
      <c r="AF547" s="1685"/>
      <c r="AG547" s="1685"/>
      <c r="AM547" s="1677" t="str">
        <f>IF(TCATrigger="No","",IF(Table36[[#This Row],[Total]]="","",Table36[[#This Row],[Source]]))</f>
        <v/>
      </c>
      <c r="AN547" s="1725" t="str">
        <f>IF(TCATrigger="No","",IF(Table38[[#This Row],[DEBT]]="","","Permanent"))</f>
        <v/>
      </c>
      <c r="AO547" s="1815" t="str">
        <f>IF(TCATrigger="No","",IF(Table38[[#This Row],[DEBT]]="","",Table36[[#This Row],[Interest Rate]]))</f>
        <v/>
      </c>
      <c r="AP547" s="1677" t="str">
        <f>IF(TCATrigger="No","",IF(Table38[[#This Row],[DEBT]]="","",Table36[[#This Row],[Term (Months)]]))</f>
        <v/>
      </c>
      <c r="AQ547" s="1677" t="str">
        <f>IF(TCATrigger="No","",IF(Table38[[#This Row],[DEBT]]="","",Table36[[#This Row],[Total]]))</f>
        <v/>
      </c>
      <c r="AR547" s="1677" t="str">
        <f>IF(TCATrigger="No","",IF(Table38[[#This Row],[DEBT]]="","",Table36[[#This Row],[Annual Debt Service]]))</f>
        <v/>
      </c>
      <c r="BQ547" s="1685"/>
      <c r="BW547" s="1677" t="str">
        <f>IF(TCATrigger="No","",IF(Table36[[#This Row],[Total]]="","",Table36[[#This Row],[Source]]))</f>
        <v/>
      </c>
    </row>
    <row r="548" spans="1:75" ht="15">
      <c r="A548" s="1685" t="s">
        <v>1205</v>
      </c>
      <c r="B548" s="1799" t="s">
        <v>2336</v>
      </c>
      <c r="C548" s="1799" t="s">
        <v>2352</v>
      </c>
      <c r="D548" s="1799" t="s">
        <v>2364</v>
      </c>
      <c r="E548" s="1685" t="str">
        <f>IF(rng02_Sources_Debt2="","",rng02_Sources_Debt2)</f>
        <v>RIH Second Mortgage</v>
      </c>
      <c r="F548" s="1685" t="str">
        <f>IF(OR(rng02_Sources_Debt_Rate2=0,rng02_Sources_Debt_Rate2=""),"",rng02_Sources_Debt_Rate2)</f>
        <v/>
      </c>
      <c r="G548" s="1685" t="str">
        <f>IF(OR(rng02_Sources_Debt_Term2=0,rng02_Sources_Debt_Term2=""),"",rng02_Sources_Debt_Term2*12)</f>
        <v/>
      </c>
      <c r="H548" s="1685" t="str">
        <f>IF(rng02_Sources_Debt_Total2="","",rng02_Sources_Debt_Total2)</f>
        <v/>
      </c>
      <c r="I548" s="1685">
        <f>IF(rng02_Sources_Debt_AnDebtServPayment2="","",rng02_Sources_Debt_AnDebtServPayment2)</f>
        <v>0</v>
      </c>
      <c r="J548" s="1685" t="str">
        <f>IF(rng02_Sources_Debt2="","","Housing Program")</f>
        <v>Housing Program</v>
      </c>
      <c r="K548" s="1685"/>
      <c r="L548" s="1685"/>
      <c r="M548" s="1688" t="str">
        <f>IF(AND(Table36[[#This Row],[Total]]&gt;0, Table36[[#This Row],[Total]]&lt;&gt;""),Table36[[#This Row],[Source]],"")</f>
        <v/>
      </c>
      <c r="N548" s="1809" t="str">
        <f>IF(Table37[[#This Row],[Funding Source]]="","",Table36[[#This Row],[Interest Rate]])</f>
        <v/>
      </c>
      <c r="O548" s="1685" t="str">
        <f>IF(Table37[[#This Row],[Funding Source]]="","",Table36[[#This Row],[Term (Months)]])</f>
        <v/>
      </c>
      <c r="P548" s="1685" t="str">
        <f>IF(Table37[[#This Row],[Funding Source]]="","",Table36[[#This Row],[Total]])</f>
        <v/>
      </c>
      <c r="Q548" s="1685" t="str">
        <f>IF(Table37[[#This Row],[Funding Source]]="","",Table36[[#This Row],[Annual Debt Service]])</f>
        <v/>
      </c>
      <c r="R548" s="1819" t="str">
        <f>IF(Table37[[#This Row],[Funding Source]]="","",Table36[[#This Row],[Program Type]])</f>
        <v/>
      </c>
      <c r="S548" s="1685"/>
      <c r="T548" s="1685"/>
      <c r="U548" s="1685"/>
      <c r="V548" s="1685"/>
      <c r="W548" s="1685"/>
      <c r="X548" s="1685"/>
      <c r="Y548" s="1685"/>
      <c r="Z548" s="1685"/>
      <c r="AA548" s="1685"/>
      <c r="AB548" s="1685"/>
      <c r="AC548" s="1685"/>
      <c r="AD548" s="2069"/>
      <c r="AE548" s="2073"/>
      <c r="AF548" s="1685"/>
      <c r="AG548" s="1685"/>
      <c r="AM548" s="1677" t="str">
        <f>IF(TCATrigger="No","",IF(Table36[[#This Row],[Total]]="","",Table36[[#This Row],[Source]]))</f>
        <v/>
      </c>
      <c r="AN548" s="1725" t="str">
        <f>IF(TCATrigger="No","",IF(Table38[[#This Row],[DEBT]]="","","Permanent"))</f>
        <v/>
      </c>
      <c r="AO548" s="1815" t="str">
        <f>IF(TCATrigger="No","",IF(Table38[[#This Row],[DEBT]]="","",Table36[[#This Row],[Interest Rate]]))</f>
        <v/>
      </c>
      <c r="AP548" s="1677" t="str">
        <f>IF(TCATrigger="No","",IF(Table38[[#This Row],[DEBT]]="","",Table36[[#This Row],[Term (Months)]]))</f>
        <v/>
      </c>
      <c r="AQ548" s="1677" t="str">
        <f>IF(TCATrigger="No","",IF(Table38[[#This Row],[DEBT]]="","",Table36[[#This Row],[Total]]))</f>
        <v/>
      </c>
      <c r="AR548" s="1677" t="str">
        <f>IF(TCATrigger="No","",IF(Table38[[#This Row],[DEBT]]="","",Table36[[#This Row],[Annual Debt Service]]))</f>
        <v/>
      </c>
      <c r="BQ548" s="1685"/>
      <c r="BW548" s="1677" t="str">
        <f>IF(TCATrigger="No","",IF(Table36[[#This Row],[Total]]="","",Table36[[#This Row],[Source]]))</f>
        <v/>
      </c>
    </row>
    <row r="549" spans="1:75" ht="15">
      <c r="A549" s="1685" t="s">
        <v>1205</v>
      </c>
      <c r="B549" s="1799" t="s">
        <v>2337</v>
      </c>
      <c r="C549" s="1799" t="s">
        <v>2350</v>
      </c>
      <c r="D549" s="1799" t="s">
        <v>2364</v>
      </c>
      <c r="E549" s="1685" t="str">
        <f>IF(rng02_Sources_Debt3="","",rng02_Sources_Debt3)</f>
        <v/>
      </c>
      <c r="F549" s="1685" t="str">
        <f>IF(OR(rng02_Sources_Debt_Rate3=0,rng02_Sources_Debt_Rate3=""),"",rng02_Sources_Debt_Rate3)</f>
        <v/>
      </c>
      <c r="G549" s="1685" t="str">
        <f>IF(OR(rng02_Sources_Debt_Term3=0,rng02_Sources_Debt_Term3=""),"",rng02_Sources_Debt_Term3*12)</f>
        <v/>
      </c>
      <c r="H549" s="1685" t="str">
        <f>IF(rng02_Sources_Debt_Total3="","",rng02_Sources_Debt_Total3)</f>
        <v/>
      </c>
      <c r="I549" s="1685">
        <f>IF(rng02_Sources_Debt_AnDebtServPayment3="","",rng02_Sources_Debt_AnDebtServPayment3)</f>
        <v>0</v>
      </c>
      <c r="J549" s="1685" t="str">
        <f>IF(rng02_Sources_Debt3="","","Housing Program")</f>
        <v/>
      </c>
      <c r="K549" s="1685"/>
      <c r="L549" s="1685"/>
      <c r="M549" s="1688" t="str">
        <f>IF(AND(Table36[[#This Row],[Total]]&gt;0, Table36[[#This Row],[Total]]&lt;&gt;""),Table36[[#This Row],[Source]],"")</f>
        <v/>
      </c>
      <c r="N549" s="1809" t="str">
        <f>IF(Table37[[#This Row],[Funding Source]]="","",Table36[[#This Row],[Interest Rate]])</f>
        <v/>
      </c>
      <c r="O549" s="1685" t="str">
        <f>IF(Table37[[#This Row],[Funding Source]]="","",Table36[[#This Row],[Term (Months)]])</f>
        <v/>
      </c>
      <c r="P549" s="1685" t="str">
        <f>IF(Table37[[#This Row],[Funding Source]]="","",Table36[[#This Row],[Total]])</f>
        <v/>
      </c>
      <c r="Q549" s="1685" t="str">
        <f>IF(Table37[[#This Row],[Funding Source]]="","",Table36[[#This Row],[Annual Debt Service]])</f>
        <v/>
      </c>
      <c r="R549" s="1819" t="str">
        <f>IF(Table37[[#This Row],[Funding Source]]="","",Table36[[#This Row],[Program Type]])</f>
        <v/>
      </c>
      <c r="S549" s="1685"/>
      <c r="T549" s="1685"/>
      <c r="U549" s="1685"/>
      <c r="V549" s="1685"/>
      <c r="W549" s="1685"/>
      <c r="X549" s="1685"/>
      <c r="Y549" s="1685"/>
      <c r="Z549" s="1685"/>
      <c r="AA549" s="1685"/>
      <c r="AB549" s="1685"/>
      <c r="AC549" s="1685"/>
      <c r="AD549" s="2069"/>
      <c r="AE549" s="2073"/>
      <c r="AF549" s="1685"/>
      <c r="AG549" s="1685"/>
      <c r="AM549" s="1677" t="str">
        <f>IF(TCATrigger="No","",IF(Table36[[#This Row],[Total]]="","",Table36[[#This Row],[Source]]))</f>
        <v/>
      </c>
      <c r="AN549" s="1725" t="str">
        <f>IF(TCATrigger="No","",IF(Table38[[#This Row],[DEBT]]="","","Permanent"))</f>
        <v/>
      </c>
      <c r="AO549" s="1815" t="str">
        <f>IF(TCATrigger="No","",IF(Table38[[#This Row],[DEBT]]="","",Table36[[#This Row],[Interest Rate]]))</f>
        <v/>
      </c>
      <c r="AP549" s="1677" t="str">
        <f>IF(TCATrigger="No","",IF(Table38[[#This Row],[DEBT]]="","",Table36[[#This Row],[Term (Months)]]))</f>
        <v/>
      </c>
      <c r="AQ549" s="1677" t="str">
        <f>IF(TCATrigger="No","",IF(Table38[[#This Row],[DEBT]]="","",Table36[[#This Row],[Total]]))</f>
        <v/>
      </c>
      <c r="AR549" s="1677" t="str">
        <f>IF(TCATrigger="No","",IF(Table38[[#This Row],[DEBT]]="","",Table36[[#This Row],[Annual Debt Service]]))</f>
        <v/>
      </c>
      <c r="BQ549" s="1685"/>
      <c r="BW549" s="1677" t="str">
        <f>IF(TCATrigger="No","",IF(Table36[[#This Row],[Total]]="","",Table36[[#This Row],[Source]]))</f>
        <v/>
      </c>
    </row>
    <row r="550" spans="1:75" ht="15">
      <c r="A550" s="1685" t="s">
        <v>1205</v>
      </c>
      <c r="B550" s="1799" t="s">
        <v>2338</v>
      </c>
      <c r="C550" s="1799" t="s">
        <v>2353</v>
      </c>
      <c r="D550" s="1799" t="s">
        <v>2364</v>
      </c>
      <c r="E550" s="1685" t="str">
        <f>IF(rng02_Sources_Debt4="","",rng02_Sources_Debt4)</f>
        <v/>
      </c>
      <c r="F550" s="1685" t="str">
        <f>IF(OR(rng02_Sources_Debt_Rate4=0,rng02_Sources_Debt_Rate4=""),"",rng02_Sources_Debt_Rate4)</f>
        <v/>
      </c>
      <c r="G550" s="1685" t="str">
        <f>IF(OR(rng02_Sources_Debt_Term4=0,rng02_Sources_Debt_Term4=""),"",rng02_Sources_Debt_Term4*12)</f>
        <v/>
      </c>
      <c r="H550" s="1685" t="str">
        <f>IF(rng02_Sources_Debt_Total4="","",rng02_Sources_Debt_Total4)</f>
        <v/>
      </c>
      <c r="I550" s="1685">
        <f>IF(rng02_Sources_Debt_AnDebtServPayment4="","",rng02_Sources_Debt_AnDebtServPayment4)</f>
        <v>0</v>
      </c>
      <c r="J550" s="1685" t="str">
        <f>IF(rng02_Sources_Debt4="","","Housing Program")</f>
        <v/>
      </c>
      <c r="K550" s="1685"/>
      <c r="L550" s="1685"/>
      <c r="M550" s="1688" t="str">
        <f>IF(AND(Table36[[#This Row],[Total]]&gt;0, Table36[[#This Row],[Total]]&lt;&gt;""),Table36[[#This Row],[Source]],"")</f>
        <v/>
      </c>
      <c r="N550" s="1809" t="str">
        <f>IF(Table37[[#This Row],[Funding Source]]="","",Table36[[#This Row],[Interest Rate]])</f>
        <v/>
      </c>
      <c r="O550" s="1685" t="str">
        <f>IF(Table37[[#This Row],[Funding Source]]="","",Table36[[#This Row],[Term (Months)]])</f>
        <v/>
      </c>
      <c r="P550" s="1685" t="str">
        <f>IF(Table37[[#This Row],[Funding Source]]="","",Table36[[#This Row],[Total]])</f>
        <v/>
      </c>
      <c r="Q550" s="1685" t="str">
        <f>IF(Table37[[#This Row],[Funding Source]]="","",Table36[[#This Row],[Annual Debt Service]])</f>
        <v/>
      </c>
      <c r="R550" s="1819" t="str">
        <f>IF(Table37[[#This Row],[Funding Source]]="","",Table36[[#This Row],[Program Type]])</f>
        <v/>
      </c>
      <c r="S550" s="1685"/>
      <c r="T550" s="1685"/>
      <c r="U550" s="1685"/>
      <c r="V550" s="1685"/>
      <c r="W550" s="1685"/>
      <c r="X550" s="1685"/>
      <c r="Y550" s="1685"/>
      <c r="Z550" s="1685"/>
      <c r="AA550" s="1685"/>
      <c r="AB550" s="1685"/>
      <c r="AC550" s="1685"/>
      <c r="AD550" s="2069"/>
      <c r="AE550" s="2073"/>
      <c r="AF550" s="1685"/>
      <c r="AG550" s="1685"/>
      <c r="AM550" s="1677" t="str">
        <f>IF(TCATrigger="No","",IF(Table36[[#This Row],[Total]]="","",Table36[[#This Row],[Source]]))</f>
        <v/>
      </c>
      <c r="AN550" s="1725" t="str">
        <f>IF(TCATrigger="No","",IF(Table38[[#This Row],[DEBT]]="","","Permanent"))</f>
        <v/>
      </c>
      <c r="AO550" s="1815" t="str">
        <f>IF(TCATrigger="No","",IF(Table38[[#This Row],[DEBT]]="","",Table36[[#This Row],[Interest Rate]]))</f>
        <v/>
      </c>
      <c r="AP550" s="1677" t="str">
        <f>IF(TCATrigger="No","",IF(Table38[[#This Row],[DEBT]]="","",Table36[[#This Row],[Term (Months)]]))</f>
        <v/>
      </c>
      <c r="AQ550" s="1677" t="str">
        <f>IF(TCATrigger="No","",IF(Table38[[#This Row],[DEBT]]="","",Table36[[#This Row],[Total]]))</f>
        <v/>
      </c>
      <c r="AR550" s="1677" t="str">
        <f>IF(TCATrigger="No","",IF(Table38[[#This Row],[DEBT]]="","",Table36[[#This Row],[Annual Debt Service]]))</f>
        <v/>
      </c>
      <c r="BQ550" s="1685"/>
      <c r="BW550" s="1677" t="str">
        <f>IF(TCATrigger="No","",IF(Table36[[#This Row],[Total]]="","",Table36[[#This Row],[Source]]))</f>
        <v/>
      </c>
    </row>
    <row r="551" spans="1:75" ht="15">
      <c r="A551" s="1685" t="s">
        <v>1205</v>
      </c>
      <c r="B551" s="1799" t="s">
        <v>2339</v>
      </c>
      <c r="C551" s="1799" t="s">
        <v>2354</v>
      </c>
      <c r="D551" s="1799" t="s">
        <v>2364</v>
      </c>
      <c r="E551" s="1685" t="str">
        <f>IF(rng02_Sources_Debt5="","",rng02_Sources_Debt5)</f>
        <v/>
      </c>
      <c r="F551" s="1685" t="str">
        <f>IF(OR(rng02_Sources_Debt_Rate5=0,rng02_Sources_Debt_Rate5=""),"",rng02_Sources_Debt_Rate5)</f>
        <v/>
      </c>
      <c r="G551" s="1685" t="str">
        <f>IF(OR(rng02_Sources_Debt_Term5=0,rng02_Sources_Debt_Term5=""),"",rng02_Sources_Debt_Term5*12)</f>
        <v/>
      </c>
      <c r="H551" s="1685" t="str">
        <f>IF(rng02_Sources_Debt_Total5="","",rng02_Sources_Debt_Total5)</f>
        <v/>
      </c>
      <c r="I551" s="1685">
        <f>IF(rng02_Sources_Debt_AnDebtServPayment5="","",rng02_Sources_Debt_AnDebtServPayment5)</f>
        <v>0</v>
      </c>
      <c r="J551" s="1685" t="str">
        <f>IF(rng02_Sources_Debt5="","","Housing Program")</f>
        <v/>
      </c>
      <c r="K551" s="1685"/>
      <c r="L551" s="1685"/>
      <c r="M551" s="1688" t="str">
        <f>IF(AND(Table36[[#This Row],[Total]]&gt;0, Table36[[#This Row],[Total]]&lt;&gt;""),Table36[[#This Row],[Source]],"")</f>
        <v/>
      </c>
      <c r="N551" s="1809" t="str">
        <f>IF(Table37[[#This Row],[Funding Source]]="","",Table36[[#This Row],[Interest Rate]])</f>
        <v/>
      </c>
      <c r="O551" s="1685" t="str">
        <f>IF(Table37[[#This Row],[Funding Source]]="","",Table36[[#This Row],[Term (Months)]])</f>
        <v/>
      </c>
      <c r="P551" s="1685" t="str">
        <f>IF(Table37[[#This Row],[Funding Source]]="","",Table36[[#This Row],[Total]])</f>
        <v/>
      </c>
      <c r="Q551" s="1685" t="str">
        <f>IF(Table37[[#This Row],[Funding Source]]="","",Table36[[#This Row],[Annual Debt Service]])</f>
        <v/>
      </c>
      <c r="R551" s="1819" t="str">
        <f>IF(Table37[[#This Row],[Funding Source]]="","",Table36[[#This Row],[Program Type]])</f>
        <v/>
      </c>
      <c r="S551" s="1685"/>
      <c r="T551" s="1685"/>
      <c r="U551" s="1685"/>
      <c r="V551" s="1685"/>
      <c r="W551" s="1685"/>
      <c r="X551" s="1685"/>
      <c r="Y551" s="1685"/>
      <c r="Z551" s="1685"/>
      <c r="AA551" s="1685"/>
      <c r="AB551" s="1685"/>
      <c r="AC551" s="1685"/>
      <c r="AD551" s="2069"/>
      <c r="AE551" s="2073"/>
      <c r="AF551" s="1685"/>
      <c r="AG551" s="1685"/>
      <c r="AM551" s="1677" t="str">
        <f>IF(TCATrigger="No","",IF(Table36[[#This Row],[Total]]="","",Table36[[#This Row],[Source]]))</f>
        <v/>
      </c>
      <c r="AN551" s="1725" t="str">
        <f>IF(TCATrigger="No","",IF(Table38[[#This Row],[DEBT]]="","","Permanent"))</f>
        <v/>
      </c>
      <c r="AO551" s="1815" t="str">
        <f>IF(TCATrigger="No","",IF(Table38[[#This Row],[DEBT]]="","",Table36[[#This Row],[Interest Rate]]))</f>
        <v/>
      </c>
      <c r="AP551" s="1677" t="str">
        <f>IF(TCATrigger="No","",IF(Table38[[#This Row],[DEBT]]="","",Table36[[#This Row],[Term (Months)]]))</f>
        <v/>
      </c>
      <c r="AQ551" s="1677" t="str">
        <f>IF(TCATrigger="No","",IF(Table38[[#This Row],[DEBT]]="","",Table36[[#This Row],[Total]]))</f>
        <v/>
      </c>
      <c r="AR551" s="1677" t="str">
        <f>IF(TCATrigger="No","",IF(Table38[[#This Row],[DEBT]]="","",Table36[[#This Row],[Annual Debt Service]]))</f>
        <v/>
      </c>
      <c r="BQ551" s="1685"/>
      <c r="BW551" s="1677" t="str">
        <f>IF(TCATrigger="No","",IF(Table36[[#This Row],[Total]]="","",Table36[[#This Row],[Source]]))</f>
        <v/>
      </c>
    </row>
    <row r="552" spans="1:75" ht="15">
      <c r="A552" s="1685" t="s">
        <v>1205</v>
      </c>
      <c r="B552" s="1799" t="s">
        <v>2340</v>
      </c>
      <c r="C552" s="1799" t="s">
        <v>2355</v>
      </c>
      <c r="D552" s="1799" t="s">
        <v>2364</v>
      </c>
      <c r="E552" s="1685" t="str">
        <f>IF(rng02_Sources_Debt6="","",rng02_Sources_Debt6)</f>
        <v/>
      </c>
      <c r="F552" s="1685" t="str">
        <f>IF(OR(rng02_Sources_Debt_Rate6=0,rng02_Sources_Debt_Rate6=""),"",rng02_Sources_Debt_Rate6)</f>
        <v/>
      </c>
      <c r="G552" s="1685" t="str">
        <f>IF(OR(rng02_Sources_Debt_Term6=0,rng02_Sources_Debt_Term6=""),"",rng02_Sources_Debt_Term6*12)</f>
        <v/>
      </c>
      <c r="H552" s="1685" t="str">
        <f>IF(rng02_Sources_Debt_Total6="","",rng02_Sources_Debt_Total6)</f>
        <v/>
      </c>
      <c r="I552" s="1685">
        <f>IF(rng02_Sources_Debt_AnDebtServPayment6="","",rng02_Sources_Debt_AnDebtServPayment6)</f>
        <v>0</v>
      </c>
      <c r="J552" s="1685" t="str">
        <f>IF(rng02_Sources_Debt6="","","Housing Program")</f>
        <v/>
      </c>
      <c r="K552" s="1685"/>
      <c r="L552" s="1685"/>
      <c r="M552" s="1688" t="str">
        <f>IF(AND(Table36[[#This Row],[Total]]&gt;0, Table36[[#This Row],[Total]]&lt;&gt;""),Table36[[#This Row],[Source]],"")</f>
        <v/>
      </c>
      <c r="N552" s="1809" t="str">
        <f>IF(Table37[[#This Row],[Funding Source]]="","",Table36[[#This Row],[Interest Rate]])</f>
        <v/>
      </c>
      <c r="O552" s="1685" t="str">
        <f>IF(Table37[[#This Row],[Funding Source]]="","",Table36[[#This Row],[Term (Months)]])</f>
        <v/>
      </c>
      <c r="P552" s="1685" t="str">
        <f>IF(Table37[[#This Row],[Funding Source]]="","",Table36[[#This Row],[Total]])</f>
        <v/>
      </c>
      <c r="Q552" s="1685" t="str">
        <f>IF(Table37[[#This Row],[Funding Source]]="","",Table36[[#This Row],[Annual Debt Service]])</f>
        <v/>
      </c>
      <c r="R552" s="1819" t="str">
        <f>IF(Table37[[#This Row],[Funding Source]]="","",Table36[[#This Row],[Program Type]])</f>
        <v/>
      </c>
      <c r="S552" s="1685"/>
      <c r="T552" s="1685"/>
      <c r="U552" s="1685"/>
      <c r="V552" s="1685"/>
      <c r="W552" s="1685"/>
      <c r="X552" s="1685"/>
      <c r="Y552" s="1685"/>
      <c r="Z552" s="1685"/>
      <c r="AA552" s="1685"/>
      <c r="AB552" s="1685"/>
      <c r="AC552" s="1685"/>
      <c r="AD552" s="2069"/>
      <c r="AE552" s="2073"/>
      <c r="AF552" s="1685"/>
      <c r="AG552" s="1685"/>
      <c r="AM552" s="1677" t="str">
        <f>IF(TCATrigger="No","",IF(Table36[[#This Row],[Total]]="","",Table36[[#This Row],[Source]]))</f>
        <v/>
      </c>
      <c r="AN552" s="1725" t="str">
        <f>IF(TCATrigger="No","",IF(Table38[[#This Row],[DEBT]]="","","Permanent"))</f>
        <v/>
      </c>
      <c r="AO552" s="1815" t="str">
        <f>IF(TCATrigger="No","",IF(Table38[[#This Row],[DEBT]]="","",Table36[[#This Row],[Interest Rate]]))</f>
        <v/>
      </c>
      <c r="AP552" s="1677" t="str">
        <f>IF(TCATrigger="No","",IF(Table38[[#This Row],[DEBT]]="","",Table36[[#This Row],[Term (Months)]]))</f>
        <v/>
      </c>
      <c r="AQ552" s="1677" t="str">
        <f>IF(TCATrigger="No","",IF(Table38[[#This Row],[DEBT]]="","",Table36[[#This Row],[Total]]))</f>
        <v/>
      </c>
      <c r="AR552" s="1677" t="str">
        <f>IF(TCATrigger="No","",IF(Table38[[#This Row],[DEBT]]="","",Table36[[#This Row],[Annual Debt Service]]))</f>
        <v/>
      </c>
      <c r="BQ552" s="1685"/>
      <c r="BW552" s="1677" t="str">
        <f>IF(TCATrigger="No","",IF(Table36[[#This Row],[Total]]="","",Table36[[#This Row],[Source]]))</f>
        <v/>
      </c>
    </row>
    <row r="553" spans="1:75" ht="15">
      <c r="A553" s="1685" t="s">
        <v>1205</v>
      </c>
      <c r="B553" s="1799" t="s">
        <v>2341</v>
      </c>
      <c r="C553" s="1799" t="s">
        <v>2356</v>
      </c>
      <c r="D553" s="1799" t="s">
        <v>2364</v>
      </c>
      <c r="E553" s="1685" t="str">
        <f>IF(rng02_Sources_Debt7="","",rng02_Sources_Debt7)</f>
        <v/>
      </c>
      <c r="F553" s="1685" t="str">
        <f>IF(OR(rng02_Sources_Debt_Rate7=0,rng02_Sources_Debt_Rate7=""),"",rng02_Sources_Debt_Rate7)</f>
        <v/>
      </c>
      <c r="G553" s="1685" t="str">
        <f>IF(OR(rng02_Sources_Debt_Term7=0,rng02_Sources_Debt_Term7=""),"",rng02_Sources_Debt_Term7*12)</f>
        <v/>
      </c>
      <c r="H553" s="1685" t="str">
        <f>IF(rng02_Sources_Debt_Total7="","",rng02_Sources_Debt_Total7)</f>
        <v/>
      </c>
      <c r="I553" s="1685">
        <f>IF(rng02_Sources_Debt_AnDebtServPayment7="","",rng02_Sources_Debt_AnDebtServPayment7)</f>
        <v>0</v>
      </c>
      <c r="J553" s="1685" t="str">
        <f>IF(rng02_Sources_Debt7="","","Housing Program")</f>
        <v/>
      </c>
      <c r="K553" s="1685"/>
      <c r="L553" s="1685"/>
      <c r="M553" s="1688" t="str">
        <f>IF(AND(Table36[[#This Row],[Total]]&gt;0, Table36[[#This Row],[Total]]&lt;&gt;""),Table36[[#This Row],[Source]],"")</f>
        <v/>
      </c>
      <c r="N553" s="1809" t="str">
        <f>IF(Table37[[#This Row],[Funding Source]]="","",Table36[[#This Row],[Interest Rate]])</f>
        <v/>
      </c>
      <c r="O553" s="1685" t="str">
        <f>IF(Table37[[#This Row],[Funding Source]]="","",Table36[[#This Row],[Term (Months)]])</f>
        <v/>
      </c>
      <c r="P553" s="1685" t="str">
        <f>IF(Table37[[#This Row],[Funding Source]]="","",Table36[[#This Row],[Total]])</f>
        <v/>
      </c>
      <c r="Q553" s="1685" t="str">
        <f>IF(Table37[[#This Row],[Funding Source]]="","",Table36[[#This Row],[Annual Debt Service]])</f>
        <v/>
      </c>
      <c r="R553" s="1819" t="str">
        <f>IF(Table37[[#This Row],[Funding Source]]="","",Table36[[#This Row],[Program Type]])</f>
        <v/>
      </c>
      <c r="S553" s="1685"/>
      <c r="T553" s="1685"/>
      <c r="U553" s="1685"/>
      <c r="V553" s="1685"/>
      <c r="W553" s="1685"/>
      <c r="X553" s="1685"/>
      <c r="Y553" s="1685"/>
      <c r="Z553" s="1685"/>
      <c r="AA553" s="1685"/>
      <c r="AB553" s="1685"/>
      <c r="AC553" s="1685"/>
      <c r="AD553" s="2069"/>
      <c r="AE553" s="2073"/>
      <c r="AF553" s="1685"/>
      <c r="AG553" s="1685"/>
      <c r="AM553" s="1677" t="str">
        <f>IF(TCATrigger="No","",IF(Table36[[#This Row],[Total]]="","",Table36[[#This Row],[Source]]))</f>
        <v/>
      </c>
      <c r="AN553" s="1725" t="str">
        <f>IF(TCATrigger="No","",IF(Table38[[#This Row],[DEBT]]="","","Permanent"))</f>
        <v/>
      </c>
      <c r="AO553" s="1815" t="str">
        <f>IF(TCATrigger="No","",IF(Table38[[#This Row],[DEBT]]="","",Table36[[#This Row],[Interest Rate]]))</f>
        <v/>
      </c>
      <c r="AP553" s="1677" t="str">
        <f>IF(TCATrigger="No","",IF(Table38[[#This Row],[DEBT]]="","",Table36[[#This Row],[Term (Months)]]))</f>
        <v/>
      </c>
      <c r="AQ553" s="1677" t="str">
        <f>IF(TCATrigger="No","",IF(Table38[[#This Row],[DEBT]]="","",Table36[[#This Row],[Total]]))</f>
        <v/>
      </c>
      <c r="AR553" s="1677" t="str">
        <f>IF(TCATrigger="No","",IF(Table38[[#This Row],[DEBT]]="","",Table36[[#This Row],[Annual Debt Service]]))</f>
        <v/>
      </c>
      <c r="BQ553" s="1685"/>
      <c r="BW553" s="1677" t="str">
        <f>IF(TCATrigger="No","",IF(Table36[[#This Row],[Total]]="","",Table36[[#This Row],[Source]]))</f>
        <v/>
      </c>
    </row>
    <row r="554" spans="1:75" ht="15">
      <c r="A554" s="1685" t="s">
        <v>1205</v>
      </c>
      <c r="B554" s="1799" t="s">
        <v>2342</v>
      </c>
      <c r="C554" s="1799" t="s">
        <v>2357</v>
      </c>
      <c r="D554" s="1799" t="s">
        <v>2364</v>
      </c>
      <c r="E554" s="1685" t="str">
        <f>IF(rng02_Sources_Debt8="","",rng02_Sources_Debt8)</f>
        <v/>
      </c>
      <c r="F554" s="1685" t="str">
        <f>IF(OR(rng02_Sources_Debt_Rate8=0,rng02_Sources_Debt_Rate8=""),"",rng02_Sources_Debt_Rate8)</f>
        <v/>
      </c>
      <c r="G554" s="1685" t="str">
        <f>IF(OR(rng02_Sources_Debt_Term8=0,rng02_Sources_Debt_Term8=""),"",rng02_Sources_Debt_Term8*12)</f>
        <v/>
      </c>
      <c r="H554" s="1685" t="str">
        <f>IF(rng02_Sources_Debt_Total8="","",rng02_Sources_Debt_Total8)</f>
        <v/>
      </c>
      <c r="I554" s="1685">
        <f>IF(rng02_Sources_Debt_AnDebtServPayment8="","",rng02_Sources_Debt_AnDebtServPayment8)</f>
        <v>0</v>
      </c>
      <c r="J554" s="1685" t="str">
        <f>IF(rng02_Sources_Debt8="","","Housing Program")</f>
        <v/>
      </c>
      <c r="K554" s="1685"/>
      <c r="L554" s="1685"/>
      <c r="M554" s="1688" t="str">
        <f>IF(AND(Table36[[#This Row],[Total]]&gt;0, Table36[[#This Row],[Total]]&lt;&gt;""),Table36[[#This Row],[Source]],"")</f>
        <v/>
      </c>
      <c r="N554" s="1809" t="str">
        <f>IF(Table37[[#This Row],[Funding Source]]="","",Table36[[#This Row],[Interest Rate]])</f>
        <v/>
      </c>
      <c r="O554" s="1685" t="str">
        <f>IF(Table37[[#This Row],[Funding Source]]="","",Table36[[#This Row],[Term (Months)]])</f>
        <v/>
      </c>
      <c r="P554" s="1685" t="str">
        <f>IF(Table37[[#This Row],[Funding Source]]="","",Table36[[#This Row],[Total]])</f>
        <v/>
      </c>
      <c r="Q554" s="1685" t="str">
        <f>IF(Table37[[#This Row],[Funding Source]]="","",Table36[[#This Row],[Annual Debt Service]])</f>
        <v/>
      </c>
      <c r="R554" s="1819" t="str">
        <f>IF(Table37[[#This Row],[Funding Source]]="","",Table36[[#This Row],[Program Type]])</f>
        <v/>
      </c>
      <c r="S554" s="1685"/>
      <c r="T554" s="1685"/>
      <c r="U554" s="1685"/>
      <c r="V554" s="1685"/>
      <c r="W554" s="1685"/>
      <c r="X554" s="1685"/>
      <c r="Y554" s="1685"/>
      <c r="Z554" s="1685"/>
      <c r="AA554" s="1685"/>
      <c r="AB554" s="1685"/>
      <c r="AC554" s="1685"/>
      <c r="AD554" s="2069"/>
      <c r="AE554" s="2073"/>
      <c r="AF554" s="1685"/>
      <c r="AG554" s="1685"/>
      <c r="AM554" s="1677" t="str">
        <f>IF(TCATrigger="No","",IF(Table36[[#This Row],[Total]]="","",Table36[[#This Row],[Source]]))</f>
        <v/>
      </c>
      <c r="AN554" s="1725" t="str">
        <f>IF(TCATrigger="No","",IF(Table38[[#This Row],[DEBT]]="","","Permanent"))</f>
        <v/>
      </c>
      <c r="AO554" s="1815" t="str">
        <f>IF(TCATrigger="No","",IF(Table38[[#This Row],[DEBT]]="","",Table36[[#This Row],[Interest Rate]]))</f>
        <v/>
      </c>
      <c r="AP554" s="1677" t="str">
        <f>IF(TCATrigger="No","",IF(Table38[[#This Row],[DEBT]]="","",Table36[[#This Row],[Term (Months)]]))</f>
        <v/>
      </c>
      <c r="AQ554" s="1677" t="str">
        <f>IF(TCATrigger="No","",IF(Table38[[#This Row],[DEBT]]="","",Table36[[#This Row],[Total]]))</f>
        <v/>
      </c>
      <c r="AR554" s="1677" t="str">
        <f>IF(TCATrigger="No","",IF(Table38[[#This Row],[DEBT]]="","",Table36[[#This Row],[Annual Debt Service]]))</f>
        <v/>
      </c>
      <c r="BQ554" s="1685"/>
      <c r="BW554" s="1677" t="str">
        <f>IF(TCATrigger="No","",IF(Table36[[#This Row],[Total]]="","",Table36[[#This Row],[Source]]))</f>
        <v/>
      </c>
    </row>
    <row r="555" spans="1:75" ht="15">
      <c r="A555" s="1685" t="s">
        <v>1205</v>
      </c>
      <c r="B555" s="1799" t="s">
        <v>2343</v>
      </c>
      <c r="C555" s="1799" t="s">
        <v>2358</v>
      </c>
      <c r="D555" s="1799" t="s">
        <v>2364</v>
      </c>
      <c r="E555" s="1685" t="str">
        <f>IF(rng02_Sources_Debt9="","",rng02_Sources_Debt9)</f>
        <v/>
      </c>
      <c r="F555" s="1685" t="str">
        <f>IF(OR(rng02_Sources_Debt_Rate9=0,rng02_Sources_Debt_Rate9=""),"",rng02_Sources_Debt_Rate9)</f>
        <v/>
      </c>
      <c r="G555" s="1685" t="str">
        <f>IF(OR(rng02_Sources_Debt_Term9=0,rng02_Sources_Debt_Term9=""),"",rng02_Sources_Debt_Term9*12)</f>
        <v/>
      </c>
      <c r="H555" s="1685" t="str">
        <f t="shared" ref="H555" si="106">IF(rng02_Sources_Debt_Total9="","",rng02_Sources_Debt_Total9)</f>
        <v/>
      </c>
      <c r="I555" s="1685">
        <f>IF(rng02_Sources_Debt_AnDebtServPayment9="","",rng02_Sources_Debt_AnDebtServPayment9)</f>
        <v>0</v>
      </c>
      <c r="J555" s="1685" t="str">
        <f>IF(rng02_Sources_Debt9="","","Housing Program")</f>
        <v/>
      </c>
      <c r="K555" s="1685"/>
      <c r="L555" s="1685"/>
      <c r="M555" s="1688" t="str">
        <f>IF(AND(Table36[[#This Row],[Total]]&gt;0, Table36[[#This Row],[Total]]&lt;&gt;""),Table36[[#This Row],[Source]],"")</f>
        <v/>
      </c>
      <c r="N555" s="1809" t="str">
        <f>IF(Table37[[#This Row],[Funding Source]]="","",Table36[[#This Row],[Interest Rate]])</f>
        <v/>
      </c>
      <c r="O555" s="1685" t="str">
        <f>IF(Table37[[#This Row],[Funding Source]]="","",Table36[[#This Row],[Term (Months)]])</f>
        <v/>
      </c>
      <c r="P555" s="1685" t="str">
        <f>IF(Table37[[#This Row],[Funding Source]]="","",Table36[[#This Row],[Total]])</f>
        <v/>
      </c>
      <c r="Q555" s="1685" t="str">
        <f>IF(Table37[[#This Row],[Funding Source]]="","",Table36[[#This Row],[Annual Debt Service]])</f>
        <v/>
      </c>
      <c r="R555" s="1819" t="str">
        <f>IF(Table37[[#This Row],[Funding Source]]="","",Table36[[#This Row],[Program Type]])</f>
        <v/>
      </c>
      <c r="S555" s="1685"/>
      <c r="T555" s="1685"/>
      <c r="U555" s="1685"/>
      <c r="V555" s="1685"/>
      <c r="W555" s="1685"/>
      <c r="X555" s="1685"/>
      <c r="Y555" s="1685"/>
      <c r="Z555" s="1685"/>
      <c r="AA555" s="1685"/>
      <c r="AB555" s="1685"/>
      <c r="AC555" s="1685"/>
      <c r="AD555" s="2069"/>
      <c r="AE555" s="2073"/>
      <c r="AF555" s="1685"/>
      <c r="AG555" s="1685"/>
      <c r="AM555" s="1677" t="str">
        <f>IF(TCATrigger="No","",IF(Table36[[#This Row],[Total]]="","",Table36[[#This Row],[Source]]))</f>
        <v/>
      </c>
      <c r="AN555" s="1725" t="str">
        <f>IF(TCATrigger="No","",IF(Table38[[#This Row],[DEBT]]="","","Permanent"))</f>
        <v/>
      </c>
      <c r="AO555" s="1815" t="str">
        <f>IF(TCATrigger="No","",IF(Table38[[#This Row],[DEBT]]="","",Table36[[#This Row],[Interest Rate]]))</f>
        <v/>
      </c>
      <c r="AP555" s="1677" t="str">
        <f>IF(TCATrigger="No","",IF(Table38[[#This Row],[DEBT]]="","",Table36[[#This Row],[Term (Months)]]))</f>
        <v/>
      </c>
      <c r="AQ555" s="1677" t="str">
        <f>IF(TCATrigger="No","",IF(Table38[[#This Row],[DEBT]]="","",Table36[[#This Row],[Total]]))</f>
        <v/>
      </c>
      <c r="AR555" s="1677" t="str">
        <f>IF(TCATrigger="No","",IF(Table38[[#This Row],[DEBT]]="","",Table36[[#This Row],[Annual Debt Service]]))</f>
        <v/>
      </c>
      <c r="BQ555" s="1685"/>
      <c r="BW555" s="1677" t="str">
        <f>IF(TCATrigger="No","",IF(Table36[[#This Row],[Total]]="","",Table36[[#This Row],[Source]]))</f>
        <v/>
      </c>
    </row>
    <row r="556" spans="1:75" ht="15">
      <c r="A556" s="1685" t="s">
        <v>1205</v>
      </c>
      <c r="B556" s="1799" t="s">
        <v>2344</v>
      </c>
      <c r="C556" s="1799" t="s">
        <v>2359</v>
      </c>
      <c r="D556" s="1799" t="s">
        <v>2364</v>
      </c>
      <c r="E556" s="1685" t="str">
        <f>IF(rng02_Sources_Debt10="","",rng02_Sources_Debt10)</f>
        <v/>
      </c>
      <c r="F556" s="1685" t="str">
        <f>IF(OR(rng02_Sources_Debt_Rate10=0,rng02_Sources_Debt_Rate10=""),"",rng02_Sources_Debt_Rate10)</f>
        <v/>
      </c>
      <c r="G556" s="1685" t="str">
        <f>IF(OR(rng02_Sources_Debt_Term10=0,rng02_Sources_Debt_Term10=""),"",rng02_Sources_Debt_Term10*12)</f>
        <v/>
      </c>
      <c r="H556" s="1685" t="str">
        <f>IF(rng02_Sources_Debt_Total10="","",rng02_Sources_Debt_Total10)</f>
        <v/>
      </c>
      <c r="I556" s="1685">
        <f>IF(rng02_Sources_Debt_AnDebtServPayment10="","",rng02_Sources_Debt_AnDebtServPayment10)</f>
        <v>0</v>
      </c>
      <c r="J556" s="1685" t="str">
        <f>IF(rng02_Sources_Debt10="","","Housing Program")</f>
        <v/>
      </c>
      <c r="K556" s="1685"/>
      <c r="L556" s="1685"/>
      <c r="M556" s="1688" t="str">
        <f>IF(AND(Table36[[#This Row],[Total]]&gt;0, Table36[[#This Row],[Total]]&lt;&gt;""),Table36[[#This Row],[Source]],"")</f>
        <v/>
      </c>
      <c r="N556" s="1809" t="str">
        <f>IF(Table37[[#This Row],[Funding Source]]="","",Table36[[#This Row],[Interest Rate]])</f>
        <v/>
      </c>
      <c r="O556" s="1685" t="str">
        <f>IF(Table37[[#This Row],[Funding Source]]="","",Table36[[#This Row],[Term (Months)]])</f>
        <v/>
      </c>
      <c r="P556" s="1685" t="str">
        <f>IF(Table37[[#This Row],[Funding Source]]="","",Table36[[#This Row],[Total]])</f>
        <v/>
      </c>
      <c r="Q556" s="1685" t="str">
        <f>IF(Table37[[#This Row],[Funding Source]]="","",Table36[[#This Row],[Annual Debt Service]])</f>
        <v/>
      </c>
      <c r="R556" s="1819" t="str">
        <f>IF(Table37[[#This Row],[Funding Source]]="","",Table36[[#This Row],[Program Type]])</f>
        <v/>
      </c>
      <c r="S556" s="1685"/>
      <c r="T556" s="1685"/>
      <c r="U556" s="1685"/>
      <c r="V556" s="1685"/>
      <c r="W556" s="1685"/>
      <c r="X556" s="1685"/>
      <c r="Y556" s="1685"/>
      <c r="Z556" s="1685"/>
      <c r="AA556" s="1685"/>
      <c r="AB556" s="1685"/>
      <c r="AC556" s="1685"/>
      <c r="AD556" s="2069"/>
      <c r="AE556" s="2073"/>
      <c r="AF556" s="1685"/>
      <c r="AG556" s="1685"/>
      <c r="AM556" s="1677" t="str">
        <f>IF(TCATrigger="No","",IF(Table36[[#This Row],[Total]]="","",Table36[[#This Row],[Source]]))</f>
        <v/>
      </c>
      <c r="AN556" s="1725" t="str">
        <f>IF(TCATrigger="No","",IF(Table38[[#This Row],[DEBT]]="","","Permanent"))</f>
        <v/>
      </c>
      <c r="AO556" s="1815" t="str">
        <f>IF(TCATrigger="No","",IF(Table38[[#This Row],[DEBT]]="","",Table36[[#This Row],[Interest Rate]]))</f>
        <v/>
      </c>
      <c r="AP556" s="1677" t="str">
        <f>IF(TCATrigger="No","",IF(Table38[[#This Row],[DEBT]]="","",Table36[[#This Row],[Term (Months)]]))</f>
        <v/>
      </c>
      <c r="AQ556" s="1677" t="str">
        <f>IF(TCATrigger="No","",IF(Table38[[#This Row],[DEBT]]="","",Table36[[#This Row],[Total]]))</f>
        <v/>
      </c>
      <c r="AR556" s="1677" t="str">
        <f>IF(TCATrigger="No","",IF(Table38[[#This Row],[DEBT]]="","",Table36[[#This Row],[Annual Debt Service]]))</f>
        <v/>
      </c>
      <c r="BQ556" s="1685"/>
      <c r="BW556" s="1677" t="str">
        <f>IF(TCATrigger="No","",IF(Table36[[#This Row],[Total]]="","",Table36[[#This Row],[Source]]))</f>
        <v/>
      </c>
    </row>
    <row r="557" spans="1:75" ht="15">
      <c r="A557" s="1685" t="s">
        <v>1205</v>
      </c>
      <c r="B557" s="1799" t="s">
        <v>2345</v>
      </c>
      <c r="C557" s="1799" t="s">
        <v>2360</v>
      </c>
      <c r="D557" s="1799" t="s">
        <v>2364</v>
      </c>
      <c r="E557" s="1685" t="str">
        <f>IF(rng02_Sources_Debt11="","",rng02_Sources_Debt11)</f>
        <v/>
      </c>
      <c r="F557" s="1685" t="str">
        <f>IF(OR(rng02_Sources_Debt_Rate11=0,rng02_Sources_Debt_Rate11=""),"",rng02_Sources_Debt_Rate11)</f>
        <v/>
      </c>
      <c r="G557" s="1685" t="str">
        <f>IF(OR(rng02_Sources_Debt_Term11=0,rng02_Sources_Debt_Term11=""),"",rng02_Sources_Debt_Term11*12)</f>
        <v/>
      </c>
      <c r="H557" s="1685" t="str">
        <f>IF(rng02_Sources_Debt_Total11="","",rng02_Sources_Debt_Total11)</f>
        <v/>
      </c>
      <c r="I557" s="1685">
        <f>IF(rng02_Sources_Debt_AnDebtServPayment11="","",rng02_Sources_Debt_AnDebtServPayment11)</f>
        <v>0</v>
      </c>
      <c r="J557" s="1685" t="str">
        <f>IF(rng02_Sources_Debt11="","","Housing Program")</f>
        <v/>
      </c>
      <c r="K557" s="1685"/>
      <c r="L557" s="1685"/>
      <c r="M557" s="1688" t="str">
        <f>IF(AND(Table36[[#This Row],[Total]]&gt;0, Table36[[#This Row],[Total]]&lt;&gt;""),Table36[[#This Row],[Source]],"")</f>
        <v/>
      </c>
      <c r="N557" s="1809" t="str">
        <f>IF(Table37[[#This Row],[Funding Source]]="","",Table36[[#This Row],[Interest Rate]])</f>
        <v/>
      </c>
      <c r="O557" s="1685" t="str">
        <f>IF(Table37[[#This Row],[Funding Source]]="","",Table36[[#This Row],[Term (Months)]])</f>
        <v/>
      </c>
      <c r="P557" s="1685" t="str">
        <f>IF(Table37[[#This Row],[Funding Source]]="","",Table36[[#This Row],[Total]])</f>
        <v/>
      </c>
      <c r="Q557" s="1685" t="str">
        <f>IF(Table37[[#This Row],[Funding Source]]="","",Table36[[#This Row],[Annual Debt Service]])</f>
        <v/>
      </c>
      <c r="R557" s="1819" t="str">
        <f>IF(Table37[[#This Row],[Funding Source]]="","",Table36[[#This Row],[Program Type]])</f>
        <v/>
      </c>
      <c r="S557" s="1685"/>
      <c r="T557" s="1685"/>
      <c r="U557" s="1685"/>
      <c r="V557" s="1685"/>
      <c r="W557" s="1685"/>
      <c r="X557" s="1685"/>
      <c r="Y557" s="1685"/>
      <c r="Z557" s="1685"/>
      <c r="AA557" s="1685"/>
      <c r="AB557" s="1685"/>
      <c r="AC557" s="1685"/>
      <c r="AD557" s="2069"/>
      <c r="AE557" s="2073"/>
      <c r="AF557" s="1685"/>
      <c r="AG557" s="1685"/>
      <c r="AM557" s="1677" t="str">
        <f>IF(TCATrigger="No","",IF(Table36[[#This Row],[Total]]="","",Table36[[#This Row],[Source]]))</f>
        <v/>
      </c>
      <c r="AN557" s="1725" t="str">
        <f>IF(TCATrigger="No","",IF(Table38[[#This Row],[DEBT]]="","","Permanent"))</f>
        <v/>
      </c>
      <c r="AO557" s="1815" t="str">
        <f>IF(TCATrigger="No","",IF(Table38[[#This Row],[DEBT]]="","",Table36[[#This Row],[Interest Rate]]))</f>
        <v/>
      </c>
      <c r="AP557" s="1677" t="str">
        <f>IF(TCATrigger="No","",IF(Table38[[#This Row],[DEBT]]="","",Table36[[#This Row],[Term (Months)]]))</f>
        <v/>
      </c>
      <c r="AQ557" s="1677" t="str">
        <f>IF(TCATrigger="No","",IF(Table38[[#This Row],[DEBT]]="","",Table36[[#This Row],[Total]]))</f>
        <v/>
      </c>
      <c r="AR557" s="1677" t="str">
        <f>IF(TCATrigger="No","",IF(Table38[[#This Row],[DEBT]]="","",Table36[[#This Row],[Annual Debt Service]]))</f>
        <v/>
      </c>
      <c r="BQ557" s="1685"/>
      <c r="BW557" s="1677" t="str">
        <f>IF(TCATrigger="No","",IF(Table36[[#This Row],[Total]]="","",Table36[[#This Row],[Source]]))</f>
        <v/>
      </c>
    </row>
    <row r="558" spans="1:75" ht="15">
      <c r="A558" s="1685" t="s">
        <v>1205</v>
      </c>
      <c r="B558" s="1799" t="s">
        <v>2346</v>
      </c>
      <c r="C558" s="1799" t="s">
        <v>2361</v>
      </c>
      <c r="D558" s="1799" t="s">
        <v>2364</v>
      </c>
      <c r="E558" s="1685" t="str">
        <f>IF(rng02_Sources_Debt12="","",rng02_Sources_Debt12)</f>
        <v/>
      </c>
      <c r="F558" s="1685" t="str">
        <f>IF(OR(rng02_Sources_Debt_Rate12=0,rng02_Sources_Debt_Rate12=""),"",rng02_Sources_Debt_Rate12)</f>
        <v/>
      </c>
      <c r="G558" s="1685" t="str">
        <f>IF(OR(rng02_Sources_Debt_Term12=0,rng02_Sources_Debt_Term12=""),"",rng02_Sources_Debt_Term12*12)</f>
        <v/>
      </c>
      <c r="H558" s="1685" t="str">
        <f>IF(rng02_Sources_Debt_Total12="","",rng02_Sources_Debt_Total12)</f>
        <v/>
      </c>
      <c r="I558" s="1685">
        <f>IF(rng02_Sources_Debt_AnDebtServPayment12="","",rng02_Sources_Debt_AnDebtServPayment12)</f>
        <v>0</v>
      </c>
      <c r="J558" s="1685" t="str">
        <f>IF(rng02_Sources_Debt12="","","Housing Program")</f>
        <v/>
      </c>
      <c r="K558" s="1685"/>
      <c r="L558" s="1685"/>
      <c r="M558" s="1688" t="str">
        <f>IF(AND(Table36[[#This Row],[Total]]&gt;0, Table36[[#This Row],[Total]]&lt;&gt;""),Table36[[#This Row],[Source]],"")</f>
        <v/>
      </c>
      <c r="N558" s="1809" t="str">
        <f>IF(Table37[[#This Row],[Funding Source]]="","",Table36[[#This Row],[Interest Rate]])</f>
        <v/>
      </c>
      <c r="O558" s="1685" t="str">
        <f>IF(Table37[[#This Row],[Funding Source]]="","",Table36[[#This Row],[Term (Months)]])</f>
        <v/>
      </c>
      <c r="P558" s="1685" t="str">
        <f>IF(Table37[[#This Row],[Funding Source]]="","",Table36[[#This Row],[Total]])</f>
        <v/>
      </c>
      <c r="Q558" s="1685" t="str">
        <f>IF(Table37[[#This Row],[Funding Source]]="","",Table36[[#This Row],[Annual Debt Service]])</f>
        <v/>
      </c>
      <c r="R558" s="1819" t="str">
        <f>IF(Table37[[#This Row],[Funding Source]]="","",Table36[[#This Row],[Program Type]])</f>
        <v/>
      </c>
      <c r="S558" s="1685"/>
      <c r="T558" s="1685"/>
      <c r="U558" s="1685"/>
      <c r="V558" s="1685"/>
      <c r="W558" s="1685"/>
      <c r="X558" s="1685"/>
      <c r="Y558" s="1685"/>
      <c r="Z558" s="1685"/>
      <c r="AA558" s="1685"/>
      <c r="AB558" s="1685"/>
      <c r="AC558" s="1685"/>
      <c r="AD558" s="2069"/>
      <c r="AE558" s="2073"/>
      <c r="AF558" s="1685"/>
      <c r="AG558" s="1685"/>
      <c r="AM558" s="1677" t="str">
        <f>IF(TCATrigger="No","",IF(Table36[[#This Row],[Total]]="","",Table36[[#This Row],[Source]]))</f>
        <v/>
      </c>
      <c r="AN558" s="1725" t="str">
        <f>IF(TCATrigger="No","",IF(Table38[[#This Row],[DEBT]]="","","Permanent"))</f>
        <v/>
      </c>
      <c r="AO558" s="1815" t="str">
        <f>IF(TCATrigger="No","",IF(Table38[[#This Row],[DEBT]]="","",Table36[[#This Row],[Interest Rate]]))</f>
        <v/>
      </c>
      <c r="AP558" s="1677" t="str">
        <f>IF(TCATrigger="No","",IF(Table38[[#This Row],[DEBT]]="","",Table36[[#This Row],[Term (Months)]]))</f>
        <v/>
      </c>
      <c r="AQ558" s="1677" t="str">
        <f>IF(TCATrigger="No","",IF(Table38[[#This Row],[DEBT]]="","",Table36[[#This Row],[Total]]))</f>
        <v/>
      </c>
      <c r="AR558" s="1677" t="str">
        <f>IF(TCATrigger="No","",IF(Table38[[#This Row],[DEBT]]="","",Table36[[#This Row],[Annual Debt Service]]))</f>
        <v/>
      </c>
      <c r="BQ558" s="1685"/>
      <c r="BW558" s="1677" t="str">
        <f>IF(TCATrigger="No","",IF(Table36[[#This Row],[Total]]="","",Table36[[#This Row],[Source]]))</f>
        <v/>
      </c>
    </row>
    <row r="559" spans="1:75" ht="15">
      <c r="A559" s="1685" t="s">
        <v>1205</v>
      </c>
      <c r="B559" s="1799" t="s">
        <v>2347</v>
      </c>
      <c r="C559" s="1799" t="s">
        <v>2362</v>
      </c>
      <c r="D559" s="1799" t="s">
        <v>2364</v>
      </c>
      <c r="E559" s="1685" t="str">
        <f>IF(rng02_Sources_Debt13="","",rng02_Sources_Debt13)</f>
        <v/>
      </c>
      <c r="F559" s="1685" t="str">
        <f>IF(OR(rng02_Sources_Debt_Rate13=0,rng02_Sources_Debt_Rate13=""),"",rng02_Sources_Debt_Rate13)</f>
        <v/>
      </c>
      <c r="G559" s="1685" t="str">
        <f>IF(OR(rng02_Sources_Debt_Term13=0,rng02_Sources_Debt_Term13=""),"",rng02_Sources_Debt_Term13*12)</f>
        <v/>
      </c>
      <c r="H559" s="1685" t="str">
        <f>IF(rng02_Sources_Debt_Total13="","",rng02_Sources_Debt_Total13)</f>
        <v/>
      </c>
      <c r="I559" s="1685">
        <f>IF(rng02_Sources_Debt_AnDebtServPayment13="","",rng02_Sources_Debt_AnDebtServPayment13)</f>
        <v>0</v>
      </c>
      <c r="J559" s="1685" t="str">
        <f>IF(rng02_Sources_Debt13="","","Housing Program")</f>
        <v/>
      </c>
      <c r="K559" s="1685"/>
      <c r="L559" s="1685"/>
      <c r="M559" s="1688" t="str">
        <f>IF(AND(Table36[[#This Row],[Total]]&gt;0, Table36[[#This Row],[Total]]&lt;&gt;""),Table36[[#This Row],[Source]],"")</f>
        <v/>
      </c>
      <c r="N559" s="1809" t="str">
        <f>IF(Table37[[#This Row],[Funding Source]]="","",Table36[[#This Row],[Interest Rate]])</f>
        <v/>
      </c>
      <c r="O559" s="1685" t="str">
        <f>IF(Table37[[#This Row],[Funding Source]]="","",Table36[[#This Row],[Term (Months)]])</f>
        <v/>
      </c>
      <c r="P559" s="1685" t="str">
        <f>IF(Table37[[#This Row],[Funding Source]]="","",Table36[[#This Row],[Total]])</f>
        <v/>
      </c>
      <c r="Q559" s="1685" t="str">
        <f>IF(Table37[[#This Row],[Funding Source]]="","",Table36[[#This Row],[Annual Debt Service]])</f>
        <v/>
      </c>
      <c r="R559" s="1819" t="str">
        <f>IF(Table37[[#This Row],[Funding Source]]="","",Table36[[#This Row],[Program Type]])</f>
        <v/>
      </c>
      <c r="S559" s="1685"/>
      <c r="T559" s="1685"/>
      <c r="U559" s="1685"/>
      <c r="V559" s="1685"/>
      <c r="W559" s="1685"/>
      <c r="X559" s="1685"/>
      <c r="Y559" s="1685"/>
      <c r="Z559" s="1685"/>
      <c r="AA559" s="1685"/>
      <c r="AB559" s="1685"/>
      <c r="AC559" s="1685"/>
      <c r="AD559" s="2069"/>
      <c r="AE559" s="2073"/>
      <c r="AF559" s="1685"/>
      <c r="AG559" s="1685"/>
      <c r="AM559" s="1677" t="str">
        <f>IF(TCATrigger="No","",IF(Table36[[#This Row],[Total]]="","",Table36[[#This Row],[Source]]))</f>
        <v/>
      </c>
      <c r="AN559" s="1725" t="str">
        <f>IF(TCATrigger="No","",IF(Table38[[#This Row],[DEBT]]="","","Permanent"))</f>
        <v/>
      </c>
      <c r="AO559" s="1815" t="str">
        <f>IF(TCATrigger="No","",IF(Table38[[#This Row],[DEBT]]="","",Table36[[#This Row],[Interest Rate]]))</f>
        <v/>
      </c>
      <c r="AP559" s="1677" t="str">
        <f>IF(TCATrigger="No","",IF(Table38[[#This Row],[DEBT]]="","",Table36[[#This Row],[Term (Months)]]))</f>
        <v/>
      </c>
      <c r="AQ559" s="1677" t="str">
        <f>IF(TCATrigger="No","",IF(Table38[[#This Row],[DEBT]]="","",Table36[[#This Row],[Total]]))</f>
        <v/>
      </c>
      <c r="AR559" s="1677" t="str">
        <f>IF(TCATrigger="No","",IF(Table38[[#This Row],[DEBT]]="","",Table36[[#This Row],[Annual Debt Service]]))</f>
        <v/>
      </c>
      <c r="BQ559" s="1685"/>
      <c r="BW559" s="1677" t="str">
        <f>IF(TCATrigger="No","",IF(Table36[[#This Row],[Total]]="","",Table36[[#This Row],[Source]]))</f>
        <v/>
      </c>
    </row>
    <row r="560" spans="1:75" ht="15">
      <c r="A560" s="1685" t="s">
        <v>1205</v>
      </c>
      <c r="B560" s="1799" t="s">
        <v>2348</v>
      </c>
      <c r="C560" s="1799" t="s">
        <v>2363</v>
      </c>
      <c r="D560" s="1799" t="s">
        <v>2364</v>
      </c>
      <c r="E560" s="1685" t="str">
        <f>IF(rng02_Sources_Debt14="","",rng02_Sources_Debt14)</f>
        <v/>
      </c>
      <c r="F560" s="1685" t="str">
        <f>IF(OR(rng02_Sources_Debt_Rate14=0,rng02_Sources_Debt_Rate14=""),"",rng02_Sources_Debt_Rate14)</f>
        <v/>
      </c>
      <c r="G560" s="1685" t="str">
        <f>IF(OR(rng02_Sources_Debt_Term14=0,rng02_Sources_Debt_Term14=""),"",rng02_Sources_Debt_Term14*12)</f>
        <v/>
      </c>
      <c r="H560" s="1685" t="str">
        <f>IF(rng02_Sources_Debt_Total14="","",rng02_Sources_Debt_Total14)</f>
        <v/>
      </c>
      <c r="I560" s="1685">
        <f>IF(rng02_Sources_Debt_AnDebtServPayment14="","",rng02_Sources_Debt_AnDebtServPayment14)</f>
        <v>0</v>
      </c>
      <c r="J560" s="1685" t="str">
        <f>IF(rng02_Sources_Debt14="","","Housing Program")</f>
        <v/>
      </c>
      <c r="K560" s="1685"/>
      <c r="L560" s="1685"/>
      <c r="M560" s="1688" t="str">
        <f>IF(AND(Table36[[#This Row],[Total]]&gt;0, Table36[[#This Row],[Total]]&lt;&gt;""),Table36[[#This Row],[Source]],"")</f>
        <v/>
      </c>
      <c r="N560" s="1809" t="str">
        <f>IF(Table37[[#This Row],[Funding Source]]="","",Table36[[#This Row],[Interest Rate]])</f>
        <v/>
      </c>
      <c r="O560" s="1685" t="str">
        <f>IF(Table37[[#This Row],[Funding Source]]="","",Table36[[#This Row],[Term (Months)]])</f>
        <v/>
      </c>
      <c r="P560" s="1685" t="str">
        <f>IF(Table37[[#This Row],[Funding Source]]="","",Table36[[#This Row],[Total]])</f>
        <v/>
      </c>
      <c r="Q560" s="1685" t="str">
        <f>IF(Table37[[#This Row],[Funding Source]]="","",Table36[[#This Row],[Annual Debt Service]])</f>
        <v/>
      </c>
      <c r="R560" s="1819" t="str">
        <f>IF(Table37[[#This Row],[Funding Source]]="","",Table36[[#This Row],[Program Type]])</f>
        <v/>
      </c>
      <c r="S560" s="1685"/>
      <c r="T560" s="1685"/>
      <c r="U560" s="1685"/>
      <c r="V560" s="1685"/>
      <c r="W560" s="1685"/>
      <c r="X560" s="1685"/>
      <c r="Y560" s="1685"/>
      <c r="Z560" s="1685"/>
      <c r="AA560" s="1685"/>
      <c r="AB560" s="1685"/>
      <c r="AC560" s="1685"/>
      <c r="AD560" s="2069"/>
      <c r="AE560" s="2073"/>
      <c r="AF560" s="1685"/>
      <c r="AG560" s="1685"/>
      <c r="AM560" s="1677" t="str">
        <f>IF(TCATrigger="No","",IF(Table36[[#This Row],[Total]]="","",Table36[[#This Row],[Source]]))</f>
        <v/>
      </c>
      <c r="AN560" s="1725" t="str">
        <f>IF(TCATrigger="No","",IF(Table38[[#This Row],[DEBT]]="","","Permanent"))</f>
        <v/>
      </c>
      <c r="AO560" s="1815" t="str">
        <f>IF(TCATrigger="No","",IF(Table38[[#This Row],[DEBT]]="","",Table36[[#This Row],[Interest Rate]]))</f>
        <v/>
      </c>
      <c r="AP560" s="1677" t="str">
        <f>IF(TCATrigger="No","",IF(Table38[[#This Row],[DEBT]]="","",Table36[[#This Row],[Term (Months)]]))</f>
        <v/>
      </c>
      <c r="AQ560" s="1677" t="str">
        <f>IF(TCATrigger="No","",IF(Table38[[#This Row],[DEBT]]="","",Table36[[#This Row],[Total]]))</f>
        <v/>
      </c>
      <c r="AR560" s="1677" t="str">
        <f>IF(TCATrigger="No","",IF(Table38[[#This Row],[DEBT]]="","",Table36[[#This Row],[Annual Debt Service]]))</f>
        <v/>
      </c>
      <c r="BQ560" s="1685"/>
      <c r="BW560" s="1677" t="str">
        <f>IF(TCATrigger="No","",IF(Table36[[#This Row],[Total]]="","",Table36[[#This Row],[Source]]))</f>
        <v/>
      </c>
    </row>
    <row r="561" spans="1:75" ht="15">
      <c r="A561" s="1685" t="s">
        <v>1205</v>
      </c>
      <c r="B561" s="1799" t="s">
        <v>2366</v>
      </c>
      <c r="C561" s="1799" t="s">
        <v>2385</v>
      </c>
      <c r="D561" s="1799" t="s">
        <v>1829</v>
      </c>
      <c r="E561" s="1685" t="str">
        <f>IF(rng02_Sources_Equity_LIHTCProceeds_Tot &gt; 0,'02_3_SOURCES'!B27,"")</f>
        <v/>
      </c>
      <c r="F561" s="1805"/>
      <c r="G561" s="1805"/>
      <c r="H561" s="1685" t="str">
        <f>IF(rng02_Sources_Equity_LIHTCProceeds_Tot &gt; 0,rng02_Sources_Equity_LIHTCProceeds_Tot,"")</f>
        <v/>
      </c>
      <c r="I561" s="1805"/>
      <c r="J561" s="1805"/>
      <c r="K561" s="1685"/>
      <c r="L561" s="1685"/>
      <c r="M561" s="1820" t="str">
        <f>IF(AND(Table36[[#This Row],[Total]]&gt;0, Table36[[#This Row],[Total]]&lt;&gt;""),Table36[[#This Row],[Source]],"")</f>
        <v/>
      </c>
      <c r="N561" s="1810"/>
      <c r="O561" s="1805"/>
      <c r="P561" s="1685" t="str">
        <f>IF(Table37[[#This Row],[Funding Source]]="","",Table36[[#This Row],[Total]])</f>
        <v/>
      </c>
      <c r="Q561" s="1805"/>
      <c r="R561" s="1818"/>
      <c r="S561" s="1685"/>
      <c r="T561" s="1685"/>
      <c r="U561" s="1685"/>
      <c r="V561" s="1685"/>
      <c r="W561" s="1685"/>
      <c r="X561" s="1685"/>
      <c r="Y561" s="1685"/>
      <c r="Z561" s="1685"/>
      <c r="AA561" s="1685"/>
      <c r="AB561" s="1685"/>
      <c r="AC561" s="1685"/>
      <c r="AD561" s="2069"/>
      <c r="AE561" s="2073"/>
      <c r="AF561" s="1685"/>
      <c r="AG561" s="1685"/>
      <c r="AM561" s="1677" t="str">
        <f>IF(TCATrigger="No","",IF(Table36[[#This Row],[Total]]="","",Table36[[#This Row],[Source]]))</f>
        <v/>
      </c>
      <c r="AN561" s="1725" t="str">
        <f>IF(TCATrigger="No","",IF(Table38[[#This Row],[DEBT]]="","","Subsidized Funding"))</f>
        <v/>
      </c>
      <c r="AO561" s="1816"/>
      <c r="AP561" s="1817"/>
      <c r="AQ561" s="1677" t="str">
        <f>IF(TCATrigger="No","",IF(Table38[[#This Row],[DEBT]]="","",Table36[[#This Row],[Total]]))</f>
        <v/>
      </c>
      <c r="AR561" s="1817"/>
      <c r="BQ561" s="1685"/>
      <c r="BW561" s="1677" t="str">
        <f>IF(TCATrigger="No","",IF(Table36[[#This Row],[Total]]="","",Table36[[#This Row],[Source]]))</f>
        <v/>
      </c>
    </row>
    <row r="562" spans="1:75" ht="15">
      <c r="A562" s="1685" t="s">
        <v>1205</v>
      </c>
      <c r="B562" s="1799" t="s">
        <v>2367</v>
      </c>
      <c r="C562" s="1799" t="s">
        <v>2384</v>
      </c>
      <c r="D562" s="1799" t="s">
        <v>1829</v>
      </c>
      <c r="E562" s="1685" t="str">
        <f>IF(rng02_Sources_Equiy_FedHistTaxCredProceeds_Tot &gt; 0,'02_3_SOURCES'!B28,"")</f>
        <v/>
      </c>
      <c r="F562" s="1805"/>
      <c r="G562" s="1805"/>
      <c r="H562" s="1685" t="str">
        <f>IF(rng02_Sources_Equiy_FedHistTaxCredProceeds_Tot &gt; 0,rng02_Sources_Equiy_FedHistTaxCredProceeds_Tot,"")</f>
        <v/>
      </c>
      <c r="I562" s="1805"/>
      <c r="J562" s="1805"/>
      <c r="K562" s="1685"/>
      <c r="L562" s="1685"/>
      <c r="M562" s="1688" t="str">
        <f>IF(AND(Table36[[#This Row],[Total]]&gt;0, Table36[[#This Row],[Total]]&lt;&gt;""),Table36[[#This Row],[Source]],"")</f>
        <v/>
      </c>
      <c r="N562" s="1810"/>
      <c r="O562" s="1805"/>
      <c r="P562" s="1685" t="str">
        <f>IF(Table37[[#This Row],[Funding Source]]="","",Table36[[#This Row],[Total]])</f>
        <v/>
      </c>
      <c r="Q562" s="1805"/>
      <c r="R562" s="1818"/>
      <c r="S562" s="1685"/>
      <c r="T562" s="1685"/>
      <c r="U562" s="1685"/>
      <c r="V562" s="1685"/>
      <c r="W562" s="1685"/>
      <c r="X562" s="1685"/>
      <c r="Y562" s="1685"/>
      <c r="Z562" s="1685"/>
      <c r="AA562" s="1685"/>
      <c r="AB562" s="1685"/>
      <c r="AC562" s="1685"/>
      <c r="AD562" s="2069"/>
      <c r="AE562" s="2073"/>
      <c r="AF562" s="1685"/>
      <c r="AG562" s="1685"/>
      <c r="AM562" s="1677" t="str">
        <f>IF(TCATrigger="No","",IF(Table36[[#This Row],[Total]]="","",Table36[[#This Row],[Source]]))</f>
        <v/>
      </c>
      <c r="AN562" s="1725" t="str">
        <f>IF(TCATrigger="No","",IF(Table38[[#This Row],[DEBT]]="","","Subsidized Funding"))</f>
        <v/>
      </c>
      <c r="AO562" s="1816"/>
      <c r="AP562" s="1817"/>
      <c r="AQ562" s="1677" t="str">
        <f>IF(TCATrigger="No","",IF(Table38[[#This Row],[DEBT]]="","",Table36[[#This Row],[Total]]))</f>
        <v/>
      </c>
      <c r="AR562" s="1817"/>
      <c r="BQ562" s="1685"/>
      <c r="BW562" s="1677" t="str">
        <f>IF(TCATrigger="No","",IF(Table36[[#This Row],[Total]]="","",Table36[[#This Row],[Source]]))</f>
        <v/>
      </c>
    </row>
    <row r="563" spans="1:75" ht="15">
      <c r="A563" s="1685" t="s">
        <v>1205</v>
      </c>
      <c r="B563" s="1799" t="s">
        <v>2368</v>
      </c>
      <c r="C563" s="1799" t="s">
        <v>2386</v>
      </c>
      <c r="D563" s="1799" t="s">
        <v>1829</v>
      </c>
      <c r="E563" s="1685" t="str">
        <f>IF(rng02_Sources_Equity_GenPartCap_Tot &gt; 0,'02_3_SOURCES'!B29,"")</f>
        <v/>
      </c>
      <c r="F563" s="1805"/>
      <c r="G563" s="1805"/>
      <c r="H563" s="1685" t="str">
        <f>IF(rng02_Sources_Equity_GenPartCap_Tot &gt; 0,rng02_Sources_Equity_GenPartCap_Tot,"")</f>
        <v/>
      </c>
      <c r="I563" s="1805"/>
      <c r="J563" s="1805"/>
      <c r="K563" s="1685"/>
      <c r="L563" s="1685"/>
      <c r="M563" s="1688" t="str">
        <f>IF(AND(Table36[[#This Row],[Total]]&gt;0, Table36[[#This Row],[Total]]&lt;&gt;""),Table36[[#This Row],[Source]],"")</f>
        <v/>
      </c>
      <c r="N563" s="1810"/>
      <c r="O563" s="1805"/>
      <c r="P563" s="1685" t="str">
        <f>IF(Table37[[#This Row],[Funding Source]]="","",Table36[[#This Row],[Total]])</f>
        <v/>
      </c>
      <c r="Q563" s="1805"/>
      <c r="R563" s="1818"/>
      <c r="S563" s="1685"/>
      <c r="T563" s="1685"/>
      <c r="U563" s="1685"/>
      <c r="V563" s="1685"/>
      <c r="W563" s="1685"/>
      <c r="X563" s="1685"/>
      <c r="Y563" s="1685"/>
      <c r="Z563" s="1685"/>
      <c r="AA563" s="1685"/>
      <c r="AB563" s="1685"/>
      <c r="AC563" s="1685"/>
      <c r="AD563" s="2069"/>
      <c r="AE563" s="2073"/>
      <c r="AF563" s="1685"/>
      <c r="AG563" s="1685"/>
      <c r="AM563" s="1677" t="str">
        <f>IF(TCATrigger="No","",IF(Table36[[#This Row],[Total]]="","",Table36[[#This Row],[Source]]))</f>
        <v/>
      </c>
      <c r="AN563" s="1725" t="str">
        <f>IF(TCATrigger="No","",IF(Table38[[#This Row],[DEBT]]="","","Subsidized Funding"))</f>
        <v/>
      </c>
      <c r="AO563" s="1816"/>
      <c r="AP563" s="1817"/>
      <c r="AQ563" s="1677" t="str">
        <f>IF(TCATrigger="No","",IF(Table38[[#This Row],[DEBT]]="","",Table36[[#This Row],[Total]]))</f>
        <v/>
      </c>
      <c r="AR563" s="1817"/>
      <c r="BQ563" s="1685"/>
      <c r="BW563" s="1677" t="str">
        <f>IF(TCATrigger="No","",IF(Table36[[#This Row],[Total]]="","",Table36[[#This Row],[Source]]))</f>
        <v/>
      </c>
    </row>
    <row r="564" spans="1:75" ht="15">
      <c r="A564" s="1685" t="s">
        <v>1205</v>
      </c>
      <c r="B564" s="1799" t="s">
        <v>2369</v>
      </c>
      <c r="C564" s="1799" t="s">
        <v>2387</v>
      </c>
      <c r="D564" s="1799" t="s">
        <v>1829</v>
      </c>
      <c r="E564" s="1685" t="str">
        <f>IF(rng02_Sources_Equity_StateHistTCProceeds_Tot &gt; 0,'02_3_SOURCES'!B30,"")</f>
        <v/>
      </c>
      <c r="F564" s="1805"/>
      <c r="G564" s="1805"/>
      <c r="H564" s="1685" t="str">
        <f>IF(rng02_Sources_Equity_StateHistTCProceeds_Tot &gt; 0,rng02_Sources_Equity_StateHistTCProceeds_Tot,"")</f>
        <v/>
      </c>
      <c r="I564" s="1805"/>
      <c r="J564" s="1805"/>
      <c r="K564" s="1685"/>
      <c r="L564" s="1685"/>
      <c r="M564" s="1688" t="str">
        <f>IF(AND(Table36[[#This Row],[Total]]&gt;0, Table36[[#This Row],[Total]]&lt;&gt;""),Table36[[#This Row],[Source]],"")</f>
        <v/>
      </c>
      <c r="N564" s="1810"/>
      <c r="O564" s="1805"/>
      <c r="P564" s="1685" t="str">
        <f>IF(Table37[[#This Row],[Funding Source]]="","",Table36[[#This Row],[Total]])</f>
        <v/>
      </c>
      <c r="Q564" s="1805"/>
      <c r="R564" s="1818"/>
      <c r="S564" s="1685"/>
      <c r="T564" s="1685"/>
      <c r="U564" s="1685"/>
      <c r="V564" s="1685"/>
      <c r="W564" s="1685"/>
      <c r="X564" s="1685"/>
      <c r="Y564" s="1685"/>
      <c r="Z564" s="1685"/>
      <c r="AA564" s="1685"/>
      <c r="AB564" s="1685"/>
      <c r="AC564" s="1685"/>
      <c r="AD564" s="2069"/>
      <c r="AE564" s="2073"/>
      <c r="AF564" s="1685"/>
      <c r="AG564" s="1685"/>
      <c r="AM564" s="1677" t="str">
        <f>IF(TCATrigger="No","",IF(Table36[[#This Row],[Total]]="","",Table36[[#This Row],[Source]]))</f>
        <v/>
      </c>
      <c r="AN564" s="1725" t="str">
        <f>IF(TCATrigger="No","",IF(Table38[[#This Row],[DEBT]]="","","Subsidized Funding"))</f>
        <v/>
      </c>
      <c r="AO564" s="1816"/>
      <c r="AP564" s="1817"/>
      <c r="AQ564" s="1677" t="str">
        <f>IF(TCATrigger="No","",IF(Table38[[#This Row],[DEBT]]="","",Table36[[#This Row],[Total]]))</f>
        <v/>
      </c>
      <c r="AR564" s="1817"/>
      <c r="BQ564" s="1685"/>
      <c r="BW564" s="1677" t="str">
        <f>IF(TCATrigger="No","",IF(Table36[[#This Row],[Total]]="","",Table36[[#This Row],[Source]]))</f>
        <v/>
      </c>
    </row>
    <row r="565" spans="1:75" ht="15">
      <c r="A565" s="1685" t="s">
        <v>1205</v>
      </c>
      <c r="B565" s="1799" t="s">
        <v>2370</v>
      </c>
      <c r="C565" s="1799" t="s">
        <v>2388</v>
      </c>
      <c r="D565" s="1799" t="s">
        <v>1829</v>
      </c>
      <c r="E565" s="1714" t="str">
        <f>IF(rng02_Sources_Equity_Other_Tot &gt; 0,'02_3_SOURCES'!B32,"")</f>
        <v/>
      </c>
      <c r="F565" s="1805"/>
      <c r="G565" s="1805"/>
      <c r="H565" s="1685" t="str">
        <f>IF(rng02_Sources_Equity_Other_Tot &gt; 0,rng02_Sources_Equity_Other_Tot,"")</f>
        <v/>
      </c>
      <c r="I565" s="1805"/>
      <c r="J565" s="1805"/>
      <c r="K565" s="1685"/>
      <c r="L565" s="1685"/>
      <c r="M565" s="1688" t="str">
        <f>IF(AND(Table36[[#This Row],[Total]]&gt;0, Table36[[#This Row],[Total]]&lt;&gt;""),Table36[[#This Row],[Source]],"")</f>
        <v/>
      </c>
      <c r="N565" s="1810"/>
      <c r="O565" s="1805"/>
      <c r="P565" s="1685" t="str">
        <f>IF(Table37[[#This Row],[Funding Source]]="","",Table36[[#This Row],[Total]])</f>
        <v/>
      </c>
      <c r="Q565" s="1805"/>
      <c r="R565" s="1818"/>
      <c r="S565" s="1685"/>
      <c r="T565" s="1685"/>
      <c r="U565" s="1685"/>
      <c r="V565" s="1685"/>
      <c r="W565" s="1685"/>
      <c r="X565" s="1685"/>
      <c r="Y565" s="1685"/>
      <c r="Z565" s="1685"/>
      <c r="AA565" s="1685"/>
      <c r="AB565" s="1685"/>
      <c r="AC565" s="1685"/>
      <c r="AD565" s="2069"/>
      <c r="AE565" s="2073"/>
      <c r="AF565" s="1685"/>
      <c r="AG565" s="1685"/>
      <c r="AM565" s="1677" t="str">
        <f>IF(TCATrigger="No","",IF(Table36[[#This Row],[Total]]="","",Table36[[#This Row],[Source]]))</f>
        <v/>
      </c>
      <c r="AN565" s="1725" t="str">
        <f>IF(TCATrigger="No","",IF(Table38[[#This Row],[DEBT]]="","","Subsidized Funding"))</f>
        <v/>
      </c>
      <c r="AO565" s="1816"/>
      <c r="AP565" s="1817"/>
      <c r="AQ565" s="1677" t="str">
        <f>IF(TCATrigger="No","",IF(Table38[[#This Row],[DEBT]]="","",Table36[[#This Row],[Total]]))</f>
        <v/>
      </c>
      <c r="AR565" s="1817"/>
      <c r="BQ565" s="1685"/>
      <c r="BW565" s="1677" t="str">
        <f>IF(TCATrigger="No","",IF(Table36[[#This Row],[Total]]="","",Table36[[#This Row],[Source]]))</f>
        <v/>
      </c>
    </row>
    <row r="566" spans="1:75" ht="15">
      <c r="A566" s="1685" t="s">
        <v>1205</v>
      </c>
      <c r="B566" s="1799" t="s">
        <v>2371</v>
      </c>
      <c r="C566" s="1805"/>
      <c r="D566" s="1799" t="s">
        <v>2383</v>
      </c>
      <c r="E566" s="1714" t="str">
        <f>IF('02_3_SOURCES'!F37&gt;0,'02_3_SOURCES'!B37,"")</f>
        <v/>
      </c>
      <c r="F566" s="1805"/>
      <c r="G566" s="1805"/>
      <c r="H566" s="1685">
        <f>'02_3_SOURCES'!F37</f>
        <v>0</v>
      </c>
      <c r="I566" s="1805"/>
      <c r="J566" s="1805"/>
      <c r="K566" s="1685"/>
      <c r="L566" s="1685"/>
      <c r="M566" s="1688" t="str">
        <f>IF(AND(Table36[[#This Row],[Total]]&gt;0, Table36[[#This Row],[Total]]&lt;&gt;""),Table36[[#This Row],[Source]],"")</f>
        <v/>
      </c>
      <c r="N566" s="1810"/>
      <c r="O566" s="1805"/>
      <c r="P566" s="1685" t="str">
        <f>IF(Table37[[#This Row],[Funding Source]]="","",Table36[[#This Row],[Total]])</f>
        <v/>
      </c>
      <c r="Q566" s="1805"/>
      <c r="R566" s="1818"/>
      <c r="S566" s="1685"/>
      <c r="T566" s="1685"/>
      <c r="U566" s="1685"/>
      <c r="V566" s="1685"/>
      <c r="W566" s="1685"/>
      <c r="X566" s="1685"/>
      <c r="Y566" s="1685"/>
      <c r="Z566" s="1685"/>
      <c r="AA566" s="1685"/>
      <c r="AB566" s="1685"/>
      <c r="AC566" s="1685"/>
      <c r="AD566" s="2069"/>
      <c r="AE566" s="2073"/>
      <c r="AF566" s="1685"/>
      <c r="AG566" s="1685"/>
      <c r="AM566" s="1677" t="str">
        <f>IF(TCATrigger="No","",IF(Table36[[#This Row],[Total]]="","",Table36[[#This Row],[Source]]))</f>
        <v/>
      </c>
      <c r="AN566" s="1725" t="str">
        <f>IF(TCATrigger="No","",IF(Table38[[#This Row],[DEBT]]="","","Grant"))</f>
        <v/>
      </c>
      <c r="AO566" s="1816"/>
      <c r="AP566" s="1817"/>
      <c r="AQ566" s="1677" t="str">
        <f>IF(TCATrigger="No","",IF(Table38[[#This Row],[DEBT]]="","",Table36[[#This Row],[Total]]))</f>
        <v/>
      </c>
      <c r="AR566" s="1817"/>
      <c r="BQ566" s="1685"/>
      <c r="BW566" s="1677" t="str">
        <f>IF(TCATrigger="No","",IF(Table36[[#This Row],[Total]]="","",Table36[[#This Row],[Source]]))</f>
        <v/>
      </c>
    </row>
    <row r="567" spans="1:75" ht="15">
      <c r="A567" s="1685" t="s">
        <v>1205</v>
      </c>
      <c r="B567" s="1799" t="s">
        <v>2372</v>
      </c>
      <c r="C567" s="1805"/>
      <c r="D567" s="1799" t="s">
        <v>2383</v>
      </c>
      <c r="E567" s="1714" t="str">
        <f>IF('02_3_SOURCES'!F38&gt;0,'02_3_SOURCES'!B38,"")</f>
        <v/>
      </c>
      <c r="F567" s="1805"/>
      <c r="G567" s="1805"/>
      <c r="H567" s="1685">
        <f>'02_3_SOURCES'!F38</f>
        <v>0</v>
      </c>
      <c r="I567" s="1805"/>
      <c r="J567" s="1805"/>
      <c r="K567" s="1685"/>
      <c r="L567" s="1685"/>
      <c r="M567" s="1688" t="str">
        <f>IF(AND(Table36[[#This Row],[Total]]&gt;0, Table36[[#This Row],[Total]]&lt;&gt;""),Table36[[#This Row],[Source]],"")</f>
        <v/>
      </c>
      <c r="N567" s="1810"/>
      <c r="O567" s="1805"/>
      <c r="P567" s="1685" t="str">
        <f>IF(Table37[[#This Row],[Funding Source]]="","",Table36[[#This Row],[Total]])</f>
        <v/>
      </c>
      <c r="Q567" s="1805"/>
      <c r="R567" s="1818"/>
      <c r="S567" s="1685"/>
      <c r="T567" s="1685"/>
      <c r="U567" s="1685"/>
      <c r="V567" s="1685"/>
      <c r="W567" s="1685"/>
      <c r="X567" s="1685"/>
      <c r="Y567" s="1685"/>
      <c r="Z567" s="1685"/>
      <c r="AA567" s="1685"/>
      <c r="AB567" s="1685"/>
      <c r="AC567" s="1685"/>
      <c r="AD567" s="2069"/>
      <c r="AE567" s="2073"/>
      <c r="AF567" s="1685"/>
      <c r="AG567" s="1685"/>
      <c r="AM567" s="1677" t="str">
        <f>IF(TCATrigger="No","",IF(Table36[[#This Row],[Total]]="","",Table36[[#This Row],[Source]]))</f>
        <v/>
      </c>
      <c r="AN567" s="1725" t="str">
        <f>IF(TCATrigger="No","",IF(Table38[[#This Row],[DEBT]]="","","Grant"))</f>
        <v/>
      </c>
      <c r="AO567" s="1816"/>
      <c r="AP567" s="1817"/>
      <c r="AQ567" s="1677" t="str">
        <f>IF(TCATrigger="No","",IF(Table38[[#This Row],[DEBT]]="","",Table36[[#This Row],[Total]]))</f>
        <v/>
      </c>
      <c r="AR567" s="1817"/>
      <c r="BQ567" s="1685"/>
      <c r="BW567" s="1677" t="str">
        <f>IF(TCATrigger="No","",IF(Table36[[#This Row],[Total]]="","",Table36[[#This Row],[Source]]))</f>
        <v/>
      </c>
    </row>
    <row r="568" spans="1:75" ht="15">
      <c r="A568" s="1685" t="s">
        <v>1205</v>
      </c>
      <c r="B568" s="1799" t="s">
        <v>2373</v>
      </c>
      <c r="C568" s="1805"/>
      <c r="D568" s="1799" t="s">
        <v>2383</v>
      </c>
      <c r="E568" s="1714" t="str">
        <f>IF('02_3_SOURCES'!F39&gt;0,'02_3_SOURCES'!B39,"")</f>
        <v/>
      </c>
      <c r="F568" s="1805"/>
      <c r="G568" s="1805"/>
      <c r="H568" s="1685">
        <f>'02_3_SOURCES'!F39</f>
        <v>0</v>
      </c>
      <c r="I568" s="1805"/>
      <c r="J568" s="1805"/>
      <c r="K568" s="1685"/>
      <c r="L568" s="1685"/>
      <c r="M568" s="1688" t="str">
        <f>IF(AND(Table36[[#This Row],[Total]]&gt;0, Table36[[#This Row],[Total]]&lt;&gt;""),Table36[[#This Row],[Source]],"")</f>
        <v/>
      </c>
      <c r="N568" s="1810"/>
      <c r="O568" s="1805"/>
      <c r="P568" s="1685" t="str">
        <f>IF(Table37[[#This Row],[Funding Source]]="","",Table36[[#This Row],[Total]])</f>
        <v/>
      </c>
      <c r="Q568" s="1805"/>
      <c r="R568" s="1818"/>
      <c r="S568" s="1685"/>
      <c r="T568" s="1685"/>
      <c r="U568" s="1685"/>
      <c r="V568" s="1685"/>
      <c r="W568" s="1685"/>
      <c r="X568" s="1685"/>
      <c r="Y568" s="1685"/>
      <c r="Z568" s="1685"/>
      <c r="AA568" s="1685"/>
      <c r="AB568" s="1685"/>
      <c r="AC568" s="1685"/>
      <c r="AD568" s="2069"/>
      <c r="AE568" s="2073"/>
      <c r="AF568" s="1685"/>
      <c r="AG568" s="1685"/>
      <c r="AM568" s="1677" t="str">
        <f>IF(TCATrigger="No","",IF(Table36[[#This Row],[Total]]="","",Table36[[#This Row],[Source]]))</f>
        <v/>
      </c>
      <c r="AN568" s="1725" t="str">
        <f>IF(TCATrigger="No","",IF(Table38[[#This Row],[DEBT]]="","","Grant"))</f>
        <v/>
      </c>
      <c r="AO568" s="1816"/>
      <c r="AP568" s="1817"/>
      <c r="AQ568" s="1677" t="str">
        <f>IF(TCATrigger="No","",IF(Table38[[#This Row],[DEBT]]="","",Table36[[#This Row],[Total]]))</f>
        <v/>
      </c>
      <c r="AR568" s="1817"/>
      <c r="BQ568" s="1685"/>
      <c r="BW568" s="1677" t="str">
        <f>IF(TCATrigger="No","",IF(Table36[[#This Row],[Total]]="","",Table36[[#This Row],[Source]]))</f>
        <v/>
      </c>
    </row>
    <row r="569" spans="1:75" ht="15">
      <c r="A569" s="1685" t="s">
        <v>1205</v>
      </c>
      <c r="B569" s="1799" t="s">
        <v>2374</v>
      </c>
      <c r="C569" s="1805"/>
      <c r="D569" s="1799" t="s">
        <v>2383</v>
      </c>
      <c r="E569" s="1714" t="str">
        <f>IF('02_3_SOURCES'!F40&gt;0,'02_3_SOURCES'!B40,"")</f>
        <v/>
      </c>
      <c r="F569" s="1805"/>
      <c r="G569" s="1805"/>
      <c r="H569" s="1685">
        <f>'02_3_SOURCES'!F40</f>
        <v>0</v>
      </c>
      <c r="I569" s="1805"/>
      <c r="J569" s="1805"/>
      <c r="K569" s="1685"/>
      <c r="L569" s="1685"/>
      <c r="M569" s="1688" t="str">
        <f>IF(AND(Table36[[#This Row],[Total]]&gt;0, Table36[[#This Row],[Total]]&lt;&gt;""),Table36[[#This Row],[Source]],"")</f>
        <v/>
      </c>
      <c r="N569" s="1810"/>
      <c r="O569" s="1805"/>
      <c r="P569" s="1685" t="str">
        <f>IF(Table37[[#This Row],[Funding Source]]="","",Table36[[#This Row],[Total]])</f>
        <v/>
      </c>
      <c r="Q569" s="1805"/>
      <c r="R569" s="1818"/>
      <c r="S569" s="1685"/>
      <c r="T569" s="1685"/>
      <c r="U569" s="1685"/>
      <c r="V569" s="1685"/>
      <c r="W569" s="1685"/>
      <c r="X569" s="1685"/>
      <c r="Y569" s="1685"/>
      <c r="Z569" s="1685"/>
      <c r="AA569" s="1685"/>
      <c r="AB569" s="1685"/>
      <c r="AC569" s="1685"/>
      <c r="AD569" s="2069"/>
      <c r="AE569" s="2073"/>
      <c r="AF569" s="1685"/>
      <c r="AG569" s="1685"/>
      <c r="AM569" s="1677" t="str">
        <f>IF(TCATrigger="No","",IF(Table36[[#This Row],[Total]]="","",Table36[[#This Row],[Source]]))</f>
        <v/>
      </c>
      <c r="AN569" s="1725" t="str">
        <f>IF(TCATrigger="No","",IF(Table38[[#This Row],[DEBT]]="","","Grant"))</f>
        <v/>
      </c>
      <c r="AO569" s="1816"/>
      <c r="AP569" s="1817"/>
      <c r="AQ569" s="1677" t="str">
        <f>IF(TCATrigger="No","",IF(Table38[[#This Row],[DEBT]]="","",Table36[[#This Row],[Total]]))</f>
        <v/>
      </c>
      <c r="AR569" s="1817"/>
      <c r="BQ569" s="1685"/>
      <c r="BW569" s="1677" t="str">
        <f>IF(TCATrigger="No","",IF(Table36[[#This Row],[Total]]="","",Table36[[#This Row],[Source]]))</f>
        <v/>
      </c>
    </row>
    <row r="570" spans="1:75" ht="15">
      <c r="A570" s="1685" t="s">
        <v>1205</v>
      </c>
      <c r="B570" s="1799" t="s">
        <v>2375</v>
      </c>
      <c r="C570" s="1805"/>
      <c r="D570" s="1799" t="s">
        <v>2383</v>
      </c>
      <c r="E570" s="1714" t="str">
        <f>IF('02_3_SOURCES'!F41&gt;0,'02_3_SOURCES'!B41,"")</f>
        <v/>
      </c>
      <c r="F570" s="1805"/>
      <c r="G570" s="1805"/>
      <c r="H570" s="1685">
        <f>'02_3_SOURCES'!F41</f>
        <v>0</v>
      </c>
      <c r="I570" s="1805"/>
      <c r="J570" s="1805"/>
      <c r="K570" s="1685"/>
      <c r="L570" s="1685"/>
      <c r="M570" s="1688" t="str">
        <f>IF(AND(Table36[[#This Row],[Total]]&gt;0, Table36[[#This Row],[Total]]&lt;&gt;""),Table36[[#This Row],[Source]],"")</f>
        <v/>
      </c>
      <c r="N570" s="1810"/>
      <c r="O570" s="1805"/>
      <c r="P570" s="1685" t="str">
        <f>IF(Table37[[#This Row],[Funding Source]]="","",Table36[[#This Row],[Total]])</f>
        <v/>
      </c>
      <c r="Q570" s="1805"/>
      <c r="R570" s="1818"/>
      <c r="S570" s="1685"/>
      <c r="T570" s="1685"/>
      <c r="U570" s="1685"/>
      <c r="V570" s="1685"/>
      <c r="W570" s="1685"/>
      <c r="X570" s="1685"/>
      <c r="Y570" s="1685"/>
      <c r="Z570" s="1685"/>
      <c r="AA570" s="1685"/>
      <c r="AB570" s="1685"/>
      <c r="AC570" s="1685"/>
      <c r="AD570" s="2069"/>
      <c r="AE570" s="2073"/>
      <c r="AF570" s="1685"/>
      <c r="AG570" s="1685"/>
      <c r="AM570" s="1677" t="str">
        <f>IF(TCATrigger="No","",IF(Table36[[#This Row],[Total]]="","",Table36[[#This Row],[Source]]))</f>
        <v/>
      </c>
      <c r="AN570" s="1725" t="str">
        <f>IF(TCATrigger="No","",IF(Table38[[#This Row],[DEBT]]="","","Grant"))</f>
        <v/>
      </c>
      <c r="AO570" s="1816"/>
      <c r="AP570" s="1817"/>
      <c r="AQ570" s="1677" t="str">
        <f>IF(TCATrigger="No","",IF(Table38[[#This Row],[DEBT]]="","",Table36[[#This Row],[Total]]))</f>
        <v/>
      </c>
      <c r="AR570" s="1817"/>
      <c r="BQ570" s="1685"/>
      <c r="BW570" s="1677" t="str">
        <f>IF(TCATrigger="No","",IF(Table36[[#This Row],[Total]]="","",Table36[[#This Row],[Source]]))</f>
        <v/>
      </c>
    </row>
    <row r="571" spans="1:75" ht="15">
      <c r="A571" s="1685"/>
      <c r="B571" s="1685"/>
      <c r="C571" s="1685"/>
      <c r="D571" s="1685"/>
      <c r="E571" s="1685"/>
      <c r="F571" s="1685"/>
      <c r="G571" s="1685"/>
      <c r="H571" s="1685"/>
      <c r="I571" s="1685"/>
      <c r="J571" s="1685"/>
      <c r="K571" s="1685"/>
      <c r="L571" s="1685"/>
      <c r="M571" s="1685"/>
      <c r="N571" s="1685"/>
      <c r="O571" s="1685"/>
      <c r="P571" s="1685"/>
      <c r="Q571" s="1685"/>
      <c r="R571" s="1685"/>
      <c r="S571" s="1685"/>
      <c r="T571" s="1685"/>
      <c r="U571" s="1685"/>
      <c r="V571" s="1685"/>
      <c r="W571" s="1685"/>
      <c r="X571" s="1685"/>
      <c r="Y571" s="1685"/>
      <c r="Z571" s="1685"/>
      <c r="AA571" s="1685"/>
      <c r="AB571" s="1685"/>
      <c r="AC571" s="1685"/>
      <c r="AD571" s="2069"/>
      <c r="AE571" s="2073"/>
      <c r="AF571" s="1685"/>
      <c r="AG571" s="1685"/>
      <c r="AM571" s="1691"/>
      <c r="BQ571" s="1685"/>
      <c r="BW571" s="1691"/>
    </row>
    <row r="572" spans="1:75" ht="15">
      <c r="A572" s="1685"/>
      <c r="B572" s="1685"/>
      <c r="C572" s="1685"/>
      <c r="D572" s="1685"/>
      <c r="E572" s="1685"/>
      <c r="F572" s="1685"/>
      <c r="G572" s="1685"/>
      <c r="H572" s="1685"/>
      <c r="I572" s="1685"/>
      <c r="J572" s="1685"/>
      <c r="K572" s="1685"/>
      <c r="L572" s="1685"/>
      <c r="M572" s="1685"/>
      <c r="N572" s="1685"/>
      <c r="O572" s="1685"/>
      <c r="P572" s="1685"/>
      <c r="Q572" s="1685"/>
      <c r="R572" s="1685"/>
      <c r="S572" s="1685"/>
      <c r="T572" s="1685"/>
      <c r="U572" s="1685"/>
      <c r="V572" s="1685"/>
      <c r="W572" s="1685"/>
      <c r="X572" s="1685"/>
      <c r="Y572" s="1685"/>
      <c r="Z572" s="1685"/>
      <c r="AA572" s="1685"/>
      <c r="AB572" s="1685"/>
      <c r="AC572" s="1685"/>
      <c r="AD572" s="2069"/>
      <c r="AE572" s="2073"/>
      <c r="AF572" s="1685"/>
      <c r="AG572" s="1685"/>
      <c r="BQ572" s="1685"/>
    </row>
    <row r="573" spans="1:75" ht="15">
      <c r="A573" s="1685"/>
      <c r="B573" s="1685"/>
      <c r="C573" s="1685"/>
      <c r="D573" s="1685"/>
      <c r="E573" s="1685"/>
      <c r="F573" s="1685"/>
      <c r="G573" s="1685"/>
      <c r="H573" s="1685"/>
      <c r="I573" s="1685"/>
      <c r="J573" s="1685"/>
      <c r="K573" s="1685"/>
      <c r="L573" s="1685"/>
      <c r="M573" s="1685"/>
      <c r="N573" s="1685"/>
      <c r="O573" s="1685"/>
      <c r="P573" s="1685"/>
      <c r="Q573" s="1685"/>
      <c r="R573" s="1685"/>
      <c r="S573" s="1685"/>
      <c r="T573" s="1685"/>
      <c r="U573" s="1685"/>
      <c r="V573" s="1685"/>
      <c r="W573" s="1685"/>
      <c r="X573" s="1685"/>
      <c r="Y573" s="1685"/>
      <c r="Z573" s="1685"/>
      <c r="AA573" s="1685"/>
      <c r="AB573" s="1685"/>
      <c r="AC573" s="1685"/>
      <c r="AD573" s="2069"/>
      <c r="AE573" s="2073"/>
      <c r="AF573" s="1685"/>
      <c r="AG573" s="1685"/>
      <c r="BQ573" s="1685"/>
    </row>
    <row r="574" spans="1:75" ht="15">
      <c r="A574" s="1685"/>
      <c r="B574" s="1685"/>
      <c r="C574" s="1685"/>
      <c r="D574" s="1685"/>
      <c r="E574" s="1685"/>
      <c r="F574" s="1685"/>
      <c r="G574" s="1685"/>
      <c r="H574" s="1685"/>
      <c r="I574" s="1685"/>
      <c r="J574" s="1685"/>
      <c r="K574" s="1685"/>
      <c r="L574" s="1685"/>
      <c r="M574" s="1685"/>
      <c r="N574" s="1685"/>
      <c r="O574" s="1685"/>
      <c r="P574" s="1685"/>
      <c r="Q574" s="1685"/>
      <c r="R574" s="1685"/>
      <c r="S574" s="1685"/>
      <c r="T574" s="1685"/>
      <c r="U574" s="1685"/>
      <c r="V574" s="1685"/>
      <c r="W574" s="1685"/>
      <c r="X574" s="1685"/>
      <c r="Y574" s="1685"/>
      <c r="Z574" s="1685"/>
      <c r="AA574" s="1685"/>
      <c r="AB574" s="1685"/>
      <c r="AC574" s="1685"/>
      <c r="AD574" s="2069"/>
      <c r="AE574" s="2073"/>
      <c r="AF574" s="1685"/>
      <c r="AG574" s="1685"/>
      <c r="BQ574" s="1685"/>
    </row>
    <row r="575" spans="1:75" ht="15">
      <c r="A575" s="1685"/>
      <c r="B575" s="1685"/>
      <c r="C575" s="1685"/>
      <c r="D575" s="1685"/>
      <c r="E575" s="1685"/>
      <c r="F575" s="1685"/>
      <c r="G575" s="1685"/>
      <c r="H575" s="1685"/>
      <c r="I575" s="1685"/>
      <c r="J575" s="1685"/>
      <c r="K575" s="1685"/>
      <c r="L575" s="1685"/>
      <c r="M575" s="1685"/>
      <c r="N575" s="1685"/>
      <c r="O575" s="1685"/>
      <c r="P575" s="1685"/>
      <c r="Q575" s="1685"/>
      <c r="R575" s="1685"/>
      <c r="S575" s="1685"/>
      <c r="T575" s="1685"/>
      <c r="U575" s="1685"/>
      <c r="V575" s="1685"/>
      <c r="W575" s="1685"/>
      <c r="X575" s="1685"/>
      <c r="Y575" s="1685"/>
      <c r="Z575" s="1685"/>
      <c r="AA575" s="1685"/>
      <c r="AB575" s="1685"/>
      <c r="AC575" s="1685"/>
      <c r="AD575" s="2069"/>
      <c r="AE575" s="2073"/>
      <c r="AF575" s="1685"/>
      <c r="AG575" s="1685"/>
      <c r="BQ575" s="1685"/>
    </row>
    <row r="576" spans="1:75" ht="15">
      <c r="A576" s="1685"/>
      <c r="B576" s="1685"/>
      <c r="C576" s="1685"/>
      <c r="D576" s="1685"/>
      <c r="E576" s="1685"/>
      <c r="F576" s="1688" t="s">
        <v>8</v>
      </c>
      <c r="G576" s="1685"/>
      <c r="H576" s="1685"/>
      <c r="I576" s="1685"/>
      <c r="J576" s="1685"/>
      <c r="K576" s="1685"/>
      <c r="L576" s="1685"/>
      <c r="M576" s="1685"/>
      <c r="N576" s="1685"/>
      <c r="O576" s="1685"/>
      <c r="P576" s="1685"/>
      <c r="Q576" s="1685"/>
      <c r="R576" s="1685"/>
      <c r="S576" s="1685"/>
      <c r="T576" s="1685"/>
      <c r="U576" s="1685"/>
      <c r="V576" s="1685"/>
      <c r="W576" s="1685"/>
      <c r="X576" s="1685"/>
      <c r="Y576" s="1685"/>
      <c r="Z576" s="1685"/>
      <c r="AA576" s="1685"/>
      <c r="AB576" s="1685"/>
      <c r="AC576" s="1685"/>
      <c r="AD576" s="2069"/>
      <c r="AE576" s="2073"/>
      <c r="AF576" s="1685"/>
      <c r="AG576" s="1685"/>
      <c r="AM576" s="1698"/>
      <c r="AN576" s="1698"/>
      <c r="AO576" s="1698"/>
      <c r="BQ576" s="1685"/>
      <c r="BW576" s="1698"/>
    </row>
    <row r="577" spans="1:82" ht="15">
      <c r="A577" s="1685"/>
      <c r="B577" s="1685"/>
      <c r="C577" s="1685"/>
      <c r="D577" s="1685"/>
      <c r="E577" s="1685"/>
      <c r="F577" s="1688" t="s">
        <v>8</v>
      </c>
      <c r="G577" s="1685"/>
      <c r="H577" s="1685"/>
      <c r="I577" s="1685"/>
      <c r="J577" s="1685"/>
      <c r="K577" s="1685"/>
      <c r="L577" s="1685"/>
      <c r="M577" s="1685"/>
      <c r="N577" s="1685"/>
      <c r="O577" s="1685"/>
      <c r="P577" s="1685"/>
      <c r="Q577" s="1685"/>
      <c r="R577" s="1685"/>
      <c r="S577" s="1685"/>
      <c r="T577" s="1685"/>
      <c r="U577" s="1685"/>
      <c r="V577" s="1685"/>
      <c r="W577" s="1685"/>
      <c r="X577" s="1685"/>
      <c r="Y577" s="1685"/>
      <c r="Z577" s="1685"/>
      <c r="AA577" s="1685"/>
      <c r="AB577" s="1685"/>
      <c r="AC577" s="1685"/>
      <c r="AD577" s="2069"/>
      <c r="AE577" s="2073"/>
      <c r="AF577" s="1685"/>
      <c r="AG577" s="1685"/>
      <c r="BQ577" s="1685"/>
    </row>
    <row r="578" spans="1:82" ht="15">
      <c r="A578" s="1685"/>
      <c r="B578" s="1685"/>
      <c r="C578" s="1685"/>
      <c r="D578" s="1685"/>
      <c r="E578" s="1685"/>
      <c r="F578" s="1685"/>
      <c r="G578" s="1685"/>
      <c r="H578" s="1685"/>
      <c r="I578" s="1685"/>
      <c r="J578" s="1685"/>
      <c r="K578" s="1685"/>
      <c r="L578" s="1685"/>
      <c r="M578" s="1685"/>
      <c r="N578" s="1685"/>
      <c r="O578" s="1685"/>
      <c r="P578" s="1685"/>
      <c r="Q578" s="1685"/>
      <c r="R578" s="1685"/>
      <c r="S578" s="1685"/>
      <c r="T578" s="1685"/>
      <c r="U578" s="1685"/>
      <c r="V578" s="1685"/>
      <c r="W578" s="1685"/>
      <c r="X578" s="1685"/>
      <c r="Y578" s="1685"/>
      <c r="Z578" s="1685"/>
      <c r="AA578" s="1685"/>
      <c r="AB578" s="1685"/>
      <c r="AC578" s="1685"/>
      <c r="AD578" s="2069"/>
      <c r="AE578" s="2073"/>
      <c r="AF578" s="1685"/>
      <c r="AG578" s="1685"/>
      <c r="BQ578" s="1685"/>
    </row>
    <row r="579" spans="1:82" ht="15">
      <c r="A579" s="1685" t="s">
        <v>1244</v>
      </c>
      <c r="B579" s="1685"/>
      <c r="C579" s="1685"/>
      <c r="D579" s="1685"/>
      <c r="E579" s="1685"/>
      <c r="F579" s="1685"/>
      <c r="G579" s="1685" t="s">
        <v>849</v>
      </c>
      <c r="H579" s="1685"/>
      <c r="I579" s="1685"/>
      <c r="J579" s="1685"/>
      <c r="K579" s="1685"/>
      <c r="L579" s="1685"/>
      <c r="M579" s="1685"/>
      <c r="N579" s="1685"/>
      <c r="O579" s="1685"/>
      <c r="P579" s="1685"/>
      <c r="Q579" s="1685"/>
      <c r="R579" s="1685"/>
      <c r="S579" s="1685"/>
      <c r="T579" s="1685"/>
      <c r="U579" s="1685"/>
      <c r="V579" s="1685"/>
      <c r="W579" s="1685"/>
      <c r="X579" s="1685"/>
      <c r="Y579" s="1685"/>
      <c r="Z579" s="1685"/>
      <c r="AA579" s="1685"/>
      <c r="AB579" s="1685"/>
      <c r="AC579" s="1685"/>
      <c r="AD579" s="2069"/>
      <c r="AE579" s="2073"/>
      <c r="AF579" s="1685"/>
      <c r="AG579" s="1685" t="s">
        <v>1244</v>
      </c>
      <c r="AM579" s="1677" t="s">
        <v>849</v>
      </c>
      <c r="AN579" s="1677" t="str">
        <f>$AN$8</f>
        <v/>
      </c>
      <c r="BQ579" s="1685" t="s">
        <v>1244</v>
      </c>
      <c r="BW579" s="1677" t="s">
        <v>849</v>
      </c>
    </row>
    <row r="580" spans="1:82" ht="15">
      <c r="A580" s="1685"/>
      <c r="B580" s="1685"/>
      <c r="C580" s="1685"/>
      <c r="D580" s="1685"/>
      <c r="E580" s="1685"/>
      <c r="F580" s="1685"/>
      <c r="G580" s="1685" t="s">
        <v>850</v>
      </c>
      <c r="H580" s="1877"/>
      <c r="I580" s="1685"/>
      <c r="J580" s="1685"/>
      <c r="K580" s="1685"/>
      <c r="L580" s="1685"/>
      <c r="M580" s="1685"/>
      <c r="N580" s="1685"/>
      <c r="O580" s="1685"/>
      <c r="P580" s="1685"/>
      <c r="Q580" s="1685"/>
      <c r="R580" s="1685"/>
      <c r="S580" s="1685"/>
      <c r="T580" s="1685"/>
      <c r="U580" s="1685"/>
      <c r="V580" s="1685"/>
      <c r="W580" s="1685"/>
      <c r="X580" s="1685"/>
      <c r="Y580" s="1685"/>
      <c r="Z580" s="1685"/>
      <c r="AA580" s="1685"/>
      <c r="AB580" s="1685"/>
      <c r="AC580" s="1685"/>
      <c r="AD580" s="2069"/>
      <c r="AE580" s="2073"/>
      <c r="AF580" s="1685"/>
      <c r="AG580" s="1685"/>
      <c r="AM580" s="1677" t="s">
        <v>850</v>
      </c>
      <c r="AN580" s="1677" t="str">
        <f>$AN$9</f>
        <v/>
      </c>
      <c r="BQ580" s="1685"/>
      <c r="BW580" s="1677" t="s">
        <v>850</v>
      </c>
    </row>
    <row r="581" spans="1:82" ht="15">
      <c r="A581" s="1685"/>
      <c r="B581" s="1685"/>
      <c r="C581" s="1685"/>
      <c r="D581" s="1685"/>
      <c r="E581" s="1685"/>
      <c r="F581" s="1685"/>
      <c r="G581" s="1685"/>
      <c r="H581" s="1685"/>
      <c r="I581" s="1685"/>
      <c r="J581" s="1685"/>
      <c r="K581" s="1685"/>
      <c r="L581" s="1685"/>
      <c r="M581" s="1685"/>
      <c r="N581" s="1685"/>
      <c r="O581" s="1685"/>
      <c r="P581" s="1685"/>
      <c r="Q581" s="1685"/>
      <c r="R581" s="1685"/>
      <c r="S581" s="1685"/>
      <c r="T581" s="1685"/>
      <c r="U581" s="1685"/>
      <c r="V581" s="1685"/>
      <c r="W581" s="1685"/>
      <c r="X581" s="1685"/>
      <c r="Y581" s="1685"/>
      <c r="Z581" s="1685"/>
      <c r="AA581" s="1685"/>
      <c r="AB581" s="1685"/>
      <c r="AC581" s="1685"/>
      <c r="AD581" s="2069"/>
      <c r="AE581" s="2073"/>
      <c r="AF581" s="1685"/>
      <c r="AG581" s="1685"/>
      <c r="BQ581" s="1685"/>
    </row>
    <row r="582" spans="1:82" ht="15">
      <c r="A582" s="1685"/>
      <c r="B582" s="1685"/>
      <c r="C582" s="1685"/>
      <c r="D582" s="1685"/>
      <c r="E582" s="1685"/>
      <c r="F582" s="1685"/>
      <c r="G582" s="1685"/>
      <c r="H582" s="1685"/>
      <c r="I582" s="1685"/>
      <c r="J582" s="1685"/>
      <c r="K582" s="1685"/>
      <c r="L582" s="1685"/>
      <c r="M582" s="1685"/>
      <c r="N582" s="1685"/>
      <c r="O582" s="1685"/>
      <c r="P582" s="1685"/>
      <c r="Q582" s="1685"/>
      <c r="R582" s="1685"/>
      <c r="S582" s="1685"/>
      <c r="T582" s="1685"/>
      <c r="U582" s="1685"/>
      <c r="V582" s="1685"/>
      <c r="W582" s="1685"/>
      <c r="X582" s="1685"/>
      <c r="Y582" s="1685"/>
      <c r="Z582" s="1685"/>
      <c r="AA582" s="1685"/>
      <c r="AB582" s="1685"/>
      <c r="AC582" s="1685"/>
      <c r="AD582" s="2069"/>
      <c r="AE582" s="2073"/>
      <c r="AF582" s="1685"/>
      <c r="AG582" s="1685"/>
      <c r="AM582" s="1761">
        <v>0.04</v>
      </c>
      <c r="AN582" s="1681" t="s">
        <v>2232</v>
      </c>
      <c r="AO582" s="1682" t="str">
        <f>(IF(AND(NinePercentTrigger="No",AcquisitionTrigger="No"),"Yes","No"))</f>
        <v>Yes</v>
      </c>
      <c r="BC582" s="1761">
        <v>0.09</v>
      </c>
      <c r="BD582" s="1681" t="s">
        <v>2232</v>
      </c>
      <c r="BE582" s="1682" t="str">
        <f>IF(OR(rng01_CreditType&lt;&gt;"9%",AcquisitionTrigger="Yes"),"No","Yes")</f>
        <v>No</v>
      </c>
      <c r="BQ582" s="1685"/>
      <c r="BT582" s="1682" t="str">
        <f>IF(rng02_4_Uses_TotalDevCosts=0,"No","Yes")</f>
        <v>No</v>
      </c>
      <c r="BV582" s="1677" t="s">
        <v>2266</v>
      </c>
      <c r="BW582" s="1761">
        <v>0.04</v>
      </c>
    </row>
    <row r="583" spans="1:82" ht="15">
      <c r="A583" s="1685"/>
      <c r="B583" s="1685"/>
      <c r="C583" s="1685"/>
      <c r="D583" s="1685"/>
      <c r="E583" s="1685"/>
      <c r="F583" s="1685"/>
      <c r="G583" s="1685"/>
      <c r="H583" s="1685"/>
      <c r="I583" s="1685"/>
      <c r="J583" s="1685"/>
      <c r="K583" s="1685"/>
      <c r="L583" s="1685"/>
      <c r="M583" s="1685"/>
      <c r="N583" s="1685"/>
      <c r="O583" s="1685"/>
      <c r="P583" s="1685"/>
      <c r="Q583" s="1685"/>
      <c r="R583" s="1685"/>
      <c r="S583" s="1685"/>
      <c r="T583" s="1685"/>
      <c r="U583" s="1685"/>
      <c r="V583" s="1685"/>
      <c r="W583" s="1685"/>
      <c r="X583" s="1685"/>
      <c r="Y583" s="1685"/>
      <c r="Z583" s="1685"/>
      <c r="AA583" s="1685"/>
      <c r="AB583" s="1685"/>
      <c r="AC583" s="1685"/>
      <c r="AD583" s="2069"/>
      <c r="AE583" s="2073"/>
      <c r="AF583" s="1685"/>
      <c r="AG583" s="1685"/>
      <c r="BQ583" s="1685"/>
    </row>
    <row r="584" spans="1:82" ht="15">
      <c r="A584" s="1685" t="s">
        <v>1245</v>
      </c>
      <c r="B584" s="1685"/>
      <c r="C584" s="1685"/>
      <c r="D584" s="1685"/>
      <c r="E584" s="1685"/>
      <c r="F584" s="1685"/>
      <c r="G584" s="1701" t="s">
        <v>29</v>
      </c>
      <c r="H584" s="1762" t="s">
        <v>1002</v>
      </c>
      <c r="I584" s="1701" t="s">
        <v>1247</v>
      </c>
      <c r="J584" s="1701" t="s">
        <v>1248</v>
      </c>
      <c r="K584" s="1762" t="s">
        <v>2258</v>
      </c>
      <c r="L584" s="1701" t="s">
        <v>1249</v>
      </c>
      <c r="M584" s="1685"/>
      <c r="N584" s="1701" t="s">
        <v>1250</v>
      </c>
      <c r="O584" s="1701" t="s">
        <v>1251</v>
      </c>
      <c r="P584" s="1701" t="s">
        <v>1252</v>
      </c>
      <c r="Q584" s="1685"/>
      <c r="R584" s="1701" t="s">
        <v>1253</v>
      </c>
      <c r="S584" s="1701" t="s">
        <v>917</v>
      </c>
      <c r="T584" s="1685"/>
      <c r="U584" s="1685"/>
      <c r="V584" s="1685"/>
      <c r="W584" s="1685"/>
      <c r="X584" s="1685"/>
      <c r="Y584" s="1685"/>
      <c r="Z584" s="1685"/>
      <c r="AA584" s="1685"/>
      <c r="AB584" s="1685"/>
      <c r="AC584" s="1685"/>
      <c r="AD584" s="2069"/>
      <c r="AE584" s="2073"/>
      <c r="AF584" s="1685"/>
      <c r="AG584" s="1685" t="s">
        <v>1245</v>
      </c>
      <c r="AM584" s="1702" t="s">
        <v>29</v>
      </c>
      <c r="AN584" s="1763" t="s">
        <v>1002</v>
      </c>
      <c r="AO584" s="1702" t="s">
        <v>1247</v>
      </c>
      <c r="AP584" s="1702" t="s">
        <v>1248</v>
      </c>
      <c r="AQ584" s="1763" t="s">
        <v>2258</v>
      </c>
      <c r="AR584" s="1702" t="s">
        <v>1249</v>
      </c>
      <c r="AS584" s="1702"/>
      <c r="AT584" s="1702" t="s">
        <v>1250</v>
      </c>
      <c r="AU584" s="1702" t="s">
        <v>1251</v>
      </c>
      <c r="AV584" s="1702" t="s">
        <v>1252</v>
      </c>
      <c r="AW584" s="1702"/>
      <c r="AX584" s="1702" t="s">
        <v>1253</v>
      </c>
      <c r="AY584" s="1702" t="s">
        <v>917</v>
      </c>
      <c r="BC584" s="1702" t="s">
        <v>29</v>
      </c>
      <c r="BD584" s="1702" t="s">
        <v>1246</v>
      </c>
      <c r="BE584" s="1702" t="s">
        <v>1247</v>
      </c>
      <c r="BF584" s="1702" t="s">
        <v>1248</v>
      </c>
      <c r="BG584" s="1702" t="s">
        <v>1002</v>
      </c>
      <c r="BH584" s="1702" t="s">
        <v>1249</v>
      </c>
      <c r="BI584" s="1702"/>
      <c r="BJ584" s="1702" t="s">
        <v>1250</v>
      </c>
      <c r="BK584" s="1702" t="s">
        <v>1251</v>
      </c>
      <c r="BL584" s="1702" t="s">
        <v>1252</v>
      </c>
      <c r="BM584" s="1702"/>
      <c r="BN584" s="2078" t="s">
        <v>1253</v>
      </c>
      <c r="BO584" s="2081" t="s">
        <v>917</v>
      </c>
      <c r="BQ584" s="1685" t="s">
        <v>1245</v>
      </c>
      <c r="BT584" s="1702" t="s">
        <v>1247</v>
      </c>
      <c r="BU584" s="1702" t="s">
        <v>1248</v>
      </c>
      <c r="BV584" s="1702" t="s">
        <v>1002</v>
      </c>
      <c r="BW584" s="1702" t="s">
        <v>29</v>
      </c>
      <c r="BX584" s="1702"/>
      <c r="BY584" s="1702" t="s">
        <v>1250</v>
      </c>
      <c r="BZ584" s="1702" t="s">
        <v>1251</v>
      </c>
      <c r="CA584" s="1702" t="s">
        <v>1252</v>
      </c>
      <c r="CB584" s="1702"/>
      <c r="CC584" s="1702" t="s">
        <v>1253</v>
      </c>
      <c r="CD584" s="1702" t="s">
        <v>917</v>
      </c>
    </row>
    <row r="585" spans="1:82" ht="15">
      <c r="A585" s="1685" t="s">
        <v>1254</v>
      </c>
      <c r="B585" s="1685"/>
      <c r="C585" s="1685"/>
      <c r="D585" s="1685"/>
      <c r="E585" s="1685"/>
      <c r="F585" s="1685"/>
      <c r="G585" s="1701" t="s">
        <v>1255</v>
      </c>
      <c r="H585" s="1701"/>
      <c r="I585" s="1701"/>
      <c r="J585" s="1701"/>
      <c r="K585" s="1701"/>
      <c r="L585" s="1701"/>
      <c r="M585" s="1685"/>
      <c r="N585" s="1701"/>
      <c r="O585" s="1701"/>
      <c r="P585" s="1701"/>
      <c r="Q585" s="1685"/>
      <c r="R585" s="1701"/>
      <c r="S585" s="1701"/>
      <c r="T585" s="1685"/>
      <c r="U585" s="1685"/>
      <c r="V585" s="1685"/>
      <c r="W585" s="1685"/>
      <c r="X585" s="1685"/>
      <c r="Y585" s="1685"/>
      <c r="Z585" s="1685"/>
      <c r="AA585" s="1685"/>
      <c r="AB585" s="1685"/>
      <c r="AC585" s="1685"/>
      <c r="AD585" s="2069"/>
      <c r="AE585" s="2073"/>
      <c r="AF585" s="1685"/>
      <c r="AG585" s="1685" t="s">
        <v>1254</v>
      </c>
      <c r="AM585" s="1677" t="s">
        <v>1255</v>
      </c>
      <c r="BC585" s="1677" t="s">
        <v>1255</v>
      </c>
      <c r="BQ585" s="1685" t="s">
        <v>1254</v>
      </c>
      <c r="BW585" s="1677" t="s">
        <v>1255</v>
      </c>
    </row>
    <row r="586" spans="1:82" ht="15">
      <c r="A586" s="1685"/>
      <c r="B586" s="1685"/>
      <c r="C586" s="1685"/>
      <c r="D586" s="1685"/>
      <c r="E586" s="1685"/>
      <c r="F586" s="1685"/>
      <c r="G586" s="1701" t="s">
        <v>1256</v>
      </c>
      <c r="H586" s="1701">
        <f>IF(rng02_Uses_DevRehabCosts_ACQCosts_LandCost="","",rng02_Uses_DevRehabCosts_ACQCosts_LandCost)</f>
        <v>0</v>
      </c>
      <c r="I586" s="1701"/>
      <c r="J586" s="1701"/>
      <c r="K586" s="1701"/>
      <c r="L586" s="1701"/>
      <c r="M586" s="1685"/>
      <c r="N586" s="1701"/>
      <c r="O586" s="1701"/>
      <c r="P586" s="1701"/>
      <c r="Q586" s="1685"/>
      <c r="R586" s="1701"/>
      <c r="S586" s="1701"/>
      <c r="T586" s="1685"/>
      <c r="U586" s="1685"/>
      <c r="V586" s="1685"/>
      <c r="W586" s="1685"/>
      <c r="X586" s="1685"/>
      <c r="Y586" s="1685"/>
      <c r="Z586" s="1685"/>
      <c r="AA586" s="1685"/>
      <c r="AB586" s="1685"/>
      <c r="AC586" s="1685"/>
      <c r="AD586" s="2069"/>
      <c r="AE586" s="2073"/>
      <c r="AF586" s="1685"/>
      <c r="AG586" s="1685"/>
      <c r="AM586" s="1702" t="s">
        <v>1256</v>
      </c>
      <c r="AN586" s="1702">
        <f t="shared" ref="AN586:AN593" si="107">IF(FourPercentTrigger="No","",IF($H586="","",$H586))</f>
        <v>0</v>
      </c>
      <c r="AO586" s="1702" t="str">
        <f t="shared" ref="AO586:AO593" si="108">IF(TCATrigger="No","",IF(FourPercentTrigger="No","",IF($I586="","",$I586)))</f>
        <v/>
      </c>
      <c r="AP586" s="1702" t="str">
        <f t="shared" ref="AP586:AP593" si="109">IF(TCATrigger="No","",IF(FourPercentTrigger="No","",IF($J586="","",$J586)))</f>
        <v/>
      </c>
      <c r="AQ586" s="1702" t="str">
        <f t="shared" ref="AQ586:AQ593" si="110">IF(TCATrigger="No","",IF(FourPercentTrigger="No","",IF($K586="","",$K586)))</f>
        <v/>
      </c>
      <c r="AR586" s="1702" t="str">
        <f t="shared" ref="AR586:AR593" si="111">IF(TCATrigger="No","",IF(FourPercentTrigger="No","",IF($L586="","",$L586)))</f>
        <v/>
      </c>
      <c r="AT586" s="1702" t="str">
        <f t="shared" ref="AT586:AT593" si="112">IF(TCATrigger="No","",IF(FourPercentTrigger="No","",IF($N586="","",$N586)))</f>
        <v/>
      </c>
      <c r="AU586" s="1702" t="str">
        <f t="shared" ref="AU586:AU593" si="113">IF(TCATrigger="No","",IF(FourPercentTrigger="No","",IF($O586="","",$O586)))</f>
        <v/>
      </c>
      <c r="AV586" s="1702" t="str">
        <f t="shared" ref="AV586:AV593" si="114">IF(TCATrigger="No","",IF(FourPercentTrigger="No","",IF($P586="","",$P586)))</f>
        <v/>
      </c>
      <c r="AX586" s="1702" t="str">
        <f t="shared" ref="AX586:AX593" si="115">IF(TCATrigger="No","",IF(FourPercentTrigger="No","",IF($R586="","",$R586)))</f>
        <v/>
      </c>
      <c r="AY586" s="1702" t="str">
        <f t="shared" ref="AY586:AY593" si="116">IF(TCATrigger="No","",IF(FourPercentTrigger="No","",IF($S586="","",$S586)))</f>
        <v/>
      </c>
      <c r="BC586" s="1702" t="s">
        <v>1256</v>
      </c>
      <c r="BD586" s="1702" t="str">
        <f t="shared" ref="BD586:BD593" si="117">IF(TCATrigger="No","",IF(NinePercentTrigger="No","",IF($H586="","",$H586)))</f>
        <v/>
      </c>
      <c r="BE586" s="1702" t="str">
        <f t="shared" ref="BE586:BE593" si="118">IF(TCATrigger="No","",IF(NinePercentTrigger="No","",IF($I586="","",$I586)))</f>
        <v/>
      </c>
      <c r="BF586" s="1702" t="str">
        <f t="shared" ref="BF586:BF593" si="119">IF(TCATrigger="No","",IF(NinePercentTrigger="No","",IF($J586="","",$J586)))</f>
        <v/>
      </c>
      <c r="BG586" s="1702" t="str">
        <f t="shared" ref="BG586:BG593" si="120">IF(TCATrigger="No","",IF(NinePercentTrigger="No","",IF($K586="","",$K586)))</f>
        <v/>
      </c>
      <c r="BH586" s="1702" t="str">
        <f t="shared" ref="BH586:BH593" si="121">IF(TCATrigger="No","",IF(NinePercentTrigger="No","",IF($L586="","",$L586)))</f>
        <v/>
      </c>
      <c r="BJ586" s="1702" t="str">
        <f t="shared" ref="BJ586:BJ593" si="122">IF(TCATrigger="No","",IF(NinePercentTrigger="No","",IF($N586="","",$N586)))</f>
        <v/>
      </c>
      <c r="BK586" s="1702" t="str">
        <f t="shared" ref="BK586:BK593" si="123">IF(TCATrigger="No","",IF(NinePercentTrigger="No","",IF($O586="","",$O586)))</f>
        <v/>
      </c>
      <c r="BL586" s="1702" t="str">
        <f t="shared" ref="BL586:BL593" si="124">IF(TCATrigger="No","",IF(NinePercentTrigger="No","",IF($P586="","",$P586)))</f>
        <v/>
      </c>
      <c r="BN586" s="2078" t="str">
        <f t="shared" ref="BN586:BN593" si="125">IF(TCATrigger="No","",IF(NinePercentTrigger="No","",IF($R586="","",$R586)))</f>
        <v/>
      </c>
      <c r="BO586" s="2081" t="str">
        <f t="shared" ref="BO586:BO593" si="126">IF(TCATrigger="No","",IF(NinePercentTrigger="No","",IF($S586="","",$S586)))</f>
        <v/>
      </c>
      <c r="BQ586" s="1685"/>
      <c r="BT586" s="1702" t="str">
        <f t="shared" ref="BT586:BT593" si="127">IF(TCATrigger="No","",IF(AcquisitionTrigger="No","",IF($I586="","",$I586)))</f>
        <v/>
      </c>
      <c r="BU586" s="1702" t="str">
        <f t="shared" ref="BU586:BU593" si="128">IF(TCATrigger="No","",IF(AcquisitionTrigger="No","",IF($J586="","",$J586)))</f>
        <v/>
      </c>
      <c r="BV586" s="1702" t="str">
        <f t="shared" ref="BV586:BV593" si="129">IF(TCATrigger="No","",IF(AcquisitionTrigger="No","",IF($K586="","",$K586)))</f>
        <v/>
      </c>
      <c r="BW586" s="1702" t="s">
        <v>1256</v>
      </c>
      <c r="BY586" s="1702" t="str">
        <f t="shared" ref="BY586:BY593" si="130">IF(TCATrigger="No","",IF(AcquisitionTrigger="No","",IF($N586="","",$N586)))</f>
        <v/>
      </c>
      <c r="BZ586" s="1702" t="str">
        <f t="shared" ref="BZ586:BZ593" si="131">IF(TCATrigger="No","",IF(AcquisitionTrigger="No","",IF($O586="","",$O586)))</f>
        <v/>
      </c>
      <c r="CA586" s="1702" t="str">
        <f t="shared" ref="CA586:CA593" si="132">IF(TCATrigger="No","",IF(AcquisitionTrigger="No","",IF($P586="","",$P586)))</f>
        <v/>
      </c>
      <c r="CC586" s="1702" t="str">
        <f t="shared" ref="CC586:CC593" si="133">IF(TCATrigger="No","",IF(AcquisitionTrigger="No","",IF($R586="","",$R586)))</f>
        <v/>
      </c>
      <c r="CD586" s="1702" t="str">
        <f t="shared" ref="CD586:CD593" si="134">IF(TCATrigger="No","",IF(AcquisitionTrigger="No","",IF($S586="","",$S586)))</f>
        <v/>
      </c>
    </row>
    <row r="587" spans="1:82" ht="15">
      <c r="A587" s="1685"/>
      <c r="B587" s="1685"/>
      <c r="C587" s="1685"/>
      <c r="D587" s="1685"/>
      <c r="E587" s="1685"/>
      <c r="F587" s="1685"/>
      <c r="G587" s="1701" t="s">
        <v>1257</v>
      </c>
      <c r="H587" s="1740">
        <f>IF(rng02_Uses_DevRehabCosts_ACQCosts_ExistingStructures="","",rng02_Uses_DevRehabCosts_ACQCosts_ExistingStructures)</f>
        <v>0</v>
      </c>
      <c r="I587" s="1701"/>
      <c r="J587" s="1701"/>
      <c r="K587" s="1701"/>
      <c r="L587" s="1701"/>
      <c r="M587" s="1685"/>
      <c r="N587" s="1701"/>
      <c r="O587" s="1701"/>
      <c r="P587" s="1701"/>
      <c r="Q587" s="1685"/>
      <c r="R587" s="1701"/>
      <c r="S587" s="1701"/>
      <c r="T587" s="1685"/>
      <c r="U587" s="1685"/>
      <c r="V587" s="1685"/>
      <c r="W587" s="1685"/>
      <c r="X587" s="1685"/>
      <c r="Y587" s="1685"/>
      <c r="Z587" s="1685"/>
      <c r="AA587" s="1685"/>
      <c r="AB587" s="1685"/>
      <c r="AC587" s="1685"/>
      <c r="AD587" s="2069"/>
      <c r="AE587" s="2073"/>
      <c r="AF587" s="1685"/>
      <c r="AG587" s="1685"/>
      <c r="AM587" s="1702" t="s">
        <v>1257</v>
      </c>
      <c r="AN587" s="1702">
        <f t="shared" si="107"/>
        <v>0</v>
      </c>
      <c r="AO587" s="1702" t="str">
        <f t="shared" si="108"/>
        <v/>
      </c>
      <c r="AP587" s="1702" t="str">
        <f t="shared" si="109"/>
        <v/>
      </c>
      <c r="AQ587" s="1702" t="str">
        <f t="shared" si="110"/>
        <v/>
      </c>
      <c r="AR587" s="1702" t="str">
        <f t="shared" si="111"/>
        <v/>
      </c>
      <c r="AT587" s="1702" t="str">
        <f t="shared" si="112"/>
        <v/>
      </c>
      <c r="AU587" s="1702" t="str">
        <f t="shared" si="113"/>
        <v/>
      </c>
      <c r="AV587" s="1702" t="str">
        <f t="shared" si="114"/>
        <v/>
      </c>
      <c r="AX587" s="1702" t="str">
        <f t="shared" si="115"/>
        <v/>
      </c>
      <c r="AY587" s="1702" t="str">
        <f t="shared" si="116"/>
        <v/>
      </c>
      <c r="BC587" s="1702" t="s">
        <v>1257</v>
      </c>
      <c r="BD587" s="1702" t="str">
        <f t="shared" si="117"/>
        <v/>
      </c>
      <c r="BE587" s="1702" t="str">
        <f t="shared" si="118"/>
        <v/>
      </c>
      <c r="BF587" s="1702" t="str">
        <f t="shared" si="119"/>
        <v/>
      </c>
      <c r="BG587" s="1702" t="str">
        <f t="shared" si="120"/>
        <v/>
      </c>
      <c r="BH587" s="1702" t="str">
        <f t="shared" si="121"/>
        <v/>
      </c>
      <c r="BJ587" s="1702" t="str">
        <f t="shared" si="122"/>
        <v/>
      </c>
      <c r="BK587" s="1702" t="str">
        <f t="shared" si="123"/>
        <v/>
      </c>
      <c r="BL587" s="1702" t="str">
        <f t="shared" si="124"/>
        <v/>
      </c>
      <c r="BN587" s="2078" t="str">
        <f t="shared" si="125"/>
        <v/>
      </c>
      <c r="BO587" s="2081" t="str">
        <f t="shared" si="126"/>
        <v/>
      </c>
      <c r="BQ587" s="1685"/>
      <c r="BT587" s="1702" t="str">
        <f t="shared" si="127"/>
        <v/>
      </c>
      <c r="BU587" s="1702" t="str">
        <f t="shared" si="128"/>
        <v/>
      </c>
      <c r="BV587" s="1702" t="str">
        <f t="shared" si="129"/>
        <v/>
      </c>
      <c r="BW587" s="1702" t="s">
        <v>1257</v>
      </c>
      <c r="BY587" s="1702" t="str">
        <f t="shared" si="130"/>
        <v/>
      </c>
      <c r="BZ587" s="1702" t="str">
        <f t="shared" si="131"/>
        <v/>
      </c>
      <c r="CA587" s="1702" t="str">
        <f t="shared" si="132"/>
        <v/>
      </c>
      <c r="CC587" s="1702" t="str">
        <f t="shared" si="133"/>
        <v/>
      </c>
      <c r="CD587" s="1702" t="str">
        <f t="shared" si="134"/>
        <v/>
      </c>
    </row>
    <row r="588" spans="1:82" ht="15">
      <c r="A588" s="1685"/>
      <c r="B588" s="1685"/>
      <c r="C588" s="1685"/>
      <c r="D588" s="1685"/>
      <c r="E588" s="1685"/>
      <c r="F588" s="1685"/>
      <c r="G588" s="1701" t="s">
        <v>1258</v>
      </c>
      <c r="H588" s="1701">
        <f>IF(rng02_Uses_DevRehabCosts_ACQCosts_OffSiteImp="","",rng02_Uses_DevRehabCosts_ACQCosts_OffSiteImp)</f>
        <v>0</v>
      </c>
      <c r="I588" s="1701"/>
      <c r="J588" s="1701"/>
      <c r="K588" s="1701"/>
      <c r="L588" s="1701"/>
      <c r="M588" s="1685"/>
      <c r="N588" s="1701"/>
      <c r="O588" s="1701"/>
      <c r="P588" s="1701"/>
      <c r="Q588" s="1685"/>
      <c r="R588" s="1701"/>
      <c r="S588" s="1701"/>
      <c r="T588" s="1685"/>
      <c r="U588" s="1685"/>
      <c r="V588" s="1685"/>
      <c r="W588" s="1685"/>
      <c r="X588" s="1685"/>
      <c r="Y588" s="1685"/>
      <c r="Z588" s="1685"/>
      <c r="AA588" s="1685"/>
      <c r="AB588" s="1685"/>
      <c r="AC588" s="1685"/>
      <c r="AD588" s="2069"/>
      <c r="AE588" s="2073"/>
      <c r="AF588" s="1685"/>
      <c r="AG588" s="1685"/>
      <c r="AM588" s="1702" t="s">
        <v>1258</v>
      </c>
      <c r="AN588" s="1702">
        <f t="shared" si="107"/>
        <v>0</v>
      </c>
      <c r="AO588" s="1702" t="str">
        <f t="shared" si="108"/>
        <v/>
      </c>
      <c r="AP588" s="1702" t="str">
        <f t="shared" si="109"/>
        <v/>
      </c>
      <c r="AQ588" s="1702" t="str">
        <f t="shared" si="110"/>
        <v/>
      </c>
      <c r="AR588" s="1702" t="str">
        <f t="shared" si="111"/>
        <v/>
      </c>
      <c r="AT588" s="1702" t="str">
        <f t="shared" si="112"/>
        <v/>
      </c>
      <c r="AU588" s="1702" t="str">
        <f t="shared" si="113"/>
        <v/>
      </c>
      <c r="AV588" s="1702" t="str">
        <f t="shared" si="114"/>
        <v/>
      </c>
      <c r="AX588" s="1702" t="str">
        <f t="shared" si="115"/>
        <v/>
      </c>
      <c r="AY588" s="1702" t="str">
        <f t="shared" si="116"/>
        <v/>
      </c>
      <c r="BC588" s="1702" t="s">
        <v>1258</v>
      </c>
      <c r="BD588" s="1702" t="str">
        <f t="shared" si="117"/>
        <v/>
      </c>
      <c r="BE588" s="1702" t="str">
        <f>IF(TCATrigger="No","",IF(NinePercentTrigger="No","",IF($I588="","",$I588)))</f>
        <v/>
      </c>
      <c r="BF588" s="1702" t="str">
        <f t="shared" si="119"/>
        <v/>
      </c>
      <c r="BG588" s="1702" t="str">
        <f t="shared" si="120"/>
        <v/>
      </c>
      <c r="BH588" s="1702" t="str">
        <f t="shared" si="121"/>
        <v/>
      </c>
      <c r="BJ588" s="1702" t="str">
        <f t="shared" si="122"/>
        <v/>
      </c>
      <c r="BK588" s="1702" t="str">
        <f t="shared" si="123"/>
        <v/>
      </c>
      <c r="BL588" s="1702" t="str">
        <f t="shared" si="124"/>
        <v/>
      </c>
      <c r="BN588" s="2078" t="str">
        <f t="shared" si="125"/>
        <v/>
      </c>
      <c r="BO588" s="2081" t="str">
        <f t="shared" si="126"/>
        <v/>
      </c>
      <c r="BQ588" s="1685"/>
      <c r="BT588" s="1702" t="str">
        <f t="shared" si="127"/>
        <v/>
      </c>
      <c r="BU588" s="1702" t="str">
        <f t="shared" si="128"/>
        <v/>
      </c>
      <c r="BV588" s="1702" t="str">
        <f t="shared" si="129"/>
        <v/>
      </c>
      <c r="BW588" s="1702" t="s">
        <v>1258</v>
      </c>
      <c r="BY588" s="1702" t="str">
        <f t="shared" si="130"/>
        <v/>
      </c>
      <c r="BZ588" s="1702" t="str">
        <f t="shared" si="131"/>
        <v/>
      </c>
      <c r="CA588" s="1702" t="str">
        <f t="shared" si="132"/>
        <v/>
      </c>
      <c r="CC588" s="1702" t="str">
        <f t="shared" si="133"/>
        <v/>
      </c>
      <c r="CD588" s="1702" t="str">
        <f t="shared" si="134"/>
        <v/>
      </c>
    </row>
    <row r="589" spans="1:82" ht="15">
      <c r="A589" s="1685"/>
      <c r="B589" s="1685"/>
      <c r="C589" s="1685"/>
      <c r="D589" s="1685"/>
      <c r="E589" s="1685"/>
      <c r="F589" s="1685"/>
      <c r="G589" s="1701" t="s">
        <v>1259</v>
      </c>
      <c r="H589" s="1701">
        <f>IF(rng02_Uses_DevRehabCosts_ACQCosts_Demo="","",rng02_Uses_DevRehabCosts_ACQCosts_Demo)</f>
        <v>0</v>
      </c>
      <c r="I589" s="1701"/>
      <c r="J589" s="1701"/>
      <c r="K589" s="1701"/>
      <c r="L589" s="1701"/>
      <c r="M589" s="1685"/>
      <c r="N589" s="1701"/>
      <c r="O589" s="1701"/>
      <c r="P589" s="1701"/>
      <c r="Q589" s="1685"/>
      <c r="R589" s="1701"/>
      <c r="S589" s="1701"/>
      <c r="T589" s="1685"/>
      <c r="U589" s="1685"/>
      <c r="V589" s="1685"/>
      <c r="W589" s="1685"/>
      <c r="X589" s="1685"/>
      <c r="Y589" s="1685"/>
      <c r="Z589" s="1685"/>
      <c r="AA589" s="1685"/>
      <c r="AB589" s="1685"/>
      <c r="AC589" s="1685"/>
      <c r="AD589" s="2069"/>
      <c r="AE589" s="2073"/>
      <c r="AF589" s="1685"/>
      <c r="AG589" s="1685"/>
      <c r="AM589" s="1702" t="s">
        <v>1259</v>
      </c>
      <c r="AN589" s="1702">
        <f t="shared" si="107"/>
        <v>0</v>
      </c>
      <c r="AO589" s="1702" t="str">
        <f t="shared" si="108"/>
        <v/>
      </c>
      <c r="AP589" s="1702" t="str">
        <f t="shared" si="109"/>
        <v/>
      </c>
      <c r="AQ589" s="1702" t="str">
        <f t="shared" si="110"/>
        <v/>
      </c>
      <c r="AR589" s="1702" t="str">
        <f t="shared" si="111"/>
        <v/>
      </c>
      <c r="AT589" s="1702" t="str">
        <f t="shared" si="112"/>
        <v/>
      </c>
      <c r="AU589" s="1702" t="str">
        <f t="shared" si="113"/>
        <v/>
      </c>
      <c r="AV589" s="1702" t="str">
        <f t="shared" si="114"/>
        <v/>
      </c>
      <c r="AX589" s="1702" t="str">
        <f t="shared" si="115"/>
        <v/>
      </c>
      <c r="AY589" s="1702" t="str">
        <f t="shared" si="116"/>
        <v/>
      </c>
      <c r="BC589" s="1702" t="s">
        <v>1259</v>
      </c>
      <c r="BD589" s="1702" t="str">
        <f t="shared" si="117"/>
        <v/>
      </c>
      <c r="BE589" s="1702" t="str">
        <f t="shared" si="118"/>
        <v/>
      </c>
      <c r="BF589" s="1702" t="str">
        <f t="shared" si="119"/>
        <v/>
      </c>
      <c r="BG589" s="1702" t="str">
        <f t="shared" si="120"/>
        <v/>
      </c>
      <c r="BH589" s="1702" t="str">
        <f t="shared" si="121"/>
        <v/>
      </c>
      <c r="BJ589" s="1702" t="str">
        <f t="shared" si="122"/>
        <v/>
      </c>
      <c r="BK589" s="1702" t="str">
        <f t="shared" si="123"/>
        <v/>
      </c>
      <c r="BL589" s="1702" t="str">
        <f t="shared" si="124"/>
        <v/>
      </c>
      <c r="BN589" s="2078" t="str">
        <f t="shared" si="125"/>
        <v/>
      </c>
      <c r="BO589" s="2081" t="str">
        <f t="shared" si="126"/>
        <v/>
      </c>
      <c r="BQ589" s="1685"/>
      <c r="BT589" s="1702" t="str">
        <f t="shared" si="127"/>
        <v/>
      </c>
      <c r="BU589" s="1702" t="str">
        <f t="shared" si="128"/>
        <v/>
      </c>
      <c r="BV589" s="1702" t="str">
        <f t="shared" si="129"/>
        <v/>
      </c>
      <c r="BW589" s="1702" t="s">
        <v>1259</v>
      </c>
      <c r="BY589" s="1702" t="str">
        <f t="shared" si="130"/>
        <v/>
      </c>
      <c r="BZ589" s="1702" t="str">
        <f t="shared" si="131"/>
        <v/>
      </c>
      <c r="CA589" s="1702" t="str">
        <f t="shared" si="132"/>
        <v/>
      </c>
      <c r="CC589" s="1702" t="str">
        <f t="shared" si="133"/>
        <v/>
      </c>
      <c r="CD589" s="1702" t="str">
        <f t="shared" si="134"/>
        <v/>
      </c>
    </row>
    <row r="590" spans="1:82">
      <c r="G590" s="1702" t="str">
        <f>Other_1</f>
        <v>Other</v>
      </c>
      <c r="H590" s="1702">
        <f>IF(rng02_Uses_DevRehabCosts_ACQCosts_Other1="","",rng02_Uses_DevRehabCosts_ACQCosts_Other1)</f>
        <v>0</v>
      </c>
      <c r="I590" s="1702"/>
      <c r="J590" s="1702"/>
      <c r="K590" s="1702"/>
      <c r="L590" s="1702"/>
      <c r="N590" s="1702"/>
      <c r="O590" s="1702"/>
      <c r="P590" s="1702"/>
      <c r="R590" s="1702"/>
      <c r="S590" s="1702"/>
      <c r="AM590" s="1702" t="str">
        <f>IF(FourPercentTrigger="No","",G590)</f>
        <v>Other</v>
      </c>
      <c r="AN590" s="1702">
        <f t="shared" si="107"/>
        <v>0</v>
      </c>
      <c r="AO590" s="1702" t="str">
        <f t="shared" si="108"/>
        <v/>
      </c>
      <c r="AP590" s="1702" t="str">
        <f t="shared" si="109"/>
        <v/>
      </c>
      <c r="AQ590" s="1702" t="str">
        <f t="shared" si="110"/>
        <v/>
      </c>
      <c r="AR590" s="1702" t="str">
        <f t="shared" si="111"/>
        <v/>
      </c>
      <c r="AT590" s="1702" t="str">
        <f t="shared" si="112"/>
        <v/>
      </c>
      <c r="AU590" s="1702" t="str">
        <f t="shared" si="113"/>
        <v/>
      </c>
      <c r="AV590" s="1702" t="str">
        <f t="shared" si="114"/>
        <v/>
      </c>
      <c r="AX590" s="1702" t="str">
        <f t="shared" si="115"/>
        <v/>
      </c>
      <c r="AY590" s="1702" t="str">
        <f t="shared" si="116"/>
        <v/>
      </c>
      <c r="BC590" s="1702" t="str">
        <f>IF(BD590="","",G590)</f>
        <v/>
      </c>
      <c r="BD590" s="1702" t="str">
        <f t="shared" si="117"/>
        <v/>
      </c>
      <c r="BE590" s="1702" t="str">
        <f t="shared" si="118"/>
        <v/>
      </c>
      <c r="BF590" s="1702" t="str">
        <f t="shared" si="119"/>
        <v/>
      </c>
      <c r="BG590" s="1702" t="str">
        <f t="shared" si="120"/>
        <v/>
      </c>
      <c r="BH590" s="1702" t="str">
        <f t="shared" si="121"/>
        <v/>
      </c>
      <c r="BJ590" s="1702" t="str">
        <f t="shared" si="122"/>
        <v/>
      </c>
      <c r="BK590" s="1702" t="str">
        <f t="shared" si="123"/>
        <v/>
      </c>
      <c r="BL590" s="1702" t="str">
        <f t="shared" si="124"/>
        <v/>
      </c>
      <c r="BN590" s="2078" t="str">
        <f t="shared" si="125"/>
        <v/>
      </c>
      <c r="BO590" s="2081" t="str">
        <f t="shared" si="126"/>
        <v/>
      </c>
      <c r="BT590" s="1702" t="str">
        <f t="shared" si="127"/>
        <v/>
      </c>
      <c r="BU590" s="1702" t="str">
        <f t="shared" si="128"/>
        <v/>
      </c>
      <c r="BV590" s="1702" t="str">
        <f t="shared" si="129"/>
        <v/>
      </c>
      <c r="BW590" s="1702" t="str">
        <f>IF(FourPercentTrigger="No","",AQ590)</f>
        <v/>
      </c>
      <c r="BY590" s="1702" t="str">
        <f t="shared" si="130"/>
        <v/>
      </c>
      <c r="BZ590" s="1702" t="str">
        <f t="shared" si="131"/>
        <v/>
      </c>
      <c r="CA590" s="1702" t="str">
        <f t="shared" si="132"/>
        <v/>
      </c>
      <c r="CC590" s="1702" t="str">
        <f t="shared" si="133"/>
        <v/>
      </c>
      <c r="CD590" s="1702" t="str">
        <f t="shared" si="134"/>
        <v/>
      </c>
    </row>
    <row r="591" spans="1:82">
      <c r="G591" s="1702" t="str">
        <f>Other_2</f>
        <v>Other</v>
      </c>
      <c r="H591" s="1702">
        <f>IF(rng02_Uses_DevRehabCosts_ACQCosts_Other2="","",rng02_Uses_DevRehabCosts_ACQCosts_Other2)</f>
        <v>0</v>
      </c>
      <c r="I591" s="1702"/>
      <c r="J591" s="1702"/>
      <c r="K591" s="1702"/>
      <c r="L591" s="1702"/>
      <c r="N591" s="1702"/>
      <c r="O591" s="1702"/>
      <c r="P591" s="1702"/>
      <c r="R591" s="1702"/>
      <c r="S591" s="1702"/>
      <c r="AM591" s="1702" t="str">
        <f>IF(FourPercentTrigger="No","",G591)</f>
        <v>Other</v>
      </c>
      <c r="AN591" s="1702">
        <f t="shared" si="107"/>
        <v>0</v>
      </c>
      <c r="AO591" s="1702" t="str">
        <f t="shared" si="108"/>
        <v/>
      </c>
      <c r="AP591" s="1702" t="str">
        <f t="shared" si="109"/>
        <v/>
      </c>
      <c r="AQ591" s="1702" t="str">
        <f t="shared" si="110"/>
        <v/>
      </c>
      <c r="AR591" s="1702" t="str">
        <f t="shared" si="111"/>
        <v/>
      </c>
      <c r="AT591" s="1702" t="str">
        <f t="shared" si="112"/>
        <v/>
      </c>
      <c r="AU591" s="1702" t="str">
        <f t="shared" si="113"/>
        <v/>
      </c>
      <c r="AV591" s="1702" t="str">
        <f t="shared" si="114"/>
        <v/>
      </c>
      <c r="AX591" s="1702" t="str">
        <f t="shared" si="115"/>
        <v/>
      </c>
      <c r="AY591" s="1702" t="str">
        <f t="shared" si="116"/>
        <v/>
      </c>
      <c r="BC591" s="1702" t="str">
        <f>IF(BD591="","",G591)</f>
        <v/>
      </c>
      <c r="BD591" s="1702" t="str">
        <f t="shared" si="117"/>
        <v/>
      </c>
      <c r="BE591" s="1702" t="str">
        <f t="shared" si="118"/>
        <v/>
      </c>
      <c r="BF591" s="1702" t="str">
        <f t="shared" si="119"/>
        <v/>
      </c>
      <c r="BG591" s="1702" t="str">
        <f t="shared" si="120"/>
        <v/>
      </c>
      <c r="BH591" s="1702" t="str">
        <f t="shared" si="121"/>
        <v/>
      </c>
      <c r="BJ591" s="1702" t="str">
        <f t="shared" si="122"/>
        <v/>
      </c>
      <c r="BK591" s="1702" t="str">
        <f t="shared" si="123"/>
        <v/>
      </c>
      <c r="BL591" s="1702" t="str">
        <f t="shared" si="124"/>
        <v/>
      </c>
      <c r="BN591" s="2078" t="str">
        <f t="shared" si="125"/>
        <v/>
      </c>
      <c r="BO591" s="2081" t="str">
        <f t="shared" si="126"/>
        <v/>
      </c>
      <c r="BT591" s="1702" t="str">
        <f t="shared" si="127"/>
        <v/>
      </c>
      <c r="BU591" s="1702" t="str">
        <f t="shared" si="128"/>
        <v/>
      </c>
      <c r="BV591" s="1702" t="str">
        <f t="shared" si="129"/>
        <v/>
      </c>
      <c r="BW591" s="1702" t="str">
        <f>IF(FourPercentTrigger="No","",AQ591)</f>
        <v/>
      </c>
      <c r="BY591" s="1702" t="str">
        <f t="shared" si="130"/>
        <v/>
      </c>
      <c r="BZ591" s="1702" t="str">
        <f t="shared" si="131"/>
        <v/>
      </c>
      <c r="CA591" s="1702" t="str">
        <f t="shared" si="132"/>
        <v/>
      </c>
      <c r="CC591" s="1702" t="str">
        <f t="shared" si="133"/>
        <v/>
      </c>
      <c r="CD591" s="1702" t="str">
        <f t="shared" si="134"/>
        <v/>
      </c>
    </row>
    <row r="592" spans="1:82">
      <c r="G592" s="1702" t="str">
        <f>Other_3</f>
        <v>Other</v>
      </c>
      <c r="H592" s="1702">
        <f>IF(rng02_Uses_DevRehabCosts_ACQCosts_Other3="","",rng02_Uses_DevRehabCosts_ACQCosts_Other3)</f>
        <v>0</v>
      </c>
      <c r="I592" s="1702"/>
      <c r="J592" s="1702"/>
      <c r="K592" s="1702"/>
      <c r="L592" s="1702"/>
      <c r="N592" s="1702"/>
      <c r="O592" s="1702"/>
      <c r="P592" s="1702"/>
      <c r="R592" s="1702"/>
      <c r="S592" s="1702"/>
      <c r="AM592" s="1702" t="str">
        <f>IF(FourPercentTrigger="No","",G592)</f>
        <v>Other</v>
      </c>
      <c r="AN592" s="1702">
        <f t="shared" si="107"/>
        <v>0</v>
      </c>
      <c r="AO592" s="1702" t="str">
        <f t="shared" si="108"/>
        <v/>
      </c>
      <c r="AP592" s="1702" t="str">
        <f t="shared" si="109"/>
        <v/>
      </c>
      <c r="AQ592" s="1702" t="str">
        <f t="shared" si="110"/>
        <v/>
      </c>
      <c r="AR592" s="1702" t="str">
        <f t="shared" si="111"/>
        <v/>
      </c>
      <c r="AT592" s="1702" t="str">
        <f t="shared" si="112"/>
        <v/>
      </c>
      <c r="AU592" s="1702" t="str">
        <f t="shared" si="113"/>
        <v/>
      </c>
      <c r="AV592" s="1702" t="str">
        <f t="shared" si="114"/>
        <v/>
      </c>
      <c r="AX592" s="1702" t="str">
        <f t="shared" si="115"/>
        <v/>
      </c>
      <c r="AY592" s="1702" t="str">
        <f t="shared" si="116"/>
        <v/>
      </c>
      <c r="BC592" s="1702" t="str">
        <f>IF(BD592="","",G592)</f>
        <v/>
      </c>
      <c r="BD592" s="1702" t="str">
        <f t="shared" si="117"/>
        <v/>
      </c>
      <c r="BE592" s="1702" t="str">
        <f t="shared" si="118"/>
        <v/>
      </c>
      <c r="BF592" s="1702" t="str">
        <f t="shared" si="119"/>
        <v/>
      </c>
      <c r="BG592" s="1702" t="str">
        <f t="shared" si="120"/>
        <v/>
      </c>
      <c r="BH592" s="1702" t="str">
        <f t="shared" si="121"/>
        <v/>
      </c>
      <c r="BJ592" s="1702" t="str">
        <f t="shared" si="122"/>
        <v/>
      </c>
      <c r="BK592" s="1702" t="str">
        <f t="shared" si="123"/>
        <v/>
      </c>
      <c r="BL592" s="1702" t="str">
        <f t="shared" si="124"/>
        <v/>
      </c>
      <c r="BN592" s="2078" t="str">
        <f t="shared" si="125"/>
        <v/>
      </c>
      <c r="BO592" s="2081" t="str">
        <f t="shared" si="126"/>
        <v/>
      </c>
      <c r="BT592" s="1702" t="str">
        <f t="shared" si="127"/>
        <v/>
      </c>
      <c r="BU592" s="1702" t="str">
        <f t="shared" si="128"/>
        <v/>
      </c>
      <c r="BV592" s="1702" t="str">
        <f t="shared" si="129"/>
        <v/>
      </c>
      <c r="BW592" s="1702" t="str">
        <f>IF(FourPercentTrigger="No","",AQ592)</f>
        <v/>
      </c>
      <c r="BY592" s="1702" t="str">
        <f t="shared" si="130"/>
        <v/>
      </c>
      <c r="BZ592" s="1702" t="str">
        <f t="shared" si="131"/>
        <v/>
      </c>
      <c r="CA592" s="1702" t="str">
        <f t="shared" si="132"/>
        <v/>
      </c>
      <c r="CC592" s="1702" t="str">
        <f t="shared" si="133"/>
        <v/>
      </c>
      <c r="CD592" s="1702" t="str">
        <f t="shared" si="134"/>
        <v/>
      </c>
    </row>
    <row r="593" spans="7:82">
      <c r="G593" s="1702" t="s">
        <v>1260</v>
      </c>
      <c r="H593" s="1702">
        <f>IF(rng02_Uses_DevRehabCosts_ACQCosts_TotalAcq="","",rng02_Uses_DevRehabCosts_ACQCosts_TotalAcq)</f>
        <v>0</v>
      </c>
      <c r="I593" s="1702"/>
      <c r="J593" s="1702"/>
      <c r="K593" s="1702"/>
      <c r="L593" s="1702"/>
      <c r="N593" s="1702">
        <v>0</v>
      </c>
      <c r="O593" s="1702">
        <v>0</v>
      </c>
      <c r="P593" s="1702">
        <v>0</v>
      </c>
      <c r="R593" s="1702">
        <v>0</v>
      </c>
      <c r="S593" s="1702">
        <v>0</v>
      </c>
      <c r="AM593" s="1702" t="s">
        <v>1260</v>
      </c>
      <c r="AN593" s="1702">
        <f t="shared" si="107"/>
        <v>0</v>
      </c>
      <c r="AO593" s="1702" t="str">
        <f t="shared" si="108"/>
        <v/>
      </c>
      <c r="AP593" s="1702" t="str">
        <f t="shared" si="109"/>
        <v/>
      </c>
      <c r="AQ593" s="1702" t="str">
        <f t="shared" si="110"/>
        <v/>
      </c>
      <c r="AR593" s="1702" t="str">
        <f t="shared" si="111"/>
        <v/>
      </c>
      <c r="AT593" s="1702" t="str">
        <f t="shared" si="112"/>
        <v/>
      </c>
      <c r="AU593" s="1702" t="str">
        <f t="shared" si="113"/>
        <v/>
      </c>
      <c r="AV593" s="1702" t="str">
        <f t="shared" si="114"/>
        <v/>
      </c>
      <c r="AX593" s="1702" t="str">
        <f t="shared" si="115"/>
        <v/>
      </c>
      <c r="AY593" s="1702" t="str">
        <f t="shared" si="116"/>
        <v/>
      </c>
      <c r="BC593" s="1702" t="s">
        <v>1260</v>
      </c>
      <c r="BD593" s="1702" t="str">
        <f t="shared" si="117"/>
        <v/>
      </c>
      <c r="BE593" s="1702" t="str">
        <f t="shared" si="118"/>
        <v/>
      </c>
      <c r="BF593" s="1702" t="str">
        <f t="shared" si="119"/>
        <v/>
      </c>
      <c r="BG593" s="1702" t="str">
        <f t="shared" si="120"/>
        <v/>
      </c>
      <c r="BH593" s="1702" t="str">
        <f t="shared" si="121"/>
        <v/>
      </c>
      <c r="BJ593" s="1702" t="str">
        <f t="shared" si="122"/>
        <v/>
      </c>
      <c r="BK593" s="1702" t="str">
        <f t="shared" si="123"/>
        <v/>
      </c>
      <c r="BL593" s="1702" t="str">
        <f t="shared" si="124"/>
        <v/>
      </c>
      <c r="BN593" s="2078" t="str">
        <f t="shared" si="125"/>
        <v/>
      </c>
      <c r="BO593" s="2081" t="str">
        <f t="shared" si="126"/>
        <v/>
      </c>
      <c r="BT593" s="1702" t="str">
        <f t="shared" si="127"/>
        <v/>
      </c>
      <c r="BU593" s="1702" t="str">
        <f t="shared" si="128"/>
        <v/>
      </c>
      <c r="BV593" s="1702" t="str">
        <f t="shared" si="129"/>
        <v/>
      </c>
      <c r="BW593" s="1702" t="s">
        <v>1260</v>
      </c>
      <c r="BY593" s="1702" t="str">
        <f t="shared" si="130"/>
        <v/>
      </c>
      <c r="BZ593" s="1702" t="str">
        <f t="shared" si="131"/>
        <v/>
      </c>
      <c r="CA593" s="1702" t="str">
        <f t="shared" si="132"/>
        <v/>
      </c>
      <c r="CC593" s="1702" t="str">
        <f t="shared" si="133"/>
        <v/>
      </c>
      <c r="CD593" s="1702" t="str">
        <f t="shared" si="134"/>
        <v/>
      </c>
    </row>
    <row r="595" spans="7:82">
      <c r="G595" s="1765" t="s">
        <v>1261</v>
      </c>
      <c r="H595" s="1765"/>
      <c r="I595" s="1765"/>
      <c r="J595" s="1765"/>
      <c r="K595" s="1765"/>
      <c r="L595" s="1765"/>
      <c r="AM595" s="1677" t="s">
        <v>1261</v>
      </c>
      <c r="BC595" s="1677" t="s">
        <v>1261</v>
      </c>
      <c r="BW595" s="1677" t="s">
        <v>1261</v>
      </c>
    </row>
    <row r="596" spans="7:82" ht="15">
      <c r="G596" s="1701" t="s">
        <v>1262</v>
      </c>
      <c r="H596" s="1766">
        <f>IF(rng02_Uses_DevRehabCosts_ConstRehabCosts_Buildings="","",rng02_Uses_DevRehabCosts_ConstRehabCosts_Buildings)</f>
        <v>0</v>
      </c>
      <c r="I596" s="1766"/>
      <c r="J596" s="1766"/>
      <c r="K596" s="1766"/>
      <c r="L596" s="1766"/>
      <c r="N596" s="1702"/>
      <c r="O596" s="1702"/>
      <c r="P596" s="1702"/>
      <c r="R596" s="1702"/>
      <c r="S596" s="1702"/>
      <c r="AM596" s="1702" t="s">
        <v>1262</v>
      </c>
      <c r="AN596" s="1702">
        <f t="shared" ref="AN596:AN606" si="135">IF(FourPercentTrigger="No","",IF($H596="","",$H596))</f>
        <v>0</v>
      </c>
      <c r="AO596" s="1702" t="str">
        <f t="shared" ref="AO596:AO606" si="136">IF(TCATrigger="No","",IF(FourPercentTrigger="No","",IF($I596="","",$I596)))</f>
        <v/>
      </c>
      <c r="AP596" s="1702" t="str">
        <f t="shared" ref="AP596:AP606" si="137">IF(TCATrigger="No","",IF(FourPercentTrigger="No","",IF($J596="","",$J596)))</f>
        <v/>
      </c>
      <c r="AQ596" s="1702" t="str">
        <f t="shared" ref="AQ596:AQ606" si="138">IF(TCATrigger="No","",IF(FourPercentTrigger="No","",IF($K596="","",$K596)))</f>
        <v/>
      </c>
      <c r="AR596" s="1702" t="str">
        <f t="shared" ref="AR596:AR606" si="139">IF(TCATrigger="No","",IF(FourPercentTrigger="No","",IF($L596="","",$L596)))</f>
        <v/>
      </c>
      <c r="AT596" s="1702" t="str">
        <f t="shared" ref="AT596:AT606" si="140">IF(TCATrigger="No","",IF(FourPercentTrigger="No","",IF($N596="","",$N596)))</f>
        <v/>
      </c>
      <c r="AU596" s="1702" t="str">
        <f t="shared" ref="AU596:AU606" si="141">IF(TCATrigger="No","",IF(FourPercentTrigger="No","",IF($O596="","",$O596)))</f>
        <v/>
      </c>
      <c r="AV596" s="1702" t="str">
        <f t="shared" ref="AV596:AV606" si="142">IF(TCATrigger="No","",IF(FourPercentTrigger="No","",IF($P596="","",$P596)))</f>
        <v/>
      </c>
      <c r="AX596" s="1702" t="str">
        <f t="shared" ref="AX596:AX606" si="143">IF(TCATrigger="No","",IF(FourPercentTrigger="No","",IF($R596="","",$R596)))</f>
        <v/>
      </c>
      <c r="AY596" s="1702" t="str">
        <f t="shared" ref="AY596:AY606" si="144">IF(TCATrigger="No","",IF(FourPercentTrigger="No","",IF($S596="","",$S596)))</f>
        <v/>
      </c>
      <c r="BC596" s="1702" t="s">
        <v>1262</v>
      </c>
      <c r="BD596" s="1702" t="str">
        <f t="shared" ref="BD596:BD606" si="145">IF(TCATrigger="No","",IF(NinePercentTrigger="No","",IF($H596="","",$H596)))</f>
        <v/>
      </c>
      <c r="BE596" s="1702" t="str">
        <f t="shared" ref="BE596:BE606" si="146">IF(TCATrigger="No","",IF(NinePercentTrigger="No","",IF($I596="","",$I596)))</f>
        <v/>
      </c>
      <c r="BF596" s="1702" t="str">
        <f t="shared" ref="BF596:BF606" si="147">IF(TCATrigger="No","",IF(NinePercentTrigger="No","",IF($J596="","",$J596)))</f>
        <v/>
      </c>
      <c r="BG596" s="1702" t="str">
        <f t="shared" ref="BG596:BG606" si="148">IF(TCATrigger="No","",IF(NinePercentTrigger="No","",IF($K596="","",$K596)))</f>
        <v/>
      </c>
      <c r="BH596" s="1702" t="str">
        <f t="shared" ref="BH596:BH606" si="149">IF(TCATrigger="No","",IF(NinePercentTrigger="No","",IF($L596="","",$L596)))</f>
        <v/>
      </c>
      <c r="BJ596" s="1702" t="str">
        <f t="shared" ref="BJ596:BJ606" si="150">IF(TCATrigger="No","",IF(NinePercentTrigger="No","",IF($N596="","",$N596)))</f>
        <v/>
      </c>
      <c r="BK596" s="1702" t="str">
        <f t="shared" ref="BK596:BK606" si="151">IF(TCATrigger="No","",IF(NinePercentTrigger="No","",IF($O596="","",$O596)))</f>
        <v/>
      </c>
      <c r="BL596" s="1702" t="str">
        <f t="shared" ref="BL596:BL606" si="152">IF(TCATrigger="No","",IF(NinePercentTrigger="No","",IF($P596="","",$P596)))</f>
        <v/>
      </c>
      <c r="BN596" s="2078" t="str">
        <f t="shared" ref="BN596:BN606" si="153">IF(TCATrigger="No","",IF(NinePercentTrigger="No","",IF($R596="","",$R596)))</f>
        <v/>
      </c>
      <c r="BO596" s="2081" t="str">
        <f t="shared" ref="BO596:BO606" si="154">IF(TCATrigger="No","",IF(NinePercentTrigger="No","",IF($S596="","",$S596)))</f>
        <v/>
      </c>
      <c r="BT596" s="1702" t="str">
        <f t="shared" ref="BT596:BT606" si="155">IF(TCATrigger="No","",IF(AcquisitionTrigger="No","",IF($I596="","",$I596)))</f>
        <v/>
      </c>
      <c r="BU596" s="1702" t="str">
        <f t="shared" ref="BU596:BU606" si="156">IF(TCATrigger="No","",IF(AcquisitionTrigger="No","",IF($J596="","",$J596)))</f>
        <v/>
      </c>
      <c r="BV596" s="1702" t="str">
        <f t="shared" ref="BV596:BV606" si="157">IF(TCATrigger="No","",IF(AcquisitionTrigger="No","",IF($K596="","",$K596)))</f>
        <v/>
      </c>
      <c r="BW596" s="1702" t="s">
        <v>1262</v>
      </c>
      <c r="BY596" s="1702" t="str">
        <f t="shared" ref="BY596:BY606" si="158">IF(TCATrigger="No","",IF(AcquisitionTrigger="No","",IF($N596="","",$N596)))</f>
        <v/>
      </c>
      <c r="BZ596" s="1702" t="str">
        <f t="shared" ref="BZ596:BZ606" si="159">IF(TCATrigger="No","",IF(AcquisitionTrigger="No","",IF($O596="","",$O596)))</f>
        <v/>
      </c>
      <c r="CA596" s="1702" t="str">
        <f t="shared" ref="CA596:CA606" si="160">IF(TCATrigger="No","",IF(AcquisitionTrigger="No","",IF($P596="","",$P596)))</f>
        <v/>
      </c>
      <c r="CC596" s="1702" t="str">
        <f t="shared" ref="CC596:CC606" si="161">IF(TCATrigger="No","",IF(AcquisitionTrigger="No","",IF($R596="","",$R596)))</f>
        <v/>
      </c>
      <c r="CD596" s="1702" t="str">
        <f t="shared" ref="CD596:CD606" si="162">IF(TCATrigger="No","",IF(AcquisitionTrigger="No","",IF($S596="","",$S596)))</f>
        <v/>
      </c>
    </row>
    <row r="597" spans="7:82" ht="15">
      <c r="G597" s="1701" t="s">
        <v>1263</v>
      </c>
      <c r="H597" s="1702">
        <f>IF(rng02_Uses_DevRehabCosts_ConstRehabCosts_SiteWork="","",rng02_Uses_DevRehabCosts_ConstRehabCosts_SiteWork)</f>
        <v>0</v>
      </c>
      <c r="I597" s="1702"/>
      <c r="J597" s="1702"/>
      <c r="K597" s="1702"/>
      <c r="L597" s="1702"/>
      <c r="N597" s="1702"/>
      <c r="O597" s="1702"/>
      <c r="P597" s="1702"/>
      <c r="R597" s="1702"/>
      <c r="S597" s="1702"/>
      <c r="AM597" s="1702" t="s">
        <v>1263</v>
      </c>
      <c r="AN597" s="1702">
        <f t="shared" si="135"/>
        <v>0</v>
      </c>
      <c r="AO597" s="1702" t="str">
        <f t="shared" si="136"/>
        <v/>
      </c>
      <c r="AP597" s="1702" t="str">
        <f t="shared" si="137"/>
        <v/>
      </c>
      <c r="AQ597" s="1702" t="str">
        <f t="shared" si="138"/>
        <v/>
      </c>
      <c r="AR597" s="1702" t="str">
        <f t="shared" si="139"/>
        <v/>
      </c>
      <c r="AT597" s="1702" t="str">
        <f t="shared" si="140"/>
        <v/>
      </c>
      <c r="AU597" s="1702" t="str">
        <f t="shared" si="141"/>
        <v/>
      </c>
      <c r="AV597" s="1702" t="str">
        <f t="shared" si="142"/>
        <v/>
      </c>
      <c r="AX597" s="1702" t="str">
        <f t="shared" si="143"/>
        <v/>
      </c>
      <c r="AY597" s="1702" t="str">
        <f t="shared" si="144"/>
        <v/>
      </c>
      <c r="BC597" s="1702" t="s">
        <v>1263</v>
      </c>
      <c r="BD597" s="1702" t="str">
        <f t="shared" si="145"/>
        <v/>
      </c>
      <c r="BE597" s="1702" t="str">
        <f t="shared" si="146"/>
        <v/>
      </c>
      <c r="BF597" s="1702" t="str">
        <f t="shared" si="147"/>
        <v/>
      </c>
      <c r="BG597" s="1702" t="str">
        <f t="shared" si="148"/>
        <v/>
      </c>
      <c r="BH597" s="1702" t="str">
        <f t="shared" si="149"/>
        <v/>
      </c>
      <c r="BJ597" s="1702" t="str">
        <f t="shared" si="150"/>
        <v/>
      </c>
      <c r="BK597" s="1702" t="str">
        <f t="shared" si="151"/>
        <v/>
      </c>
      <c r="BL597" s="1702" t="str">
        <f t="shared" si="152"/>
        <v/>
      </c>
      <c r="BN597" s="2078" t="str">
        <f t="shared" si="153"/>
        <v/>
      </c>
      <c r="BO597" s="2081" t="str">
        <f t="shared" si="154"/>
        <v/>
      </c>
      <c r="BT597" s="1702" t="str">
        <f t="shared" si="155"/>
        <v/>
      </c>
      <c r="BU597" s="1702" t="str">
        <f t="shared" si="156"/>
        <v/>
      </c>
      <c r="BV597" s="1702" t="str">
        <f t="shared" si="157"/>
        <v/>
      </c>
      <c r="BW597" s="1702" t="s">
        <v>1263</v>
      </c>
      <c r="BY597" s="1702" t="str">
        <f t="shared" si="158"/>
        <v/>
      </c>
      <c r="BZ597" s="1702" t="str">
        <f t="shared" si="159"/>
        <v/>
      </c>
      <c r="CA597" s="1702" t="str">
        <f t="shared" si="160"/>
        <v/>
      </c>
      <c r="CC597" s="1702" t="str">
        <f t="shared" si="161"/>
        <v/>
      </c>
      <c r="CD597" s="1702" t="str">
        <f t="shared" si="162"/>
        <v/>
      </c>
    </row>
    <row r="598" spans="7:82" ht="15">
      <c r="G598" s="1701" t="s">
        <v>1264</v>
      </c>
      <c r="H598" s="1702">
        <f>IF(rng02_Uses_DevRehabCosts_ConstRehabCosts_GenReq="","",rng02_Uses_DevRehabCosts_ConstRehabCosts_GenReq)</f>
        <v>0</v>
      </c>
      <c r="I598" s="1702"/>
      <c r="J598" s="1702"/>
      <c r="K598" s="1702"/>
      <c r="L598" s="1702"/>
      <c r="N598" s="1702"/>
      <c r="O598" s="1702"/>
      <c r="P598" s="1702"/>
      <c r="R598" s="1702"/>
      <c r="S598" s="1702"/>
      <c r="AM598" s="1702" t="s">
        <v>1264</v>
      </c>
      <c r="AN598" s="1702">
        <f t="shared" si="135"/>
        <v>0</v>
      </c>
      <c r="AO598" s="1702" t="str">
        <f t="shared" si="136"/>
        <v/>
      </c>
      <c r="AP598" s="1702" t="str">
        <f t="shared" si="137"/>
        <v/>
      </c>
      <c r="AQ598" s="1702" t="str">
        <f t="shared" si="138"/>
        <v/>
      </c>
      <c r="AR598" s="1702" t="str">
        <f t="shared" si="139"/>
        <v/>
      </c>
      <c r="AT598" s="1702" t="str">
        <f t="shared" si="140"/>
        <v/>
      </c>
      <c r="AU598" s="1702" t="str">
        <f t="shared" si="141"/>
        <v/>
      </c>
      <c r="AV598" s="1702" t="str">
        <f t="shared" si="142"/>
        <v/>
      </c>
      <c r="AX598" s="1702" t="str">
        <f t="shared" si="143"/>
        <v/>
      </c>
      <c r="AY598" s="1702" t="str">
        <f t="shared" si="144"/>
        <v/>
      </c>
      <c r="BC598" s="1702" t="s">
        <v>1264</v>
      </c>
      <c r="BD598" s="1702" t="str">
        <f t="shared" si="145"/>
        <v/>
      </c>
      <c r="BE598" s="1702" t="str">
        <f t="shared" si="146"/>
        <v/>
      </c>
      <c r="BF598" s="1702" t="str">
        <f t="shared" si="147"/>
        <v/>
      </c>
      <c r="BG598" s="1702" t="str">
        <f t="shared" si="148"/>
        <v/>
      </c>
      <c r="BH598" s="1702" t="str">
        <f t="shared" si="149"/>
        <v/>
      </c>
      <c r="BJ598" s="1702" t="str">
        <f t="shared" si="150"/>
        <v/>
      </c>
      <c r="BK598" s="1702" t="str">
        <f t="shared" si="151"/>
        <v/>
      </c>
      <c r="BL598" s="1702" t="str">
        <f t="shared" si="152"/>
        <v/>
      </c>
      <c r="BN598" s="2078" t="str">
        <f t="shared" si="153"/>
        <v/>
      </c>
      <c r="BO598" s="2081" t="str">
        <f t="shared" si="154"/>
        <v/>
      </c>
      <c r="BT598" s="1702" t="str">
        <f t="shared" si="155"/>
        <v/>
      </c>
      <c r="BU598" s="1702" t="str">
        <f t="shared" si="156"/>
        <v/>
      </c>
      <c r="BV598" s="1702" t="str">
        <f t="shared" si="157"/>
        <v/>
      </c>
      <c r="BW598" s="1702" t="s">
        <v>1264</v>
      </c>
      <c r="BY598" s="1702" t="str">
        <f t="shared" si="158"/>
        <v/>
      </c>
      <c r="BZ598" s="1702" t="str">
        <f t="shared" si="159"/>
        <v/>
      </c>
      <c r="CA598" s="1702" t="str">
        <f t="shared" si="160"/>
        <v/>
      </c>
      <c r="CC598" s="1702" t="str">
        <f t="shared" si="161"/>
        <v/>
      </c>
      <c r="CD598" s="1702" t="str">
        <f t="shared" si="162"/>
        <v/>
      </c>
    </row>
    <row r="599" spans="7:82" ht="15">
      <c r="G599" s="1701" t="s">
        <v>1265</v>
      </c>
      <c r="H599" s="1702">
        <f>IF(rng02_Uses_DevRehabCosts_ConstRehabCosts_BuildersGenOverhead="","",rng02_Uses_DevRehabCosts_ConstRehabCosts_BuildersGenOverhead)</f>
        <v>0</v>
      </c>
      <c r="I599" s="1702"/>
      <c r="J599" s="1702"/>
      <c r="K599" s="1702"/>
      <c r="L599" s="1702"/>
      <c r="N599" s="1702"/>
      <c r="O599" s="1702"/>
      <c r="P599" s="1702"/>
      <c r="R599" s="1702"/>
      <c r="S599" s="1702"/>
      <c r="AM599" s="1702" t="s">
        <v>1265</v>
      </c>
      <c r="AN599" s="1702">
        <f t="shared" si="135"/>
        <v>0</v>
      </c>
      <c r="AO599" s="1702" t="str">
        <f t="shared" si="136"/>
        <v/>
      </c>
      <c r="AP599" s="1702" t="str">
        <f t="shared" si="137"/>
        <v/>
      </c>
      <c r="AQ599" s="1702" t="str">
        <f t="shared" si="138"/>
        <v/>
      </c>
      <c r="AR599" s="1702" t="str">
        <f t="shared" si="139"/>
        <v/>
      </c>
      <c r="AT599" s="1702" t="str">
        <f t="shared" si="140"/>
        <v/>
      </c>
      <c r="AU599" s="1702" t="str">
        <f t="shared" si="141"/>
        <v/>
      </c>
      <c r="AV599" s="1702" t="str">
        <f t="shared" si="142"/>
        <v/>
      </c>
      <c r="AX599" s="1702" t="str">
        <f t="shared" si="143"/>
        <v/>
      </c>
      <c r="AY599" s="1702" t="str">
        <f t="shared" si="144"/>
        <v/>
      </c>
      <c r="BC599" s="1702" t="s">
        <v>1265</v>
      </c>
      <c r="BD599" s="1702" t="str">
        <f t="shared" si="145"/>
        <v/>
      </c>
      <c r="BE599" s="1702" t="str">
        <f t="shared" si="146"/>
        <v/>
      </c>
      <c r="BF599" s="1702" t="str">
        <f t="shared" si="147"/>
        <v/>
      </c>
      <c r="BG599" s="1702" t="str">
        <f t="shared" si="148"/>
        <v/>
      </c>
      <c r="BH599" s="1702" t="str">
        <f t="shared" si="149"/>
        <v/>
      </c>
      <c r="BJ599" s="1702" t="str">
        <f t="shared" si="150"/>
        <v/>
      </c>
      <c r="BK599" s="1702" t="str">
        <f t="shared" si="151"/>
        <v/>
      </c>
      <c r="BL599" s="1702" t="str">
        <f t="shared" si="152"/>
        <v/>
      </c>
      <c r="BN599" s="2078" t="str">
        <f t="shared" si="153"/>
        <v/>
      </c>
      <c r="BO599" s="2081" t="str">
        <f t="shared" si="154"/>
        <v/>
      </c>
      <c r="BT599" s="1702" t="str">
        <f t="shared" si="155"/>
        <v/>
      </c>
      <c r="BU599" s="1702" t="str">
        <f t="shared" si="156"/>
        <v/>
      </c>
      <c r="BV599" s="1702" t="str">
        <f t="shared" si="157"/>
        <v/>
      </c>
      <c r="BW599" s="1702" t="s">
        <v>1265</v>
      </c>
      <c r="BY599" s="1702" t="str">
        <f t="shared" si="158"/>
        <v/>
      </c>
      <c r="BZ599" s="1702" t="str">
        <f t="shared" si="159"/>
        <v/>
      </c>
      <c r="CA599" s="1702" t="str">
        <f t="shared" si="160"/>
        <v/>
      </c>
      <c r="CC599" s="1702" t="str">
        <f t="shared" si="161"/>
        <v/>
      </c>
      <c r="CD599" s="1702" t="str">
        <f t="shared" si="162"/>
        <v/>
      </c>
    </row>
    <row r="600" spans="7:82" ht="15">
      <c r="G600" s="1701" t="s">
        <v>1266</v>
      </c>
      <c r="H600" s="1702">
        <f>IF(rng02_Uses_DevRehabCosts_ConstRehabCosts_BuildersProfit="","",rng02_Uses_DevRehabCosts_ConstRehabCosts_BuildersProfit)</f>
        <v>0</v>
      </c>
      <c r="I600" s="1702"/>
      <c r="J600" s="1702"/>
      <c r="K600" s="1702"/>
      <c r="L600" s="1702"/>
      <c r="N600" s="1702"/>
      <c r="O600" s="1702"/>
      <c r="P600" s="1702"/>
      <c r="R600" s="1702"/>
      <c r="S600" s="1702"/>
      <c r="AM600" s="1702" t="s">
        <v>1266</v>
      </c>
      <c r="AN600" s="1702">
        <f t="shared" si="135"/>
        <v>0</v>
      </c>
      <c r="AO600" s="1702" t="str">
        <f t="shared" si="136"/>
        <v/>
      </c>
      <c r="AP600" s="1702" t="str">
        <f t="shared" si="137"/>
        <v/>
      </c>
      <c r="AQ600" s="1702" t="str">
        <f t="shared" si="138"/>
        <v/>
      </c>
      <c r="AR600" s="1702" t="str">
        <f t="shared" si="139"/>
        <v/>
      </c>
      <c r="AT600" s="1702" t="str">
        <f t="shared" si="140"/>
        <v/>
      </c>
      <c r="AU600" s="1702" t="str">
        <f t="shared" si="141"/>
        <v/>
      </c>
      <c r="AV600" s="1702" t="str">
        <f t="shared" si="142"/>
        <v/>
      </c>
      <c r="AX600" s="1702" t="str">
        <f t="shared" si="143"/>
        <v/>
      </c>
      <c r="AY600" s="1702" t="str">
        <f t="shared" si="144"/>
        <v/>
      </c>
      <c r="BC600" s="1702" t="s">
        <v>1266</v>
      </c>
      <c r="BD600" s="1702" t="str">
        <f t="shared" si="145"/>
        <v/>
      </c>
      <c r="BE600" s="1702" t="str">
        <f t="shared" si="146"/>
        <v/>
      </c>
      <c r="BF600" s="1702" t="str">
        <f t="shared" si="147"/>
        <v/>
      </c>
      <c r="BG600" s="1702" t="str">
        <f t="shared" si="148"/>
        <v/>
      </c>
      <c r="BH600" s="1702" t="str">
        <f t="shared" si="149"/>
        <v/>
      </c>
      <c r="BJ600" s="1702" t="str">
        <f t="shared" si="150"/>
        <v/>
      </c>
      <c r="BK600" s="1702" t="str">
        <f t="shared" si="151"/>
        <v/>
      </c>
      <c r="BL600" s="1702" t="str">
        <f t="shared" si="152"/>
        <v/>
      </c>
      <c r="BN600" s="2078" t="str">
        <f t="shared" si="153"/>
        <v/>
      </c>
      <c r="BO600" s="2081" t="str">
        <f t="shared" si="154"/>
        <v/>
      </c>
      <c r="BT600" s="1702" t="str">
        <f t="shared" si="155"/>
        <v/>
      </c>
      <c r="BU600" s="1702" t="str">
        <f t="shared" si="156"/>
        <v/>
      </c>
      <c r="BV600" s="1702" t="str">
        <f t="shared" si="157"/>
        <v/>
      </c>
      <c r="BW600" s="1702" t="s">
        <v>1266</v>
      </c>
      <c r="BY600" s="1702" t="str">
        <f t="shared" si="158"/>
        <v/>
      </c>
      <c r="BZ600" s="1702" t="str">
        <f t="shared" si="159"/>
        <v/>
      </c>
      <c r="CA600" s="1702" t="str">
        <f t="shared" si="160"/>
        <v/>
      </c>
      <c r="CC600" s="1702" t="str">
        <f t="shared" si="161"/>
        <v/>
      </c>
      <c r="CD600" s="1702" t="str">
        <f t="shared" si="162"/>
        <v/>
      </c>
    </row>
    <row r="601" spans="7:82" ht="15">
      <c r="G601" s="1701" t="s">
        <v>1267</v>
      </c>
      <c r="H601" s="1702">
        <f>IF(rng02_Uses_DevRehabCosts_ConstRehabCosts_BondPrem="","",rng02_Uses_DevRehabCosts_ConstRehabCosts_BondPrem)</f>
        <v>0</v>
      </c>
      <c r="I601" s="1702"/>
      <c r="J601" s="1702"/>
      <c r="K601" s="1702"/>
      <c r="L601" s="1702"/>
      <c r="N601" s="1702"/>
      <c r="O601" s="1702"/>
      <c r="P601" s="1702"/>
      <c r="R601" s="1702"/>
      <c r="S601" s="1702"/>
      <c r="AM601" s="1702" t="s">
        <v>1267</v>
      </c>
      <c r="AN601" s="1702">
        <f t="shared" si="135"/>
        <v>0</v>
      </c>
      <c r="AO601" s="1702" t="str">
        <f t="shared" si="136"/>
        <v/>
      </c>
      <c r="AP601" s="1702" t="str">
        <f t="shared" si="137"/>
        <v/>
      </c>
      <c r="AQ601" s="1702" t="str">
        <f t="shared" si="138"/>
        <v/>
      </c>
      <c r="AR601" s="1702" t="str">
        <f t="shared" si="139"/>
        <v/>
      </c>
      <c r="AT601" s="1702" t="str">
        <f t="shared" si="140"/>
        <v/>
      </c>
      <c r="AU601" s="1702" t="str">
        <f t="shared" si="141"/>
        <v/>
      </c>
      <c r="AV601" s="1702" t="str">
        <f t="shared" si="142"/>
        <v/>
      </c>
      <c r="AX601" s="1702" t="str">
        <f t="shared" si="143"/>
        <v/>
      </c>
      <c r="AY601" s="1702" t="str">
        <f t="shared" si="144"/>
        <v/>
      </c>
      <c r="BC601" s="1702" t="s">
        <v>1267</v>
      </c>
      <c r="BD601" s="1702" t="str">
        <f t="shared" si="145"/>
        <v/>
      </c>
      <c r="BE601" s="1702" t="str">
        <f t="shared" si="146"/>
        <v/>
      </c>
      <c r="BF601" s="1702" t="str">
        <f t="shared" si="147"/>
        <v/>
      </c>
      <c r="BG601" s="1702" t="str">
        <f t="shared" si="148"/>
        <v/>
      </c>
      <c r="BH601" s="1702" t="str">
        <f t="shared" si="149"/>
        <v/>
      </c>
      <c r="BJ601" s="1702" t="str">
        <f t="shared" si="150"/>
        <v/>
      </c>
      <c r="BK601" s="1702" t="str">
        <f t="shared" si="151"/>
        <v/>
      </c>
      <c r="BL601" s="1702" t="str">
        <f t="shared" si="152"/>
        <v/>
      </c>
      <c r="BN601" s="2078" t="str">
        <f t="shared" si="153"/>
        <v/>
      </c>
      <c r="BO601" s="2081" t="str">
        <f t="shared" si="154"/>
        <v/>
      </c>
      <c r="BT601" s="1702" t="str">
        <f t="shared" si="155"/>
        <v/>
      </c>
      <c r="BU601" s="1702" t="str">
        <f t="shared" si="156"/>
        <v/>
      </c>
      <c r="BV601" s="1702" t="str">
        <f t="shared" si="157"/>
        <v/>
      </c>
      <c r="BW601" s="1702" t="s">
        <v>1267</v>
      </c>
      <c r="BY601" s="1702" t="str">
        <f t="shared" si="158"/>
        <v/>
      </c>
      <c r="BZ601" s="1702" t="str">
        <f t="shared" si="159"/>
        <v/>
      </c>
      <c r="CA601" s="1702" t="str">
        <f t="shared" si="160"/>
        <v/>
      </c>
      <c r="CC601" s="1702" t="str">
        <f t="shared" si="161"/>
        <v/>
      </c>
      <c r="CD601" s="1702" t="str">
        <f t="shared" si="162"/>
        <v/>
      </c>
    </row>
    <row r="602" spans="7:82" ht="15">
      <c r="G602" s="1701" t="s">
        <v>1268</v>
      </c>
      <c r="H602" s="1702">
        <f>IF(rng02_Uses_DevRehabCosts_ConstRehabCosts_ExtraConditions="","",rng02_Uses_DevRehabCosts_ConstRehabCosts_ExtraConditions)</f>
        <v>0</v>
      </c>
      <c r="I602" s="1702"/>
      <c r="J602" s="1702"/>
      <c r="K602" s="1702"/>
      <c r="L602" s="1702"/>
      <c r="N602" s="1702"/>
      <c r="O602" s="1702"/>
      <c r="P602" s="1702"/>
      <c r="R602" s="1702"/>
      <c r="S602" s="1702"/>
      <c r="AM602" s="1702" t="s">
        <v>1268</v>
      </c>
      <c r="AN602" s="1702">
        <f t="shared" si="135"/>
        <v>0</v>
      </c>
      <c r="AO602" s="1702" t="str">
        <f t="shared" si="136"/>
        <v/>
      </c>
      <c r="AP602" s="1702" t="str">
        <f t="shared" si="137"/>
        <v/>
      </c>
      <c r="AQ602" s="1702" t="str">
        <f t="shared" si="138"/>
        <v/>
      </c>
      <c r="AR602" s="1702" t="str">
        <f t="shared" si="139"/>
        <v/>
      </c>
      <c r="AT602" s="1702" t="str">
        <f t="shared" si="140"/>
        <v/>
      </c>
      <c r="AU602" s="1702" t="str">
        <f t="shared" si="141"/>
        <v/>
      </c>
      <c r="AV602" s="1702" t="str">
        <f t="shared" si="142"/>
        <v/>
      </c>
      <c r="AX602" s="1702" t="str">
        <f t="shared" si="143"/>
        <v/>
      </c>
      <c r="AY602" s="1702" t="str">
        <f t="shared" si="144"/>
        <v/>
      </c>
      <c r="BC602" s="1702" t="s">
        <v>1268</v>
      </c>
      <c r="BD602" s="1702" t="str">
        <f t="shared" si="145"/>
        <v/>
      </c>
      <c r="BE602" s="1702" t="str">
        <f t="shared" si="146"/>
        <v/>
      </c>
      <c r="BF602" s="1702" t="str">
        <f t="shared" si="147"/>
        <v/>
      </c>
      <c r="BG602" s="1702" t="str">
        <f t="shared" si="148"/>
        <v/>
      </c>
      <c r="BH602" s="1702" t="str">
        <f t="shared" si="149"/>
        <v/>
      </c>
      <c r="BJ602" s="1702" t="str">
        <f t="shared" si="150"/>
        <v/>
      </c>
      <c r="BK602" s="1702" t="str">
        <f t="shared" si="151"/>
        <v/>
      </c>
      <c r="BL602" s="1702" t="str">
        <f t="shared" si="152"/>
        <v/>
      </c>
      <c r="BN602" s="2078" t="str">
        <f t="shared" si="153"/>
        <v/>
      </c>
      <c r="BO602" s="2081" t="str">
        <f t="shared" si="154"/>
        <v/>
      </c>
      <c r="BT602" s="1702" t="str">
        <f t="shared" si="155"/>
        <v/>
      </c>
      <c r="BU602" s="1702" t="str">
        <f t="shared" si="156"/>
        <v/>
      </c>
      <c r="BV602" s="1702" t="str">
        <f t="shared" si="157"/>
        <v/>
      </c>
      <c r="BW602" s="1702" t="s">
        <v>1268</v>
      </c>
      <c r="BY602" s="1702" t="str">
        <f t="shared" si="158"/>
        <v/>
      </c>
      <c r="BZ602" s="1702" t="str">
        <f t="shared" si="159"/>
        <v/>
      </c>
      <c r="CA602" s="1702" t="str">
        <f t="shared" si="160"/>
        <v/>
      </c>
      <c r="CC602" s="1702" t="str">
        <f t="shared" si="161"/>
        <v/>
      </c>
      <c r="CD602" s="1702" t="str">
        <f t="shared" si="162"/>
        <v/>
      </c>
    </row>
    <row r="603" spans="7:82" ht="15">
      <c r="G603" s="1701" t="str">
        <f>Other_Fees</f>
        <v>Other Fees</v>
      </c>
      <c r="H603" s="1702">
        <f>IF(rng02_Uses_DevRehabCosts_ConstRehabCosts_OtherFees="","",rng02_Uses_DevRehabCosts_ConstRehabCosts_OtherFees)</f>
        <v>0</v>
      </c>
      <c r="I603" s="1702"/>
      <c r="J603" s="1702"/>
      <c r="K603" s="1702"/>
      <c r="L603" s="1702"/>
      <c r="N603" s="1702"/>
      <c r="O603" s="1702"/>
      <c r="P603" s="1702"/>
      <c r="R603" s="1702"/>
      <c r="S603" s="1702"/>
      <c r="AM603" s="1702" t="str">
        <f>IF(FourPercentTrigger="No","",G603)</f>
        <v>Other Fees</v>
      </c>
      <c r="AN603" s="1702">
        <f t="shared" si="135"/>
        <v>0</v>
      </c>
      <c r="AO603" s="1702" t="str">
        <f t="shared" si="136"/>
        <v/>
      </c>
      <c r="AP603" s="1702" t="str">
        <f t="shared" si="137"/>
        <v/>
      </c>
      <c r="AQ603" s="1702" t="str">
        <f t="shared" si="138"/>
        <v/>
      </c>
      <c r="AR603" s="1702" t="str">
        <f t="shared" si="139"/>
        <v/>
      </c>
      <c r="AT603" s="1702" t="str">
        <f t="shared" si="140"/>
        <v/>
      </c>
      <c r="AU603" s="1702" t="str">
        <f t="shared" si="141"/>
        <v/>
      </c>
      <c r="AV603" s="1702" t="str">
        <f t="shared" si="142"/>
        <v/>
      </c>
      <c r="AX603" s="1702" t="str">
        <f t="shared" si="143"/>
        <v/>
      </c>
      <c r="AY603" s="1702" t="str">
        <f t="shared" si="144"/>
        <v/>
      </c>
      <c r="BB603" s="1677" t="s">
        <v>2310</v>
      </c>
      <c r="BC603" s="1702" t="str">
        <f>IF(BD603="","",G603)</f>
        <v/>
      </c>
      <c r="BD603" s="1702" t="str">
        <f t="shared" si="145"/>
        <v/>
      </c>
      <c r="BE603" s="1702" t="str">
        <f t="shared" si="146"/>
        <v/>
      </c>
      <c r="BF603" s="1702" t="str">
        <f t="shared" si="147"/>
        <v/>
      </c>
      <c r="BG603" s="1702" t="str">
        <f t="shared" si="148"/>
        <v/>
      </c>
      <c r="BH603" s="1702" t="str">
        <f t="shared" si="149"/>
        <v/>
      </c>
      <c r="BJ603" s="1702" t="str">
        <f t="shared" si="150"/>
        <v/>
      </c>
      <c r="BK603" s="1702" t="str">
        <f t="shared" si="151"/>
        <v/>
      </c>
      <c r="BL603" s="1702" t="str">
        <f t="shared" si="152"/>
        <v/>
      </c>
      <c r="BN603" s="2078" t="str">
        <f t="shared" si="153"/>
        <v/>
      </c>
      <c r="BO603" s="2081" t="str">
        <f t="shared" si="154"/>
        <v/>
      </c>
      <c r="BT603" s="1702" t="str">
        <f t="shared" si="155"/>
        <v/>
      </c>
      <c r="BU603" s="1702" t="str">
        <f t="shared" si="156"/>
        <v/>
      </c>
      <c r="BV603" s="1702" t="str">
        <f t="shared" si="157"/>
        <v/>
      </c>
      <c r="BW603" s="1702" t="str">
        <f>IF(FourPercentTrigger="No","",AQ603)</f>
        <v/>
      </c>
      <c r="BY603" s="1702" t="str">
        <f t="shared" si="158"/>
        <v/>
      </c>
      <c r="BZ603" s="1702" t="str">
        <f t="shared" si="159"/>
        <v/>
      </c>
      <c r="CA603" s="1702" t="str">
        <f t="shared" si="160"/>
        <v/>
      </c>
      <c r="CC603" s="1702" t="str">
        <f t="shared" si="161"/>
        <v/>
      </c>
      <c r="CD603" s="1702" t="str">
        <f t="shared" si="162"/>
        <v/>
      </c>
    </row>
    <row r="604" spans="7:82" ht="15">
      <c r="G604" s="1701" t="s">
        <v>1270</v>
      </c>
      <c r="H604" s="1702">
        <f>IF(rng02_Uses_DevRehabCosts_ConstRehabCosts_TotalHardCosts="","",rng02_Uses_DevRehabCosts_ConstRehabCosts_TotalHardCosts)</f>
        <v>0</v>
      </c>
      <c r="I604" s="1702"/>
      <c r="J604" s="1702"/>
      <c r="K604" s="1702"/>
      <c r="L604" s="1702"/>
      <c r="N604" s="1702"/>
      <c r="O604" s="1702"/>
      <c r="P604" s="1702"/>
      <c r="R604" s="1702"/>
      <c r="S604" s="1702"/>
      <c r="AM604" s="1702" t="s">
        <v>1270</v>
      </c>
      <c r="AN604" s="1702">
        <f t="shared" si="135"/>
        <v>0</v>
      </c>
      <c r="AO604" s="1702" t="str">
        <f t="shared" si="136"/>
        <v/>
      </c>
      <c r="AP604" s="1702" t="str">
        <f t="shared" si="137"/>
        <v/>
      </c>
      <c r="AQ604" s="1702" t="str">
        <f t="shared" si="138"/>
        <v/>
      </c>
      <c r="AR604" s="1702" t="str">
        <f t="shared" si="139"/>
        <v/>
      </c>
      <c r="AT604" s="1702" t="str">
        <f t="shared" si="140"/>
        <v/>
      </c>
      <c r="AU604" s="1702" t="str">
        <f t="shared" si="141"/>
        <v/>
      </c>
      <c r="AV604" s="1702" t="str">
        <f t="shared" si="142"/>
        <v/>
      </c>
      <c r="AX604" s="1702" t="str">
        <f t="shared" si="143"/>
        <v/>
      </c>
      <c r="AY604" s="1702" t="str">
        <f t="shared" si="144"/>
        <v/>
      </c>
      <c r="BC604" s="1702" t="s">
        <v>1270</v>
      </c>
      <c r="BD604" s="1702" t="str">
        <f t="shared" si="145"/>
        <v/>
      </c>
      <c r="BE604" s="1702" t="str">
        <f t="shared" si="146"/>
        <v/>
      </c>
      <c r="BF604" s="1702" t="str">
        <f t="shared" si="147"/>
        <v/>
      </c>
      <c r="BG604" s="1702" t="str">
        <f t="shared" si="148"/>
        <v/>
      </c>
      <c r="BH604" s="1702" t="str">
        <f t="shared" si="149"/>
        <v/>
      </c>
      <c r="BJ604" s="1702" t="str">
        <f t="shared" si="150"/>
        <v/>
      </c>
      <c r="BK604" s="1702" t="str">
        <f t="shared" si="151"/>
        <v/>
      </c>
      <c r="BL604" s="1702" t="str">
        <f t="shared" si="152"/>
        <v/>
      </c>
      <c r="BN604" s="2078" t="str">
        <f t="shared" si="153"/>
        <v/>
      </c>
      <c r="BO604" s="2081" t="str">
        <f t="shared" si="154"/>
        <v/>
      </c>
      <c r="BT604" s="1702" t="str">
        <f t="shared" si="155"/>
        <v/>
      </c>
      <c r="BU604" s="1702" t="str">
        <f t="shared" si="156"/>
        <v/>
      </c>
      <c r="BV604" s="1702" t="str">
        <f t="shared" si="157"/>
        <v/>
      </c>
      <c r="BW604" s="1702" t="s">
        <v>1270</v>
      </c>
      <c r="BY604" s="1702" t="str">
        <f t="shared" si="158"/>
        <v/>
      </c>
      <c r="BZ604" s="1702" t="str">
        <f t="shared" si="159"/>
        <v/>
      </c>
      <c r="CA604" s="1702" t="str">
        <f t="shared" si="160"/>
        <v/>
      </c>
      <c r="CC604" s="1702" t="str">
        <f t="shared" si="161"/>
        <v/>
      </c>
      <c r="CD604" s="1702" t="str">
        <f t="shared" si="162"/>
        <v/>
      </c>
    </row>
    <row r="605" spans="7:82" ht="15">
      <c r="G605" s="1701" t="s">
        <v>1271</v>
      </c>
      <c r="H605" s="1702">
        <f>IF(rng02_Uses_DevRehabCosts_ConstRehabCosts_ConstructContigency="","",rng02_Uses_DevRehabCosts_ConstRehabCosts_ConstructContigency)</f>
        <v>0</v>
      </c>
      <c r="I605" s="1702"/>
      <c r="J605" s="1702"/>
      <c r="K605" s="1702"/>
      <c r="L605" s="1702"/>
      <c r="N605" s="1702"/>
      <c r="O605" s="1702"/>
      <c r="P605" s="1702"/>
      <c r="R605" s="1702"/>
      <c r="S605" s="1702"/>
      <c r="AM605" s="1702" t="s">
        <v>1271</v>
      </c>
      <c r="AN605" s="1702">
        <f t="shared" si="135"/>
        <v>0</v>
      </c>
      <c r="AO605" s="1702" t="str">
        <f t="shared" si="136"/>
        <v/>
      </c>
      <c r="AP605" s="1702" t="str">
        <f t="shared" si="137"/>
        <v/>
      </c>
      <c r="AQ605" s="1702" t="str">
        <f t="shared" si="138"/>
        <v/>
      </c>
      <c r="AR605" s="1702" t="str">
        <f t="shared" si="139"/>
        <v/>
      </c>
      <c r="AT605" s="1702" t="str">
        <f t="shared" si="140"/>
        <v/>
      </c>
      <c r="AU605" s="1702" t="str">
        <f t="shared" si="141"/>
        <v/>
      </c>
      <c r="AV605" s="1702" t="str">
        <f t="shared" si="142"/>
        <v/>
      </c>
      <c r="AX605" s="1702" t="str">
        <f t="shared" si="143"/>
        <v/>
      </c>
      <c r="AY605" s="1702" t="str">
        <f t="shared" si="144"/>
        <v/>
      </c>
      <c r="BC605" s="1702" t="s">
        <v>1271</v>
      </c>
      <c r="BD605" s="1702" t="str">
        <f t="shared" si="145"/>
        <v/>
      </c>
      <c r="BE605" s="1702" t="str">
        <f t="shared" si="146"/>
        <v/>
      </c>
      <c r="BF605" s="1702" t="str">
        <f t="shared" si="147"/>
        <v/>
      </c>
      <c r="BG605" s="1702" t="str">
        <f t="shared" si="148"/>
        <v/>
      </c>
      <c r="BH605" s="1702" t="str">
        <f t="shared" si="149"/>
        <v/>
      </c>
      <c r="BJ605" s="1702" t="str">
        <f t="shared" si="150"/>
        <v/>
      </c>
      <c r="BK605" s="1702" t="str">
        <f t="shared" si="151"/>
        <v/>
      </c>
      <c r="BL605" s="1702" t="str">
        <f t="shared" si="152"/>
        <v/>
      </c>
      <c r="BN605" s="2078" t="str">
        <f t="shared" si="153"/>
        <v/>
      </c>
      <c r="BO605" s="2081" t="str">
        <f t="shared" si="154"/>
        <v/>
      </c>
      <c r="BT605" s="1702" t="str">
        <f t="shared" si="155"/>
        <v/>
      </c>
      <c r="BU605" s="1702" t="str">
        <f t="shared" si="156"/>
        <v/>
      </c>
      <c r="BV605" s="1702" t="str">
        <f t="shared" si="157"/>
        <v/>
      </c>
      <c r="BW605" s="1702" t="s">
        <v>1271</v>
      </c>
      <c r="BY605" s="1702" t="str">
        <f t="shared" si="158"/>
        <v/>
      </c>
      <c r="BZ605" s="1702" t="str">
        <f t="shared" si="159"/>
        <v/>
      </c>
      <c r="CA605" s="1702" t="str">
        <f t="shared" si="160"/>
        <v/>
      </c>
      <c r="CC605" s="1702" t="str">
        <f t="shared" si="161"/>
        <v/>
      </c>
      <c r="CD605" s="1702" t="str">
        <f t="shared" si="162"/>
        <v/>
      </c>
    </row>
    <row r="606" spans="7:82" ht="15">
      <c r="G606" s="1701" t="s">
        <v>1272</v>
      </c>
      <c r="H606" s="1702">
        <f>IF(rng02_Uses_DevRehabCosts_ConstRehabCosts_TotalConstRehab="","",rng02_Uses_DevRehabCosts_ConstRehabCosts_TotalConstRehab)</f>
        <v>0</v>
      </c>
      <c r="I606" s="1702"/>
      <c r="J606" s="1702"/>
      <c r="K606" s="1702"/>
      <c r="L606" s="1702"/>
      <c r="N606" s="1702">
        <v>0</v>
      </c>
      <c r="O606" s="1702">
        <v>0</v>
      </c>
      <c r="P606" s="1702">
        <v>0</v>
      </c>
      <c r="R606" s="1702">
        <v>0</v>
      </c>
      <c r="S606" s="1702">
        <v>0</v>
      </c>
      <c r="AM606" s="1702" t="s">
        <v>1272</v>
      </c>
      <c r="AN606" s="1702">
        <f t="shared" si="135"/>
        <v>0</v>
      </c>
      <c r="AO606" s="1702" t="str">
        <f t="shared" si="136"/>
        <v/>
      </c>
      <c r="AP606" s="1702" t="str">
        <f t="shared" si="137"/>
        <v/>
      </c>
      <c r="AQ606" s="1702" t="str">
        <f t="shared" si="138"/>
        <v/>
      </c>
      <c r="AR606" s="1702" t="str">
        <f t="shared" si="139"/>
        <v/>
      </c>
      <c r="AT606" s="1702" t="str">
        <f t="shared" si="140"/>
        <v/>
      </c>
      <c r="AU606" s="1702" t="str">
        <f t="shared" si="141"/>
        <v/>
      </c>
      <c r="AV606" s="1702" t="str">
        <f t="shared" si="142"/>
        <v/>
      </c>
      <c r="AX606" s="1702" t="str">
        <f t="shared" si="143"/>
        <v/>
      </c>
      <c r="AY606" s="1702" t="str">
        <f t="shared" si="144"/>
        <v/>
      </c>
      <c r="BC606" s="1702" t="s">
        <v>1272</v>
      </c>
      <c r="BD606" s="1702" t="str">
        <f t="shared" si="145"/>
        <v/>
      </c>
      <c r="BE606" s="1702" t="str">
        <f t="shared" si="146"/>
        <v/>
      </c>
      <c r="BF606" s="1702" t="str">
        <f t="shared" si="147"/>
        <v/>
      </c>
      <c r="BG606" s="1702" t="str">
        <f t="shared" si="148"/>
        <v/>
      </c>
      <c r="BH606" s="1702" t="str">
        <f t="shared" si="149"/>
        <v/>
      </c>
      <c r="BJ606" s="1702" t="str">
        <f t="shared" si="150"/>
        <v/>
      </c>
      <c r="BK606" s="1702" t="str">
        <f t="shared" si="151"/>
        <v/>
      </c>
      <c r="BL606" s="1702" t="str">
        <f t="shared" si="152"/>
        <v/>
      </c>
      <c r="BN606" s="2078" t="str">
        <f t="shared" si="153"/>
        <v/>
      </c>
      <c r="BO606" s="2081" t="str">
        <f t="shared" si="154"/>
        <v/>
      </c>
      <c r="BT606" s="1702" t="str">
        <f t="shared" si="155"/>
        <v/>
      </c>
      <c r="BU606" s="1702" t="str">
        <f t="shared" si="156"/>
        <v/>
      </c>
      <c r="BV606" s="1702" t="str">
        <f t="shared" si="157"/>
        <v/>
      </c>
      <c r="BW606" s="1702" t="s">
        <v>1272</v>
      </c>
      <c r="BY606" s="1702" t="str">
        <f t="shared" si="158"/>
        <v/>
      </c>
      <c r="BZ606" s="1702" t="str">
        <f t="shared" si="159"/>
        <v/>
      </c>
      <c r="CA606" s="1702" t="str">
        <f t="shared" si="160"/>
        <v/>
      </c>
      <c r="CC606" s="1702" t="str">
        <f t="shared" si="161"/>
        <v/>
      </c>
      <c r="CD606" s="1702" t="str">
        <f t="shared" si="162"/>
        <v/>
      </c>
    </row>
    <row r="607" spans="7:82">
      <c r="G607" s="1677" t="s">
        <v>8</v>
      </c>
      <c r="AM607" s="1677" t="s">
        <v>8</v>
      </c>
      <c r="BC607" s="1677" t="s">
        <v>8</v>
      </c>
      <c r="BW607" s="1677" t="s">
        <v>8</v>
      </c>
    </row>
    <row r="608" spans="7:82" ht="15">
      <c r="G608" s="1701" t="s">
        <v>1273</v>
      </c>
      <c r="H608" s="1765"/>
      <c r="I608" s="1765"/>
      <c r="J608" s="1765"/>
      <c r="K608" s="1765"/>
      <c r="L608" s="1765"/>
      <c r="AM608" s="1677" t="s">
        <v>1273</v>
      </c>
      <c r="BC608" s="1677" t="s">
        <v>1273</v>
      </c>
      <c r="BW608" s="1677" t="s">
        <v>1273</v>
      </c>
    </row>
    <row r="609" spans="7:82" ht="15">
      <c r="G609" s="1701" t="s">
        <v>1274</v>
      </c>
      <c r="H609" s="1766">
        <f>IF(rng02_Uses_DevRehabCosts_SoftCosts_ArchFeeDesign="","",rng02_Uses_DevRehabCosts_SoftCosts_ArchFeeDesign)</f>
        <v>0</v>
      </c>
      <c r="I609" s="1766"/>
      <c r="J609" s="1766"/>
      <c r="K609" s="1766"/>
      <c r="L609" s="1766"/>
      <c r="N609" s="1702"/>
      <c r="O609" s="1702"/>
      <c r="P609" s="1702"/>
      <c r="R609" s="1702"/>
      <c r="S609" s="1702"/>
      <c r="AM609" s="1702" t="s">
        <v>1274</v>
      </c>
      <c r="AN609" s="1702">
        <f t="shared" ref="AN609:AN638" si="163">IF(FourPercentTrigger="No","",IF($H609="","",$H609))</f>
        <v>0</v>
      </c>
      <c r="AO609" s="1702" t="str">
        <f t="shared" ref="AO609:AO638" si="164">IF(TCATrigger="No","",IF(FourPercentTrigger="No","",IF($I609="","",$I609)))</f>
        <v/>
      </c>
      <c r="AP609" s="1702" t="str">
        <f t="shared" ref="AP609:AP638" si="165">IF(TCATrigger="No","",IF(FourPercentTrigger="No","",IF($J609="","",$J609)))</f>
        <v/>
      </c>
      <c r="AQ609" s="1702" t="str">
        <f t="shared" ref="AQ609:AQ638" si="166">IF(TCATrigger="No","",IF(FourPercentTrigger="No","",IF($K609="","",$K609)))</f>
        <v/>
      </c>
      <c r="AR609" s="1702" t="str">
        <f t="shared" ref="AR609:AR638" si="167">IF(TCATrigger="No","",IF(FourPercentTrigger="No","",IF($L609="","",$L609)))</f>
        <v/>
      </c>
      <c r="AT609" s="1702" t="str">
        <f t="shared" ref="AT609:AT638" si="168">IF(TCATrigger="No","",IF(FourPercentTrigger="No","",IF($N609="","",$N609)))</f>
        <v/>
      </c>
      <c r="AU609" s="1702" t="str">
        <f t="shared" ref="AU609:AU638" si="169">IF(TCATrigger="No","",IF(FourPercentTrigger="No","",IF($O609="","",$O609)))</f>
        <v/>
      </c>
      <c r="AV609" s="1702" t="str">
        <f t="shared" ref="AV609:AV638" si="170">IF(TCATrigger="No","",IF(FourPercentTrigger="No","",IF($P609="","",$P609)))</f>
        <v/>
      </c>
      <c r="AX609" s="1702" t="str">
        <f t="shared" ref="AX609:AX638" si="171">IF(TCATrigger="No","",IF(FourPercentTrigger="No","",IF($R609="","",$R609)))</f>
        <v/>
      </c>
      <c r="AY609" s="1702" t="str">
        <f t="shared" ref="AY609:AY638" si="172">IF(TCATrigger="No","",IF(FourPercentTrigger="No","",IF($S609="","",$S609)))</f>
        <v/>
      </c>
      <c r="BC609" s="1702" t="s">
        <v>1274</v>
      </c>
      <c r="BD609" s="1702" t="str">
        <f t="shared" ref="BD609:BD638" si="173">IF(TCATrigger="No","",IF(NinePercentTrigger="No","",IF($H609="","",$H609)))</f>
        <v/>
      </c>
      <c r="BE609" s="1702" t="str">
        <f t="shared" ref="BE609:BE638" si="174">IF(TCATrigger="No","",IF(NinePercentTrigger="No","",IF($I609="","",$I609)))</f>
        <v/>
      </c>
      <c r="BF609" s="1702" t="str">
        <f t="shared" ref="BF609:BF638" si="175">IF(TCATrigger="No","",IF(NinePercentTrigger="No","",IF($J609="","",$J609)))</f>
        <v/>
      </c>
      <c r="BG609" s="1702" t="str">
        <f t="shared" ref="BG609:BG638" si="176">IF(TCATrigger="No","",IF(NinePercentTrigger="No","",IF($K609="","",$K609)))</f>
        <v/>
      </c>
      <c r="BH609" s="1702" t="str">
        <f t="shared" ref="BH609:BH638" si="177">IF(TCATrigger="No","",IF(NinePercentTrigger="No","",IF($L609="","",$L609)))</f>
        <v/>
      </c>
      <c r="BJ609" s="1702" t="str">
        <f t="shared" ref="BJ609:BJ638" si="178">IF(TCATrigger="No","",IF(NinePercentTrigger="No","",IF($N609="","",$N609)))</f>
        <v/>
      </c>
      <c r="BK609" s="1702" t="str">
        <f t="shared" ref="BK609:BK638" si="179">IF(TCATrigger="No","",IF(NinePercentTrigger="No","",IF($O609="","",$O609)))</f>
        <v/>
      </c>
      <c r="BL609" s="1702" t="str">
        <f t="shared" ref="BL609:BL638" si="180">IF(TCATrigger="No","",IF(NinePercentTrigger="No","",IF($P609="","",$P609)))</f>
        <v/>
      </c>
      <c r="BN609" s="2078" t="str">
        <f t="shared" ref="BN609:BN638" si="181">IF(TCATrigger="No","",IF(NinePercentTrigger="No","",IF($R609="","",$R609)))</f>
        <v/>
      </c>
      <c r="BO609" s="2081" t="str">
        <f t="shared" ref="BO609:BO638" si="182">IF(TCATrigger="No","",IF(NinePercentTrigger="No","",IF($S609="","",$S609)))</f>
        <v/>
      </c>
      <c r="BT609" s="1702" t="str">
        <f t="shared" ref="BT609:BT638" si="183">IF(TCATrigger="No","",IF(AcquisitionTrigger="No","",IF($I609="","",$I609)))</f>
        <v/>
      </c>
      <c r="BU609" s="1702" t="str">
        <f t="shared" ref="BU609:BU638" si="184">IF(TCATrigger="No","",IF(AcquisitionTrigger="No","",IF($J609="","",$J609)))</f>
        <v/>
      </c>
      <c r="BV609" s="1702" t="str">
        <f t="shared" ref="BV609:BV638" si="185">IF(TCATrigger="No","",IF(AcquisitionTrigger="No","",IF($K609="","",$K609)))</f>
        <v/>
      </c>
      <c r="BW609" s="1702" t="s">
        <v>1274</v>
      </c>
      <c r="BY609" s="1702" t="str">
        <f t="shared" ref="BY609:BY638" si="186">IF(TCATrigger="No","",IF(AcquisitionTrigger="No","",IF($N609="","",$N609)))</f>
        <v/>
      </c>
      <c r="BZ609" s="1702" t="str">
        <f t="shared" ref="BZ609:BZ638" si="187">IF(TCATrigger="No","",IF(AcquisitionTrigger="No","",IF($O609="","",$O609)))</f>
        <v/>
      </c>
      <c r="CA609" s="1702" t="str">
        <f t="shared" ref="CA609:CA638" si="188">IF(TCATrigger="No","",IF(AcquisitionTrigger="No","",IF($P609="","",$P609)))</f>
        <v/>
      </c>
      <c r="CC609" s="1702" t="str">
        <f t="shared" ref="CC609:CC638" si="189">IF(TCATrigger="No","",IF(AcquisitionTrigger="No","",IF($R609="","",$R609)))</f>
        <v/>
      </c>
      <c r="CD609" s="1702" t="str">
        <f t="shared" ref="CD609:CD638" si="190">IF(TCATrigger="No","",IF(AcquisitionTrigger="No","",IF($S609="","",$S609)))</f>
        <v/>
      </c>
    </row>
    <row r="610" spans="7:82" ht="15">
      <c r="G610" s="1701" t="s">
        <v>1275</v>
      </c>
      <c r="H610" s="1702">
        <f>IF(rng02_Uses_DevRehabCosts_SoftCosts_ArchFeeSup="","",rng02_Uses_DevRehabCosts_SoftCosts_ArchFeeSup)</f>
        <v>0</v>
      </c>
      <c r="I610" s="1702"/>
      <c r="J610" s="1702"/>
      <c r="K610" s="1702"/>
      <c r="L610" s="1702"/>
      <c r="N610" s="1702"/>
      <c r="O610" s="1702"/>
      <c r="P610" s="1702"/>
      <c r="R610" s="1702"/>
      <c r="S610" s="1702"/>
      <c r="AM610" s="1702" t="s">
        <v>1275</v>
      </c>
      <c r="AN610" s="1702">
        <f t="shared" si="163"/>
        <v>0</v>
      </c>
      <c r="AO610" s="1702" t="str">
        <f t="shared" si="164"/>
        <v/>
      </c>
      <c r="AP610" s="1702" t="str">
        <f t="shared" si="165"/>
        <v/>
      </c>
      <c r="AQ610" s="1702" t="str">
        <f t="shared" si="166"/>
        <v/>
      </c>
      <c r="AR610" s="1702" t="str">
        <f t="shared" si="167"/>
        <v/>
      </c>
      <c r="AT610" s="1702" t="str">
        <f t="shared" si="168"/>
        <v/>
      </c>
      <c r="AU610" s="1702" t="str">
        <f t="shared" si="169"/>
        <v/>
      </c>
      <c r="AV610" s="1702" t="str">
        <f t="shared" si="170"/>
        <v/>
      </c>
      <c r="AX610" s="1702" t="str">
        <f t="shared" si="171"/>
        <v/>
      </c>
      <c r="AY610" s="1702" t="str">
        <f t="shared" si="172"/>
        <v/>
      </c>
      <c r="BC610" s="1702" t="s">
        <v>1275</v>
      </c>
      <c r="BD610" s="1702" t="str">
        <f t="shared" si="173"/>
        <v/>
      </c>
      <c r="BE610" s="1702" t="str">
        <f t="shared" si="174"/>
        <v/>
      </c>
      <c r="BF610" s="1702" t="str">
        <f t="shared" si="175"/>
        <v/>
      </c>
      <c r="BG610" s="1702" t="str">
        <f t="shared" si="176"/>
        <v/>
      </c>
      <c r="BH610" s="1702" t="str">
        <f t="shared" si="177"/>
        <v/>
      </c>
      <c r="BJ610" s="1702" t="str">
        <f t="shared" si="178"/>
        <v/>
      </c>
      <c r="BK610" s="1702" t="str">
        <f t="shared" si="179"/>
        <v/>
      </c>
      <c r="BL610" s="1702" t="str">
        <f t="shared" si="180"/>
        <v/>
      </c>
      <c r="BN610" s="2078" t="str">
        <f t="shared" si="181"/>
        <v/>
      </c>
      <c r="BO610" s="2081" t="str">
        <f t="shared" si="182"/>
        <v/>
      </c>
      <c r="BT610" s="1702" t="str">
        <f t="shared" si="183"/>
        <v/>
      </c>
      <c r="BU610" s="1702" t="str">
        <f t="shared" si="184"/>
        <v/>
      </c>
      <c r="BV610" s="1702" t="str">
        <f t="shared" si="185"/>
        <v/>
      </c>
      <c r="BW610" s="1702" t="s">
        <v>1275</v>
      </c>
      <c r="BY610" s="1702" t="str">
        <f t="shared" si="186"/>
        <v/>
      </c>
      <c r="BZ610" s="1702" t="str">
        <f t="shared" si="187"/>
        <v/>
      </c>
      <c r="CA610" s="1702" t="str">
        <f t="shared" si="188"/>
        <v/>
      </c>
      <c r="CC610" s="1702" t="str">
        <f t="shared" si="189"/>
        <v/>
      </c>
      <c r="CD610" s="1702" t="str">
        <f t="shared" si="190"/>
        <v/>
      </c>
    </row>
    <row r="611" spans="7:82" ht="15">
      <c r="G611" s="1701" t="s">
        <v>1276</v>
      </c>
      <c r="H611" s="1702">
        <f>IF(rng02_Uses_DevRehabCosts_SoftCosts_Survey="","",rng02_Uses_DevRehabCosts_SoftCosts_Survey)</f>
        <v>0</v>
      </c>
      <c r="I611" s="1702"/>
      <c r="J611" s="1702"/>
      <c r="K611" s="1702"/>
      <c r="L611" s="1702"/>
      <c r="N611" s="1702"/>
      <c r="O611" s="1702"/>
      <c r="P611" s="1702"/>
      <c r="R611" s="1702"/>
      <c r="S611" s="1702"/>
      <c r="AM611" s="1763" t="s">
        <v>1276</v>
      </c>
      <c r="AN611" s="1702">
        <f t="shared" si="163"/>
        <v>0</v>
      </c>
      <c r="AO611" s="1702" t="str">
        <f t="shared" si="164"/>
        <v/>
      </c>
      <c r="AP611" s="1702" t="str">
        <f t="shared" si="165"/>
        <v/>
      </c>
      <c r="AQ611" s="1702" t="str">
        <f t="shared" si="166"/>
        <v/>
      </c>
      <c r="AR611" s="1702" t="str">
        <f t="shared" si="167"/>
        <v/>
      </c>
      <c r="AT611" s="1702" t="str">
        <f t="shared" si="168"/>
        <v/>
      </c>
      <c r="AU611" s="1702" t="str">
        <f t="shared" si="169"/>
        <v/>
      </c>
      <c r="AV611" s="1702" t="str">
        <f t="shared" si="170"/>
        <v/>
      </c>
      <c r="AX611" s="1702" t="str">
        <f t="shared" si="171"/>
        <v/>
      </c>
      <c r="AY611" s="1702" t="str">
        <f t="shared" si="172"/>
        <v/>
      </c>
      <c r="BC611" s="1702" t="s">
        <v>1276</v>
      </c>
      <c r="BD611" s="1702" t="str">
        <f t="shared" si="173"/>
        <v/>
      </c>
      <c r="BE611" s="1702" t="str">
        <f t="shared" si="174"/>
        <v/>
      </c>
      <c r="BF611" s="1702" t="str">
        <f t="shared" si="175"/>
        <v/>
      </c>
      <c r="BG611" s="1702" t="str">
        <f t="shared" si="176"/>
        <v/>
      </c>
      <c r="BH611" s="1702" t="str">
        <f t="shared" si="177"/>
        <v/>
      </c>
      <c r="BJ611" s="1702" t="str">
        <f t="shared" si="178"/>
        <v/>
      </c>
      <c r="BK611" s="1702" t="str">
        <f t="shared" si="179"/>
        <v/>
      </c>
      <c r="BL611" s="1702" t="str">
        <f t="shared" si="180"/>
        <v/>
      </c>
      <c r="BN611" s="2078" t="str">
        <f t="shared" si="181"/>
        <v/>
      </c>
      <c r="BO611" s="2081" t="str">
        <f t="shared" si="182"/>
        <v/>
      </c>
      <c r="BT611" s="1702" t="str">
        <f t="shared" si="183"/>
        <v/>
      </c>
      <c r="BU611" s="1702" t="str">
        <f t="shared" si="184"/>
        <v/>
      </c>
      <c r="BV611" s="1702" t="str">
        <f t="shared" si="185"/>
        <v/>
      </c>
      <c r="BW611" s="1763" t="s">
        <v>1276</v>
      </c>
      <c r="BY611" s="1702" t="str">
        <f t="shared" si="186"/>
        <v/>
      </c>
      <c r="BZ611" s="1702" t="str">
        <f t="shared" si="187"/>
        <v/>
      </c>
      <c r="CA611" s="1702" t="str">
        <f t="shared" si="188"/>
        <v/>
      </c>
      <c r="CC611" s="1702" t="str">
        <f t="shared" si="189"/>
        <v/>
      </c>
      <c r="CD611" s="1702" t="str">
        <f t="shared" si="190"/>
        <v/>
      </c>
    </row>
    <row r="612" spans="7:82" ht="15">
      <c r="G612" s="1701" t="s">
        <v>1277</v>
      </c>
      <c r="H612" s="1702">
        <f>IF(rng02_Uses_DevRehabCosts_SoftCosts_Environmental="","",rng02_Uses_DevRehabCosts_SoftCosts_Environmental)</f>
        <v>0</v>
      </c>
      <c r="I612" s="1702"/>
      <c r="J612" s="1702"/>
      <c r="K612" s="1702"/>
      <c r="L612" s="1702"/>
      <c r="N612" s="1702"/>
      <c r="O612" s="1702"/>
      <c r="P612" s="1702"/>
      <c r="R612" s="1702"/>
      <c r="S612" s="1702"/>
      <c r="AM612" s="1702" t="s">
        <v>1277</v>
      </c>
      <c r="AN612" s="1702">
        <f t="shared" si="163"/>
        <v>0</v>
      </c>
      <c r="AO612" s="1702" t="str">
        <f t="shared" si="164"/>
        <v/>
      </c>
      <c r="AP612" s="1702" t="str">
        <f t="shared" si="165"/>
        <v/>
      </c>
      <c r="AQ612" s="1702" t="str">
        <f t="shared" si="166"/>
        <v/>
      </c>
      <c r="AR612" s="1702" t="str">
        <f t="shared" si="167"/>
        <v/>
      </c>
      <c r="AT612" s="1702" t="str">
        <f t="shared" si="168"/>
        <v/>
      </c>
      <c r="AU612" s="1702" t="str">
        <f t="shared" si="169"/>
        <v/>
      </c>
      <c r="AV612" s="1702" t="str">
        <f t="shared" si="170"/>
        <v/>
      </c>
      <c r="AX612" s="1702" t="str">
        <f t="shared" si="171"/>
        <v/>
      </c>
      <c r="AY612" s="1702" t="str">
        <f t="shared" si="172"/>
        <v/>
      </c>
      <c r="BC612" s="1702" t="s">
        <v>1277</v>
      </c>
      <c r="BD612" s="1702" t="str">
        <f t="shared" si="173"/>
        <v/>
      </c>
      <c r="BE612" s="1702" t="str">
        <f t="shared" si="174"/>
        <v/>
      </c>
      <c r="BF612" s="1702" t="str">
        <f t="shared" si="175"/>
        <v/>
      </c>
      <c r="BG612" s="1702" t="str">
        <f t="shared" si="176"/>
        <v/>
      </c>
      <c r="BH612" s="1702" t="str">
        <f t="shared" si="177"/>
        <v/>
      </c>
      <c r="BJ612" s="1702" t="str">
        <f t="shared" si="178"/>
        <v/>
      </c>
      <c r="BK612" s="1702" t="str">
        <f t="shared" si="179"/>
        <v/>
      </c>
      <c r="BL612" s="1702" t="str">
        <f t="shared" si="180"/>
        <v/>
      </c>
      <c r="BN612" s="2078" t="str">
        <f t="shared" si="181"/>
        <v/>
      </c>
      <c r="BO612" s="2081" t="str">
        <f t="shared" si="182"/>
        <v/>
      </c>
      <c r="BT612" s="1702" t="str">
        <f t="shared" si="183"/>
        <v/>
      </c>
      <c r="BU612" s="1702" t="str">
        <f t="shared" si="184"/>
        <v/>
      </c>
      <c r="BV612" s="1702" t="str">
        <f t="shared" si="185"/>
        <v/>
      </c>
      <c r="BW612" s="1702" t="s">
        <v>1277</v>
      </c>
      <c r="BY612" s="1702" t="str">
        <f t="shared" si="186"/>
        <v/>
      </c>
      <c r="BZ612" s="1702" t="str">
        <f t="shared" si="187"/>
        <v/>
      </c>
      <c r="CA612" s="1702" t="str">
        <f t="shared" si="188"/>
        <v/>
      </c>
      <c r="CC612" s="1702" t="str">
        <f t="shared" si="189"/>
        <v/>
      </c>
      <c r="CD612" s="1702" t="str">
        <f t="shared" si="190"/>
        <v/>
      </c>
    </row>
    <row r="613" spans="7:82" ht="15">
      <c r="G613" s="1767" t="s">
        <v>1278</v>
      </c>
      <c r="H613" s="1702">
        <f>IF(rng02_Uses_DevRehabCosts_SoftCosts_StructEngReports="","",rng02_Uses_DevRehabCosts_SoftCosts_StructEngReports)</f>
        <v>0</v>
      </c>
      <c r="I613" s="1768" t="str">
        <f>IF(SUM(H613:H614)=0,"",SUM(H613:H614))</f>
        <v/>
      </c>
      <c r="J613" s="1702"/>
      <c r="K613" s="1702"/>
      <c r="L613" s="1702"/>
      <c r="N613" s="1702"/>
      <c r="O613" s="1702"/>
      <c r="P613" s="1702"/>
      <c r="R613" s="1702"/>
      <c r="S613" s="1702"/>
      <c r="AM613" s="1702" t="s">
        <v>1278</v>
      </c>
      <c r="AN613" s="1702">
        <f t="shared" si="163"/>
        <v>0</v>
      </c>
      <c r="AO613" s="1702" t="str">
        <f>IF(FourPercentTrigger="No","",IF($I613="","",$I613))</f>
        <v/>
      </c>
      <c r="AP613" s="1702" t="str">
        <f t="shared" si="165"/>
        <v/>
      </c>
      <c r="AQ613" s="1702" t="str">
        <f t="shared" si="166"/>
        <v/>
      </c>
      <c r="AR613" s="1702" t="str">
        <f t="shared" si="167"/>
        <v/>
      </c>
      <c r="AT613" s="1702" t="str">
        <f t="shared" si="168"/>
        <v/>
      </c>
      <c r="AU613" s="1702" t="str">
        <f t="shared" si="169"/>
        <v/>
      </c>
      <c r="AV613" s="1702" t="str">
        <f t="shared" si="170"/>
        <v/>
      </c>
      <c r="AX613" s="1702" t="str">
        <f t="shared" si="171"/>
        <v/>
      </c>
      <c r="AY613" s="1702" t="str">
        <f t="shared" si="172"/>
        <v/>
      </c>
      <c r="BC613" s="1702" t="s">
        <v>1278</v>
      </c>
      <c r="BD613" s="1701" t="str">
        <f t="shared" si="173"/>
        <v/>
      </c>
      <c r="BE613" s="1702" t="str">
        <f t="shared" si="174"/>
        <v/>
      </c>
      <c r="BF613" s="1702" t="str">
        <f t="shared" si="175"/>
        <v/>
      </c>
      <c r="BG613" s="1702" t="str">
        <f t="shared" si="176"/>
        <v/>
      </c>
      <c r="BH613" s="1702" t="str">
        <f t="shared" si="177"/>
        <v/>
      </c>
      <c r="BJ613" s="1702" t="str">
        <f t="shared" si="178"/>
        <v/>
      </c>
      <c r="BK613" s="1702" t="str">
        <f t="shared" si="179"/>
        <v/>
      </c>
      <c r="BL613" s="1702" t="str">
        <f t="shared" si="180"/>
        <v/>
      </c>
      <c r="BN613" s="2078" t="str">
        <f t="shared" si="181"/>
        <v/>
      </c>
      <c r="BO613" s="2081" t="str">
        <f t="shared" si="182"/>
        <v/>
      </c>
      <c r="BT613" s="1702" t="str">
        <f t="shared" si="183"/>
        <v/>
      </c>
      <c r="BU613" s="1702" t="str">
        <f t="shared" si="184"/>
        <v/>
      </c>
      <c r="BV613" s="1702" t="str">
        <f t="shared" si="185"/>
        <v/>
      </c>
      <c r="BW613" s="1702" t="s">
        <v>1278</v>
      </c>
      <c r="BY613" s="1702" t="str">
        <f t="shared" si="186"/>
        <v/>
      </c>
      <c r="BZ613" s="1702" t="str">
        <f t="shared" si="187"/>
        <v/>
      </c>
      <c r="CA613" s="1702" t="str">
        <f t="shared" si="188"/>
        <v/>
      </c>
      <c r="CC613" s="1702" t="str">
        <f t="shared" si="189"/>
        <v/>
      </c>
      <c r="CD613" s="1702" t="str">
        <f t="shared" si="190"/>
        <v/>
      </c>
    </row>
    <row r="614" spans="7:82" ht="15">
      <c r="G614" s="1767" t="s">
        <v>1279</v>
      </c>
      <c r="H614" s="1702">
        <f>IF(rng02_Uses_DevRehabCosts_SoftCosts_FireCodeCompRpt="","",rng02_Uses_DevRehabCosts_SoftCosts_FireCodeCompRpt)</f>
        <v>0</v>
      </c>
      <c r="I614" s="1702"/>
      <c r="J614" s="1702"/>
      <c r="K614" s="1702"/>
      <c r="L614" s="1702"/>
      <c r="N614" s="1702"/>
      <c r="O614" s="1702"/>
      <c r="P614" s="1702"/>
      <c r="R614" s="1702"/>
      <c r="S614" s="1702"/>
      <c r="AM614" s="1763" t="s">
        <v>1279</v>
      </c>
      <c r="AN614" s="1702">
        <f t="shared" si="163"/>
        <v>0</v>
      </c>
      <c r="AO614" s="1702" t="str">
        <f t="shared" si="164"/>
        <v/>
      </c>
      <c r="AP614" s="1702" t="str">
        <f t="shared" si="165"/>
        <v/>
      </c>
      <c r="AQ614" s="1702" t="str">
        <f t="shared" si="166"/>
        <v/>
      </c>
      <c r="AR614" s="1702" t="str">
        <f t="shared" si="167"/>
        <v/>
      </c>
      <c r="AT614" s="1702" t="str">
        <f t="shared" si="168"/>
        <v/>
      </c>
      <c r="AU614" s="1702" t="str">
        <f t="shared" si="169"/>
        <v/>
      </c>
      <c r="AV614" s="1702" t="str">
        <f t="shared" si="170"/>
        <v/>
      </c>
      <c r="AX614" s="1702" t="str">
        <f t="shared" si="171"/>
        <v/>
      </c>
      <c r="AY614" s="1702" t="str">
        <f t="shared" si="172"/>
        <v/>
      </c>
      <c r="BC614" s="1702" t="s">
        <v>1279</v>
      </c>
      <c r="BD614" s="1701" t="str">
        <f t="shared" si="173"/>
        <v/>
      </c>
      <c r="BE614" s="1702" t="str">
        <f t="shared" si="174"/>
        <v/>
      </c>
      <c r="BF614" s="1702" t="str">
        <f t="shared" si="175"/>
        <v/>
      </c>
      <c r="BG614" s="1702" t="str">
        <f t="shared" si="176"/>
        <v/>
      </c>
      <c r="BH614" s="1702" t="str">
        <f t="shared" si="177"/>
        <v/>
      </c>
      <c r="BJ614" s="1702" t="str">
        <f t="shared" si="178"/>
        <v/>
      </c>
      <c r="BK614" s="1702" t="str">
        <f t="shared" si="179"/>
        <v/>
      </c>
      <c r="BL614" s="1702" t="str">
        <f t="shared" si="180"/>
        <v/>
      </c>
      <c r="BN614" s="2078" t="str">
        <f t="shared" si="181"/>
        <v/>
      </c>
      <c r="BO614" s="2081" t="str">
        <f t="shared" si="182"/>
        <v/>
      </c>
      <c r="BT614" s="1702" t="str">
        <f t="shared" si="183"/>
        <v/>
      </c>
      <c r="BU614" s="1702" t="str">
        <f t="shared" si="184"/>
        <v/>
      </c>
      <c r="BV614" s="1702" t="str">
        <f t="shared" si="185"/>
        <v/>
      </c>
      <c r="BW614" s="1763" t="s">
        <v>1279</v>
      </c>
      <c r="BY614" s="1702" t="str">
        <f t="shared" si="186"/>
        <v/>
      </c>
      <c r="BZ614" s="1702" t="str">
        <f t="shared" si="187"/>
        <v/>
      </c>
      <c r="CA614" s="1702" t="str">
        <f t="shared" si="188"/>
        <v/>
      </c>
      <c r="CC614" s="1702" t="str">
        <f t="shared" si="189"/>
        <v/>
      </c>
      <c r="CD614" s="1702" t="str">
        <f t="shared" si="190"/>
        <v/>
      </c>
    </row>
    <row r="615" spans="7:82" ht="15">
      <c r="G615" s="1701" t="s">
        <v>1280</v>
      </c>
      <c r="H615" s="1702">
        <f>IF(rng02_Uses_DevRehabCosts_SoftCosts_BuildersRiskIns="","",rng02_Uses_DevRehabCosts_SoftCosts_BuildersRiskIns)</f>
        <v>0</v>
      </c>
      <c r="I615" s="1702"/>
      <c r="J615" s="1702"/>
      <c r="K615" s="1702"/>
      <c r="L615" s="1702"/>
      <c r="N615" s="1702"/>
      <c r="O615" s="1702"/>
      <c r="P615" s="1702"/>
      <c r="R615" s="1702"/>
      <c r="S615" s="1702"/>
      <c r="AM615" s="1702" t="s">
        <v>1280</v>
      </c>
      <c r="AN615" s="1702">
        <f t="shared" si="163"/>
        <v>0</v>
      </c>
      <c r="AO615" s="1702" t="str">
        <f t="shared" si="164"/>
        <v/>
      </c>
      <c r="AP615" s="1702" t="str">
        <f t="shared" si="165"/>
        <v/>
      </c>
      <c r="AQ615" s="1702" t="str">
        <f t="shared" si="166"/>
        <v/>
      </c>
      <c r="AR615" s="1702" t="str">
        <f t="shared" si="167"/>
        <v/>
      </c>
      <c r="AT615" s="1702" t="str">
        <f t="shared" si="168"/>
        <v/>
      </c>
      <c r="AU615" s="1702" t="str">
        <f t="shared" si="169"/>
        <v/>
      </c>
      <c r="AV615" s="1702" t="str">
        <f t="shared" si="170"/>
        <v/>
      </c>
      <c r="AX615" s="1702" t="str">
        <f t="shared" si="171"/>
        <v/>
      </c>
      <c r="AY615" s="1702" t="str">
        <f t="shared" si="172"/>
        <v/>
      </c>
      <c r="BC615" s="1702" t="s">
        <v>1280</v>
      </c>
      <c r="BD615" s="1702" t="str">
        <f t="shared" si="173"/>
        <v/>
      </c>
      <c r="BE615" s="1702" t="str">
        <f t="shared" si="174"/>
        <v/>
      </c>
      <c r="BF615" s="1702" t="str">
        <f t="shared" si="175"/>
        <v/>
      </c>
      <c r="BG615" s="1702" t="str">
        <f t="shared" si="176"/>
        <v/>
      </c>
      <c r="BH615" s="1702" t="str">
        <f t="shared" si="177"/>
        <v/>
      </c>
      <c r="BJ615" s="1702" t="str">
        <f t="shared" si="178"/>
        <v/>
      </c>
      <c r="BK615" s="1702" t="str">
        <f t="shared" si="179"/>
        <v/>
      </c>
      <c r="BL615" s="1702" t="str">
        <f t="shared" si="180"/>
        <v/>
      </c>
      <c r="BN615" s="2078" t="str">
        <f t="shared" si="181"/>
        <v/>
      </c>
      <c r="BO615" s="2081" t="str">
        <f t="shared" si="182"/>
        <v/>
      </c>
      <c r="BT615" s="1702" t="str">
        <f t="shared" si="183"/>
        <v/>
      </c>
      <c r="BU615" s="1702" t="str">
        <f t="shared" si="184"/>
        <v/>
      </c>
      <c r="BV615" s="1702" t="str">
        <f t="shared" si="185"/>
        <v/>
      </c>
      <c r="BW615" s="1702" t="s">
        <v>1280</v>
      </c>
      <c r="BY615" s="1702" t="str">
        <f t="shared" si="186"/>
        <v/>
      </c>
      <c r="BZ615" s="1702" t="str">
        <f t="shared" si="187"/>
        <v/>
      </c>
      <c r="CA615" s="1702" t="str">
        <f t="shared" si="188"/>
        <v/>
      </c>
      <c r="CC615" s="1702" t="str">
        <f t="shared" si="189"/>
        <v/>
      </c>
      <c r="CD615" s="1702" t="str">
        <f t="shared" si="190"/>
        <v/>
      </c>
    </row>
    <row r="616" spans="7:82" ht="15">
      <c r="G616" s="1701" t="s">
        <v>1281</v>
      </c>
      <c r="H616" s="1702">
        <f>IF(rng02_Uses_DevRehabCosts_SoftCosts_ClerkofWorks="","",rng02_Uses_DevRehabCosts_SoftCosts_ClerkofWorks)</f>
        <v>0</v>
      </c>
      <c r="I616" s="1702"/>
      <c r="J616" s="1702"/>
      <c r="K616" s="1702"/>
      <c r="L616" s="1702"/>
      <c r="N616" s="1702"/>
      <c r="O616" s="1702"/>
      <c r="P616" s="1702"/>
      <c r="R616" s="1702"/>
      <c r="S616" s="1702"/>
      <c r="AM616" s="1763" t="s">
        <v>1281</v>
      </c>
      <c r="AN616" s="1702">
        <f t="shared" si="163"/>
        <v>0</v>
      </c>
      <c r="AO616" s="1702" t="str">
        <f t="shared" si="164"/>
        <v/>
      </c>
      <c r="AP616" s="1702" t="str">
        <f t="shared" si="165"/>
        <v/>
      </c>
      <c r="AQ616" s="1702" t="str">
        <f t="shared" si="166"/>
        <v/>
      </c>
      <c r="AR616" s="1702" t="str">
        <f t="shared" si="167"/>
        <v/>
      </c>
      <c r="AT616" s="1702" t="str">
        <f t="shared" si="168"/>
        <v/>
      </c>
      <c r="AU616" s="1702" t="str">
        <f t="shared" si="169"/>
        <v/>
      </c>
      <c r="AV616" s="1702" t="str">
        <f t="shared" si="170"/>
        <v/>
      </c>
      <c r="AX616" s="1702" t="str">
        <f t="shared" si="171"/>
        <v/>
      </c>
      <c r="AY616" s="1702" t="str">
        <f t="shared" si="172"/>
        <v/>
      </c>
      <c r="BC616" s="1702" t="s">
        <v>1281</v>
      </c>
      <c r="BD616" s="1702" t="str">
        <f t="shared" si="173"/>
        <v/>
      </c>
      <c r="BE616" s="1702" t="str">
        <f t="shared" si="174"/>
        <v/>
      </c>
      <c r="BF616" s="1702" t="str">
        <f t="shared" si="175"/>
        <v/>
      </c>
      <c r="BG616" s="1702" t="str">
        <f t="shared" si="176"/>
        <v/>
      </c>
      <c r="BH616" s="1702" t="str">
        <f t="shared" si="177"/>
        <v/>
      </c>
      <c r="BJ616" s="1702" t="str">
        <f t="shared" si="178"/>
        <v/>
      </c>
      <c r="BK616" s="1702" t="str">
        <f t="shared" si="179"/>
        <v/>
      </c>
      <c r="BL616" s="1702" t="str">
        <f t="shared" si="180"/>
        <v/>
      </c>
      <c r="BN616" s="2078" t="str">
        <f t="shared" si="181"/>
        <v/>
      </c>
      <c r="BO616" s="2081" t="str">
        <f t="shared" si="182"/>
        <v/>
      </c>
      <c r="BT616" s="1702" t="str">
        <f t="shared" si="183"/>
        <v/>
      </c>
      <c r="BU616" s="1702" t="str">
        <f t="shared" si="184"/>
        <v/>
      </c>
      <c r="BV616" s="1702" t="str">
        <f t="shared" si="185"/>
        <v/>
      </c>
      <c r="BW616" s="1763" t="s">
        <v>1281</v>
      </c>
      <c r="BY616" s="1702" t="str">
        <f t="shared" si="186"/>
        <v/>
      </c>
      <c r="BZ616" s="1702" t="str">
        <f t="shared" si="187"/>
        <v/>
      </c>
      <c r="CA616" s="1702" t="str">
        <f t="shared" si="188"/>
        <v/>
      </c>
      <c r="CC616" s="1702" t="str">
        <f t="shared" si="189"/>
        <v/>
      </c>
      <c r="CD616" s="1702" t="str">
        <f t="shared" si="190"/>
        <v/>
      </c>
    </row>
    <row r="617" spans="7:82" ht="15">
      <c r="G617" s="1701" t="s">
        <v>1282</v>
      </c>
      <c r="H617" s="1702">
        <f>IF(rng02_Uses_DevRehabCosts_SoftCosts_OwnerLegalFees="","",rng02_Uses_DevRehabCosts_SoftCosts_OwnerLegalFees)</f>
        <v>0</v>
      </c>
      <c r="I617" s="1702"/>
      <c r="J617" s="1702"/>
      <c r="K617" s="1702"/>
      <c r="L617" s="1702"/>
      <c r="N617" s="1702"/>
      <c r="O617" s="1702"/>
      <c r="P617" s="1702"/>
      <c r="R617" s="1702"/>
      <c r="S617" s="1702"/>
      <c r="AM617" s="1702" t="s">
        <v>1282</v>
      </c>
      <c r="AN617" s="1702">
        <f t="shared" si="163"/>
        <v>0</v>
      </c>
      <c r="AO617" s="1702" t="str">
        <f t="shared" si="164"/>
        <v/>
      </c>
      <c r="AP617" s="1702" t="str">
        <f t="shared" si="165"/>
        <v/>
      </c>
      <c r="AQ617" s="1702" t="str">
        <f t="shared" si="166"/>
        <v/>
      </c>
      <c r="AR617" s="1702" t="str">
        <f t="shared" si="167"/>
        <v/>
      </c>
      <c r="AT617" s="1702" t="str">
        <f t="shared" si="168"/>
        <v/>
      </c>
      <c r="AU617" s="1702" t="str">
        <f t="shared" si="169"/>
        <v/>
      </c>
      <c r="AV617" s="1702" t="str">
        <f t="shared" si="170"/>
        <v/>
      </c>
      <c r="AX617" s="1702" t="str">
        <f t="shared" si="171"/>
        <v/>
      </c>
      <c r="AY617" s="1702" t="str">
        <f t="shared" si="172"/>
        <v/>
      </c>
      <c r="BC617" s="1702" t="s">
        <v>1282</v>
      </c>
      <c r="BD617" s="1702" t="str">
        <f t="shared" si="173"/>
        <v/>
      </c>
      <c r="BE617" s="1702" t="str">
        <f t="shared" si="174"/>
        <v/>
      </c>
      <c r="BF617" s="1702" t="str">
        <f t="shared" si="175"/>
        <v/>
      </c>
      <c r="BG617" s="1702" t="str">
        <f t="shared" si="176"/>
        <v/>
      </c>
      <c r="BH617" s="1702" t="str">
        <f t="shared" si="177"/>
        <v/>
      </c>
      <c r="BJ617" s="1702" t="str">
        <f t="shared" si="178"/>
        <v/>
      </c>
      <c r="BK617" s="1702" t="str">
        <f t="shared" si="179"/>
        <v/>
      </c>
      <c r="BL617" s="1702" t="str">
        <f t="shared" si="180"/>
        <v/>
      </c>
      <c r="BN617" s="2078" t="str">
        <f t="shared" si="181"/>
        <v/>
      </c>
      <c r="BO617" s="2081" t="str">
        <f t="shared" si="182"/>
        <v/>
      </c>
      <c r="BT617" s="1702" t="str">
        <f t="shared" si="183"/>
        <v/>
      </c>
      <c r="BU617" s="1702" t="str">
        <f t="shared" si="184"/>
        <v/>
      </c>
      <c r="BV617" s="1702" t="str">
        <f t="shared" si="185"/>
        <v/>
      </c>
      <c r="BW617" s="1702" t="s">
        <v>1282</v>
      </c>
      <c r="BY617" s="1702" t="str">
        <f t="shared" si="186"/>
        <v/>
      </c>
      <c r="BZ617" s="1702" t="str">
        <f t="shared" si="187"/>
        <v/>
      </c>
      <c r="CA617" s="1702" t="str">
        <f t="shared" si="188"/>
        <v/>
      </c>
      <c r="CC617" s="1702" t="str">
        <f t="shared" si="189"/>
        <v/>
      </c>
      <c r="CD617" s="1702" t="str">
        <f t="shared" si="190"/>
        <v/>
      </c>
    </row>
    <row r="618" spans="7:82" ht="15">
      <c r="G618" s="1769" t="s">
        <v>1283</v>
      </c>
      <c r="H618" s="1702">
        <f>IF(rng02_Uses_DevRehabCosts_SoftCosts_RIHLegalFees="","",rng02_Uses_DevRehabCosts_SoftCosts_RIHLegalFees)</f>
        <v>0</v>
      </c>
      <c r="I618" s="1770" t="str">
        <f>IF(SUM(H618,H645)=0,"",SUM(H618,H645))</f>
        <v/>
      </c>
      <c r="J618" s="1702"/>
      <c r="K618" s="1702"/>
      <c r="L618" s="1702"/>
      <c r="N618" s="1702"/>
      <c r="O618" s="1702"/>
      <c r="P618" s="1702"/>
      <c r="R618" s="1702"/>
      <c r="S618" s="1702"/>
      <c r="AM618" s="1790" t="s">
        <v>1283</v>
      </c>
      <c r="AN618" s="1702">
        <f t="shared" si="163"/>
        <v>0</v>
      </c>
      <c r="AO618" s="1769" t="str">
        <f>IF(FourPercentTrigger="No","",IF($I618="","",$I618))</f>
        <v/>
      </c>
      <c r="AP618" s="1702" t="str">
        <f t="shared" si="165"/>
        <v/>
      </c>
      <c r="AQ618" s="1702" t="str">
        <f t="shared" si="166"/>
        <v/>
      </c>
      <c r="AR618" s="1702" t="str">
        <f t="shared" si="167"/>
        <v/>
      </c>
      <c r="AT618" s="1702" t="str">
        <f t="shared" si="168"/>
        <v/>
      </c>
      <c r="AU618" s="1702" t="str">
        <f t="shared" si="169"/>
        <v/>
      </c>
      <c r="AV618" s="1702" t="str">
        <f t="shared" si="170"/>
        <v/>
      </c>
      <c r="AX618" s="1702" t="str">
        <f t="shared" si="171"/>
        <v/>
      </c>
      <c r="AY618" s="1702" t="str">
        <f t="shared" si="172"/>
        <v/>
      </c>
      <c r="BC618" s="1769" t="s">
        <v>1283</v>
      </c>
      <c r="BD618" s="1702" t="str">
        <f t="shared" si="173"/>
        <v/>
      </c>
      <c r="BE618" s="1769" t="str">
        <f t="shared" si="174"/>
        <v/>
      </c>
      <c r="BF618" s="1702" t="str">
        <f t="shared" si="175"/>
        <v/>
      </c>
      <c r="BG618" s="1702" t="str">
        <f t="shared" si="176"/>
        <v/>
      </c>
      <c r="BH618" s="1702" t="str">
        <f t="shared" si="177"/>
        <v/>
      </c>
      <c r="BJ618" s="1702" t="str">
        <f t="shared" si="178"/>
        <v/>
      </c>
      <c r="BK618" s="1702" t="str">
        <f t="shared" si="179"/>
        <v/>
      </c>
      <c r="BL618" s="1702" t="str">
        <f t="shared" si="180"/>
        <v/>
      </c>
      <c r="BN618" s="2078" t="str">
        <f t="shared" si="181"/>
        <v/>
      </c>
      <c r="BO618" s="2081" t="str">
        <f t="shared" si="182"/>
        <v/>
      </c>
      <c r="BT618" s="1769" t="str">
        <f t="shared" si="183"/>
        <v/>
      </c>
      <c r="BU618" s="1702" t="str">
        <f t="shared" si="184"/>
        <v/>
      </c>
      <c r="BV618" s="1702" t="str">
        <f t="shared" si="185"/>
        <v/>
      </c>
      <c r="BW618" s="1790" t="s">
        <v>1283</v>
      </c>
      <c r="BY618" s="1702" t="str">
        <f t="shared" si="186"/>
        <v/>
      </c>
      <c r="BZ618" s="1702" t="str">
        <f t="shared" si="187"/>
        <v/>
      </c>
      <c r="CA618" s="1702" t="str">
        <f t="shared" si="188"/>
        <v/>
      </c>
      <c r="CC618" s="1702" t="str">
        <f t="shared" si="189"/>
        <v/>
      </c>
      <c r="CD618" s="1702" t="str">
        <f t="shared" si="190"/>
        <v/>
      </c>
    </row>
    <row r="619" spans="7:82" ht="15">
      <c r="G619" s="1701" t="s">
        <v>1284</v>
      </c>
      <c r="H619" s="1702">
        <f>IF(rng02_Uses_DevRehabCosts_SoftCosts_SyndicatorLegal="","",rng02_Uses_DevRehabCosts_SoftCosts_SyndicatorLegal)</f>
        <v>0</v>
      </c>
      <c r="I619" s="1702"/>
      <c r="J619" s="1702"/>
      <c r="K619" s="1702"/>
      <c r="L619" s="1702"/>
      <c r="N619" s="1702"/>
      <c r="O619" s="1702"/>
      <c r="P619" s="1702"/>
      <c r="R619" s="1702"/>
      <c r="S619" s="1702"/>
      <c r="AM619" s="1763" t="s">
        <v>1284</v>
      </c>
      <c r="AN619" s="1702">
        <f t="shared" si="163"/>
        <v>0</v>
      </c>
      <c r="AO619" s="1702" t="str">
        <f t="shared" si="164"/>
        <v/>
      </c>
      <c r="AP619" s="1702" t="str">
        <f t="shared" si="165"/>
        <v/>
      </c>
      <c r="AQ619" s="1702" t="str">
        <f t="shared" si="166"/>
        <v/>
      </c>
      <c r="AR619" s="1702" t="str">
        <f t="shared" si="167"/>
        <v/>
      </c>
      <c r="AT619" s="1702" t="str">
        <f t="shared" si="168"/>
        <v/>
      </c>
      <c r="AU619" s="1702" t="str">
        <f t="shared" si="169"/>
        <v/>
      </c>
      <c r="AV619" s="1702" t="str">
        <f t="shared" si="170"/>
        <v/>
      </c>
      <c r="AX619" s="1702" t="str">
        <f t="shared" si="171"/>
        <v/>
      </c>
      <c r="AY619" s="1702" t="str">
        <f t="shared" si="172"/>
        <v/>
      </c>
      <c r="BC619" s="1702" t="s">
        <v>1284</v>
      </c>
      <c r="BD619" s="1702" t="str">
        <f t="shared" si="173"/>
        <v/>
      </c>
      <c r="BE619" s="1702" t="str">
        <f t="shared" si="174"/>
        <v/>
      </c>
      <c r="BF619" s="1702" t="str">
        <f t="shared" si="175"/>
        <v/>
      </c>
      <c r="BG619" s="1702" t="str">
        <f t="shared" si="176"/>
        <v/>
      </c>
      <c r="BH619" s="1702" t="str">
        <f t="shared" si="177"/>
        <v/>
      </c>
      <c r="BJ619" s="1702" t="str">
        <f t="shared" si="178"/>
        <v/>
      </c>
      <c r="BK619" s="1702" t="str">
        <f t="shared" si="179"/>
        <v/>
      </c>
      <c r="BL619" s="1702" t="str">
        <f t="shared" si="180"/>
        <v/>
      </c>
      <c r="BN619" s="2078" t="str">
        <f t="shared" si="181"/>
        <v/>
      </c>
      <c r="BO619" s="2081" t="str">
        <f t="shared" si="182"/>
        <v/>
      </c>
      <c r="BT619" s="1702" t="str">
        <f t="shared" si="183"/>
        <v/>
      </c>
      <c r="BU619" s="1702" t="str">
        <f t="shared" si="184"/>
        <v/>
      </c>
      <c r="BV619" s="1702" t="str">
        <f t="shared" si="185"/>
        <v/>
      </c>
      <c r="BW619" s="1763" t="s">
        <v>1284</v>
      </c>
      <c r="BY619" s="1702" t="str">
        <f t="shared" si="186"/>
        <v/>
      </c>
      <c r="BZ619" s="1702" t="str">
        <f t="shared" si="187"/>
        <v/>
      </c>
      <c r="CA619" s="1702" t="str">
        <f t="shared" si="188"/>
        <v/>
      </c>
      <c r="CC619" s="1702" t="str">
        <f t="shared" si="189"/>
        <v/>
      </c>
      <c r="CD619" s="1702" t="str">
        <f t="shared" si="190"/>
        <v/>
      </c>
    </row>
    <row r="620" spans="7:82" ht="15">
      <c r="G620" s="1701" t="s">
        <v>1285</v>
      </c>
      <c r="H620" s="1702">
        <f>IF(rng02_Uses_DevRehabCosts_SoftCosts_TitleRecording="","",rng02_Uses_DevRehabCosts_SoftCosts_TitleRecording)</f>
        <v>0</v>
      </c>
      <c r="I620" s="1702"/>
      <c r="J620" s="1702"/>
      <c r="K620" s="1702"/>
      <c r="L620" s="1702"/>
      <c r="N620" s="1702"/>
      <c r="O620" s="1702"/>
      <c r="P620" s="1702"/>
      <c r="R620" s="1702"/>
      <c r="S620" s="1702"/>
      <c r="AM620" s="1702" t="s">
        <v>1285</v>
      </c>
      <c r="AN620" s="1702">
        <f t="shared" si="163"/>
        <v>0</v>
      </c>
      <c r="AO620" s="1702" t="str">
        <f t="shared" si="164"/>
        <v/>
      </c>
      <c r="AP620" s="1702" t="str">
        <f t="shared" si="165"/>
        <v/>
      </c>
      <c r="AQ620" s="1702" t="str">
        <f t="shared" si="166"/>
        <v/>
      </c>
      <c r="AR620" s="1702" t="str">
        <f t="shared" si="167"/>
        <v/>
      </c>
      <c r="AT620" s="1702" t="str">
        <f t="shared" si="168"/>
        <v/>
      </c>
      <c r="AU620" s="1702" t="str">
        <f t="shared" si="169"/>
        <v/>
      </c>
      <c r="AV620" s="1702" t="str">
        <f t="shared" si="170"/>
        <v/>
      </c>
      <c r="AX620" s="1702" t="str">
        <f t="shared" si="171"/>
        <v/>
      </c>
      <c r="AY620" s="1702" t="str">
        <f t="shared" si="172"/>
        <v/>
      </c>
      <c r="BC620" s="1702" t="s">
        <v>1285</v>
      </c>
      <c r="BD620" s="1702" t="str">
        <f t="shared" si="173"/>
        <v/>
      </c>
      <c r="BE620" s="1702" t="str">
        <f t="shared" si="174"/>
        <v/>
      </c>
      <c r="BF620" s="1702" t="str">
        <f t="shared" si="175"/>
        <v/>
      </c>
      <c r="BG620" s="1702" t="str">
        <f t="shared" si="176"/>
        <v/>
      </c>
      <c r="BH620" s="1702" t="str">
        <f t="shared" si="177"/>
        <v/>
      </c>
      <c r="BJ620" s="1702" t="str">
        <f t="shared" si="178"/>
        <v/>
      </c>
      <c r="BK620" s="1702" t="str">
        <f t="shared" si="179"/>
        <v/>
      </c>
      <c r="BL620" s="1702" t="str">
        <f t="shared" si="180"/>
        <v/>
      </c>
      <c r="BN620" s="2078" t="str">
        <f t="shared" si="181"/>
        <v/>
      </c>
      <c r="BO620" s="2081" t="str">
        <f t="shared" si="182"/>
        <v/>
      </c>
      <c r="BT620" s="1702" t="str">
        <f t="shared" si="183"/>
        <v/>
      </c>
      <c r="BU620" s="1702" t="str">
        <f t="shared" si="184"/>
        <v/>
      </c>
      <c r="BV620" s="1702" t="str">
        <f t="shared" si="185"/>
        <v/>
      </c>
      <c r="BW620" s="1702" t="s">
        <v>1285</v>
      </c>
      <c r="BY620" s="1702" t="str">
        <f t="shared" si="186"/>
        <v/>
      </c>
      <c r="BZ620" s="1702" t="str">
        <f t="shared" si="187"/>
        <v/>
      </c>
      <c r="CA620" s="1702" t="str">
        <f t="shared" si="188"/>
        <v/>
      </c>
      <c r="CC620" s="1702" t="str">
        <f t="shared" si="189"/>
        <v/>
      </c>
      <c r="CD620" s="1702" t="str">
        <f t="shared" si="190"/>
        <v/>
      </c>
    </row>
    <row r="621" spans="7:82" ht="15">
      <c r="G621" s="1701" t="s">
        <v>1286</v>
      </c>
      <c r="H621" s="1702">
        <f>IF(rng02_Uses_DevRehabCosts_SoftCosts_CostCert="","",rng02_Uses_DevRehabCosts_SoftCosts_CostCert)</f>
        <v>0</v>
      </c>
      <c r="I621" s="1702"/>
      <c r="J621" s="1702"/>
      <c r="K621" s="1702"/>
      <c r="L621" s="1702"/>
      <c r="N621" s="1702"/>
      <c r="O621" s="1702"/>
      <c r="P621" s="1702"/>
      <c r="R621" s="1702"/>
      <c r="S621" s="1702"/>
      <c r="AM621" s="1702" t="s">
        <v>1286</v>
      </c>
      <c r="AN621" s="1702">
        <f t="shared" si="163"/>
        <v>0</v>
      </c>
      <c r="AO621" s="1702" t="str">
        <f t="shared" si="164"/>
        <v/>
      </c>
      <c r="AP621" s="1702" t="str">
        <f t="shared" si="165"/>
        <v/>
      </c>
      <c r="AQ621" s="1702" t="str">
        <f t="shared" si="166"/>
        <v/>
      </c>
      <c r="AR621" s="1702" t="str">
        <f t="shared" si="167"/>
        <v/>
      </c>
      <c r="AT621" s="1702" t="str">
        <f t="shared" si="168"/>
        <v/>
      </c>
      <c r="AU621" s="1702" t="str">
        <f t="shared" si="169"/>
        <v/>
      </c>
      <c r="AV621" s="1702" t="str">
        <f t="shared" si="170"/>
        <v/>
      </c>
      <c r="AX621" s="1702" t="str">
        <f t="shared" si="171"/>
        <v/>
      </c>
      <c r="AY621" s="1702" t="str">
        <f t="shared" si="172"/>
        <v/>
      </c>
      <c r="BC621" s="1702" t="s">
        <v>1286</v>
      </c>
      <c r="BD621" s="1702" t="str">
        <f t="shared" si="173"/>
        <v/>
      </c>
      <c r="BE621" s="1702" t="str">
        <f t="shared" si="174"/>
        <v/>
      </c>
      <c r="BF621" s="1702" t="str">
        <f t="shared" si="175"/>
        <v/>
      </c>
      <c r="BG621" s="1702" t="str">
        <f t="shared" si="176"/>
        <v/>
      </c>
      <c r="BH621" s="1702" t="str">
        <f t="shared" si="177"/>
        <v/>
      </c>
      <c r="BJ621" s="1702" t="str">
        <f t="shared" si="178"/>
        <v/>
      </c>
      <c r="BK621" s="1702" t="str">
        <f t="shared" si="179"/>
        <v/>
      </c>
      <c r="BL621" s="1702" t="str">
        <f t="shared" si="180"/>
        <v/>
      </c>
      <c r="BN621" s="2078" t="str">
        <f t="shared" si="181"/>
        <v/>
      </c>
      <c r="BO621" s="2081" t="str">
        <f t="shared" si="182"/>
        <v/>
      </c>
      <c r="BT621" s="1702" t="str">
        <f t="shared" si="183"/>
        <v/>
      </c>
      <c r="BU621" s="1702" t="str">
        <f t="shared" si="184"/>
        <v/>
      </c>
      <c r="BV621" s="1702" t="str">
        <f t="shared" si="185"/>
        <v/>
      </c>
      <c r="BW621" s="1702" t="s">
        <v>1286</v>
      </c>
      <c r="BY621" s="1702" t="str">
        <f t="shared" si="186"/>
        <v/>
      </c>
      <c r="BZ621" s="1702" t="str">
        <f t="shared" si="187"/>
        <v/>
      </c>
      <c r="CA621" s="1702" t="str">
        <f t="shared" si="188"/>
        <v/>
      </c>
      <c r="CC621" s="1702" t="str">
        <f t="shared" si="189"/>
        <v/>
      </c>
      <c r="CD621" s="1702" t="str">
        <f t="shared" si="190"/>
        <v/>
      </c>
    </row>
    <row r="622" spans="7:82" ht="15">
      <c r="G622" s="1701" t="s">
        <v>1287</v>
      </c>
      <c r="H622" s="1702">
        <f>IF(rng02_Uses_DevRehabCosts_SoftCosts_LIHTCAccounting="","",rng02_Uses_DevRehabCosts_SoftCosts_LIHTCAccounting)</f>
        <v>0</v>
      </c>
      <c r="I622" s="1702"/>
      <c r="J622" s="1702"/>
      <c r="K622" s="1702"/>
      <c r="L622" s="1702"/>
      <c r="N622" s="1702"/>
      <c r="O622" s="1702"/>
      <c r="P622" s="1702"/>
      <c r="R622" s="1702"/>
      <c r="S622" s="1702"/>
      <c r="AM622" s="1763" t="s">
        <v>1287</v>
      </c>
      <c r="AN622" s="1702">
        <f t="shared" si="163"/>
        <v>0</v>
      </c>
      <c r="AO622" s="1702" t="str">
        <f t="shared" si="164"/>
        <v/>
      </c>
      <c r="AP622" s="1702" t="str">
        <f t="shared" si="165"/>
        <v/>
      </c>
      <c r="AQ622" s="1702" t="str">
        <f t="shared" si="166"/>
        <v/>
      </c>
      <c r="AR622" s="1702" t="str">
        <f t="shared" si="167"/>
        <v/>
      </c>
      <c r="AT622" s="1702" t="str">
        <f t="shared" si="168"/>
        <v/>
      </c>
      <c r="AU622" s="1702" t="str">
        <f t="shared" si="169"/>
        <v/>
      </c>
      <c r="AV622" s="1702" t="str">
        <f t="shared" si="170"/>
        <v/>
      </c>
      <c r="AX622" s="1702" t="str">
        <f t="shared" si="171"/>
        <v/>
      </c>
      <c r="AY622" s="1702" t="str">
        <f t="shared" si="172"/>
        <v/>
      </c>
      <c r="BC622" s="1702" t="s">
        <v>1287</v>
      </c>
      <c r="BD622" s="1702" t="str">
        <f t="shared" si="173"/>
        <v/>
      </c>
      <c r="BE622" s="1702" t="str">
        <f t="shared" si="174"/>
        <v/>
      </c>
      <c r="BF622" s="1702" t="str">
        <f t="shared" si="175"/>
        <v/>
      </c>
      <c r="BG622" s="1702" t="str">
        <f t="shared" si="176"/>
        <v/>
      </c>
      <c r="BH622" s="1702" t="str">
        <f t="shared" si="177"/>
        <v/>
      </c>
      <c r="BJ622" s="1702" t="str">
        <f t="shared" si="178"/>
        <v/>
      </c>
      <c r="BK622" s="1702" t="str">
        <f t="shared" si="179"/>
        <v/>
      </c>
      <c r="BL622" s="1702" t="str">
        <f t="shared" si="180"/>
        <v/>
      </c>
      <c r="BN622" s="2078" t="str">
        <f t="shared" si="181"/>
        <v/>
      </c>
      <c r="BO622" s="2081" t="str">
        <f t="shared" si="182"/>
        <v/>
      </c>
      <c r="BT622" s="1702" t="str">
        <f t="shared" si="183"/>
        <v/>
      </c>
      <c r="BU622" s="1702" t="str">
        <f t="shared" si="184"/>
        <v/>
      </c>
      <c r="BV622" s="1702" t="str">
        <f t="shared" si="185"/>
        <v/>
      </c>
      <c r="BW622" s="1763" t="s">
        <v>1287</v>
      </c>
      <c r="BY622" s="1702" t="str">
        <f t="shared" si="186"/>
        <v/>
      </c>
      <c r="BZ622" s="1702" t="str">
        <f t="shared" si="187"/>
        <v/>
      </c>
      <c r="CA622" s="1702" t="str">
        <f t="shared" si="188"/>
        <v/>
      </c>
      <c r="CC622" s="1702" t="str">
        <f t="shared" si="189"/>
        <v/>
      </c>
      <c r="CD622" s="1702" t="str">
        <f t="shared" si="190"/>
        <v/>
      </c>
    </row>
    <row r="623" spans="7:82" ht="15">
      <c r="G623" s="1701" t="s">
        <v>1110</v>
      </c>
      <c r="H623" s="1702">
        <f>IF(rng02_Uses_DevRehabCosts_SoftCosts_Appraisal="","",rng02_Uses_DevRehabCosts_SoftCosts_Appraisal)</f>
        <v>0</v>
      </c>
      <c r="I623" s="1702"/>
      <c r="J623" s="1702"/>
      <c r="K623" s="1702"/>
      <c r="L623" s="1702"/>
      <c r="N623" s="1702"/>
      <c r="O623" s="1702"/>
      <c r="P623" s="1702"/>
      <c r="R623" s="1702"/>
      <c r="S623" s="1702"/>
      <c r="AM623" s="1702" t="s">
        <v>1110</v>
      </c>
      <c r="AN623" s="1702">
        <f t="shared" si="163"/>
        <v>0</v>
      </c>
      <c r="AO623" s="1702" t="str">
        <f t="shared" si="164"/>
        <v/>
      </c>
      <c r="AP623" s="1702" t="str">
        <f t="shared" si="165"/>
        <v/>
      </c>
      <c r="AQ623" s="1702" t="str">
        <f t="shared" si="166"/>
        <v/>
      </c>
      <c r="AR623" s="1702" t="str">
        <f t="shared" si="167"/>
        <v/>
      </c>
      <c r="AT623" s="1702" t="str">
        <f t="shared" si="168"/>
        <v/>
      </c>
      <c r="AU623" s="1702" t="str">
        <f t="shared" si="169"/>
        <v/>
      </c>
      <c r="AV623" s="1702" t="str">
        <f t="shared" si="170"/>
        <v/>
      </c>
      <c r="AX623" s="1702" t="str">
        <f t="shared" si="171"/>
        <v/>
      </c>
      <c r="AY623" s="1702" t="str">
        <f t="shared" si="172"/>
        <v/>
      </c>
      <c r="BC623" s="1702" t="s">
        <v>1110</v>
      </c>
      <c r="BD623" s="1702" t="str">
        <f t="shared" si="173"/>
        <v/>
      </c>
      <c r="BE623" s="1702" t="str">
        <f t="shared" si="174"/>
        <v/>
      </c>
      <c r="BF623" s="1702" t="str">
        <f t="shared" si="175"/>
        <v/>
      </c>
      <c r="BG623" s="1702" t="str">
        <f t="shared" si="176"/>
        <v/>
      </c>
      <c r="BH623" s="1702" t="str">
        <f t="shared" si="177"/>
        <v/>
      </c>
      <c r="BJ623" s="1702" t="str">
        <f t="shared" si="178"/>
        <v/>
      </c>
      <c r="BK623" s="1702" t="str">
        <f t="shared" si="179"/>
        <v/>
      </c>
      <c r="BL623" s="1702" t="str">
        <f t="shared" si="180"/>
        <v/>
      </c>
      <c r="BN623" s="2078" t="str">
        <f t="shared" si="181"/>
        <v/>
      </c>
      <c r="BO623" s="2081" t="str">
        <f t="shared" si="182"/>
        <v/>
      </c>
      <c r="BT623" s="1702" t="str">
        <f t="shared" si="183"/>
        <v/>
      </c>
      <c r="BU623" s="1702" t="str">
        <f t="shared" si="184"/>
        <v/>
      </c>
      <c r="BV623" s="1702" t="str">
        <f t="shared" si="185"/>
        <v/>
      </c>
      <c r="BW623" s="1702" t="s">
        <v>1110</v>
      </c>
      <c r="BY623" s="1702" t="str">
        <f t="shared" si="186"/>
        <v/>
      </c>
      <c r="BZ623" s="1702" t="str">
        <f t="shared" si="187"/>
        <v/>
      </c>
      <c r="CA623" s="1702" t="str">
        <f t="shared" si="188"/>
        <v/>
      </c>
      <c r="CC623" s="1702" t="str">
        <f t="shared" si="189"/>
        <v/>
      </c>
      <c r="CD623" s="1702" t="str">
        <f t="shared" si="190"/>
        <v/>
      </c>
    </row>
    <row r="624" spans="7:82" ht="15">
      <c r="G624" s="1701" t="s">
        <v>1288</v>
      </c>
      <c r="H624" s="1702">
        <f>IF(rng02_Uses_DevRehabCosts_SoftCosts_MktStdy="","",rng02_Uses_DevRehabCosts_SoftCosts_MktStdy)</f>
        <v>0</v>
      </c>
      <c r="I624" s="1702"/>
      <c r="J624" s="1702"/>
      <c r="K624" s="1702"/>
      <c r="L624" s="1702"/>
      <c r="N624" s="1702"/>
      <c r="O624" s="1702"/>
      <c r="P624" s="1702"/>
      <c r="R624" s="1702"/>
      <c r="S624" s="1702"/>
      <c r="AM624" s="1702" t="s">
        <v>1288</v>
      </c>
      <c r="AN624" s="1702">
        <f t="shared" si="163"/>
        <v>0</v>
      </c>
      <c r="AO624" s="1702" t="str">
        <f t="shared" si="164"/>
        <v/>
      </c>
      <c r="AP624" s="1702" t="str">
        <f t="shared" si="165"/>
        <v/>
      </c>
      <c r="AQ624" s="1702" t="str">
        <f t="shared" si="166"/>
        <v/>
      </c>
      <c r="AR624" s="1702" t="str">
        <f t="shared" si="167"/>
        <v/>
      </c>
      <c r="AT624" s="1702" t="str">
        <f t="shared" si="168"/>
        <v/>
      </c>
      <c r="AU624" s="1702" t="str">
        <f t="shared" si="169"/>
        <v/>
      </c>
      <c r="AV624" s="1702" t="str">
        <f t="shared" si="170"/>
        <v/>
      </c>
      <c r="AX624" s="1702" t="str">
        <f t="shared" si="171"/>
        <v/>
      </c>
      <c r="AY624" s="1702" t="str">
        <f t="shared" si="172"/>
        <v/>
      </c>
      <c r="BC624" s="1702" t="s">
        <v>1288</v>
      </c>
      <c r="BD624" s="1702" t="str">
        <f t="shared" si="173"/>
        <v/>
      </c>
      <c r="BE624" s="1702" t="str">
        <f t="shared" si="174"/>
        <v/>
      </c>
      <c r="BF624" s="1702" t="str">
        <f t="shared" si="175"/>
        <v/>
      </c>
      <c r="BG624" s="1702" t="str">
        <f t="shared" si="176"/>
        <v/>
      </c>
      <c r="BH624" s="1702" t="str">
        <f t="shared" si="177"/>
        <v/>
      </c>
      <c r="BJ624" s="1702" t="str">
        <f t="shared" si="178"/>
        <v/>
      </c>
      <c r="BK624" s="1702" t="str">
        <f t="shared" si="179"/>
        <v/>
      </c>
      <c r="BL624" s="1702" t="str">
        <f t="shared" si="180"/>
        <v/>
      </c>
      <c r="BN624" s="2078" t="str">
        <f t="shared" si="181"/>
        <v/>
      </c>
      <c r="BO624" s="2081" t="str">
        <f t="shared" si="182"/>
        <v/>
      </c>
      <c r="BT624" s="1702" t="str">
        <f t="shared" si="183"/>
        <v/>
      </c>
      <c r="BU624" s="1702" t="str">
        <f t="shared" si="184"/>
        <v/>
      </c>
      <c r="BV624" s="1702" t="str">
        <f t="shared" si="185"/>
        <v/>
      </c>
      <c r="BW624" s="1702" t="s">
        <v>1288</v>
      </c>
      <c r="BY624" s="1702" t="str">
        <f t="shared" si="186"/>
        <v/>
      </c>
      <c r="BZ624" s="1702" t="str">
        <f t="shared" si="187"/>
        <v/>
      </c>
      <c r="CA624" s="1702" t="str">
        <f t="shared" si="188"/>
        <v/>
      </c>
      <c r="CC624" s="1702" t="str">
        <f t="shared" si="189"/>
        <v/>
      </c>
      <c r="CD624" s="1702" t="str">
        <f t="shared" si="190"/>
        <v/>
      </c>
    </row>
    <row r="625" spans="7:82" ht="15">
      <c r="G625" s="1701" t="s">
        <v>1289</v>
      </c>
      <c r="H625" s="1702">
        <f>IF(rng02_Uses_DevRehabCosts_SoftCosts_CapNeedsAssess="","",rng02_Uses_DevRehabCosts_SoftCosts_CapNeedsAssess)</f>
        <v>0</v>
      </c>
      <c r="I625" s="1702"/>
      <c r="J625" s="1702"/>
      <c r="K625" s="1702"/>
      <c r="L625" s="1702"/>
      <c r="N625" s="1702"/>
      <c r="O625" s="1702"/>
      <c r="P625" s="1702"/>
      <c r="R625" s="1702"/>
      <c r="S625" s="1702"/>
      <c r="AM625" s="1763" t="s">
        <v>1289</v>
      </c>
      <c r="AN625" s="1702">
        <f t="shared" si="163"/>
        <v>0</v>
      </c>
      <c r="AO625" s="1702" t="str">
        <f t="shared" si="164"/>
        <v/>
      </c>
      <c r="AP625" s="1702" t="str">
        <f t="shared" si="165"/>
        <v/>
      </c>
      <c r="AQ625" s="1702" t="str">
        <f t="shared" si="166"/>
        <v/>
      </c>
      <c r="AR625" s="1702" t="str">
        <f t="shared" si="167"/>
        <v/>
      </c>
      <c r="AT625" s="1702" t="str">
        <f t="shared" si="168"/>
        <v/>
      </c>
      <c r="AU625" s="1702" t="str">
        <f t="shared" si="169"/>
        <v/>
      </c>
      <c r="AV625" s="1702" t="str">
        <f t="shared" si="170"/>
        <v/>
      </c>
      <c r="AX625" s="1702" t="str">
        <f t="shared" si="171"/>
        <v/>
      </c>
      <c r="AY625" s="1702" t="str">
        <f t="shared" si="172"/>
        <v/>
      </c>
      <c r="BC625" s="1702" t="s">
        <v>1289</v>
      </c>
      <c r="BD625" s="1702" t="str">
        <f t="shared" si="173"/>
        <v/>
      </c>
      <c r="BE625" s="1702" t="str">
        <f t="shared" si="174"/>
        <v/>
      </c>
      <c r="BF625" s="1702" t="str">
        <f t="shared" si="175"/>
        <v/>
      </c>
      <c r="BG625" s="1702" t="str">
        <f t="shared" si="176"/>
        <v/>
      </c>
      <c r="BH625" s="1702" t="str">
        <f t="shared" si="177"/>
        <v/>
      </c>
      <c r="BJ625" s="1702" t="str">
        <f t="shared" si="178"/>
        <v/>
      </c>
      <c r="BK625" s="1702" t="str">
        <f t="shared" si="179"/>
        <v/>
      </c>
      <c r="BL625" s="1702" t="str">
        <f t="shared" si="180"/>
        <v/>
      </c>
      <c r="BN625" s="2078" t="str">
        <f t="shared" si="181"/>
        <v/>
      </c>
      <c r="BO625" s="2081" t="str">
        <f t="shared" si="182"/>
        <v/>
      </c>
      <c r="BT625" s="1702" t="str">
        <f t="shared" si="183"/>
        <v/>
      </c>
      <c r="BU625" s="1702" t="str">
        <f t="shared" si="184"/>
        <v/>
      </c>
      <c r="BV625" s="1702" t="str">
        <f t="shared" si="185"/>
        <v/>
      </c>
      <c r="BW625" s="1763" t="s">
        <v>1289</v>
      </c>
      <c r="BY625" s="1702" t="str">
        <f t="shared" si="186"/>
        <v/>
      </c>
      <c r="BZ625" s="1702" t="str">
        <f t="shared" si="187"/>
        <v/>
      </c>
      <c r="CA625" s="1702" t="str">
        <f t="shared" si="188"/>
        <v/>
      </c>
      <c r="CC625" s="1702" t="str">
        <f t="shared" si="189"/>
        <v/>
      </c>
      <c r="CD625" s="1702" t="str">
        <f t="shared" si="190"/>
        <v/>
      </c>
    </row>
    <row r="626" spans="7:82" ht="15">
      <c r="G626" s="1701" t="s">
        <v>1290</v>
      </c>
      <c r="H626" s="1702">
        <f>IF(rng02_Uses_DevRehabCosts_SoftCosts_FurnFixEquip="","",rng02_Uses_DevRehabCosts_SoftCosts_FurnFixEquip)</f>
        <v>0</v>
      </c>
      <c r="I626" s="1702"/>
      <c r="J626" s="1702"/>
      <c r="K626" s="1702"/>
      <c r="L626" s="1702"/>
      <c r="N626" s="1702"/>
      <c r="O626" s="1702"/>
      <c r="P626" s="1702"/>
      <c r="R626" s="1702"/>
      <c r="S626" s="1702"/>
      <c r="AM626" s="1702" t="s">
        <v>1290</v>
      </c>
      <c r="AN626" s="1702">
        <f t="shared" si="163"/>
        <v>0</v>
      </c>
      <c r="AO626" s="1702" t="str">
        <f t="shared" si="164"/>
        <v/>
      </c>
      <c r="AP626" s="1702" t="str">
        <f t="shared" si="165"/>
        <v/>
      </c>
      <c r="AQ626" s="1702" t="str">
        <f t="shared" si="166"/>
        <v/>
      </c>
      <c r="AR626" s="1702" t="str">
        <f t="shared" si="167"/>
        <v/>
      </c>
      <c r="AT626" s="1702" t="str">
        <f t="shared" si="168"/>
        <v/>
      </c>
      <c r="AU626" s="1702" t="str">
        <f t="shared" si="169"/>
        <v/>
      </c>
      <c r="AV626" s="1702" t="str">
        <f t="shared" si="170"/>
        <v/>
      </c>
      <c r="AX626" s="1702" t="str">
        <f t="shared" si="171"/>
        <v/>
      </c>
      <c r="AY626" s="1702" t="str">
        <f t="shared" si="172"/>
        <v/>
      </c>
      <c r="BC626" s="1702" t="s">
        <v>1290</v>
      </c>
      <c r="BD626" s="1702" t="str">
        <f t="shared" si="173"/>
        <v/>
      </c>
      <c r="BE626" s="1702" t="str">
        <f t="shared" si="174"/>
        <v/>
      </c>
      <c r="BF626" s="1702" t="str">
        <f t="shared" si="175"/>
        <v/>
      </c>
      <c r="BG626" s="1702" t="str">
        <f t="shared" si="176"/>
        <v/>
      </c>
      <c r="BH626" s="1702" t="str">
        <f t="shared" si="177"/>
        <v/>
      </c>
      <c r="BJ626" s="1702" t="str">
        <f t="shared" si="178"/>
        <v/>
      </c>
      <c r="BK626" s="1702" t="str">
        <f t="shared" si="179"/>
        <v/>
      </c>
      <c r="BL626" s="1702" t="str">
        <f t="shared" si="180"/>
        <v/>
      </c>
      <c r="BN626" s="2078" t="str">
        <f t="shared" si="181"/>
        <v/>
      </c>
      <c r="BO626" s="2081" t="str">
        <f t="shared" si="182"/>
        <v/>
      </c>
      <c r="BT626" s="1702" t="str">
        <f t="shared" si="183"/>
        <v/>
      </c>
      <c r="BU626" s="1702" t="str">
        <f t="shared" si="184"/>
        <v/>
      </c>
      <c r="BV626" s="1702" t="str">
        <f t="shared" si="185"/>
        <v/>
      </c>
      <c r="BW626" s="1702" t="s">
        <v>1290</v>
      </c>
      <c r="BY626" s="1702" t="str">
        <f t="shared" si="186"/>
        <v/>
      </c>
      <c r="BZ626" s="1702" t="str">
        <f t="shared" si="187"/>
        <v/>
      </c>
      <c r="CA626" s="1702" t="str">
        <f t="shared" si="188"/>
        <v/>
      </c>
      <c r="CC626" s="1702" t="str">
        <f t="shared" si="189"/>
        <v/>
      </c>
      <c r="CD626" s="1702" t="str">
        <f t="shared" si="190"/>
        <v/>
      </c>
    </row>
    <row r="627" spans="7:82" ht="15">
      <c r="G627" s="1701" t="s">
        <v>1291</v>
      </c>
      <c r="H627" s="1702">
        <f>IF(rng02_Uses_DevRehabCosts_SoftCosts_MktngLeaseUp="","",rng02_Uses_DevRehabCosts_SoftCosts_MktngLeaseUp)</f>
        <v>0</v>
      </c>
      <c r="I627" s="1702"/>
      <c r="J627" s="1702"/>
      <c r="K627" s="1702"/>
      <c r="L627" s="1702"/>
      <c r="N627" s="1702"/>
      <c r="O627" s="1702"/>
      <c r="P627" s="1702"/>
      <c r="R627" s="1702"/>
      <c r="S627" s="1702"/>
      <c r="AM627" s="1763" t="s">
        <v>1291</v>
      </c>
      <c r="AN627" s="1702">
        <f t="shared" si="163"/>
        <v>0</v>
      </c>
      <c r="AO627" s="1702" t="str">
        <f t="shared" si="164"/>
        <v/>
      </c>
      <c r="AP627" s="1702" t="str">
        <f t="shared" si="165"/>
        <v/>
      </c>
      <c r="AQ627" s="1702" t="str">
        <f t="shared" si="166"/>
        <v/>
      </c>
      <c r="AR627" s="1702" t="str">
        <f t="shared" si="167"/>
        <v/>
      </c>
      <c r="AT627" s="1702" t="str">
        <f t="shared" si="168"/>
        <v/>
      </c>
      <c r="AU627" s="1702" t="str">
        <f t="shared" si="169"/>
        <v/>
      </c>
      <c r="AV627" s="1702" t="str">
        <f t="shared" si="170"/>
        <v/>
      </c>
      <c r="AX627" s="1702" t="str">
        <f t="shared" si="171"/>
        <v/>
      </c>
      <c r="AY627" s="1702" t="str">
        <f t="shared" si="172"/>
        <v/>
      </c>
      <c r="BC627" s="1702" t="s">
        <v>1291</v>
      </c>
      <c r="BD627" s="1702" t="str">
        <f t="shared" si="173"/>
        <v/>
      </c>
      <c r="BE627" s="1702" t="str">
        <f t="shared" si="174"/>
        <v/>
      </c>
      <c r="BF627" s="1702" t="str">
        <f t="shared" si="175"/>
        <v/>
      </c>
      <c r="BG627" s="1702" t="str">
        <f t="shared" si="176"/>
        <v/>
      </c>
      <c r="BH627" s="1702" t="str">
        <f t="shared" si="177"/>
        <v/>
      </c>
      <c r="BJ627" s="1702" t="str">
        <f t="shared" si="178"/>
        <v/>
      </c>
      <c r="BK627" s="1702" t="str">
        <f t="shared" si="179"/>
        <v/>
      </c>
      <c r="BL627" s="1702" t="str">
        <f t="shared" si="180"/>
        <v/>
      </c>
      <c r="BN627" s="2078" t="str">
        <f t="shared" si="181"/>
        <v/>
      </c>
      <c r="BO627" s="2081" t="str">
        <f t="shared" si="182"/>
        <v/>
      </c>
      <c r="BT627" s="1702" t="str">
        <f t="shared" si="183"/>
        <v/>
      </c>
      <c r="BU627" s="1702" t="str">
        <f t="shared" si="184"/>
        <v/>
      </c>
      <c r="BV627" s="1702" t="str">
        <f t="shared" si="185"/>
        <v/>
      </c>
      <c r="BW627" s="1763" t="s">
        <v>1291</v>
      </c>
      <c r="BY627" s="1702" t="str">
        <f t="shared" si="186"/>
        <v/>
      </c>
      <c r="BZ627" s="1702" t="str">
        <f t="shared" si="187"/>
        <v/>
      </c>
      <c r="CA627" s="1702" t="str">
        <f t="shared" si="188"/>
        <v/>
      </c>
      <c r="CC627" s="1702" t="str">
        <f t="shared" si="189"/>
        <v/>
      </c>
      <c r="CD627" s="1702" t="str">
        <f t="shared" si="190"/>
        <v/>
      </c>
    </row>
    <row r="628" spans="7:82" ht="15">
      <c r="G628" s="1701" t="s">
        <v>1292</v>
      </c>
      <c r="H628" s="1702">
        <f>IF(rng02_Uses_DevRehabCosts_SoftCosts_SewerWaterUtilHkUps="","",rng02_Uses_DevRehabCosts_SoftCosts_SewerWaterUtilHkUps)</f>
        <v>0</v>
      </c>
      <c r="I628" s="1702"/>
      <c r="J628" s="1702"/>
      <c r="K628" s="1702"/>
      <c r="L628" s="1702"/>
      <c r="N628" s="1702"/>
      <c r="O628" s="1702"/>
      <c r="P628" s="1702"/>
      <c r="R628" s="1702"/>
      <c r="S628" s="1702"/>
      <c r="AM628" s="1702" t="s">
        <v>1292</v>
      </c>
      <c r="AN628" s="1702">
        <f t="shared" si="163"/>
        <v>0</v>
      </c>
      <c r="AO628" s="1702" t="str">
        <f t="shared" si="164"/>
        <v/>
      </c>
      <c r="AP628" s="1702" t="str">
        <f t="shared" si="165"/>
        <v/>
      </c>
      <c r="AQ628" s="1702" t="str">
        <f t="shared" si="166"/>
        <v/>
      </c>
      <c r="AR628" s="1702" t="str">
        <f t="shared" si="167"/>
        <v/>
      </c>
      <c r="AT628" s="1702" t="str">
        <f t="shared" si="168"/>
        <v/>
      </c>
      <c r="AU628" s="1702" t="str">
        <f t="shared" si="169"/>
        <v/>
      </c>
      <c r="AV628" s="1702" t="str">
        <f t="shared" si="170"/>
        <v/>
      </c>
      <c r="AX628" s="1702" t="str">
        <f t="shared" si="171"/>
        <v/>
      </c>
      <c r="AY628" s="1702" t="str">
        <f t="shared" si="172"/>
        <v/>
      </c>
      <c r="BC628" s="1702" t="s">
        <v>1292</v>
      </c>
      <c r="BD628" s="1702" t="str">
        <f t="shared" si="173"/>
        <v/>
      </c>
      <c r="BE628" s="1702" t="str">
        <f t="shared" si="174"/>
        <v/>
      </c>
      <c r="BF628" s="1702" t="str">
        <f t="shared" si="175"/>
        <v/>
      </c>
      <c r="BG628" s="1702" t="str">
        <f t="shared" si="176"/>
        <v/>
      </c>
      <c r="BH628" s="1702" t="str">
        <f t="shared" si="177"/>
        <v/>
      </c>
      <c r="BJ628" s="1702" t="str">
        <f t="shared" si="178"/>
        <v/>
      </c>
      <c r="BK628" s="1702" t="str">
        <f t="shared" si="179"/>
        <v/>
      </c>
      <c r="BL628" s="1702" t="str">
        <f t="shared" si="180"/>
        <v/>
      </c>
      <c r="BN628" s="2078" t="str">
        <f t="shared" si="181"/>
        <v/>
      </c>
      <c r="BO628" s="2081" t="str">
        <f t="shared" si="182"/>
        <v/>
      </c>
      <c r="BT628" s="1702" t="str">
        <f t="shared" si="183"/>
        <v/>
      </c>
      <c r="BU628" s="1702" t="str">
        <f t="shared" si="184"/>
        <v/>
      </c>
      <c r="BV628" s="1702" t="str">
        <f t="shared" si="185"/>
        <v/>
      </c>
      <c r="BW628" s="1702" t="s">
        <v>1292</v>
      </c>
      <c r="BY628" s="1702" t="str">
        <f t="shared" si="186"/>
        <v/>
      </c>
      <c r="BZ628" s="1702" t="str">
        <f t="shared" si="187"/>
        <v/>
      </c>
      <c r="CA628" s="1702" t="str">
        <f t="shared" si="188"/>
        <v/>
      </c>
      <c r="CC628" s="1702" t="str">
        <f t="shared" si="189"/>
        <v/>
      </c>
      <c r="CD628" s="1702" t="str">
        <f t="shared" si="190"/>
        <v/>
      </c>
    </row>
    <row r="629" spans="7:82" ht="15">
      <c r="G629" s="1701" t="s">
        <v>1293</v>
      </c>
      <c r="H629" s="1702">
        <f>IF(rng02_Uses_DevRehabCosts_SoftCosts_Relocation="","",rng02_Uses_DevRehabCosts_SoftCosts_Relocation)</f>
        <v>0</v>
      </c>
      <c r="I629" s="1702"/>
      <c r="J629" s="1702"/>
      <c r="K629" s="1702"/>
      <c r="L629" s="1702"/>
      <c r="N629" s="1702"/>
      <c r="O629" s="1702"/>
      <c r="P629" s="1702"/>
      <c r="R629" s="1702"/>
      <c r="S629" s="1702"/>
      <c r="AM629" s="1763" t="s">
        <v>1293</v>
      </c>
      <c r="AN629" s="1702">
        <f t="shared" si="163"/>
        <v>0</v>
      </c>
      <c r="AO629" s="1702" t="str">
        <f t="shared" si="164"/>
        <v/>
      </c>
      <c r="AP629" s="1702" t="str">
        <f t="shared" si="165"/>
        <v/>
      </c>
      <c r="AQ629" s="1702" t="str">
        <f t="shared" si="166"/>
        <v/>
      </c>
      <c r="AR629" s="1702" t="str">
        <f t="shared" si="167"/>
        <v/>
      </c>
      <c r="AT629" s="1702" t="str">
        <f t="shared" si="168"/>
        <v/>
      </c>
      <c r="AU629" s="1702" t="str">
        <f t="shared" si="169"/>
        <v/>
      </c>
      <c r="AV629" s="1702" t="str">
        <f t="shared" si="170"/>
        <v/>
      </c>
      <c r="AX629" s="1702" t="str">
        <f t="shared" si="171"/>
        <v/>
      </c>
      <c r="AY629" s="1702" t="str">
        <f t="shared" si="172"/>
        <v/>
      </c>
      <c r="BC629" s="1702" t="s">
        <v>1293</v>
      </c>
      <c r="BD629" s="1702" t="str">
        <f t="shared" si="173"/>
        <v/>
      </c>
      <c r="BE629" s="1702" t="str">
        <f t="shared" si="174"/>
        <v/>
      </c>
      <c r="BF629" s="1702" t="str">
        <f t="shared" si="175"/>
        <v/>
      </c>
      <c r="BG629" s="1702" t="str">
        <f t="shared" si="176"/>
        <v/>
      </c>
      <c r="BH629" s="1702" t="str">
        <f t="shared" si="177"/>
        <v/>
      </c>
      <c r="BJ629" s="1702" t="str">
        <f t="shared" si="178"/>
        <v/>
      </c>
      <c r="BK629" s="1702" t="str">
        <f t="shared" si="179"/>
        <v/>
      </c>
      <c r="BL629" s="1702" t="str">
        <f t="shared" si="180"/>
        <v/>
      </c>
      <c r="BN629" s="2078" t="str">
        <f t="shared" si="181"/>
        <v/>
      </c>
      <c r="BO629" s="2081" t="str">
        <f t="shared" si="182"/>
        <v/>
      </c>
      <c r="BT629" s="1702" t="str">
        <f t="shared" si="183"/>
        <v/>
      </c>
      <c r="BU629" s="1702" t="str">
        <f t="shared" si="184"/>
        <v/>
      </c>
      <c r="BV629" s="1702" t="str">
        <f t="shared" si="185"/>
        <v/>
      </c>
      <c r="BW629" s="1763" t="s">
        <v>1293</v>
      </c>
      <c r="BY629" s="1702" t="str">
        <f t="shared" si="186"/>
        <v/>
      </c>
      <c r="BZ629" s="1702" t="str">
        <f t="shared" si="187"/>
        <v/>
      </c>
      <c r="CA629" s="1702" t="str">
        <f t="shared" si="188"/>
        <v/>
      </c>
      <c r="CC629" s="1702" t="str">
        <f t="shared" si="189"/>
        <v/>
      </c>
      <c r="CD629" s="1702" t="str">
        <f t="shared" si="190"/>
        <v/>
      </c>
    </row>
    <row r="630" spans="7:82" ht="15">
      <c r="G630" s="1701" t="s">
        <v>1294</v>
      </c>
      <c r="H630" s="1702">
        <f>IF(rng02_Uses_DevRehabCosts_SoftCosts_RETaxFeeSetUp="","",rng02_Uses_DevRehabCosts_SoftCosts_RETaxFeeSetUp)</f>
        <v>0</v>
      </c>
      <c r="I630" s="1702"/>
      <c r="J630" s="1702"/>
      <c r="K630" s="1702"/>
      <c r="L630" s="1702"/>
      <c r="N630" s="1702"/>
      <c r="O630" s="1702"/>
      <c r="P630" s="1702"/>
      <c r="R630" s="1702"/>
      <c r="S630" s="1702"/>
      <c r="AM630" s="1763" t="s">
        <v>1294</v>
      </c>
      <c r="AN630" s="1702">
        <f t="shared" si="163"/>
        <v>0</v>
      </c>
      <c r="AO630" s="1702" t="str">
        <f t="shared" si="164"/>
        <v/>
      </c>
      <c r="AP630" s="1702" t="str">
        <f t="shared" si="165"/>
        <v/>
      </c>
      <c r="AQ630" s="1702" t="str">
        <f t="shared" si="166"/>
        <v/>
      </c>
      <c r="AR630" s="1702" t="str">
        <f t="shared" si="167"/>
        <v/>
      </c>
      <c r="AT630" s="1702" t="str">
        <f t="shared" si="168"/>
        <v/>
      </c>
      <c r="AU630" s="1702" t="str">
        <f t="shared" si="169"/>
        <v/>
      </c>
      <c r="AV630" s="1702" t="str">
        <f t="shared" si="170"/>
        <v/>
      </c>
      <c r="AX630" s="1702" t="str">
        <f t="shared" si="171"/>
        <v/>
      </c>
      <c r="AY630" s="1702" t="str">
        <f t="shared" si="172"/>
        <v/>
      </c>
      <c r="BC630" s="1702" t="s">
        <v>1294</v>
      </c>
      <c r="BD630" s="1702" t="str">
        <f t="shared" si="173"/>
        <v/>
      </c>
      <c r="BE630" s="1702" t="str">
        <f t="shared" si="174"/>
        <v/>
      </c>
      <c r="BF630" s="1702" t="str">
        <f t="shared" si="175"/>
        <v/>
      </c>
      <c r="BG630" s="1702" t="str">
        <f t="shared" si="176"/>
        <v/>
      </c>
      <c r="BH630" s="1702" t="str">
        <f t="shared" si="177"/>
        <v/>
      </c>
      <c r="BJ630" s="1702" t="str">
        <f t="shared" si="178"/>
        <v/>
      </c>
      <c r="BK630" s="1702" t="str">
        <f t="shared" si="179"/>
        <v/>
      </c>
      <c r="BL630" s="1702" t="str">
        <f t="shared" si="180"/>
        <v/>
      </c>
      <c r="BN630" s="2078" t="str">
        <f t="shared" si="181"/>
        <v/>
      </c>
      <c r="BO630" s="2081" t="str">
        <f t="shared" si="182"/>
        <v/>
      </c>
      <c r="BT630" s="1702" t="str">
        <f t="shared" si="183"/>
        <v/>
      </c>
      <c r="BU630" s="1702" t="str">
        <f t="shared" si="184"/>
        <v/>
      </c>
      <c r="BV630" s="1702" t="str">
        <f t="shared" si="185"/>
        <v/>
      </c>
      <c r="BW630" s="1763" t="s">
        <v>1294</v>
      </c>
      <c r="BY630" s="1702" t="str">
        <f t="shared" si="186"/>
        <v/>
      </c>
      <c r="BZ630" s="1702" t="str">
        <f t="shared" si="187"/>
        <v/>
      </c>
      <c r="CA630" s="1702" t="str">
        <f t="shared" si="188"/>
        <v/>
      </c>
      <c r="CC630" s="1702" t="str">
        <f t="shared" si="189"/>
        <v/>
      </c>
      <c r="CD630" s="1702" t="str">
        <f t="shared" si="190"/>
        <v/>
      </c>
    </row>
    <row r="631" spans="7:82" ht="15">
      <c r="G631" s="1701" t="s">
        <v>1295</v>
      </c>
      <c r="H631" s="1702">
        <f>IF(rng02_Uses_DevRehabCosts_SoftCosts_CreditRpt="","",rng02_Uses_DevRehabCosts_SoftCosts_CreditRpt)</f>
        <v>0</v>
      </c>
      <c r="I631" s="1702"/>
      <c r="J631" s="1702"/>
      <c r="K631" s="1702"/>
      <c r="L631" s="1702"/>
      <c r="N631" s="1702"/>
      <c r="O631" s="1702"/>
      <c r="P631" s="1702"/>
      <c r="R631" s="1702"/>
      <c r="S631" s="1702"/>
      <c r="AM631" s="1763" t="s">
        <v>1295</v>
      </c>
      <c r="AN631" s="1702">
        <f t="shared" si="163"/>
        <v>0</v>
      </c>
      <c r="AO631" s="1702" t="str">
        <f t="shared" si="164"/>
        <v/>
      </c>
      <c r="AP631" s="1702" t="str">
        <f t="shared" si="165"/>
        <v/>
      </c>
      <c r="AQ631" s="1702" t="str">
        <f t="shared" si="166"/>
        <v/>
      </c>
      <c r="AR631" s="1702" t="str">
        <f t="shared" si="167"/>
        <v/>
      </c>
      <c r="AT631" s="1702" t="str">
        <f t="shared" si="168"/>
        <v/>
      </c>
      <c r="AU631" s="1702" t="str">
        <f t="shared" si="169"/>
        <v/>
      </c>
      <c r="AV631" s="1702" t="str">
        <f t="shared" si="170"/>
        <v/>
      </c>
      <c r="AX631" s="1702" t="str">
        <f t="shared" si="171"/>
        <v/>
      </c>
      <c r="AY631" s="1702" t="str">
        <f t="shared" si="172"/>
        <v/>
      </c>
      <c r="BC631" s="1702" t="s">
        <v>1295</v>
      </c>
      <c r="BD631" s="1702" t="str">
        <f t="shared" si="173"/>
        <v/>
      </c>
      <c r="BE631" s="1702" t="str">
        <f t="shared" si="174"/>
        <v/>
      </c>
      <c r="BF631" s="1702" t="str">
        <f t="shared" si="175"/>
        <v/>
      </c>
      <c r="BG631" s="1702" t="str">
        <f t="shared" si="176"/>
        <v/>
      </c>
      <c r="BH631" s="1702" t="str">
        <f t="shared" si="177"/>
        <v/>
      </c>
      <c r="BJ631" s="1702" t="str">
        <f t="shared" si="178"/>
        <v/>
      </c>
      <c r="BK631" s="1702" t="str">
        <f t="shared" si="179"/>
        <v/>
      </c>
      <c r="BL631" s="1702" t="str">
        <f t="shared" si="180"/>
        <v/>
      </c>
      <c r="BN631" s="2078" t="str">
        <f t="shared" si="181"/>
        <v/>
      </c>
      <c r="BO631" s="2081" t="str">
        <f t="shared" si="182"/>
        <v/>
      </c>
      <c r="BT631" s="1702" t="str">
        <f t="shared" si="183"/>
        <v/>
      </c>
      <c r="BU631" s="1702" t="str">
        <f t="shared" si="184"/>
        <v/>
      </c>
      <c r="BV631" s="1702" t="str">
        <f t="shared" si="185"/>
        <v/>
      </c>
      <c r="BW631" s="1763" t="s">
        <v>1295</v>
      </c>
      <c r="BY631" s="1702" t="str">
        <f t="shared" si="186"/>
        <v/>
      </c>
      <c r="BZ631" s="1702" t="str">
        <f t="shared" si="187"/>
        <v/>
      </c>
      <c r="CA631" s="1702" t="str">
        <f t="shared" si="188"/>
        <v/>
      </c>
      <c r="CC631" s="1702" t="str">
        <f t="shared" si="189"/>
        <v/>
      </c>
      <c r="CD631" s="1702" t="str">
        <f t="shared" si="190"/>
        <v/>
      </c>
    </row>
    <row r="632" spans="7:82">
      <c r="G632" s="1677" t="s">
        <v>2311</v>
      </c>
      <c r="H632" s="1702"/>
      <c r="I632" s="1702" t="str">
        <f>IF(SUM(H633:H636)=0,"",SUM(H633:H636))</f>
        <v/>
      </c>
      <c r="J632" s="1702"/>
      <c r="K632" s="1702"/>
      <c r="L632" s="1702"/>
      <c r="N632" s="1702"/>
      <c r="O632" s="1702"/>
      <c r="P632" s="1702"/>
      <c r="R632" s="1702"/>
      <c r="S632" s="1702"/>
      <c r="AM632" s="1785" t="s">
        <v>2311</v>
      </c>
      <c r="AN632" s="1702"/>
      <c r="AO632" s="1786" t="str">
        <f>IF(FourPercentTrigger="No","",IF($I633="","",$I633))</f>
        <v/>
      </c>
      <c r="AP632" s="1702"/>
      <c r="AQ632" s="1702"/>
      <c r="AR632" s="1702"/>
      <c r="AT632" s="1702"/>
      <c r="AU632" s="1702"/>
      <c r="AV632" s="1702"/>
      <c r="AX632" s="1702"/>
      <c r="AY632" s="1702"/>
      <c r="BC632" s="1785" t="s">
        <v>2311</v>
      </c>
      <c r="BD632" s="1702"/>
      <c r="BE632" s="1785" t="str">
        <f>IF(TCATrigger="No","",IF(NinePercentTrigger="No","",IF($I633="","",$I633)))</f>
        <v/>
      </c>
      <c r="BF632" s="1702"/>
      <c r="BG632" s="1702"/>
      <c r="BH632" s="1702"/>
      <c r="BJ632" s="1702"/>
      <c r="BK632" s="1702"/>
      <c r="BL632" s="1702"/>
      <c r="BN632" s="2078"/>
      <c r="BO632" s="2081"/>
      <c r="BT632" s="1786" t="str">
        <f>IF(TCATrigger="No","",IF(AcquisitionTrigger="No","",IF($I633="","",$I633)))</f>
        <v/>
      </c>
      <c r="BU632" s="1702"/>
      <c r="BV632" s="1702"/>
      <c r="BW632" s="1785" t="s">
        <v>2311</v>
      </c>
      <c r="BY632" s="1702"/>
      <c r="BZ632" s="1702"/>
      <c r="CA632" s="1702"/>
      <c r="CC632" s="1702"/>
      <c r="CD632" s="1702"/>
    </row>
    <row r="633" spans="7:82" ht="15">
      <c r="G633" s="1701" t="str">
        <f>Other_4</f>
        <v>Other</v>
      </c>
      <c r="H633" s="1702">
        <f>IF(rng02_Uses_DevRehabCosts_SoftCosts_Other1="","",rng02_Uses_DevRehabCosts_SoftCosts_Other1)</f>
        <v>0</v>
      </c>
      <c r="I633" s="1702" t="str">
        <f>IF(SUM(H633:H636)=0,"",SUM(H633:H636))</f>
        <v/>
      </c>
      <c r="J633" s="1702"/>
      <c r="K633" s="1702"/>
      <c r="L633" s="1702"/>
      <c r="N633" s="1702"/>
      <c r="O633" s="1702"/>
      <c r="P633" s="1702"/>
      <c r="R633" s="1702"/>
      <c r="S633" s="1702"/>
      <c r="AM633" s="1786" t="str">
        <f>IF(AN633="","",G633)</f>
        <v>Other</v>
      </c>
      <c r="AN633" s="1702">
        <f t="shared" si="163"/>
        <v>0</v>
      </c>
      <c r="AO633" s="1702"/>
      <c r="AP633" s="1702" t="str">
        <f t="shared" si="165"/>
        <v/>
      </c>
      <c r="AQ633" s="1702" t="str">
        <f t="shared" si="166"/>
        <v/>
      </c>
      <c r="AR633" s="1702" t="str">
        <f t="shared" si="167"/>
        <v/>
      </c>
      <c r="AT633" s="1702" t="str">
        <f t="shared" si="168"/>
        <v/>
      </c>
      <c r="AU633" s="1702" t="str">
        <f t="shared" si="169"/>
        <v/>
      </c>
      <c r="AV633" s="1702" t="str">
        <f t="shared" si="170"/>
        <v/>
      </c>
      <c r="AX633" s="1702" t="str">
        <f t="shared" si="171"/>
        <v/>
      </c>
      <c r="AY633" s="1702" t="str">
        <f t="shared" si="172"/>
        <v/>
      </c>
      <c r="BC633" s="1786" t="str">
        <f>IF(BD633="","",G633)</f>
        <v/>
      </c>
      <c r="BD633" s="1702" t="str">
        <f t="shared" si="173"/>
        <v/>
      </c>
      <c r="BE633" s="1786"/>
      <c r="BF633" s="1702" t="str">
        <f t="shared" si="175"/>
        <v/>
      </c>
      <c r="BG633" s="1702" t="str">
        <f t="shared" si="176"/>
        <v/>
      </c>
      <c r="BH633" s="1702" t="str">
        <f t="shared" si="177"/>
        <v/>
      </c>
      <c r="BJ633" s="1702" t="str">
        <f t="shared" si="178"/>
        <v/>
      </c>
      <c r="BK633" s="1702" t="str">
        <f t="shared" si="179"/>
        <v/>
      </c>
      <c r="BL633" s="1702" t="str">
        <f t="shared" si="180"/>
        <v/>
      </c>
      <c r="BN633" s="2078" t="str">
        <f t="shared" si="181"/>
        <v/>
      </c>
      <c r="BO633" s="2081" t="str">
        <f t="shared" si="182"/>
        <v/>
      </c>
      <c r="BU633" s="1702" t="str">
        <f t="shared" si="184"/>
        <v/>
      </c>
      <c r="BV633" s="1702" t="str">
        <f t="shared" si="185"/>
        <v/>
      </c>
      <c r="BW633" s="1786" t="str">
        <f>IF(BX633="","",AQ633)</f>
        <v/>
      </c>
      <c r="BY633" s="1702" t="str">
        <f t="shared" si="186"/>
        <v/>
      </c>
      <c r="BZ633" s="1702" t="str">
        <f t="shared" si="187"/>
        <v/>
      </c>
      <c r="CA633" s="1702" t="str">
        <f t="shared" si="188"/>
        <v/>
      </c>
      <c r="CC633" s="1702" t="str">
        <f t="shared" si="189"/>
        <v/>
      </c>
      <c r="CD633" s="1702" t="str">
        <f t="shared" si="190"/>
        <v/>
      </c>
    </row>
    <row r="634" spans="7:82" ht="15">
      <c r="G634" s="1771" t="str">
        <f>Other_5</f>
        <v>Other</v>
      </c>
      <c r="H634" s="1702">
        <f>IF(rng02_Uses_DevRehabCosts_SoftCosts_Other2="","",rng02_Uses_DevRehabCosts_SoftCosts_Other2)</f>
        <v>0</v>
      </c>
      <c r="I634" s="1702"/>
      <c r="J634" s="1702"/>
      <c r="K634" s="1702"/>
      <c r="L634" s="1702"/>
      <c r="N634" s="1702"/>
      <c r="O634" s="1702"/>
      <c r="P634" s="1702"/>
      <c r="R634" s="1702"/>
      <c r="S634" s="1702"/>
      <c r="AM634" s="1786" t="str">
        <f t="shared" ref="AM634:AM636" si="191">IF(AN634="","",G634)</f>
        <v>Other</v>
      </c>
      <c r="AN634" s="1702">
        <f t="shared" si="163"/>
        <v>0</v>
      </c>
      <c r="AO634" s="1702" t="str">
        <f t="shared" si="164"/>
        <v/>
      </c>
      <c r="AP634" s="1702" t="str">
        <f t="shared" si="165"/>
        <v/>
      </c>
      <c r="AQ634" s="1702" t="str">
        <f t="shared" si="166"/>
        <v/>
      </c>
      <c r="AR634" s="1702" t="str">
        <f t="shared" si="167"/>
        <v/>
      </c>
      <c r="AT634" s="1702" t="str">
        <f t="shared" si="168"/>
        <v/>
      </c>
      <c r="AU634" s="1702" t="str">
        <f t="shared" si="169"/>
        <v/>
      </c>
      <c r="AV634" s="1702" t="str">
        <f t="shared" si="170"/>
        <v/>
      </c>
      <c r="AX634" s="1702" t="str">
        <f t="shared" si="171"/>
        <v/>
      </c>
      <c r="AY634" s="1702" t="str">
        <f t="shared" si="172"/>
        <v/>
      </c>
      <c r="BC634" s="1786" t="str">
        <f>IF(BD634="","",G634)</f>
        <v/>
      </c>
      <c r="BD634" s="1702" t="str">
        <f t="shared" si="173"/>
        <v/>
      </c>
      <c r="BE634" s="1702" t="str">
        <f t="shared" si="174"/>
        <v/>
      </c>
      <c r="BF634" s="1702" t="str">
        <f t="shared" si="175"/>
        <v/>
      </c>
      <c r="BG634" s="1702" t="str">
        <f t="shared" si="176"/>
        <v/>
      </c>
      <c r="BH634" s="1702" t="str">
        <f t="shared" si="177"/>
        <v/>
      </c>
      <c r="BJ634" s="1702" t="str">
        <f t="shared" si="178"/>
        <v/>
      </c>
      <c r="BK634" s="1702" t="str">
        <f t="shared" si="179"/>
        <v/>
      </c>
      <c r="BL634" s="1702" t="str">
        <f t="shared" si="180"/>
        <v/>
      </c>
      <c r="BN634" s="2078" t="str">
        <f t="shared" si="181"/>
        <v/>
      </c>
      <c r="BO634" s="2081" t="str">
        <f t="shared" si="182"/>
        <v/>
      </c>
      <c r="BT634" s="1702" t="str">
        <f t="shared" si="183"/>
        <v/>
      </c>
      <c r="BU634" s="1702" t="str">
        <f t="shared" si="184"/>
        <v/>
      </c>
      <c r="BV634" s="1702" t="str">
        <f t="shared" si="185"/>
        <v/>
      </c>
      <c r="BW634" s="1786" t="str">
        <f t="shared" ref="BW634:BW636" si="192">IF(BX634="","",AQ634)</f>
        <v/>
      </c>
      <c r="BY634" s="1702" t="str">
        <f t="shared" si="186"/>
        <v/>
      </c>
      <c r="BZ634" s="1702" t="str">
        <f t="shared" si="187"/>
        <v/>
      </c>
      <c r="CA634" s="1702" t="str">
        <f t="shared" si="188"/>
        <v/>
      </c>
      <c r="CC634" s="1702" t="str">
        <f t="shared" si="189"/>
        <v/>
      </c>
      <c r="CD634" s="1702" t="str">
        <f t="shared" si="190"/>
        <v/>
      </c>
    </row>
    <row r="635" spans="7:82" ht="15">
      <c r="G635" s="1701" t="str">
        <f>Other_6</f>
        <v>Other</v>
      </c>
      <c r="H635" s="1702">
        <f>IF(rng02_Uses_DevRehabCosts_SoftCosts_Other3="","",rng02_Uses_DevRehabCosts_SoftCosts_Other3)</f>
        <v>0</v>
      </c>
      <c r="I635" s="1702"/>
      <c r="J635" s="1702"/>
      <c r="K635" s="1702"/>
      <c r="L635" s="1702"/>
      <c r="N635" s="1702"/>
      <c r="O635" s="1702"/>
      <c r="P635" s="1702"/>
      <c r="R635" s="1702"/>
      <c r="S635" s="1702"/>
      <c r="AM635" s="1786" t="str">
        <f t="shared" si="191"/>
        <v>Other</v>
      </c>
      <c r="AN635" s="1702">
        <f t="shared" si="163"/>
        <v>0</v>
      </c>
      <c r="AO635" s="1702" t="str">
        <f t="shared" si="164"/>
        <v/>
      </c>
      <c r="AP635" s="1702" t="str">
        <f t="shared" si="165"/>
        <v/>
      </c>
      <c r="AQ635" s="1702" t="str">
        <f t="shared" si="166"/>
        <v/>
      </c>
      <c r="AR635" s="1702" t="str">
        <f t="shared" si="167"/>
        <v/>
      </c>
      <c r="AT635" s="1702" t="str">
        <f t="shared" si="168"/>
        <v/>
      </c>
      <c r="AU635" s="1702" t="str">
        <f t="shared" si="169"/>
        <v/>
      </c>
      <c r="AV635" s="1702" t="str">
        <f t="shared" si="170"/>
        <v/>
      </c>
      <c r="AX635" s="1702" t="str">
        <f t="shared" si="171"/>
        <v/>
      </c>
      <c r="AY635" s="1702" t="str">
        <f t="shared" si="172"/>
        <v/>
      </c>
      <c r="BC635" s="1786" t="str">
        <f>IF(BD635="","",G635)</f>
        <v/>
      </c>
      <c r="BD635" s="1702" t="str">
        <f t="shared" si="173"/>
        <v/>
      </c>
      <c r="BE635" s="1702" t="str">
        <f t="shared" si="174"/>
        <v/>
      </c>
      <c r="BF635" s="1702" t="str">
        <f t="shared" si="175"/>
        <v/>
      </c>
      <c r="BG635" s="1702" t="str">
        <f t="shared" si="176"/>
        <v/>
      </c>
      <c r="BH635" s="1702" t="str">
        <f t="shared" si="177"/>
        <v/>
      </c>
      <c r="BJ635" s="1702" t="str">
        <f t="shared" si="178"/>
        <v/>
      </c>
      <c r="BK635" s="1702" t="str">
        <f t="shared" si="179"/>
        <v/>
      </c>
      <c r="BL635" s="1702" t="str">
        <f t="shared" si="180"/>
        <v/>
      </c>
      <c r="BN635" s="2078" t="str">
        <f t="shared" si="181"/>
        <v/>
      </c>
      <c r="BO635" s="2081" t="str">
        <f t="shared" si="182"/>
        <v/>
      </c>
      <c r="BT635" s="1702" t="str">
        <f t="shared" si="183"/>
        <v/>
      </c>
      <c r="BU635" s="1702" t="str">
        <f t="shared" si="184"/>
        <v/>
      </c>
      <c r="BV635" s="1702" t="str">
        <f t="shared" si="185"/>
        <v/>
      </c>
      <c r="BW635" s="1786" t="str">
        <f t="shared" si="192"/>
        <v/>
      </c>
      <c r="BY635" s="1702" t="str">
        <f t="shared" si="186"/>
        <v/>
      </c>
      <c r="BZ635" s="1702" t="str">
        <f t="shared" si="187"/>
        <v/>
      </c>
      <c r="CA635" s="1702" t="str">
        <f t="shared" si="188"/>
        <v/>
      </c>
      <c r="CC635" s="1702" t="str">
        <f t="shared" si="189"/>
        <v/>
      </c>
      <c r="CD635" s="1702" t="str">
        <f t="shared" si="190"/>
        <v/>
      </c>
    </row>
    <row r="636" spans="7:82" ht="15">
      <c r="G636" s="1701" t="str">
        <f>Other_7</f>
        <v>Other</v>
      </c>
      <c r="H636" s="1702">
        <f>IF(rng02_Uses_DevRehabCosts_SoftCosts_Other4="","",rng02_Uses_DevRehabCosts_SoftCosts_Other4)</f>
        <v>0</v>
      </c>
      <c r="I636" s="1702"/>
      <c r="J636" s="1702"/>
      <c r="K636" s="1702"/>
      <c r="L636" s="1702"/>
      <c r="N636" s="1702"/>
      <c r="O636" s="1702"/>
      <c r="P636" s="1702"/>
      <c r="R636" s="1702"/>
      <c r="S636" s="1702"/>
      <c r="AM636" s="1786" t="str">
        <f t="shared" si="191"/>
        <v>Other</v>
      </c>
      <c r="AN636" s="1702">
        <f t="shared" si="163"/>
        <v>0</v>
      </c>
      <c r="AO636" s="1702" t="str">
        <f t="shared" si="164"/>
        <v/>
      </c>
      <c r="AP636" s="1702" t="str">
        <f t="shared" si="165"/>
        <v/>
      </c>
      <c r="AQ636" s="1702" t="str">
        <f t="shared" si="166"/>
        <v/>
      </c>
      <c r="AR636" s="1702" t="str">
        <f t="shared" si="167"/>
        <v/>
      </c>
      <c r="AT636" s="1702" t="str">
        <f t="shared" si="168"/>
        <v/>
      </c>
      <c r="AU636" s="1702" t="str">
        <f t="shared" si="169"/>
        <v/>
      </c>
      <c r="AV636" s="1702" t="str">
        <f t="shared" si="170"/>
        <v/>
      </c>
      <c r="AX636" s="1702" t="str">
        <f t="shared" si="171"/>
        <v/>
      </c>
      <c r="AY636" s="1702" t="str">
        <f t="shared" si="172"/>
        <v/>
      </c>
      <c r="BC636" s="1786" t="str">
        <f>IF(BD636="","",G636)</f>
        <v/>
      </c>
      <c r="BD636" s="1702" t="str">
        <f t="shared" si="173"/>
        <v/>
      </c>
      <c r="BE636" s="1702" t="str">
        <f t="shared" si="174"/>
        <v/>
      </c>
      <c r="BF636" s="1702" t="str">
        <f t="shared" si="175"/>
        <v/>
      </c>
      <c r="BG636" s="1702" t="str">
        <f t="shared" si="176"/>
        <v/>
      </c>
      <c r="BH636" s="1702" t="str">
        <f t="shared" si="177"/>
        <v/>
      </c>
      <c r="BJ636" s="1702" t="str">
        <f t="shared" si="178"/>
        <v/>
      </c>
      <c r="BK636" s="1702" t="str">
        <f t="shared" si="179"/>
        <v/>
      </c>
      <c r="BL636" s="1702" t="str">
        <f t="shared" si="180"/>
        <v/>
      </c>
      <c r="BN636" s="2078" t="str">
        <f t="shared" si="181"/>
        <v/>
      </c>
      <c r="BO636" s="2081" t="str">
        <f t="shared" si="182"/>
        <v/>
      </c>
      <c r="BT636" s="1702" t="str">
        <f t="shared" si="183"/>
        <v/>
      </c>
      <c r="BU636" s="1702" t="str">
        <f t="shared" si="184"/>
        <v/>
      </c>
      <c r="BV636" s="1702" t="str">
        <f t="shared" si="185"/>
        <v/>
      </c>
      <c r="BW636" s="1786" t="str">
        <f t="shared" si="192"/>
        <v/>
      </c>
      <c r="BY636" s="1702" t="str">
        <f t="shared" si="186"/>
        <v/>
      </c>
      <c r="BZ636" s="1702" t="str">
        <f t="shared" si="187"/>
        <v/>
      </c>
      <c r="CA636" s="1702" t="str">
        <f t="shared" si="188"/>
        <v/>
      </c>
      <c r="CC636" s="1702" t="str">
        <f t="shared" si="189"/>
        <v/>
      </c>
      <c r="CD636" s="1702" t="str">
        <f t="shared" si="190"/>
        <v/>
      </c>
    </row>
    <row r="637" spans="7:82" ht="15">
      <c r="G637" s="1701" t="s">
        <v>1296</v>
      </c>
      <c r="H637" s="1702">
        <f>IF(rng02_Uses_DevRehabCosts_SoftCosts_SCContigency="","",rng02_Uses_DevRehabCosts_SoftCosts_SCContigency)</f>
        <v>0</v>
      </c>
      <c r="I637" s="1702"/>
      <c r="J637" s="1702"/>
      <c r="K637" s="1702"/>
      <c r="L637" s="1702"/>
      <c r="N637" s="1702"/>
      <c r="O637" s="1702"/>
      <c r="P637" s="1702"/>
      <c r="R637" s="1702"/>
      <c r="S637" s="1702"/>
      <c r="AM637" s="1702" t="s">
        <v>1296</v>
      </c>
      <c r="AN637" s="1702">
        <f t="shared" si="163"/>
        <v>0</v>
      </c>
      <c r="AO637" s="1702" t="str">
        <f t="shared" si="164"/>
        <v/>
      </c>
      <c r="AP637" s="1702" t="str">
        <f t="shared" si="165"/>
        <v/>
      </c>
      <c r="AQ637" s="1702" t="str">
        <f t="shared" si="166"/>
        <v/>
      </c>
      <c r="AR637" s="1702" t="str">
        <f t="shared" si="167"/>
        <v/>
      </c>
      <c r="AT637" s="1702" t="str">
        <f t="shared" si="168"/>
        <v/>
      </c>
      <c r="AU637" s="1702" t="str">
        <f t="shared" si="169"/>
        <v/>
      </c>
      <c r="AV637" s="1702" t="str">
        <f t="shared" si="170"/>
        <v/>
      </c>
      <c r="AX637" s="1702" t="str">
        <f t="shared" si="171"/>
        <v/>
      </c>
      <c r="AY637" s="1702" t="str">
        <f t="shared" si="172"/>
        <v/>
      </c>
      <c r="BC637" s="1702" t="s">
        <v>1296</v>
      </c>
      <c r="BD637" s="1702" t="str">
        <f t="shared" si="173"/>
        <v/>
      </c>
      <c r="BE637" s="1702" t="str">
        <f t="shared" si="174"/>
        <v/>
      </c>
      <c r="BF637" s="1702" t="str">
        <f t="shared" si="175"/>
        <v/>
      </c>
      <c r="BG637" s="1702" t="str">
        <f t="shared" si="176"/>
        <v/>
      </c>
      <c r="BH637" s="1702" t="str">
        <f t="shared" si="177"/>
        <v/>
      </c>
      <c r="BJ637" s="1702" t="str">
        <f t="shared" si="178"/>
        <v/>
      </c>
      <c r="BK637" s="1702" t="str">
        <f t="shared" si="179"/>
        <v/>
      </c>
      <c r="BL637" s="1702" t="str">
        <f t="shared" si="180"/>
        <v/>
      </c>
      <c r="BN637" s="2078" t="str">
        <f t="shared" si="181"/>
        <v/>
      </c>
      <c r="BO637" s="2081" t="str">
        <f t="shared" si="182"/>
        <v/>
      </c>
      <c r="BT637" s="1702" t="str">
        <f t="shared" si="183"/>
        <v/>
      </c>
      <c r="BU637" s="1702" t="str">
        <f t="shared" si="184"/>
        <v/>
      </c>
      <c r="BV637" s="1702" t="str">
        <f t="shared" si="185"/>
        <v/>
      </c>
      <c r="BW637" s="1702" t="s">
        <v>1296</v>
      </c>
      <c r="BY637" s="1702" t="str">
        <f t="shared" si="186"/>
        <v/>
      </c>
      <c r="BZ637" s="1702" t="str">
        <f t="shared" si="187"/>
        <v/>
      </c>
      <c r="CA637" s="1702" t="str">
        <f t="shared" si="188"/>
        <v/>
      </c>
      <c r="CC637" s="1702" t="str">
        <f t="shared" si="189"/>
        <v/>
      </c>
      <c r="CD637" s="1702" t="str">
        <f t="shared" si="190"/>
        <v/>
      </c>
    </row>
    <row r="638" spans="7:82" ht="15">
      <c r="G638" s="1701" t="s">
        <v>1297</v>
      </c>
      <c r="H638" s="1702">
        <f>IF(rng02_Uses_DevRehabCosts_SoftCosts_TotalSC="","",rng02_Uses_DevRehabCosts_SoftCosts_TotalSC)</f>
        <v>0</v>
      </c>
      <c r="I638" s="1702">
        <v>0</v>
      </c>
      <c r="J638" s="1702">
        <v>0</v>
      </c>
      <c r="K638" s="1702">
        <v>0</v>
      </c>
      <c r="L638" s="1702">
        <v>0</v>
      </c>
      <c r="N638" s="1702">
        <v>0</v>
      </c>
      <c r="O638" s="1702">
        <v>0</v>
      </c>
      <c r="P638" s="1702">
        <v>0</v>
      </c>
      <c r="R638" s="1702">
        <v>0</v>
      </c>
      <c r="S638" s="1702">
        <v>0</v>
      </c>
      <c r="AM638" s="1702" t="s">
        <v>1297</v>
      </c>
      <c r="AN638" s="1702">
        <f t="shared" si="163"/>
        <v>0</v>
      </c>
      <c r="AO638" s="1702" t="str">
        <f t="shared" si="164"/>
        <v/>
      </c>
      <c r="AP638" s="1702" t="str">
        <f t="shared" si="165"/>
        <v/>
      </c>
      <c r="AQ638" s="1702" t="str">
        <f t="shared" si="166"/>
        <v/>
      </c>
      <c r="AR638" s="1702" t="str">
        <f t="shared" si="167"/>
        <v/>
      </c>
      <c r="AT638" s="1702" t="str">
        <f t="shared" si="168"/>
        <v/>
      </c>
      <c r="AU638" s="1702" t="str">
        <f t="shared" si="169"/>
        <v/>
      </c>
      <c r="AV638" s="1702" t="str">
        <f t="shared" si="170"/>
        <v/>
      </c>
      <c r="AX638" s="1702" t="str">
        <f t="shared" si="171"/>
        <v/>
      </c>
      <c r="AY638" s="1702" t="str">
        <f t="shared" si="172"/>
        <v/>
      </c>
      <c r="BC638" s="1702" t="s">
        <v>1297</v>
      </c>
      <c r="BD638" s="1702" t="str">
        <f t="shared" si="173"/>
        <v/>
      </c>
      <c r="BE638" s="1702" t="str">
        <f t="shared" si="174"/>
        <v/>
      </c>
      <c r="BF638" s="1702" t="str">
        <f t="shared" si="175"/>
        <v/>
      </c>
      <c r="BG638" s="1702" t="str">
        <f t="shared" si="176"/>
        <v/>
      </c>
      <c r="BH638" s="1702" t="str">
        <f t="shared" si="177"/>
        <v/>
      </c>
      <c r="BJ638" s="1702" t="str">
        <f t="shared" si="178"/>
        <v/>
      </c>
      <c r="BK638" s="1702" t="str">
        <f t="shared" si="179"/>
        <v/>
      </c>
      <c r="BL638" s="1702" t="str">
        <f t="shared" si="180"/>
        <v/>
      </c>
      <c r="BN638" s="2078" t="str">
        <f t="shared" si="181"/>
        <v/>
      </c>
      <c r="BO638" s="2081" t="str">
        <f t="shared" si="182"/>
        <v/>
      </c>
      <c r="BT638" s="1702" t="str">
        <f t="shared" si="183"/>
        <v/>
      </c>
      <c r="BU638" s="1702" t="str">
        <f t="shared" si="184"/>
        <v/>
      </c>
      <c r="BV638" s="1702" t="str">
        <f t="shared" si="185"/>
        <v/>
      </c>
      <c r="BW638" s="1702" t="s">
        <v>1297</v>
      </c>
      <c r="BY638" s="1702" t="str">
        <f t="shared" si="186"/>
        <v/>
      </c>
      <c r="BZ638" s="1702" t="str">
        <f t="shared" si="187"/>
        <v/>
      </c>
      <c r="CA638" s="1702" t="str">
        <f t="shared" si="188"/>
        <v/>
      </c>
      <c r="CC638" s="1702" t="str">
        <f t="shared" si="189"/>
        <v/>
      </c>
      <c r="CD638" s="1702" t="str">
        <f t="shared" si="190"/>
        <v/>
      </c>
    </row>
    <row r="640" spans="7:82" ht="15">
      <c r="G640" s="1701" t="s">
        <v>1298</v>
      </c>
      <c r="H640" s="1765"/>
      <c r="I640" s="1765"/>
      <c r="J640" s="1765"/>
      <c r="K640" s="1765"/>
      <c r="L640" s="1765"/>
      <c r="N640" s="1765"/>
      <c r="O640" s="1765"/>
      <c r="P640" s="1765"/>
      <c r="R640" s="1765"/>
      <c r="S640" s="1765"/>
      <c r="AM640" s="1677" t="s">
        <v>1298</v>
      </c>
      <c r="BC640" s="1677" t="s">
        <v>1298</v>
      </c>
      <c r="BW640" s="1677" t="s">
        <v>1298</v>
      </c>
    </row>
    <row r="641" spans="7:82" ht="15">
      <c r="G641" s="1701" t="s">
        <v>1299</v>
      </c>
      <c r="H641" s="1766">
        <f>IF(rng02_Uses_DevRehabCosts_Financing_TaxDurConstruct="","",rng02_Uses_DevRehabCosts_Financing_TaxDurConstruct)</f>
        <v>0</v>
      </c>
      <c r="I641" s="1766"/>
      <c r="J641" s="1766"/>
      <c r="K641" s="1766"/>
      <c r="L641" s="1766"/>
      <c r="N641" s="1766"/>
      <c r="O641" s="1766"/>
      <c r="P641" s="1766"/>
      <c r="R641" s="1766"/>
      <c r="S641" s="1766"/>
      <c r="AM641" s="1702" t="s">
        <v>1299</v>
      </c>
      <c r="AN641" s="1702">
        <f t="shared" ref="AN641:AN654" si="193">IF(FourPercentTrigger="No","",IF($H641="","",$H641))</f>
        <v>0</v>
      </c>
      <c r="AO641" s="1702" t="str">
        <f t="shared" ref="AO641:AO654" si="194">IF(TCATrigger="No","",IF(FourPercentTrigger="No","",IF($I641="","",$I641)))</f>
        <v/>
      </c>
      <c r="AP641" s="1702" t="str">
        <f t="shared" ref="AP641:AP654" si="195">IF(TCATrigger="No","",IF(FourPercentTrigger="No","",IF($J641="","",$J641)))</f>
        <v/>
      </c>
      <c r="AQ641" s="1702" t="str">
        <f t="shared" ref="AQ641:AQ654" si="196">IF(TCATrigger="No","",IF(FourPercentTrigger="No","",IF($K641="","",$K641)))</f>
        <v/>
      </c>
      <c r="AR641" s="1702" t="str">
        <f t="shared" ref="AR641:AR654" si="197">IF(TCATrigger="No","",IF(FourPercentTrigger="No","",IF($L641="","",$L641)))</f>
        <v/>
      </c>
      <c r="AT641" s="1702" t="str">
        <f t="shared" ref="AT641:AT654" si="198">IF(TCATrigger="No","",IF(FourPercentTrigger="No","",IF($N641="","",$N641)))</f>
        <v/>
      </c>
      <c r="AU641" s="1702" t="str">
        <f t="shared" ref="AU641:AU654" si="199">IF(TCATrigger="No","",IF(FourPercentTrigger="No","",IF($O641="","",$O641)))</f>
        <v/>
      </c>
      <c r="AV641" s="1702" t="str">
        <f t="shared" ref="AV641:AV654" si="200">IF(TCATrigger="No","",IF(FourPercentTrigger="No","",IF($P641="","",$P641)))</f>
        <v/>
      </c>
      <c r="AX641" s="1702" t="str">
        <f t="shared" ref="AX641:AX654" si="201">IF(TCATrigger="No","",IF(FourPercentTrigger="No","",IF($R641="","",$R641)))</f>
        <v/>
      </c>
      <c r="AY641" s="1702" t="str">
        <f t="shared" ref="AY641:AY654" si="202">IF(TCATrigger="No","",IF(FourPercentTrigger="No","",IF($S641="","",$S641)))</f>
        <v/>
      </c>
      <c r="BC641" s="1702" t="s">
        <v>1299</v>
      </c>
      <c r="BD641" s="1702" t="str">
        <f t="shared" ref="BD641:BD654" si="203">IF(TCATrigger="No","",IF(NinePercentTrigger="No","",IF($H641="","",$H641)))</f>
        <v/>
      </c>
      <c r="BE641" s="1702" t="str">
        <f t="shared" ref="BE641:BE654" si="204">IF(TCATrigger="No","",IF(NinePercentTrigger="No","",IF($I641="","",$I641)))</f>
        <v/>
      </c>
      <c r="BF641" s="1702" t="str">
        <f t="shared" ref="BF641:BF654" si="205">IF(TCATrigger="No","",IF(NinePercentTrigger="No","",IF($J641="","",$J641)))</f>
        <v/>
      </c>
      <c r="BG641" s="1702" t="str">
        <f t="shared" ref="BG641:BG654" si="206">IF(TCATrigger="No","",IF(NinePercentTrigger="No","",IF($K641="","",$K641)))</f>
        <v/>
      </c>
      <c r="BH641" s="1702" t="str">
        <f t="shared" ref="BH641:BH654" si="207">IF(TCATrigger="No","",IF(NinePercentTrigger="No","",IF($L641="","",$L641)))</f>
        <v/>
      </c>
      <c r="BJ641" s="1702" t="str">
        <f t="shared" ref="BJ641:BJ654" si="208">IF(TCATrigger="No","",IF(NinePercentTrigger="No","",IF($N641="","",$N641)))</f>
        <v/>
      </c>
      <c r="BK641" s="1702" t="str">
        <f t="shared" ref="BK641:BK654" si="209">IF(TCATrigger="No","",IF(NinePercentTrigger="No","",IF($O641="","",$O641)))</f>
        <v/>
      </c>
      <c r="BL641" s="1702" t="str">
        <f t="shared" ref="BL641:BL654" si="210">IF(TCATrigger="No","",IF(NinePercentTrigger="No","",IF($P641="","",$P641)))</f>
        <v/>
      </c>
      <c r="BN641" s="2078" t="str">
        <f t="shared" ref="BN641:BN654" si="211">IF(TCATrigger="No","",IF(NinePercentTrigger="No","",IF($R641="","",$R641)))</f>
        <v/>
      </c>
      <c r="BO641" s="2081" t="str">
        <f t="shared" ref="BO641:BO654" si="212">IF(TCATrigger="No","",IF(NinePercentTrigger="No","",IF($S641="","",$S641)))</f>
        <v/>
      </c>
      <c r="BT641" s="1702" t="str">
        <f t="shared" ref="BT641:BT654" si="213">IF(TCATrigger="No","",IF(AcquisitionTrigger="No","",IF($I641="","",$I641)))</f>
        <v/>
      </c>
      <c r="BU641" s="1702" t="str">
        <f t="shared" ref="BU641:BU654" si="214">IF(TCATrigger="No","",IF(AcquisitionTrigger="No","",IF($J641="","",$J641)))</f>
        <v/>
      </c>
      <c r="BV641" s="1702" t="str">
        <f t="shared" ref="BV641:BV654" si="215">IF(TCATrigger="No","",IF(AcquisitionTrigger="No","",IF($K641="","",$K641)))</f>
        <v/>
      </c>
      <c r="BW641" s="1702" t="s">
        <v>1299</v>
      </c>
      <c r="BY641" s="1702" t="str">
        <f t="shared" ref="BY641:BY654" si="216">IF(TCATrigger="No","",IF(AcquisitionTrigger="No","",IF($N641="","",$N641)))</f>
        <v/>
      </c>
      <c r="BZ641" s="1702" t="str">
        <f t="shared" ref="BZ641:BZ654" si="217">IF(TCATrigger="No","",IF(AcquisitionTrigger="No","",IF($O641="","",$O641)))</f>
        <v/>
      </c>
      <c r="CA641" s="1702" t="str">
        <f t="shared" ref="CA641:CA654" si="218">IF(TCATrigger="No","",IF(AcquisitionTrigger="No","",IF($P641="","",$P641)))</f>
        <v/>
      </c>
      <c r="CC641" s="1702" t="str">
        <f t="shared" ref="CC641:CC654" si="219">IF(TCATrigger="No","",IF(AcquisitionTrigger="No","",IF($R641="","",$R641)))</f>
        <v/>
      </c>
      <c r="CD641" s="1702" t="str">
        <f t="shared" ref="CD641:CD654" si="220">IF(TCATrigger="No","",IF(AcquisitionTrigger="No","",IF($S641="","",$S641)))</f>
        <v/>
      </c>
    </row>
    <row r="642" spans="7:82" ht="15">
      <c r="G642" s="1776" t="s">
        <v>1300</v>
      </c>
      <c r="H642" s="1702">
        <f>IF(rng02_Uses_DevRehabCosts_Financing_RiskSharingPrem="","",rng02_Uses_DevRehabCosts_Financing_RiskSharingPrem)</f>
        <v>0</v>
      </c>
      <c r="I642" s="1777" t="str">
        <f>IF(H642+H644+H646+H647+H648=0,"",H642+H644+H646+H647+H648)</f>
        <v/>
      </c>
      <c r="J642" s="1702"/>
      <c r="K642" s="1702"/>
      <c r="L642" s="1702"/>
      <c r="N642" s="1702"/>
      <c r="O642" s="1702"/>
      <c r="P642" s="1702"/>
      <c r="R642" s="1702"/>
      <c r="S642" s="1702"/>
      <c r="AM642" s="1763" t="s">
        <v>1300</v>
      </c>
      <c r="AN642" s="1702">
        <f t="shared" si="193"/>
        <v>0</v>
      </c>
      <c r="AO642" s="1702" t="str">
        <f t="shared" si="194"/>
        <v/>
      </c>
      <c r="AP642" s="1702" t="str">
        <f t="shared" si="195"/>
        <v/>
      </c>
      <c r="AQ642" s="1702" t="str">
        <f t="shared" si="196"/>
        <v/>
      </c>
      <c r="AR642" s="1702" t="str">
        <f t="shared" si="197"/>
        <v/>
      </c>
      <c r="AT642" s="1702" t="str">
        <f t="shared" si="198"/>
        <v/>
      </c>
      <c r="AU642" s="1702" t="str">
        <f t="shared" si="199"/>
        <v/>
      </c>
      <c r="AV642" s="1702" t="str">
        <f t="shared" si="200"/>
        <v/>
      </c>
      <c r="AX642" s="1702" t="str">
        <f t="shared" si="201"/>
        <v/>
      </c>
      <c r="AY642" s="1702" t="str">
        <f t="shared" si="202"/>
        <v/>
      </c>
      <c r="BC642" s="1702" t="s">
        <v>1300</v>
      </c>
      <c r="BD642" s="1702" t="str">
        <f t="shared" si="203"/>
        <v/>
      </c>
      <c r="BE642" s="1702" t="str">
        <f t="shared" si="204"/>
        <v/>
      </c>
      <c r="BF642" s="1702" t="str">
        <f t="shared" si="205"/>
        <v/>
      </c>
      <c r="BG642" s="1702" t="str">
        <f t="shared" si="206"/>
        <v/>
      </c>
      <c r="BH642" s="1702" t="str">
        <f t="shared" si="207"/>
        <v/>
      </c>
      <c r="BJ642" s="1702" t="str">
        <f t="shared" si="208"/>
        <v/>
      </c>
      <c r="BK642" s="1702" t="str">
        <f t="shared" si="209"/>
        <v/>
      </c>
      <c r="BL642" s="1702" t="str">
        <f t="shared" si="210"/>
        <v/>
      </c>
      <c r="BN642" s="2078" t="str">
        <f t="shared" si="211"/>
        <v/>
      </c>
      <c r="BO642" s="2081" t="str">
        <f t="shared" si="212"/>
        <v/>
      </c>
      <c r="BT642" s="1702" t="str">
        <f t="shared" si="213"/>
        <v/>
      </c>
      <c r="BU642" s="1702" t="str">
        <f t="shared" si="214"/>
        <v/>
      </c>
      <c r="BV642" s="1702" t="str">
        <f t="shared" si="215"/>
        <v/>
      </c>
      <c r="BW642" s="1763" t="s">
        <v>1300</v>
      </c>
      <c r="BY642" s="1702" t="str">
        <f t="shared" si="216"/>
        <v/>
      </c>
      <c r="BZ642" s="1702" t="str">
        <f t="shared" si="217"/>
        <v/>
      </c>
      <c r="CA642" s="1702" t="str">
        <f t="shared" si="218"/>
        <v/>
      </c>
      <c r="CC642" s="1702" t="str">
        <f t="shared" si="219"/>
        <v/>
      </c>
      <c r="CD642" s="1702" t="str">
        <f t="shared" si="220"/>
        <v/>
      </c>
    </row>
    <row r="643" spans="7:82" ht="15">
      <c r="G643" s="1701" t="s">
        <v>49</v>
      </c>
      <c r="H643" s="1702">
        <f>IF(rng02_Uses_DevRehabCosts_Financing_ConstructLoanInt="","",rng02_Uses_DevRehabCosts_Financing_ConstructLoanInt)</f>
        <v>0</v>
      </c>
      <c r="I643" s="1702"/>
      <c r="J643" s="1702"/>
      <c r="K643" s="1702"/>
      <c r="L643" s="1702"/>
      <c r="N643" s="1702"/>
      <c r="O643" s="1702"/>
      <c r="P643" s="1702"/>
      <c r="R643" s="1702"/>
      <c r="S643" s="1702"/>
      <c r="AM643" s="1702" t="s">
        <v>49</v>
      </c>
      <c r="AN643" s="1702">
        <f t="shared" si="193"/>
        <v>0</v>
      </c>
      <c r="AO643" s="1702" t="str">
        <f t="shared" si="194"/>
        <v/>
      </c>
      <c r="AP643" s="1702" t="str">
        <f t="shared" si="195"/>
        <v/>
      </c>
      <c r="AQ643" s="1702" t="str">
        <f t="shared" si="196"/>
        <v/>
      </c>
      <c r="AR643" s="1702" t="str">
        <f t="shared" si="197"/>
        <v/>
      </c>
      <c r="AT643" s="1702" t="str">
        <f t="shared" si="198"/>
        <v/>
      </c>
      <c r="AU643" s="1702" t="str">
        <f t="shared" si="199"/>
        <v/>
      </c>
      <c r="AV643" s="1702" t="str">
        <f t="shared" si="200"/>
        <v/>
      </c>
      <c r="AX643" s="1702" t="str">
        <f t="shared" si="201"/>
        <v/>
      </c>
      <c r="AY643" s="1702" t="str">
        <f t="shared" si="202"/>
        <v/>
      </c>
      <c r="BC643" s="1702" t="s">
        <v>49</v>
      </c>
      <c r="BD643" s="1702" t="str">
        <f t="shared" si="203"/>
        <v/>
      </c>
      <c r="BE643" s="1702" t="str">
        <f t="shared" si="204"/>
        <v/>
      </c>
      <c r="BF643" s="1702" t="str">
        <f t="shared" si="205"/>
        <v/>
      </c>
      <c r="BG643" s="1702" t="str">
        <f t="shared" si="206"/>
        <v/>
      </c>
      <c r="BH643" s="1702" t="str">
        <f t="shared" si="207"/>
        <v/>
      </c>
      <c r="BJ643" s="1702" t="str">
        <f t="shared" si="208"/>
        <v/>
      </c>
      <c r="BK643" s="1702" t="str">
        <f t="shared" si="209"/>
        <v/>
      </c>
      <c r="BL643" s="1702" t="str">
        <f t="shared" si="210"/>
        <v/>
      </c>
      <c r="BN643" s="2078" t="str">
        <f t="shared" si="211"/>
        <v/>
      </c>
      <c r="BO643" s="2081" t="str">
        <f t="shared" si="212"/>
        <v/>
      </c>
      <c r="BT643" s="1702" t="str">
        <f t="shared" si="213"/>
        <v/>
      </c>
      <c r="BU643" s="1702" t="str">
        <f t="shared" si="214"/>
        <v/>
      </c>
      <c r="BV643" s="1702" t="str">
        <f t="shared" si="215"/>
        <v/>
      </c>
      <c r="BW643" s="1702" t="s">
        <v>49</v>
      </c>
      <c r="BY643" s="1702" t="str">
        <f t="shared" si="216"/>
        <v/>
      </c>
      <c r="BZ643" s="1702" t="str">
        <f t="shared" si="217"/>
        <v/>
      </c>
      <c r="CA643" s="1702" t="str">
        <f t="shared" si="218"/>
        <v/>
      </c>
      <c r="CC643" s="1702" t="str">
        <f t="shared" si="219"/>
        <v/>
      </c>
      <c r="CD643" s="1702" t="str">
        <f t="shared" si="220"/>
        <v/>
      </c>
    </row>
    <row r="644" spans="7:82" ht="15">
      <c r="G644" s="1776" t="s">
        <v>1301</v>
      </c>
      <c r="H644" s="1702">
        <f>IF(rng02_Uses_DevRehabCosts_Financing_ConstructLoanOrigFee="","",rng02_Uses_DevRehabCosts_Financing_ConstructLoanOrigFee)</f>
        <v>0</v>
      </c>
      <c r="I644" s="1702"/>
      <c r="J644" s="1702"/>
      <c r="K644" s="1702"/>
      <c r="L644" s="1702"/>
      <c r="N644" s="1702"/>
      <c r="O644" s="1702"/>
      <c r="P644" s="1702"/>
      <c r="R644" s="1702"/>
      <c r="S644" s="1702"/>
      <c r="AM644" s="1763" t="s">
        <v>1301</v>
      </c>
      <c r="AN644" s="1702">
        <f t="shared" si="193"/>
        <v>0</v>
      </c>
      <c r="AO644" s="1702" t="str">
        <f t="shared" si="194"/>
        <v/>
      </c>
      <c r="AP644" s="1702" t="str">
        <f t="shared" si="195"/>
        <v/>
      </c>
      <c r="AQ644" s="1702" t="str">
        <f t="shared" si="196"/>
        <v/>
      </c>
      <c r="AR644" s="1702" t="str">
        <f t="shared" si="197"/>
        <v/>
      </c>
      <c r="AT644" s="1702" t="str">
        <f t="shared" si="198"/>
        <v/>
      </c>
      <c r="AU644" s="1702" t="str">
        <f t="shared" si="199"/>
        <v/>
      </c>
      <c r="AV644" s="1702" t="str">
        <f t="shared" si="200"/>
        <v/>
      </c>
      <c r="AX644" s="1702" t="str">
        <f t="shared" si="201"/>
        <v/>
      </c>
      <c r="AY644" s="1702" t="str">
        <f t="shared" si="202"/>
        <v/>
      </c>
      <c r="BC644" s="1702" t="s">
        <v>1301</v>
      </c>
      <c r="BD644" s="1702" t="str">
        <f t="shared" si="203"/>
        <v/>
      </c>
      <c r="BE644" s="1702" t="str">
        <f t="shared" si="204"/>
        <v/>
      </c>
      <c r="BF644" s="1702" t="str">
        <f t="shared" si="205"/>
        <v/>
      </c>
      <c r="BG644" s="1702" t="str">
        <f t="shared" si="206"/>
        <v/>
      </c>
      <c r="BH644" s="1702" t="str">
        <f t="shared" si="207"/>
        <v/>
      </c>
      <c r="BJ644" s="1702" t="str">
        <f t="shared" si="208"/>
        <v/>
      </c>
      <c r="BK644" s="1702" t="str">
        <f t="shared" si="209"/>
        <v/>
      </c>
      <c r="BL644" s="1702" t="str">
        <f t="shared" si="210"/>
        <v/>
      </c>
      <c r="BN644" s="2078" t="str">
        <f t="shared" si="211"/>
        <v/>
      </c>
      <c r="BO644" s="2081" t="str">
        <f t="shared" si="212"/>
        <v/>
      </c>
      <c r="BT644" s="1702" t="str">
        <f t="shared" si="213"/>
        <v/>
      </c>
      <c r="BU644" s="1702" t="str">
        <f t="shared" si="214"/>
        <v/>
      </c>
      <c r="BV644" s="1702" t="str">
        <f t="shared" si="215"/>
        <v/>
      </c>
      <c r="BW644" s="1763" t="s">
        <v>1301</v>
      </c>
      <c r="BY644" s="1702" t="str">
        <f t="shared" si="216"/>
        <v/>
      </c>
      <c r="BZ644" s="1702" t="str">
        <f t="shared" si="217"/>
        <v/>
      </c>
      <c r="CA644" s="1702" t="str">
        <f t="shared" si="218"/>
        <v/>
      </c>
      <c r="CC644" s="1702" t="str">
        <f t="shared" si="219"/>
        <v/>
      </c>
      <c r="CD644" s="1702" t="str">
        <f t="shared" si="220"/>
        <v/>
      </c>
    </row>
    <row r="645" spans="7:82" ht="15">
      <c r="G645" s="1772" t="s">
        <v>1302</v>
      </c>
      <c r="H645" s="1702">
        <f>IF(rng02_Uses_DevRehabCosts_Financing_RIHOrigFee="","",rng02_Uses_DevRehabCosts_Financing_RIHOrigFee)</f>
        <v>0</v>
      </c>
      <c r="I645" s="1702"/>
      <c r="J645" s="1702"/>
      <c r="K645" s="1702"/>
      <c r="L645" s="1702"/>
      <c r="N645" s="1702"/>
      <c r="O645" s="1702"/>
      <c r="P645" s="1702"/>
      <c r="R645" s="1702"/>
      <c r="S645" s="1702"/>
      <c r="AM645" s="1769" t="s">
        <v>1302</v>
      </c>
      <c r="AN645" s="1702">
        <f t="shared" si="193"/>
        <v>0</v>
      </c>
      <c r="AO645" s="1702" t="str">
        <f t="shared" si="194"/>
        <v/>
      </c>
      <c r="AP645" s="1702" t="str">
        <f t="shared" si="195"/>
        <v/>
      </c>
      <c r="AQ645" s="1702" t="str">
        <f t="shared" si="196"/>
        <v/>
      </c>
      <c r="AR645" s="1702" t="str">
        <f t="shared" si="197"/>
        <v/>
      </c>
      <c r="AT645" s="1702" t="str">
        <f t="shared" si="198"/>
        <v/>
      </c>
      <c r="AU645" s="1702" t="str">
        <f t="shared" si="199"/>
        <v/>
      </c>
      <c r="AV645" s="1702" t="str">
        <f t="shared" si="200"/>
        <v/>
      </c>
      <c r="AX645" s="1702" t="str">
        <f t="shared" si="201"/>
        <v/>
      </c>
      <c r="AY645" s="1702" t="str">
        <f t="shared" si="202"/>
        <v/>
      </c>
      <c r="BC645" s="1769" t="s">
        <v>1302</v>
      </c>
      <c r="BD645" s="1702" t="str">
        <f t="shared" si="203"/>
        <v/>
      </c>
      <c r="BE645" s="1702" t="str">
        <f t="shared" si="204"/>
        <v/>
      </c>
      <c r="BF645" s="1702" t="str">
        <f t="shared" si="205"/>
        <v/>
      </c>
      <c r="BG645" s="1702" t="str">
        <f t="shared" si="206"/>
        <v/>
      </c>
      <c r="BH645" s="1702" t="str">
        <f t="shared" si="207"/>
        <v/>
      </c>
      <c r="BJ645" s="1702" t="str">
        <f t="shared" si="208"/>
        <v/>
      </c>
      <c r="BK645" s="1702" t="str">
        <f t="shared" si="209"/>
        <v/>
      </c>
      <c r="BL645" s="1702" t="str">
        <f t="shared" si="210"/>
        <v/>
      </c>
      <c r="BN645" s="2078" t="str">
        <f t="shared" si="211"/>
        <v/>
      </c>
      <c r="BO645" s="2081" t="str">
        <f t="shared" si="212"/>
        <v/>
      </c>
      <c r="BT645" s="1702" t="str">
        <f t="shared" si="213"/>
        <v/>
      </c>
      <c r="BU645" s="1702" t="str">
        <f t="shared" si="214"/>
        <v/>
      </c>
      <c r="BV645" s="1702" t="str">
        <f t="shared" si="215"/>
        <v/>
      </c>
      <c r="BW645" s="1769" t="s">
        <v>1302</v>
      </c>
      <c r="BY645" s="1702" t="str">
        <f t="shared" si="216"/>
        <v/>
      </c>
      <c r="BZ645" s="1702" t="str">
        <f t="shared" si="217"/>
        <v/>
      </c>
      <c r="CA645" s="1702" t="str">
        <f t="shared" si="218"/>
        <v/>
      </c>
      <c r="CC645" s="1702" t="str">
        <f t="shared" si="219"/>
        <v/>
      </c>
      <c r="CD645" s="1702" t="str">
        <f t="shared" si="220"/>
        <v/>
      </c>
    </row>
    <row r="646" spans="7:82" ht="15">
      <c r="G646" s="1776" t="s">
        <v>1303</v>
      </c>
      <c r="H646" s="1702">
        <f>IF(rng02_Uses_DevRehabCosts_Financing_OtherLenderOrigFee="","",rng02_Uses_DevRehabCosts_Financing_OtherLenderOrigFee)</f>
        <v>0</v>
      </c>
      <c r="I646" s="1702"/>
      <c r="J646" s="1702"/>
      <c r="K646" s="1702"/>
      <c r="L646" s="1702"/>
      <c r="N646" s="1702"/>
      <c r="O646" s="1702"/>
      <c r="P646" s="1702"/>
      <c r="R646" s="1702"/>
      <c r="S646" s="1702"/>
      <c r="AM646" s="1702" t="s">
        <v>1303</v>
      </c>
      <c r="AN646" s="1702">
        <f t="shared" si="193"/>
        <v>0</v>
      </c>
      <c r="AO646" s="1702" t="str">
        <f t="shared" si="194"/>
        <v/>
      </c>
      <c r="AP646" s="1702" t="str">
        <f t="shared" si="195"/>
        <v/>
      </c>
      <c r="AQ646" s="1702" t="str">
        <f t="shared" si="196"/>
        <v/>
      </c>
      <c r="AR646" s="1702" t="str">
        <f t="shared" si="197"/>
        <v/>
      </c>
      <c r="AT646" s="1702" t="str">
        <f t="shared" si="198"/>
        <v/>
      </c>
      <c r="AU646" s="1702" t="str">
        <f t="shared" si="199"/>
        <v/>
      </c>
      <c r="AV646" s="1702" t="str">
        <f t="shared" si="200"/>
        <v/>
      </c>
      <c r="AX646" s="1702" t="str">
        <f t="shared" si="201"/>
        <v/>
      </c>
      <c r="AY646" s="1702" t="str">
        <f t="shared" si="202"/>
        <v/>
      </c>
      <c r="BC646" s="1702" t="s">
        <v>1303</v>
      </c>
      <c r="BD646" s="1702" t="str">
        <f t="shared" si="203"/>
        <v/>
      </c>
      <c r="BE646" s="1702" t="str">
        <f t="shared" si="204"/>
        <v/>
      </c>
      <c r="BF646" s="1702" t="str">
        <f t="shared" si="205"/>
        <v/>
      </c>
      <c r="BG646" s="1702" t="str">
        <f t="shared" si="206"/>
        <v/>
      </c>
      <c r="BH646" s="1702" t="str">
        <f t="shared" si="207"/>
        <v/>
      </c>
      <c r="BJ646" s="1702" t="str">
        <f t="shared" si="208"/>
        <v/>
      </c>
      <c r="BK646" s="1702" t="str">
        <f t="shared" si="209"/>
        <v/>
      </c>
      <c r="BL646" s="1702" t="str">
        <f t="shared" si="210"/>
        <v/>
      </c>
      <c r="BN646" s="2078" t="str">
        <f t="shared" si="211"/>
        <v/>
      </c>
      <c r="BO646" s="2081" t="str">
        <f t="shared" si="212"/>
        <v/>
      </c>
      <c r="BT646" s="1702" t="str">
        <f t="shared" si="213"/>
        <v/>
      </c>
      <c r="BU646" s="1702" t="str">
        <f t="shared" si="214"/>
        <v/>
      </c>
      <c r="BV646" s="1702" t="str">
        <f t="shared" si="215"/>
        <v/>
      </c>
      <c r="BW646" s="1702" t="s">
        <v>1303</v>
      </c>
      <c r="BY646" s="1702" t="str">
        <f t="shared" si="216"/>
        <v/>
      </c>
      <c r="BZ646" s="1702" t="str">
        <f t="shared" si="217"/>
        <v/>
      </c>
      <c r="CA646" s="1702" t="str">
        <f t="shared" si="218"/>
        <v/>
      </c>
      <c r="CC646" s="1702" t="str">
        <f t="shared" si="219"/>
        <v/>
      </c>
      <c r="CD646" s="1702" t="str">
        <f t="shared" si="220"/>
        <v/>
      </c>
    </row>
    <row r="647" spans="7:82" ht="15">
      <c r="G647" s="1776" t="s">
        <v>1304</v>
      </c>
      <c r="H647" s="1702">
        <f>IF(rng02_Uses_DevRehabCosts_Financing_CostofIns="","",rng02_Uses_DevRehabCosts_Financing_CostofIns)</f>
        <v>0</v>
      </c>
      <c r="I647" s="1702"/>
      <c r="J647" s="1702"/>
      <c r="K647" s="1702"/>
      <c r="L647" s="1702"/>
      <c r="N647" s="1702"/>
      <c r="O647" s="1702"/>
      <c r="P647" s="1702"/>
      <c r="R647" s="1702"/>
      <c r="S647" s="1702"/>
      <c r="AM647" s="1702" t="s">
        <v>1304</v>
      </c>
      <c r="AN647" s="1702">
        <f t="shared" si="193"/>
        <v>0</v>
      </c>
      <c r="AO647" s="1702" t="str">
        <f t="shared" si="194"/>
        <v/>
      </c>
      <c r="AP647" s="1702" t="str">
        <f t="shared" si="195"/>
        <v/>
      </c>
      <c r="AQ647" s="1702" t="str">
        <f t="shared" si="196"/>
        <v/>
      </c>
      <c r="AR647" s="1702" t="str">
        <f t="shared" si="197"/>
        <v/>
      </c>
      <c r="AT647" s="1702" t="str">
        <f t="shared" si="198"/>
        <v/>
      </c>
      <c r="AU647" s="1702" t="str">
        <f t="shared" si="199"/>
        <v/>
      </c>
      <c r="AV647" s="1702" t="str">
        <f t="shared" si="200"/>
        <v/>
      </c>
      <c r="AX647" s="1702" t="str">
        <f t="shared" si="201"/>
        <v/>
      </c>
      <c r="AY647" s="1702" t="str">
        <f t="shared" si="202"/>
        <v/>
      </c>
      <c r="BC647" s="1702" t="s">
        <v>1304</v>
      </c>
      <c r="BD647" s="1702" t="str">
        <f t="shared" si="203"/>
        <v/>
      </c>
      <c r="BE647" s="1702" t="str">
        <f t="shared" si="204"/>
        <v/>
      </c>
      <c r="BF647" s="1702" t="str">
        <f t="shared" si="205"/>
        <v/>
      </c>
      <c r="BG647" s="1702" t="str">
        <f t="shared" si="206"/>
        <v/>
      </c>
      <c r="BH647" s="1702" t="str">
        <f t="shared" si="207"/>
        <v/>
      </c>
      <c r="BJ647" s="1702" t="str">
        <f t="shared" si="208"/>
        <v/>
      </c>
      <c r="BK647" s="1702" t="str">
        <f t="shared" si="209"/>
        <v/>
      </c>
      <c r="BL647" s="1702" t="str">
        <f t="shared" si="210"/>
        <v/>
      </c>
      <c r="BN647" s="2078" t="str">
        <f t="shared" si="211"/>
        <v/>
      </c>
      <c r="BO647" s="2081" t="str">
        <f t="shared" si="212"/>
        <v/>
      </c>
      <c r="BT647" s="1702" t="str">
        <f t="shared" si="213"/>
        <v/>
      </c>
      <c r="BU647" s="1702" t="str">
        <f t="shared" si="214"/>
        <v/>
      </c>
      <c r="BV647" s="1702" t="str">
        <f t="shared" si="215"/>
        <v/>
      </c>
      <c r="BW647" s="1702" t="s">
        <v>1304</v>
      </c>
      <c r="BY647" s="1702" t="str">
        <f t="shared" si="216"/>
        <v/>
      </c>
      <c r="BZ647" s="1702" t="str">
        <f t="shared" si="217"/>
        <v/>
      </c>
      <c r="CA647" s="1702" t="str">
        <f t="shared" si="218"/>
        <v/>
      </c>
      <c r="CC647" s="1702" t="str">
        <f t="shared" si="219"/>
        <v/>
      </c>
      <c r="CD647" s="1702" t="str">
        <f t="shared" si="220"/>
        <v/>
      </c>
    </row>
    <row r="648" spans="7:82" ht="15">
      <c r="G648" s="1776" t="str">
        <f>'02_4_USES'!B69</f>
        <v>Tax Credit Allocation Fee: Typ. $0</v>
      </c>
      <c r="H648" s="1702">
        <f>IF(rng02_Uses_DevRehabCosts_Financing_TCAFee="","",rng02_Uses_DevRehabCosts_Financing_TCAFee)</f>
        <v>0</v>
      </c>
      <c r="I648" s="1702"/>
      <c r="J648" s="1702"/>
      <c r="K648" s="1702"/>
      <c r="L648" s="1702"/>
      <c r="N648" s="1702"/>
      <c r="O648" s="1702"/>
      <c r="P648" s="1702"/>
      <c r="R648" s="1702"/>
      <c r="S648" s="1702"/>
      <c r="AM648" s="1702" t="s">
        <v>2290</v>
      </c>
      <c r="AN648" s="1702">
        <f t="shared" si="193"/>
        <v>0</v>
      </c>
      <c r="AO648" s="1702" t="str">
        <f t="shared" si="194"/>
        <v/>
      </c>
      <c r="AP648" s="1702" t="str">
        <f t="shared" si="195"/>
        <v/>
      </c>
      <c r="AQ648" s="1702" t="str">
        <f t="shared" si="196"/>
        <v/>
      </c>
      <c r="AR648" s="1702" t="str">
        <f t="shared" si="197"/>
        <v/>
      </c>
      <c r="AT648" s="1702" t="str">
        <f t="shared" si="198"/>
        <v/>
      </c>
      <c r="AU648" s="1702" t="str">
        <f t="shared" si="199"/>
        <v/>
      </c>
      <c r="AV648" s="1702" t="str">
        <f t="shared" si="200"/>
        <v/>
      </c>
      <c r="AX648" s="1702" t="str">
        <f t="shared" si="201"/>
        <v/>
      </c>
      <c r="AY648" s="1702" t="str">
        <f t="shared" si="202"/>
        <v/>
      </c>
      <c r="BC648" s="1702" t="s">
        <v>2290</v>
      </c>
      <c r="BD648" s="1702" t="str">
        <f t="shared" si="203"/>
        <v/>
      </c>
      <c r="BE648" s="1702" t="str">
        <f t="shared" si="204"/>
        <v/>
      </c>
      <c r="BF648" s="1702" t="str">
        <f t="shared" si="205"/>
        <v/>
      </c>
      <c r="BG648" s="1702" t="str">
        <f t="shared" si="206"/>
        <v/>
      </c>
      <c r="BH648" s="1702" t="str">
        <f t="shared" si="207"/>
        <v/>
      </c>
      <c r="BJ648" s="1702" t="str">
        <f t="shared" si="208"/>
        <v/>
      </c>
      <c r="BK648" s="1702" t="str">
        <f t="shared" si="209"/>
        <v/>
      </c>
      <c r="BL648" s="1702" t="str">
        <f t="shared" si="210"/>
        <v/>
      </c>
      <c r="BN648" s="2078" t="str">
        <f t="shared" si="211"/>
        <v/>
      </c>
      <c r="BO648" s="2081" t="str">
        <f t="shared" si="212"/>
        <v/>
      </c>
      <c r="BT648" s="1702" t="str">
        <f t="shared" si="213"/>
        <v/>
      </c>
      <c r="BU648" s="1702" t="str">
        <f t="shared" si="214"/>
        <v/>
      </c>
      <c r="BV648" s="1702" t="str">
        <f t="shared" si="215"/>
        <v/>
      </c>
      <c r="BW648" s="1702" t="s">
        <v>2290</v>
      </c>
      <c r="BY648" s="1702" t="str">
        <f t="shared" si="216"/>
        <v/>
      </c>
      <c r="BZ648" s="1702" t="str">
        <f t="shared" si="217"/>
        <v/>
      </c>
      <c r="CA648" s="1702" t="str">
        <f t="shared" si="218"/>
        <v/>
      </c>
      <c r="CC648" s="1702" t="str">
        <f t="shared" si="219"/>
        <v/>
      </c>
      <c r="CD648" s="1702" t="str">
        <f t="shared" si="220"/>
        <v/>
      </c>
    </row>
    <row r="649" spans="7:82" ht="15">
      <c r="G649" s="1778" t="s">
        <v>2312</v>
      </c>
      <c r="H649" s="1702"/>
      <c r="I649" s="1778" t="str">
        <f>IF(SUM(H650:H653)=0,"",SUM(H650:H653))</f>
        <v/>
      </c>
      <c r="J649" s="1702"/>
      <c r="K649" s="1702"/>
      <c r="L649" s="1702"/>
      <c r="N649" s="1702"/>
      <c r="O649" s="1702"/>
      <c r="P649" s="1702"/>
      <c r="R649" s="1702"/>
      <c r="S649" s="1702"/>
      <c r="AM649" s="1787" t="s">
        <v>2312</v>
      </c>
      <c r="AN649" s="1702"/>
      <c r="AO649" s="1788" t="str">
        <f>IF(FourPercentTrigger="No","",IF($I649="","",$I649))</f>
        <v/>
      </c>
      <c r="AP649" s="1702"/>
      <c r="AQ649" s="1702"/>
      <c r="AR649" s="1702"/>
      <c r="AT649" s="1702"/>
      <c r="AU649" s="1702"/>
      <c r="AV649" s="1702"/>
      <c r="AX649" s="1702"/>
      <c r="AY649" s="1702"/>
      <c r="BC649" s="1787" t="s">
        <v>2312</v>
      </c>
      <c r="BD649" s="1702"/>
      <c r="BE649" s="1788" t="str">
        <f>IF(TCATrigger="No","",IF(NinePercentTrigger="No","",IF($I649="","",$I649)))</f>
        <v/>
      </c>
      <c r="BF649" s="1702"/>
      <c r="BG649" s="1702"/>
      <c r="BH649" s="1702"/>
      <c r="BJ649" s="1702"/>
      <c r="BK649" s="1702"/>
      <c r="BL649" s="1702"/>
      <c r="BN649" s="2078"/>
      <c r="BO649" s="2081"/>
      <c r="BT649" s="1788" t="str">
        <f>IF(TCATrigger="No","",IF(AcquisitionTrigger="No","",IF($I649="","",$I649)))</f>
        <v/>
      </c>
      <c r="BU649" s="1702"/>
      <c r="BV649" s="1702"/>
      <c r="BW649" s="1787" t="s">
        <v>2312</v>
      </c>
      <c r="BY649" s="1702"/>
      <c r="BZ649" s="1702"/>
      <c r="CA649" s="1702"/>
      <c r="CC649" s="1702"/>
      <c r="CD649" s="1702"/>
    </row>
    <row r="650" spans="7:82" ht="15">
      <c r="G650" s="1778" t="s">
        <v>96</v>
      </c>
      <c r="H650" s="1702">
        <f>IF(rng02_Uses_DevRehabCosts_Financing_Other1="","",rng02_Uses_DevRehabCosts_Financing_Other1)</f>
        <v>0</v>
      </c>
      <c r="I650" s="1702"/>
      <c r="J650" s="1702"/>
      <c r="K650" s="1702"/>
      <c r="L650" s="1702"/>
      <c r="N650" s="1702"/>
      <c r="O650" s="1702"/>
      <c r="P650" s="1702"/>
      <c r="R650" s="1702"/>
      <c r="S650" s="1702"/>
      <c r="AM650" s="1788" t="s">
        <v>96</v>
      </c>
      <c r="AN650" s="1702">
        <f t="shared" si="193"/>
        <v>0</v>
      </c>
      <c r="AO650" s="1702" t="str">
        <f>IF(FourPercentTrigger="No","",IF($I650="","",$I650))</f>
        <v/>
      </c>
      <c r="AP650" s="1702" t="str">
        <f>IF(TCATrigger="No","",IF(FourPercentTrigger="No","",IF($J650="","",$J650)))</f>
        <v/>
      </c>
      <c r="AQ650" s="1702" t="str">
        <f>IF(TCATrigger="No","",IF(FourPercentTrigger="No","",IF($K650="","",$K650)))</f>
        <v/>
      </c>
      <c r="AR650" s="1702" t="str">
        <f t="shared" si="197"/>
        <v/>
      </c>
      <c r="AT650" s="1702" t="str">
        <f t="shared" si="198"/>
        <v/>
      </c>
      <c r="AU650" s="1702" t="str">
        <f t="shared" si="199"/>
        <v/>
      </c>
      <c r="AV650" s="1702" t="str">
        <f t="shared" si="200"/>
        <v/>
      </c>
      <c r="AX650" s="1702" t="str">
        <f t="shared" si="201"/>
        <v/>
      </c>
      <c r="AY650" s="1702" t="str">
        <f t="shared" si="202"/>
        <v/>
      </c>
      <c r="BC650" s="1788" t="s">
        <v>96</v>
      </c>
      <c r="BD650" s="1702" t="str">
        <f t="shared" si="203"/>
        <v/>
      </c>
      <c r="BE650" s="1763" t="str">
        <f>IF(TCATrigger="No","",IF(NinePercentTrigger="No","",IF($I650="","",$I650)))</f>
        <v/>
      </c>
      <c r="BF650" s="1702" t="str">
        <f>IF(TCATrigger="No","",IF(NinePercentTrigger="No","",IF($J650="","",$J650)))</f>
        <v/>
      </c>
      <c r="BG650" s="1702" t="str">
        <f>IF(TCATrigger="No","",IF(NinePercentTrigger="No","",IF($K650="","",$K650)))</f>
        <v/>
      </c>
      <c r="BH650" s="1702" t="str">
        <f t="shared" si="207"/>
        <v/>
      </c>
      <c r="BJ650" s="1702" t="str">
        <f t="shared" si="208"/>
        <v/>
      </c>
      <c r="BK650" s="1702" t="str">
        <f t="shared" si="209"/>
        <v/>
      </c>
      <c r="BL650" s="1702" t="str">
        <f t="shared" si="210"/>
        <v/>
      </c>
      <c r="BN650" s="2078" t="str">
        <f t="shared" si="211"/>
        <v/>
      </c>
      <c r="BO650" s="2081" t="str">
        <f t="shared" si="212"/>
        <v/>
      </c>
      <c r="BT650" s="1763" t="str">
        <f>IF(TCATrigger="No","",IF(AcquisitionTrigger="No","",IF($I650="","",$I650)))</f>
        <v/>
      </c>
      <c r="BU650" s="1702" t="str">
        <f>IF(TCATrigger="No","",IF(AcquisitionTrigger="No","",IF($J650="","",$J650)))</f>
        <v/>
      </c>
      <c r="BV650" s="1702" t="str">
        <f>IF(TCATrigger="No","",IF(AcquisitionTrigger="No","",IF($K650="","",$K650)))</f>
        <v/>
      </c>
      <c r="BW650" s="1788" t="s">
        <v>96</v>
      </c>
      <c r="BY650" s="1702" t="str">
        <f t="shared" si="216"/>
        <v/>
      </c>
      <c r="BZ650" s="1702" t="str">
        <f t="shared" si="217"/>
        <v/>
      </c>
      <c r="CA650" s="1702" t="str">
        <f t="shared" si="218"/>
        <v/>
      </c>
      <c r="CC650" s="1702" t="str">
        <f t="shared" si="219"/>
        <v/>
      </c>
      <c r="CD650" s="1702" t="str">
        <f t="shared" si="220"/>
        <v/>
      </c>
    </row>
    <row r="651" spans="7:82" ht="15">
      <c r="G651" s="1778" t="s">
        <v>96</v>
      </c>
      <c r="H651" s="1702">
        <f>IF(rng02_Uses_DevRehabCosts_Financing_Other2="","",rng02_Uses_DevRehabCosts_Financing_Other2)</f>
        <v>0</v>
      </c>
      <c r="I651" s="1702"/>
      <c r="J651" s="1702"/>
      <c r="K651" s="1702"/>
      <c r="L651" s="1702"/>
      <c r="N651" s="1702"/>
      <c r="O651" s="1702"/>
      <c r="P651" s="1702"/>
      <c r="R651" s="1702"/>
      <c r="S651" s="1702"/>
      <c r="AM651" s="1788" t="s">
        <v>96</v>
      </c>
      <c r="AN651" s="1702">
        <f t="shared" si="193"/>
        <v>0</v>
      </c>
      <c r="AO651" s="1702" t="str">
        <f t="shared" si="194"/>
        <v/>
      </c>
      <c r="AP651" s="1702" t="str">
        <f t="shared" si="195"/>
        <v/>
      </c>
      <c r="AQ651" s="1702" t="str">
        <f t="shared" si="196"/>
        <v/>
      </c>
      <c r="AR651" s="1702" t="str">
        <f t="shared" si="197"/>
        <v/>
      </c>
      <c r="AT651" s="1702" t="str">
        <f t="shared" si="198"/>
        <v/>
      </c>
      <c r="AU651" s="1702" t="str">
        <f t="shared" si="199"/>
        <v/>
      </c>
      <c r="AV651" s="1702" t="str">
        <f t="shared" si="200"/>
        <v/>
      </c>
      <c r="AX651" s="1702" t="str">
        <f t="shared" si="201"/>
        <v/>
      </c>
      <c r="AY651" s="1702" t="str">
        <f t="shared" si="202"/>
        <v/>
      </c>
      <c r="BC651" s="1788" t="s">
        <v>96</v>
      </c>
      <c r="BD651" s="1702" t="str">
        <f t="shared" si="203"/>
        <v/>
      </c>
      <c r="BE651" s="1702" t="str">
        <f t="shared" si="204"/>
        <v/>
      </c>
      <c r="BF651" s="1702" t="str">
        <f t="shared" si="205"/>
        <v/>
      </c>
      <c r="BG651" s="1702" t="str">
        <f t="shared" si="206"/>
        <v/>
      </c>
      <c r="BH651" s="1702" t="str">
        <f t="shared" si="207"/>
        <v/>
      </c>
      <c r="BJ651" s="1702" t="str">
        <f t="shared" si="208"/>
        <v/>
      </c>
      <c r="BK651" s="1702" t="str">
        <f t="shared" si="209"/>
        <v/>
      </c>
      <c r="BL651" s="1702" t="str">
        <f t="shared" si="210"/>
        <v/>
      </c>
      <c r="BN651" s="2078" t="str">
        <f t="shared" si="211"/>
        <v/>
      </c>
      <c r="BO651" s="2081" t="str">
        <f t="shared" si="212"/>
        <v/>
      </c>
      <c r="BT651" s="1702" t="str">
        <f t="shared" si="213"/>
        <v/>
      </c>
      <c r="BU651" s="1702" t="str">
        <f t="shared" si="214"/>
        <v/>
      </c>
      <c r="BV651" s="1702" t="str">
        <f t="shared" si="215"/>
        <v/>
      </c>
      <c r="BW651" s="1788" t="s">
        <v>96</v>
      </c>
      <c r="BY651" s="1702" t="str">
        <f t="shared" si="216"/>
        <v/>
      </c>
      <c r="BZ651" s="1702" t="str">
        <f t="shared" si="217"/>
        <v/>
      </c>
      <c r="CA651" s="1702" t="str">
        <f t="shared" si="218"/>
        <v/>
      </c>
      <c r="CC651" s="1702" t="str">
        <f t="shared" si="219"/>
        <v/>
      </c>
      <c r="CD651" s="1702" t="str">
        <f t="shared" si="220"/>
        <v/>
      </c>
    </row>
    <row r="652" spans="7:82" ht="15">
      <c r="G652" s="1778" t="s">
        <v>96</v>
      </c>
      <c r="H652" s="1702">
        <f>IF(rng02_Uses_DevRehabCosts_Financing_Other3="","",rng02_Uses_DevRehabCosts_Financing_Other3)</f>
        <v>0</v>
      </c>
      <c r="I652" s="1702"/>
      <c r="J652" s="1702"/>
      <c r="K652" s="1702"/>
      <c r="L652" s="1702"/>
      <c r="N652" s="1702"/>
      <c r="O652" s="1702"/>
      <c r="P652" s="1702"/>
      <c r="R652" s="1702"/>
      <c r="S652" s="1702"/>
      <c r="AM652" s="1788" t="s">
        <v>96</v>
      </c>
      <c r="AN652" s="1702">
        <f t="shared" si="193"/>
        <v>0</v>
      </c>
      <c r="AO652" s="1702" t="str">
        <f t="shared" si="194"/>
        <v/>
      </c>
      <c r="AP652" s="1702" t="str">
        <f t="shared" si="195"/>
        <v/>
      </c>
      <c r="AQ652" s="1702" t="str">
        <f t="shared" si="196"/>
        <v/>
      </c>
      <c r="AR652" s="1702" t="str">
        <f t="shared" si="197"/>
        <v/>
      </c>
      <c r="AT652" s="1702" t="str">
        <f t="shared" si="198"/>
        <v/>
      </c>
      <c r="AU652" s="1702" t="str">
        <f t="shared" si="199"/>
        <v/>
      </c>
      <c r="AV652" s="1702" t="str">
        <f t="shared" si="200"/>
        <v/>
      </c>
      <c r="AX652" s="1702" t="str">
        <f t="shared" si="201"/>
        <v/>
      </c>
      <c r="AY652" s="1702" t="str">
        <f t="shared" si="202"/>
        <v/>
      </c>
      <c r="BC652" s="1788" t="s">
        <v>96</v>
      </c>
      <c r="BD652" s="1702" t="str">
        <f t="shared" si="203"/>
        <v/>
      </c>
      <c r="BE652" s="1702" t="str">
        <f t="shared" si="204"/>
        <v/>
      </c>
      <c r="BF652" s="1702" t="str">
        <f t="shared" si="205"/>
        <v/>
      </c>
      <c r="BG652" s="1702" t="str">
        <f t="shared" si="206"/>
        <v/>
      </c>
      <c r="BH652" s="1702" t="str">
        <f t="shared" si="207"/>
        <v/>
      </c>
      <c r="BJ652" s="1702" t="str">
        <f t="shared" si="208"/>
        <v/>
      </c>
      <c r="BK652" s="1702" t="str">
        <f t="shared" si="209"/>
        <v/>
      </c>
      <c r="BL652" s="1702" t="str">
        <f t="shared" si="210"/>
        <v/>
      </c>
      <c r="BN652" s="2078" t="str">
        <f t="shared" si="211"/>
        <v/>
      </c>
      <c r="BO652" s="2081" t="str">
        <f t="shared" si="212"/>
        <v/>
      </c>
      <c r="BT652" s="1702" t="str">
        <f t="shared" si="213"/>
        <v/>
      </c>
      <c r="BU652" s="1702" t="str">
        <f t="shared" si="214"/>
        <v/>
      </c>
      <c r="BV652" s="1702" t="str">
        <f t="shared" si="215"/>
        <v/>
      </c>
      <c r="BW652" s="1788" t="s">
        <v>96</v>
      </c>
      <c r="BY652" s="1702" t="str">
        <f t="shared" si="216"/>
        <v/>
      </c>
      <c r="BZ652" s="1702" t="str">
        <f t="shared" si="217"/>
        <v/>
      </c>
      <c r="CA652" s="1702" t="str">
        <f t="shared" si="218"/>
        <v/>
      </c>
      <c r="CC652" s="1702" t="str">
        <f t="shared" si="219"/>
        <v/>
      </c>
      <c r="CD652" s="1702" t="str">
        <f t="shared" si="220"/>
        <v/>
      </c>
    </row>
    <row r="653" spans="7:82" ht="15">
      <c r="G653" s="1778" t="s">
        <v>96</v>
      </c>
      <c r="H653" s="1702">
        <f>IF(rng02_Uses_DevRehabCosts_Financing_Other4="","",rng02_Uses_DevRehabCosts_Financing_Other4)</f>
        <v>0</v>
      </c>
      <c r="I653" s="1702"/>
      <c r="J653" s="1702"/>
      <c r="K653" s="1702"/>
      <c r="L653" s="1702"/>
      <c r="N653" s="1702"/>
      <c r="O653" s="1702"/>
      <c r="P653" s="1702"/>
      <c r="R653" s="1702"/>
      <c r="S653" s="1702"/>
      <c r="AM653" s="1788" t="s">
        <v>96</v>
      </c>
      <c r="AN653" s="1702">
        <f t="shared" si="193"/>
        <v>0</v>
      </c>
      <c r="AO653" s="1702" t="str">
        <f t="shared" si="194"/>
        <v/>
      </c>
      <c r="AP653" s="1702" t="str">
        <f t="shared" si="195"/>
        <v/>
      </c>
      <c r="AQ653" s="1702" t="str">
        <f t="shared" si="196"/>
        <v/>
      </c>
      <c r="AR653" s="1702" t="str">
        <f t="shared" si="197"/>
        <v/>
      </c>
      <c r="AT653" s="1702" t="str">
        <f t="shared" si="198"/>
        <v/>
      </c>
      <c r="AU653" s="1702" t="str">
        <f t="shared" si="199"/>
        <v/>
      </c>
      <c r="AV653" s="1702" t="str">
        <f t="shared" si="200"/>
        <v/>
      </c>
      <c r="AX653" s="1702" t="str">
        <f t="shared" si="201"/>
        <v/>
      </c>
      <c r="AY653" s="1702" t="str">
        <f t="shared" si="202"/>
        <v/>
      </c>
      <c r="BC653" s="1788" t="s">
        <v>96</v>
      </c>
      <c r="BD653" s="1702" t="str">
        <f t="shared" si="203"/>
        <v/>
      </c>
      <c r="BE653" s="1702" t="str">
        <f t="shared" si="204"/>
        <v/>
      </c>
      <c r="BF653" s="1702" t="str">
        <f t="shared" si="205"/>
        <v/>
      </c>
      <c r="BG653" s="1702" t="str">
        <f t="shared" si="206"/>
        <v/>
      </c>
      <c r="BH653" s="1702" t="str">
        <f t="shared" si="207"/>
        <v/>
      </c>
      <c r="BJ653" s="1702" t="str">
        <f t="shared" si="208"/>
        <v/>
      </c>
      <c r="BK653" s="1702" t="str">
        <f t="shared" si="209"/>
        <v/>
      </c>
      <c r="BL653" s="1702" t="str">
        <f t="shared" si="210"/>
        <v/>
      </c>
      <c r="BN653" s="2078" t="str">
        <f t="shared" si="211"/>
        <v/>
      </c>
      <c r="BO653" s="2081" t="str">
        <f t="shared" si="212"/>
        <v/>
      </c>
      <c r="BT653" s="1702" t="str">
        <f t="shared" si="213"/>
        <v/>
      </c>
      <c r="BU653" s="1702" t="str">
        <f t="shared" si="214"/>
        <v/>
      </c>
      <c r="BV653" s="1702" t="str">
        <f t="shared" si="215"/>
        <v/>
      </c>
      <c r="BW653" s="1788" t="s">
        <v>96</v>
      </c>
      <c r="BY653" s="1702" t="str">
        <f t="shared" si="216"/>
        <v/>
      </c>
      <c r="BZ653" s="1702" t="str">
        <f t="shared" si="217"/>
        <v/>
      </c>
      <c r="CA653" s="1702" t="str">
        <f t="shared" si="218"/>
        <v/>
      </c>
      <c r="CC653" s="1702" t="str">
        <f t="shared" si="219"/>
        <v/>
      </c>
      <c r="CD653" s="1702" t="str">
        <f t="shared" si="220"/>
        <v/>
      </c>
    </row>
    <row r="654" spans="7:82" ht="15">
      <c r="G654" s="1701" t="s">
        <v>1305</v>
      </c>
      <c r="H654" s="1702">
        <f>IF(rng02_Uses_DevRehabCosts_Financing_TotFinCosts="","",rng02_Uses_DevRehabCosts_Financing_TotFinCosts)</f>
        <v>0</v>
      </c>
      <c r="I654" s="1702">
        <v>0</v>
      </c>
      <c r="J654" s="1702">
        <v>0</v>
      </c>
      <c r="K654" s="1702">
        <v>0</v>
      </c>
      <c r="L654" s="1702">
        <v>0</v>
      </c>
      <c r="N654" s="1702">
        <v>0</v>
      </c>
      <c r="O654" s="1702">
        <v>0</v>
      </c>
      <c r="P654" s="1702">
        <v>0</v>
      </c>
      <c r="R654" s="1702">
        <v>0</v>
      </c>
      <c r="S654" s="1702">
        <v>0</v>
      </c>
      <c r="AM654" s="1702" t="s">
        <v>1305</v>
      </c>
      <c r="AN654" s="1702">
        <f t="shared" si="193"/>
        <v>0</v>
      </c>
      <c r="AO654" s="1702" t="str">
        <f t="shared" si="194"/>
        <v/>
      </c>
      <c r="AP654" s="1702" t="str">
        <f t="shared" si="195"/>
        <v/>
      </c>
      <c r="AQ654" s="1702" t="str">
        <f t="shared" si="196"/>
        <v/>
      </c>
      <c r="AR654" s="1702" t="str">
        <f t="shared" si="197"/>
        <v/>
      </c>
      <c r="AT654" s="1702" t="str">
        <f t="shared" si="198"/>
        <v/>
      </c>
      <c r="AU654" s="1702" t="str">
        <f t="shared" si="199"/>
        <v/>
      </c>
      <c r="AV654" s="1702" t="str">
        <f t="shared" si="200"/>
        <v/>
      </c>
      <c r="AX654" s="1702" t="str">
        <f t="shared" si="201"/>
        <v/>
      </c>
      <c r="AY654" s="1702" t="str">
        <f t="shared" si="202"/>
        <v/>
      </c>
      <c r="BC654" s="1702" t="s">
        <v>1305</v>
      </c>
      <c r="BD654" s="1702" t="str">
        <f t="shared" si="203"/>
        <v/>
      </c>
      <c r="BE654" s="1702" t="str">
        <f t="shared" si="204"/>
        <v/>
      </c>
      <c r="BF654" s="1702" t="str">
        <f t="shared" si="205"/>
        <v/>
      </c>
      <c r="BG654" s="1702" t="str">
        <f t="shared" si="206"/>
        <v/>
      </c>
      <c r="BH654" s="1702" t="str">
        <f t="shared" si="207"/>
        <v/>
      </c>
      <c r="BJ654" s="1702" t="str">
        <f t="shared" si="208"/>
        <v/>
      </c>
      <c r="BK654" s="1702" t="str">
        <f t="shared" si="209"/>
        <v/>
      </c>
      <c r="BL654" s="1702" t="str">
        <f t="shared" si="210"/>
        <v/>
      </c>
      <c r="BN654" s="2078" t="str">
        <f t="shared" si="211"/>
        <v/>
      </c>
      <c r="BO654" s="2081" t="str">
        <f t="shared" si="212"/>
        <v/>
      </c>
      <c r="BT654" s="1702" t="str">
        <f t="shared" si="213"/>
        <v/>
      </c>
      <c r="BU654" s="1702" t="str">
        <f t="shared" si="214"/>
        <v/>
      </c>
      <c r="BV654" s="1702" t="str">
        <f t="shared" si="215"/>
        <v/>
      </c>
      <c r="BW654" s="1702" t="s">
        <v>1305</v>
      </c>
      <c r="BY654" s="1702" t="str">
        <f t="shared" si="216"/>
        <v/>
      </c>
      <c r="BZ654" s="1702" t="str">
        <f t="shared" si="217"/>
        <v/>
      </c>
      <c r="CA654" s="1702" t="str">
        <f t="shared" si="218"/>
        <v/>
      </c>
      <c r="CC654" s="1702" t="str">
        <f t="shared" si="219"/>
        <v/>
      </c>
      <c r="CD654" s="1702" t="str">
        <f t="shared" si="220"/>
        <v/>
      </c>
    </row>
    <row r="656" spans="7:82" ht="15">
      <c r="G656" s="1701" t="s">
        <v>1306</v>
      </c>
      <c r="H656" s="1765"/>
      <c r="I656" s="1765"/>
      <c r="J656" s="1765"/>
      <c r="K656" s="1765"/>
      <c r="L656" s="1765"/>
      <c r="AM656" s="1677" t="s">
        <v>1306</v>
      </c>
      <c r="BC656" s="1677" t="s">
        <v>1306</v>
      </c>
      <c r="BW656" s="1677" t="s">
        <v>1306</v>
      </c>
    </row>
    <row r="657" spans="7:82" ht="15">
      <c r="G657" s="1779" t="s">
        <v>1307</v>
      </c>
      <c r="H657" s="1766">
        <f>IF(rng02_Uses_DevRehabCosts_Reserves_1YrPropTaxEscrow="","",rng02_Uses_DevRehabCosts_Reserves_1YrPropTaxEscrow)</f>
        <v>0</v>
      </c>
      <c r="I657" s="1766"/>
      <c r="J657" s="1766"/>
      <c r="K657" s="1766"/>
      <c r="L657" s="1766"/>
      <c r="N657" s="1702"/>
      <c r="O657" s="1702"/>
      <c r="P657" s="1702"/>
      <c r="R657" s="1702"/>
      <c r="S657" s="1702"/>
      <c r="AM657" s="1763" t="s">
        <v>1307</v>
      </c>
      <c r="AN657" s="1702">
        <f t="shared" ref="AN657:AN664" si="221">IF(FourPercentTrigger="No","",IF($H657="","",$H657))</f>
        <v>0</v>
      </c>
      <c r="AO657" s="1702" t="str">
        <f t="shared" ref="AO657:AO664" si="222">IF(TCATrigger="No","",IF(FourPercentTrigger="No","",IF($I657="","",$I657)))</f>
        <v/>
      </c>
      <c r="AP657" s="1702" t="str">
        <f t="shared" ref="AP657:AP664" si="223">IF(TCATrigger="No","",IF(FourPercentTrigger="No","",IF($J657="","",$J657)))</f>
        <v/>
      </c>
      <c r="AQ657" s="1702" t="str">
        <f t="shared" ref="AQ657:AQ664" si="224">IF(TCATrigger="No","",IF(FourPercentTrigger="No","",IF($K657="","",$K657)))</f>
        <v/>
      </c>
      <c r="AR657" s="1702" t="str">
        <f t="shared" ref="AR657:AR664" si="225">IF(TCATrigger="No","",IF(FourPercentTrigger="No","",IF($L657="","",$L657)))</f>
        <v/>
      </c>
      <c r="AT657" s="1702" t="str">
        <f t="shared" ref="AT657:AT664" si="226">IF(TCATrigger="No","",IF(FourPercentTrigger="No","",IF($N657="","",$N657)))</f>
        <v/>
      </c>
      <c r="AU657" s="1702" t="str">
        <f t="shared" ref="AU657:AU664" si="227">IF(TCATrigger="No","",IF(FourPercentTrigger="No","",IF($O657="","",$O657)))</f>
        <v/>
      </c>
      <c r="AV657" s="1702" t="str">
        <f t="shared" ref="AV657:AV664" si="228">IF(TCATrigger="No","",IF(FourPercentTrigger="No","",IF($P657="","",$P657)))</f>
        <v/>
      </c>
      <c r="AX657" s="1702" t="str">
        <f t="shared" ref="AX657:AX664" si="229">IF(TCATrigger="No","",IF(FourPercentTrigger="No","",IF($R657="","",$R657)))</f>
        <v/>
      </c>
      <c r="AY657" s="1702" t="str">
        <f t="shared" ref="AY657:AY664" si="230">IF(TCATrigger="No","",IF(FourPercentTrigger="No","",IF($S657="","",$S657)))</f>
        <v/>
      </c>
      <c r="BC657" s="1702" t="s">
        <v>1307</v>
      </c>
      <c r="BD657" s="1702" t="str">
        <f t="shared" ref="BD657:BD664" si="231">IF(TCATrigger="No","",IF(NinePercentTrigger="No","",IF($H657="","",$H657)))</f>
        <v/>
      </c>
      <c r="BE657" s="1702" t="str">
        <f t="shared" ref="BE657:BE664" si="232">IF(TCATrigger="No","",IF(NinePercentTrigger="No","",IF($I657="","",$I657)))</f>
        <v/>
      </c>
      <c r="BF657" s="1702" t="str">
        <f t="shared" ref="BF657:BF664" si="233">IF(TCATrigger="No","",IF(NinePercentTrigger="No","",IF($J657="","",$J657)))</f>
        <v/>
      </c>
      <c r="BG657" s="1702" t="str">
        <f t="shared" ref="BG657:BG664" si="234">IF(TCATrigger="No","",IF(NinePercentTrigger="No","",IF($K657="","",$K657)))</f>
        <v/>
      </c>
      <c r="BH657" s="1702" t="str">
        <f t="shared" ref="BH657:BH664" si="235">IF(TCATrigger="No","",IF(NinePercentTrigger="No","",IF($L657="","",$L657)))</f>
        <v/>
      </c>
      <c r="BJ657" s="1702" t="str">
        <f t="shared" ref="BJ657:BJ664" si="236">IF(TCATrigger="No","",IF(NinePercentTrigger="No","",IF($N657="","",$N657)))</f>
        <v/>
      </c>
      <c r="BK657" s="1702" t="str">
        <f t="shared" ref="BK657:BK664" si="237">IF(TCATrigger="No","",IF(NinePercentTrigger="No","",IF($O657="","",$O657)))</f>
        <v/>
      </c>
      <c r="BL657" s="1702" t="str">
        <f t="shared" ref="BL657:BL664" si="238">IF(TCATrigger="No","",IF(NinePercentTrigger="No","",IF($P657="","",$P657)))</f>
        <v/>
      </c>
      <c r="BN657" s="2078" t="str">
        <f t="shared" ref="BN657:BN664" si="239">IF(TCATrigger="No","",IF(NinePercentTrigger="No","",IF($R657="","",$R657)))</f>
        <v/>
      </c>
      <c r="BO657" s="2081" t="str">
        <f t="shared" ref="BO657:BO664" si="240">IF(TCATrigger="No","",IF(NinePercentTrigger="No","",IF($S657="","",$S657)))</f>
        <v/>
      </c>
      <c r="BT657" s="1702" t="str">
        <f t="shared" ref="BT657:BT664" si="241">IF(TCATrigger="No","",IF(AcquisitionTrigger="No","",IF($I657="","",$I657)))</f>
        <v/>
      </c>
      <c r="BU657" s="1702" t="str">
        <f t="shared" ref="BU657:BU664" si="242">IF(TCATrigger="No","",IF(AcquisitionTrigger="No","",IF($J657="","",$J657)))</f>
        <v/>
      </c>
      <c r="BV657" s="1702" t="str">
        <f t="shared" ref="BV657:BV664" si="243">IF(TCATrigger="No","",IF(AcquisitionTrigger="No","",IF($K657="","",$K657)))</f>
        <v/>
      </c>
      <c r="BW657" s="1763" t="s">
        <v>1307</v>
      </c>
      <c r="BY657" s="1702" t="str">
        <f t="shared" ref="BY657:BY664" si="244">IF(TCATrigger="No","",IF(AcquisitionTrigger="No","",IF($N657="","",$N657)))</f>
        <v/>
      </c>
      <c r="BZ657" s="1702" t="str">
        <f t="shared" ref="BZ657:BZ664" si="245">IF(TCATrigger="No","",IF(AcquisitionTrigger="No","",IF($O657="","",$O657)))</f>
        <v/>
      </c>
      <c r="CA657" s="1702" t="str">
        <f t="shared" ref="CA657:CA664" si="246">IF(TCATrigger="No","",IF(AcquisitionTrigger="No","",IF($P657="","",$P657)))</f>
        <v/>
      </c>
      <c r="CC657" s="1702" t="str">
        <f t="shared" ref="CC657:CC664" si="247">IF(TCATrigger="No","",IF(AcquisitionTrigger="No","",IF($R657="","",$R657)))</f>
        <v/>
      </c>
      <c r="CD657" s="1702" t="str">
        <f t="shared" ref="CD657:CD664" si="248">IF(TCATrigger="No","",IF(AcquisitionTrigger="No","",IF($S657="","",$S657)))</f>
        <v/>
      </c>
    </row>
    <row r="658" spans="7:82" ht="15">
      <c r="G658" s="1779" t="s">
        <v>1308</v>
      </c>
      <c r="H658" s="1702">
        <f>IF(rng02_Uses_DevRehabCosts_Reserves_1YrInsEscrow="","",rng02_Uses_DevRehabCosts_Reserves_1YrInsEscrow)</f>
        <v>0</v>
      </c>
      <c r="I658" s="1702"/>
      <c r="J658" s="1702"/>
      <c r="K658" s="1702"/>
      <c r="L658" s="1702"/>
      <c r="N658" s="1702"/>
      <c r="O658" s="1702"/>
      <c r="P658" s="1702"/>
      <c r="R658" s="1702"/>
      <c r="S658" s="1702"/>
      <c r="AM658" s="1763" t="s">
        <v>1308</v>
      </c>
      <c r="AN658" s="1702">
        <f t="shared" si="221"/>
        <v>0</v>
      </c>
      <c r="AO658" s="1702" t="str">
        <f t="shared" si="222"/>
        <v/>
      </c>
      <c r="AP658" s="1702" t="str">
        <f t="shared" si="223"/>
        <v/>
      </c>
      <c r="AQ658" s="1702" t="str">
        <f t="shared" si="224"/>
        <v/>
      </c>
      <c r="AR658" s="1702" t="str">
        <f t="shared" si="225"/>
        <v/>
      </c>
      <c r="AT658" s="1702" t="str">
        <f t="shared" si="226"/>
        <v/>
      </c>
      <c r="AU658" s="1702" t="str">
        <f t="shared" si="227"/>
        <v/>
      </c>
      <c r="AV658" s="1702" t="str">
        <f t="shared" si="228"/>
        <v/>
      </c>
      <c r="AX658" s="1702" t="str">
        <f t="shared" si="229"/>
        <v/>
      </c>
      <c r="AY658" s="1702" t="str">
        <f t="shared" si="230"/>
        <v/>
      </c>
      <c r="BC658" s="1702" t="s">
        <v>1308</v>
      </c>
      <c r="BD658" s="1702" t="str">
        <f t="shared" si="231"/>
        <v/>
      </c>
      <c r="BE658" s="1702" t="str">
        <f t="shared" si="232"/>
        <v/>
      </c>
      <c r="BF658" s="1702" t="str">
        <f t="shared" si="233"/>
        <v/>
      </c>
      <c r="BG658" s="1702" t="str">
        <f t="shared" si="234"/>
        <v/>
      </c>
      <c r="BH658" s="1702" t="str">
        <f t="shared" si="235"/>
        <v/>
      </c>
      <c r="BJ658" s="1702" t="str">
        <f t="shared" si="236"/>
        <v/>
      </c>
      <c r="BK658" s="1702" t="str">
        <f t="shared" si="237"/>
        <v/>
      </c>
      <c r="BL658" s="1702" t="str">
        <f t="shared" si="238"/>
        <v/>
      </c>
      <c r="BN658" s="2078" t="str">
        <f t="shared" si="239"/>
        <v/>
      </c>
      <c r="BO658" s="2081" t="str">
        <f t="shared" si="240"/>
        <v/>
      </c>
      <c r="BT658" s="1702" t="str">
        <f t="shared" si="241"/>
        <v/>
      </c>
      <c r="BU658" s="1702" t="str">
        <f t="shared" si="242"/>
        <v/>
      </c>
      <c r="BV658" s="1702" t="str">
        <f t="shared" si="243"/>
        <v/>
      </c>
      <c r="BW658" s="1763" t="s">
        <v>1308</v>
      </c>
      <c r="BY658" s="1702" t="str">
        <f t="shared" si="244"/>
        <v/>
      </c>
      <c r="BZ658" s="1702" t="str">
        <f t="shared" si="245"/>
        <v/>
      </c>
      <c r="CA658" s="1702" t="str">
        <f t="shared" si="246"/>
        <v/>
      </c>
      <c r="CC658" s="1702" t="str">
        <f t="shared" si="247"/>
        <v/>
      </c>
      <c r="CD658" s="1702" t="str">
        <f t="shared" si="248"/>
        <v/>
      </c>
    </row>
    <row r="659" spans="7:82" ht="15">
      <c r="G659" s="1779" t="s">
        <v>1309</v>
      </c>
      <c r="H659" s="1702">
        <f>IF(rng02_Uses_DevRehabCosts_Reserves_OperatingReserve="","",rng02_Uses_DevRehabCosts_Reserves_OperatingReserve)</f>
        <v>0</v>
      </c>
      <c r="I659" s="1702"/>
      <c r="J659" s="1702"/>
      <c r="K659" s="1702"/>
      <c r="L659" s="1702"/>
      <c r="N659" s="1702"/>
      <c r="O659" s="1702"/>
      <c r="P659" s="1702"/>
      <c r="R659" s="1702"/>
      <c r="S659" s="1702"/>
      <c r="AM659" s="1702" t="s">
        <v>1309</v>
      </c>
      <c r="AN659" s="1702">
        <f t="shared" si="221"/>
        <v>0</v>
      </c>
      <c r="AO659" s="1702" t="str">
        <f t="shared" si="222"/>
        <v/>
      </c>
      <c r="AP659" s="1702" t="str">
        <f t="shared" si="223"/>
        <v/>
      </c>
      <c r="AQ659" s="1702" t="str">
        <f t="shared" si="224"/>
        <v/>
      </c>
      <c r="AR659" s="1702" t="str">
        <f t="shared" si="225"/>
        <v/>
      </c>
      <c r="AT659" s="1702" t="str">
        <f t="shared" si="226"/>
        <v/>
      </c>
      <c r="AU659" s="1702" t="str">
        <f t="shared" si="227"/>
        <v/>
      </c>
      <c r="AV659" s="1702" t="str">
        <f t="shared" si="228"/>
        <v/>
      </c>
      <c r="AX659" s="1702" t="str">
        <f t="shared" si="229"/>
        <v/>
      </c>
      <c r="AY659" s="1702" t="str">
        <f t="shared" si="230"/>
        <v/>
      </c>
      <c r="BC659" s="1702" t="s">
        <v>1309</v>
      </c>
      <c r="BD659" s="1702" t="str">
        <f t="shared" si="231"/>
        <v/>
      </c>
      <c r="BE659" s="1702" t="str">
        <f t="shared" si="232"/>
        <v/>
      </c>
      <c r="BF659" s="1702" t="str">
        <f t="shared" si="233"/>
        <v/>
      </c>
      <c r="BG659" s="1702" t="str">
        <f t="shared" si="234"/>
        <v/>
      </c>
      <c r="BH659" s="1702" t="str">
        <f t="shared" si="235"/>
        <v/>
      </c>
      <c r="BJ659" s="1702" t="str">
        <f t="shared" si="236"/>
        <v/>
      </c>
      <c r="BK659" s="1702" t="str">
        <f t="shared" si="237"/>
        <v/>
      </c>
      <c r="BL659" s="1702" t="str">
        <f t="shared" si="238"/>
        <v/>
      </c>
      <c r="BN659" s="2078" t="str">
        <f t="shared" si="239"/>
        <v/>
      </c>
      <c r="BO659" s="2081" t="str">
        <f t="shared" si="240"/>
        <v/>
      </c>
      <c r="BT659" s="1702" t="str">
        <f t="shared" si="241"/>
        <v/>
      </c>
      <c r="BU659" s="1702" t="str">
        <f t="shared" si="242"/>
        <v/>
      </c>
      <c r="BV659" s="1702" t="str">
        <f t="shared" si="243"/>
        <v/>
      </c>
      <c r="BW659" s="1702" t="s">
        <v>1309</v>
      </c>
      <c r="BY659" s="1702" t="str">
        <f t="shared" si="244"/>
        <v/>
      </c>
      <c r="BZ659" s="1702" t="str">
        <f t="shared" si="245"/>
        <v/>
      </c>
      <c r="CA659" s="1702" t="str">
        <f t="shared" si="246"/>
        <v/>
      </c>
      <c r="CC659" s="1702" t="str">
        <f t="shared" si="247"/>
        <v/>
      </c>
      <c r="CD659" s="1702" t="str">
        <f t="shared" si="248"/>
        <v/>
      </c>
    </row>
    <row r="660" spans="7:82" ht="15">
      <c r="G660" s="1779" t="s">
        <v>1310</v>
      </c>
      <c r="H660" s="1702">
        <f>IF(rng02_Uses_DevRehabCosts_Reserves_ReplacementReserve="","",rng02_Uses_DevRehabCosts_Reserves_ReplacementReserve)</f>
        <v>0</v>
      </c>
      <c r="I660" s="1702"/>
      <c r="J660" s="1702"/>
      <c r="K660" s="1702"/>
      <c r="L660" s="1702"/>
      <c r="N660" s="1702"/>
      <c r="O660" s="1702"/>
      <c r="P660" s="1702"/>
      <c r="R660" s="1702"/>
      <c r="S660" s="1702"/>
      <c r="AM660" s="1763" t="s">
        <v>1310</v>
      </c>
      <c r="AN660" s="1702">
        <f t="shared" si="221"/>
        <v>0</v>
      </c>
      <c r="AO660" s="1702" t="str">
        <f t="shared" si="222"/>
        <v/>
      </c>
      <c r="AP660" s="1702" t="str">
        <f t="shared" si="223"/>
        <v/>
      </c>
      <c r="AQ660" s="1702" t="str">
        <f t="shared" si="224"/>
        <v/>
      </c>
      <c r="AR660" s="1702" t="str">
        <f t="shared" si="225"/>
        <v/>
      </c>
      <c r="AT660" s="1702" t="str">
        <f t="shared" si="226"/>
        <v/>
      </c>
      <c r="AU660" s="1702" t="str">
        <f t="shared" si="227"/>
        <v/>
      </c>
      <c r="AV660" s="1702" t="str">
        <f t="shared" si="228"/>
        <v/>
      </c>
      <c r="AX660" s="1702" t="str">
        <f t="shared" si="229"/>
        <v/>
      </c>
      <c r="AY660" s="1702" t="str">
        <f t="shared" si="230"/>
        <v/>
      </c>
      <c r="BC660" s="1702" t="s">
        <v>1310</v>
      </c>
      <c r="BD660" s="1702" t="str">
        <f t="shared" si="231"/>
        <v/>
      </c>
      <c r="BE660" s="1702" t="str">
        <f t="shared" si="232"/>
        <v/>
      </c>
      <c r="BF660" s="1702" t="str">
        <f t="shared" si="233"/>
        <v/>
      </c>
      <c r="BG660" s="1702" t="str">
        <f t="shared" si="234"/>
        <v/>
      </c>
      <c r="BH660" s="1702" t="str">
        <f t="shared" si="235"/>
        <v/>
      </c>
      <c r="BJ660" s="1702" t="str">
        <f t="shared" si="236"/>
        <v/>
      </c>
      <c r="BK660" s="1702" t="str">
        <f t="shared" si="237"/>
        <v/>
      </c>
      <c r="BL660" s="1702" t="str">
        <f t="shared" si="238"/>
        <v/>
      </c>
      <c r="BN660" s="2078" t="str">
        <f t="shared" si="239"/>
        <v/>
      </c>
      <c r="BO660" s="2081" t="str">
        <f t="shared" si="240"/>
        <v/>
      </c>
      <c r="BT660" s="1702" t="str">
        <f t="shared" si="241"/>
        <v/>
      </c>
      <c r="BU660" s="1702" t="str">
        <f t="shared" si="242"/>
        <v/>
      </c>
      <c r="BV660" s="1702" t="str">
        <f t="shared" si="243"/>
        <v/>
      </c>
      <c r="BW660" s="1763" t="s">
        <v>1310</v>
      </c>
      <c r="BY660" s="1702" t="str">
        <f t="shared" si="244"/>
        <v/>
      </c>
      <c r="BZ660" s="1702" t="str">
        <f t="shared" si="245"/>
        <v/>
      </c>
      <c r="CA660" s="1702" t="str">
        <f t="shared" si="246"/>
        <v/>
      </c>
      <c r="CC660" s="1702" t="str">
        <f t="shared" si="247"/>
        <v/>
      </c>
      <c r="CD660" s="1702" t="str">
        <f t="shared" si="248"/>
        <v/>
      </c>
    </row>
    <row r="661" spans="7:82" ht="15">
      <c r="G661" s="1780" t="s">
        <v>2314</v>
      </c>
      <c r="H661" s="1702"/>
      <c r="I661" s="1702">
        <f>SUM(H662:H663)</f>
        <v>0</v>
      </c>
      <c r="J661" s="1702"/>
      <c r="K661" s="1702"/>
      <c r="L661" s="1702"/>
      <c r="N661" s="1702"/>
      <c r="O661" s="1702"/>
      <c r="P661" s="1702"/>
      <c r="R661" s="1702"/>
      <c r="S661" s="1702"/>
      <c r="AM661" s="1789" t="s">
        <v>2313</v>
      </c>
      <c r="AN661" s="1702"/>
      <c r="AO661" s="1758">
        <f>IF(FourPercentTrigger="No","",IF($I661="","",$I661))</f>
        <v>0</v>
      </c>
      <c r="AP661" s="1702"/>
      <c r="AQ661" s="1702"/>
      <c r="AR661" s="1702"/>
      <c r="AT661" s="1702"/>
      <c r="AU661" s="1702"/>
      <c r="AV661" s="1702"/>
      <c r="AX661" s="1702"/>
      <c r="AY661" s="1702"/>
      <c r="BC661" s="1789" t="s">
        <v>2313</v>
      </c>
      <c r="BD661" s="1702"/>
      <c r="BE661" s="1789" t="str">
        <f t="shared" si="232"/>
        <v/>
      </c>
      <c r="BF661" s="1702"/>
      <c r="BG661" s="1702"/>
      <c r="BH661" s="1702"/>
      <c r="BJ661" s="1702"/>
      <c r="BK661" s="1702"/>
      <c r="BL661" s="1702"/>
      <c r="BN661" s="2078"/>
      <c r="BO661" s="2081"/>
      <c r="BT661" s="1789" t="str">
        <f>IF(TCATrigger="No","",IF(AcquisitionTrigger="No","",IF($I661="","",$I661)))</f>
        <v/>
      </c>
      <c r="BU661" s="1702"/>
      <c r="BV661" s="1702"/>
      <c r="BW661" s="1789" t="s">
        <v>2313</v>
      </c>
      <c r="BY661" s="1702"/>
      <c r="BZ661" s="1702"/>
      <c r="CA661" s="1702"/>
      <c r="CC661" s="1702"/>
      <c r="CD661" s="1702"/>
    </row>
    <row r="662" spans="7:82" ht="15">
      <c r="G662" s="1779" t="s">
        <v>1311</v>
      </c>
      <c r="H662" s="1702">
        <f>IF(rng02_Uses_DevRehabCosts_Reserves_LeaseUpReserve="","",rng02_Uses_DevRehabCosts_Reserves_LeaseUpReserve)</f>
        <v>0</v>
      </c>
      <c r="I662" s="1702"/>
      <c r="J662" s="1702"/>
      <c r="K662" s="1702"/>
      <c r="L662" s="1702"/>
      <c r="N662" s="1702"/>
      <c r="O662" s="1702"/>
      <c r="P662" s="1702"/>
      <c r="R662" s="1702"/>
      <c r="S662" s="1702"/>
      <c r="AM662" s="1758" t="s">
        <v>1311</v>
      </c>
      <c r="AN662" s="1702">
        <f t="shared" si="221"/>
        <v>0</v>
      </c>
      <c r="AO662" s="1702"/>
      <c r="AP662" s="1702" t="str">
        <f t="shared" si="223"/>
        <v/>
      </c>
      <c r="AQ662" s="1702" t="str">
        <f t="shared" si="224"/>
        <v/>
      </c>
      <c r="AR662" s="1702" t="str">
        <f t="shared" si="225"/>
        <v/>
      </c>
      <c r="AT662" s="1702" t="str">
        <f t="shared" si="226"/>
        <v/>
      </c>
      <c r="AU662" s="1702" t="str">
        <f t="shared" si="227"/>
        <v/>
      </c>
      <c r="AV662" s="1702" t="str">
        <f t="shared" si="228"/>
        <v/>
      </c>
      <c r="AX662" s="1702" t="str">
        <f t="shared" si="229"/>
        <v/>
      </c>
      <c r="AY662" s="1702" t="str">
        <f t="shared" si="230"/>
        <v/>
      </c>
      <c r="BC662" s="1758" t="s">
        <v>1311</v>
      </c>
      <c r="BD662" s="1702" t="str">
        <f t="shared" si="231"/>
        <v/>
      </c>
      <c r="BE662" s="1702" t="str">
        <f t="shared" si="232"/>
        <v/>
      </c>
      <c r="BF662" s="1702" t="str">
        <f t="shared" si="233"/>
        <v/>
      </c>
      <c r="BG662" s="1702" t="str">
        <f t="shared" si="234"/>
        <v/>
      </c>
      <c r="BH662" s="1702" t="str">
        <f t="shared" si="235"/>
        <v/>
      </c>
      <c r="BJ662" s="1702" t="str">
        <f t="shared" si="236"/>
        <v/>
      </c>
      <c r="BK662" s="1702" t="str">
        <f t="shared" si="237"/>
        <v/>
      </c>
      <c r="BL662" s="1702" t="str">
        <f t="shared" si="238"/>
        <v/>
      </c>
      <c r="BN662" s="2078" t="str">
        <f t="shared" si="239"/>
        <v/>
      </c>
      <c r="BO662" s="2081" t="str">
        <f t="shared" si="240"/>
        <v/>
      </c>
      <c r="BT662" s="1702" t="str">
        <f t="shared" si="241"/>
        <v/>
      </c>
      <c r="BU662" s="1702" t="str">
        <f t="shared" si="242"/>
        <v/>
      </c>
      <c r="BV662" s="1702" t="str">
        <f t="shared" si="243"/>
        <v/>
      </c>
      <c r="BW662" s="1758" t="s">
        <v>1311</v>
      </c>
      <c r="BY662" s="1702" t="str">
        <f t="shared" si="244"/>
        <v/>
      </c>
      <c r="BZ662" s="1702" t="str">
        <f t="shared" si="245"/>
        <v/>
      </c>
      <c r="CA662" s="1702" t="str">
        <f t="shared" si="246"/>
        <v/>
      </c>
      <c r="CC662" s="1702" t="str">
        <f t="shared" si="247"/>
        <v/>
      </c>
      <c r="CD662" s="1702" t="str">
        <f t="shared" si="248"/>
        <v/>
      </c>
    </row>
    <row r="663" spans="7:82" ht="15">
      <c r="G663" s="1779" t="s">
        <v>96</v>
      </c>
      <c r="H663" s="1702">
        <f>IF(rng02_Uses_DevRehabCosts_Reserves_Other1="","",rng02_Uses_DevRehabCosts_Reserves_Other1)</f>
        <v>0</v>
      </c>
      <c r="I663" s="1702"/>
      <c r="J663" s="1702"/>
      <c r="K663" s="1702"/>
      <c r="L663" s="1702"/>
      <c r="N663" s="1702"/>
      <c r="O663" s="1702"/>
      <c r="P663" s="1702"/>
      <c r="R663" s="1702"/>
      <c r="S663" s="1702"/>
      <c r="AM663" s="1758" t="s">
        <v>96</v>
      </c>
      <c r="AN663" s="1702">
        <f t="shared" si="221"/>
        <v>0</v>
      </c>
      <c r="AO663" s="1702" t="str">
        <f t="shared" si="222"/>
        <v/>
      </c>
      <c r="AP663" s="1702" t="str">
        <f t="shared" si="223"/>
        <v/>
      </c>
      <c r="AQ663" s="1702" t="str">
        <f t="shared" si="224"/>
        <v/>
      </c>
      <c r="AR663" s="1702" t="str">
        <f t="shared" si="225"/>
        <v/>
      </c>
      <c r="AT663" s="1702" t="str">
        <f t="shared" si="226"/>
        <v/>
      </c>
      <c r="AU663" s="1702" t="str">
        <f t="shared" si="227"/>
        <v/>
      </c>
      <c r="AV663" s="1702" t="str">
        <f t="shared" si="228"/>
        <v/>
      </c>
      <c r="AX663" s="1702" t="str">
        <f t="shared" si="229"/>
        <v/>
      </c>
      <c r="AY663" s="1702" t="str">
        <f t="shared" si="230"/>
        <v/>
      </c>
      <c r="BC663" s="1758" t="s">
        <v>96</v>
      </c>
      <c r="BD663" s="1702" t="str">
        <f t="shared" si="231"/>
        <v/>
      </c>
      <c r="BE663" s="1702" t="str">
        <f t="shared" si="232"/>
        <v/>
      </c>
      <c r="BF663" s="1702" t="str">
        <f t="shared" si="233"/>
        <v/>
      </c>
      <c r="BG663" s="1702" t="str">
        <f t="shared" si="234"/>
        <v/>
      </c>
      <c r="BH663" s="1702" t="str">
        <f t="shared" si="235"/>
        <v/>
      </c>
      <c r="BJ663" s="1702" t="str">
        <f t="shared" si="236"/>
        <v/>
      </c>
      <c r="BK663" s="1702" t="str">
        <f t="shared" si="237"/>
        <v/>
      </c>
      <c r="BL663" s="1702" t="str">
        <f t="shared" si="238"/>
        <v/>
      </c>
      <c r="BN663" s="2078" t="str">
        <f t="shared" si="239"/>
        <v/>
      </c>
      <c r="BO663" s="2081" t="str">
        <f t="shared" si="240"/>
        <v/>
      </c>
      <c r="BT663" s="1702" t="str">
        <f t="shared" si="241"/>
        <v/>
      </c>
      <c r="BU663" s="1702" t="str">
        <f t="shared" si="242"/>
        <v/>
      </c>
      <c r="BV663" s="1702" t="str">
        <f t="shared" si="243"/>
        <v/>
      </c>
      <c r="BW663" s="1758" t="s">
        <v>96</v>
      </c>
      <c r="BY663" s="1702" t="str">
        <f t="shared" si="244"/>
        <v/>
      </c>
      <c r="BZ663" s="1702" t="str">
        <f t="shared" si="245"/>
        <v/>
      </c>
      <c r="CA663" s="1702" t="str">
        <f t="shared" si="246"/>
        <v/>
      </c>
      <c r="CC663" s="1702" t="str">
        <f t="shared" si="247"/>
        <v/>
      </c>
      <c r="CD663" s="1702" t="str">
        <f t="shared" si="248"/>
        <v/>
      </c>
    </row>
    <row r="664" spans="7:82" ht="15">
      <c r="G664" s="1701" t="s">
        <v>1312</v>
      </c>
      <c r="H664" s="1702">
        <f>IF(rng02_Uses_DevRehabCosts_Reserves_TotReserves="","",rng02_Uses_DevRehabCosts_Reserves_TotReserves)</f>
        <v>0</v>
      </c>
      <c r="I664" s="1753" t="str">
        <f>IF(SUM(H657:H663)=0,"",SUM(H657:H663))</f>
        <v/>
      </c>
      <c r="J664" s="1702">
        <v>0</v>
      </c>
      <c r="K664" s="1702">
        <v>0</v>
      </c>
      <c r="L664" s="1702">
        <v>0</v>
      </c>
      <c r="N664" s="1702">
        <v>0</v>
      </c>
      <c r="O664" s="1702">
        <v>0</v>
      </c>
      <c r="P664" s="1702">
        <v>0</v>
      </c>
      <c r="R664" s="1702">
        <v>0</v>
      </c>
      <c r="S664" s="1702">
        <v>0</v>
      </c>
      <c r="AM664" s="1702" t="s">
        <v>1312</v>
      </c>
      <c r="AN664" s="1702">
        <f t="shared" si="221"/>
        <v>0</v>
      </c>
      <c r="AO664" s="1702" t="str">
        <f t="shared" si="222"/>
        <v/>
      </c>
      <c r="AP664" s="1702" t="str">
        <f t="shared" si="223"/>
        <v/>
      </c>
      <c r="AQ664" s="1702" t="str">
        <f t="shared" si="224"/>
        <v/>
      </c>
      <c r="AR664" s="1702" t="str">
        <f t="shared" si="225"/>
        <v/>
      </c>
      <c r="AT664" s="1702" t="str">
        <f t="shared" si="226"/>
        <v/>
      </c>
      <c r="AU664" s="1702" t="str">
        <f t="shared" si="227"/>
        <v/>
      </c>
      <c r="AV664" s="1702" t="str">
        <f t="shared" si="228"/>
        <v/>
      </c>
      <c r="AX664" s="1702" t="str">
        <f t="shared" si="229"/>
        <v/>
      </c>
      <c r="AY664" s="1702" t="str">
        <f t="shared" si="230"/>
        <v/>
      </c>
      <c r="BC664" s="1702" t="s">
        <v>1312</v>
      </c>
      <c r="BD664" s="1702" t="str">
        <f t="shared" si="231"/>
        <v/>
      </c>
      <c r="BE664" s="1702" t="str">
        <f t="shared" si="232"/>
        <v/>
      </c>
      <c r="BF664" s="1702" t="str">
        <f t="shared" si="233"/>
        <v/>
      </c>
      <c r="BG664" s="1702" t="str">
        <f t="shared" si="234"/>
        <v/>
      </c>
      <c r="BH664" s="1702" t="str">
        <f t="shared" si="235"/>
        <v/>
      </c>
      <c r="BJ664" s="1702" t="str">
        <f t="shared" si="236"/>
        <v/>
      </c>
      <c r="BK664" s="1702" t="str">
        <f t="shared" si="237"/>
        <v/>
      </c>
      <c r="BL664" s="1702" t="str">
        <f t="shared" si="238"/>
        <v/>
      </c>
      <c r="BN664" s="2078" t="str">
        <f t="shared" si="239"/>
        <v/>
      </c>
      <c r="BO664" s="2081" t="str">
        <f t="shared" si="240"/>
        <v/>
      </c>
      <c r="BT664" s="1702" t="str">
        <f t="shared" si="241"/>
        <v/>
      </c>
      <c r="BU664" s="1702" t="str">
        <f t="shared" si="242"/>
        <v/>
      </c>
      <c r="BV664" s="1702" t="str">
        <f t="shared" si="243"/>
        <v/>
      </c>
      <c r="BW664" s="1702" t="s">
        <v>1312</v>
      </c>
      <c r="BY664" s="1702" t="str">
        <f t="shared" si="244"/>
        <v/>
      </c>
      <c r="BZ664" s="1702" t="str">
        <f t="shared" si="245"/>
        <v/>
      </c>
      <c r="CA664" s="1702" t="str">
        <f t="shared" si="246"/>
        <v/>
      </c>
      <c r="CC664" s="1702" t="str">
        <f t="shared" si="247"/>
        <v/>
      </c>
      <c r="CD664" s="1702" t="str">
        <f t="shared" si="248"/>
        <v/>
      </c>
    </row>
    <row r="665" spans="7:82" ht="15">
      <c r="G665" s="1701" t="s">
        <v>1313</v>
      </c>
      <c r="AM665" s="1677" t="s">
        <v>1313</v>
      </c>
      <c r="BC665" s="1677" t="s">
        <v>1313</v>
      </c>
      <c r="BW665" s="1677" t="s">
        <v>1313</v>
      </c>
    </row>
    <row r="666" spans="7:82" ht="15">
      <c r="G666" s="1701" t="s">
        <v>1314</v>
      </c>
      <c r="H666" s="1765"/>
      <c r="I666" s="1765"/>
      <c r="J666" s="1765"/>
      <c r="K666" s="1765"/>
      <c r="L666" s="1765"/>
      <c r="AM666" s="1677" t="s">
        <v>1314</v>
      </c>
      <c r="BC666" s="1677" t="s">
        <v>1314</v>
      </c>
      <c r="BW666" s="1677" t="s">
        <v>1314</v>
      </c>
    </row>
    <row r="667" spans="7:82" ht="15">
      <c r="G667" s="1781" t="s">
        <v>1315</v>
      </c>
      <c r="H667" s="1766">
        <f>IF(rng02_Uses_DevRehabCosts_DevFee_BaseDevFee="","",rng02_Uses_DevRehabCosts_DevFee_BaseDevFee)</f>
        <v>0</v>
      </c>
      <c r="I667" s="1756" t="str">
        <f>IF(SUM(H667:H668)=0,"",SUM(H667:H668))</f>
        <v/>
      </c>
      <c r="J667" s="1766"/>
      <c r="K667" s="1766"/>
      <c r="L667" s="1766"/>
      <c r="N667" s="1702"/>
      <c r="O667" s="1702"/>
      <c r="P667" s="1702"/>
      <c r="R667" s="1702"/>
      <c r="S667" s="1702"/>
      <c r="AM667" s="1755" t="s">
        <v>1315</v>
      </c>
      <c r="AN667" s="1702">
        <f>IF(FourPercentTrigger="No","",IF($H667="","",$H667))</f>
        <v>0</v>
      </c>
      <c r="AO667" s="1755" t="str">
        <f>IF(FourPercentTrigger="No","",IF($I667="","",$I667))</f>
        <v/>
      </c>
      <c r="AP667" s="1702" t="str">
        <f>IF(TCATrigger="No","",IF(FourPercentTrigger="No","",IF($J667="","",$J667)))</f>
        <v/>
      </c>
      <c r="AQ667" s="1702" t="str">
        <f>IF(TCATrigger="No","",IF(FourPercentTrigger="No","",IF($K667="","",$K667)))</f>
        <v/>
      </c>
      <c r="AR667" s="1702" t="str">
        <f>IF(TCATrigger="No","",IF(FourPercentTrigger="No","",IF($L667="","",$L667)))</f>
        <v/>
      </c>
      <c r="AT667" s="1702" t="str">
        <f>IF(TCATrigger="No","",IF(FourPercentTrigger="No","",IF($N667="","",$N667)))</f>
        <v/>
      </c>
      <c r="AU667" s="1702" t="str">
        <f>IF(TCATrigger="No","",IF(FourPercentTrigger="No","",IF($O667="","",$O667)))</f>
        <v/>
      </c>
      <c r="AV667" s="1702" t="str">
        <f>IF(TCATrigger="No","",IF(FourPercentTrigger="No","",IF($P667="","",$P667)))</f>
        <v/>
      </c>
      <c r="AX667" s="1702" t="str">
        <f>IF(TCATrigger="No","",IF(FourPercentTrigger="No","",IF($R667="","",$R667)))</f>
        <v/>
      </c>
      <c r="AY667" s="1702" t="str">
        <f>IF(TCATrigger="No","",IF(FourPercentTrigger="No","",IF($S667="","",$S667)))</f>
        <v/>
      </c>
      <c r="BC667" s="1755" t="s">
        <v>1315</v>
      </c>
      <c r="BD667" s="1702" t="str">
        <f>IF(TCATrigger="No","",IF(NinePercentTrigger="No","",IF($H667="","",$H667)))</f>
        <v/>
      </c>
      <c r="BE667" s="1755" t="str">
        <f>IF(TCATrigger="No","",IF(NinePercentTrigger="No","",IF($I667="","",$I667)))</f>
        <v/>
      </c>
      <c r="BF667" s="1702" t="str">
        <f>IF(TCATrigger="No","",IF(NinePercentTrigger="No","",IF($J667="","",$J667)))</f>
        <v/>
      </c>
      <c r="BG667" s="1702" t="str">
        <f>IF(TCATrigger="No","",IF(NinePercentTrigger="No","",IF($K667="","",$K667)))</f>
        <v/>
      </c>
      <c r="BH667" s="1702" t="str">
        <f>IF(TCATrigger="No","",IF(NinePercentTrigger="No","",IF($L667="","",$L667)))</f>
        <v/>
      </c>
      <c r="BJ667" s="1702" t="str">
        <f>IF(TCATrigger="No","",IF(NinePercentTrigger="No","",IF($N667="","",$N667)))</f>
        <v/>
      </c>
      <c r="BK667" s="1702" t="str">
        <f>IF(TCATrigger="No","",IF(NinePercentTrigger="No","",IF($O667="","",$O667)))</f>
        <v/>
      </c>
      <c r="BL667" s="1702" t="str">
        <f>IF(TCATrigger="No","",IF(NinePercentTrigger="No","",IF($P667="","",$P667)))</f>
        <v/>
      </c>
      <c r="BN667" s="2078" t="str">
        <f>IF(TCATrigger="No","",IF(NinePercentTrigger="No","",IF($R667="","",$R667)))</f>
        <v/>
      </c>
      <c r="BO667" s="2081" t="str">
        <f>IF(TCATrigger="No","",IF(NinePercentTrigger="No","",IF($S667="","",$S667)))</f>
        <v/>
      </c>
      <c r="BT667" s="1755" t="str">
        <f>IF(TCATrigger="No","",IF(AcquisitionTrigger="No","",IF($I667="","",$I667)))</f>
        <v/>
      </c>
      <c r="BU667" s="1702" t="str">
        <f>IF(TCATrigger="No","",IF(AcquisitionTrigger="No","",IF($J667="","",$J667)))</f>
        <v/>
      </c>
      <c r="BV667" s="1702" t="str">
        <f>IF(TCATrigger="No","",IF(AcquisitionTrigger="No","",IF($K667="","",$K667)))</f>
        <v/>
      </c>
      <c r="BW667" s="1755" t="s">
        <v>1315</v>
      </c>
      <c r="BY667" s="1702" t="str">
        <f>IF(TCATrigger="No","",IF(AcquisitionTrigger="No","",IF($N667="","",$N667)))</f>
        <v/>
      </c>
      <c r="BZ667" s="1702" t="str">
        <f>IF(TCATrigger="No","",IF(AcquisitionTrigger="No","",IF($O667="","",$O667)))</f>
        <v/>
      </c>
      <c r="CA667" s="1702" t="str">
        <f>IF(TCATrigger="No","",IF(AcquisitionTrigger="No","",IF($P667="","",$P667)))</f>
        <v/>
      </c>
      <c r="CC667" s="1702" t="str">
        <f>IF(TCATrigger="No","",IF(AcquisitionTrigger="No","",IF($R667="","",$R667)))</f>
        <v/>
      </c>
      <c r="CD667" s="1702" t="str">
        <f>IF(TCATrigger="No","",IF(AcquisitionTrigger="No","",IF($S667="","",$S667)))</f>
        <v/>
      </c>
    </row>
    <row r="668" spans="7:82" ht="15">
      <c r="G668" s="1781" t="s">
        <v>1316</v>
      </c>
      <c r="H668" s="1702">
        <f>IF(rng02_Uses_DevRehabCosts_DevFee_EligIncDevFee="","",rng02_Uses_DevRehabCosts_DevFee_EligIncDevFee)</f>
        <v>0</v>
      </c>
      <c r="I668" s="1702"/>
      <c r="J668" s="1702"/>
      <c r="K668" s="1702"/>
      <c r="L668" s="1702"/>
      <c r="N668" s="1702"/>
      <c r="O668" s="1702"/>
      <c r="P668" s="1702"/>
      <c r="R668" s="1702"/>
      <c r="S668" s="1702"/>
      <c r="AM668" s="1755" t="s">
        <v>1316</v>
      </c>
      <c r="AN668" s="1702">
        <f>IF(FourPercentTrigger="No","",IF($H668="","",$H668))</f>
        <v>0</v>
      </c>
      <c r="AO668" s="1702" t="str">
        <f>IF(FourPercentTrigger="No","",IF($I668="","",$I668))</f>
        <v/>
      </c>
      <c r="AP668" s="1702" t="str">
        <f>IF(TCATrigger="No","",IF(FourPercentTrigger="No","",IF($J668="","",$J668)))</f>
        <v/>
      </c>
      <c r="AQ668" s="1702" t="str">
        <f>IF(TCATrigger="No","",IF(FourPercentTrigger="No","",IF($K668="","",$K668)))</f>
        <v/>
      </c>
      <c r="AR668" s="1702" t="str">
        <f>IF(TCATrigger="No","",IF(FourPercentTrigger="No","",IF($L668="","",$L668)))</f>
        <v/>
      </c>
      <c r="AT668" s="1702" t="str">
        <f>IF(TCATrigger="No","",IF(FourPercentTrigger="No","",IF($N668="","",$N668)))</f>
        <v/>
      </c>
      <c r="AU668" s="1702" t="str">
        <f>IF(TCATrigger="No","",IF(FourPercentTrigger="No","",IF($O668="","",$O668)))</f>
        <v/>
      </c>
      <c r="AV668" s="1702" t="str">
        <f>IF(TCATrigger="No","",IF(FourPercentTrigger="No","",IF($P668="","",$P668)))</f>
        <v/>
      </c>
      <c r="AX668" s="1702" t="str">
        <f>IF(TCATrigger="No","",IF(FourPercentTrigger="No","",IF($R668="","",$R668)))</f>
        <v/>
      </c>
      <c r="AY668" s="1702" t="str">
        <f>IF(TCATrigger="No","",IF(FourPercentTrigger="No","",IF($S668="","",$S668)))</f>
        <v/>
      </c>
      <c r="BC668" s="1755" t="s">
        <v>1316</v>
      </c>
      <c r="BD668" s="1702" t="str">
        <f>IF(TCATrigger="No","",IF(NinePercentTrigger="No","",IF($H668="","",$H668)))</f>
        <v/>
      </c>
      <c r="BE668" s="1702" t="str">
        <f>IF(TCATrigger="No","",IF(NinePercentTrigger="No","",IF($I668="","",$I668)))</f>
        <v/>
      </c>
      <c r="BF668" s="1702" t="str">
        <f>IF(TCATrigger="No","",IF(NinePercentTrigger="No","",IF($J668="","",$J668)))</f>
        <v/>
      </c>
      <c r="BG668" s="1702" t="str">
        <f>IF(TCATrigger="No","",IF(NinePercentTrigger="No","",IF($K668="","",$K668)))</f>
        <v/>
      </c>
      <c r="BH668" s="1702" t="str">
        <f>IF(TCATrigger="No","",IF(NinePercentTrigger="No","",IF($L668="","",$L668)))</f>
        <v/>
      </c>
      <c r="BJ668" s="1702" t="str">
        <f>IF(TCATrigger="No","",IF(NinePercentTrigger="No","",IF($N668="","",$N668)))</f>
        <v/>
      </c>
      <c r="BK668" s="1702" t="str">
        <f>IF(TCATrigger="No","",IF(NinePercentTrigger="No","",IF($O668="","",$O668)))</f>
        <v/>
      </c>
      <c r="BL668" s="1702" t="str">
        <f>IF(TCATrigger="No","",IF(NinePercentTrigger="No","",IF($P668="","",$P668)))</f>
        <v/>
      </c>
      <c r="BN668" s="2078" t="str">
        <f>IF(TCATrigger="No","",IF(NinePercentTrigger="No","",IF($R668="","",$R668)))</f>
        <v/>
      </c>
      <c r="BO668" s="2081" t="str">
        <f>IF(TCATrigger="No","",IF(NinePercentTrigger="No","",IF($S668="","",$S668)))</f>
        <v/>
      </c>
      <c r="BT668" s="1702" t="str">
        <f>IF(TCATrigger="No","",IF(AcquisitionTrigger="No","",IF($I668="","",$I668)))</f>
        <v/>
      </c>
      <c r="BU668" s="1702" t="str">
        <f>IF(TCATrigger="No","",IF(AcquisitionTrigger="No","",IF($J668="","",$J668)))</f>
        <v/>
      </c>
      <c r="BV668" s="1702" t="str">
        <f>IF(TCATrigger="No","",IF(AcquisitionTrigger="No","",IF($K668="","",$K668)))</f>
        <v/>
      </c>
      <c r="BW668" s="1755" t="s">
        <v>1316</v>
      </c>
      <c r="BY668" s="1702" t="str">
        <f>IF(TCATrigger="No","",IF(AcquisitionTrigger="No","",IF($N668="","",$N668)))</f>
        <v/>
      </c>
      <c r="BZ668" s="1702" t="str">
        <f>IF(TCATrigger="No","",IF(AcquisitionTrigger="No","",IF($O668="","",$O668)))</f>
        <v/>
      </c>
      <c r="CA668" s="1702" t="str">
        <f>IF(TCATrigger="No","",IF(AcquisitionTrigger="No","",IF($P668="","",$P668)))</f>
        <v/>
      </c>
      <c r="CC668" s="1702" t="str">
        <f>IF(TCATrigger="No","",IF(AcquisitionTrigger="No","",IF($R668="","",$R668)))</f>
        <v/>
      </c>
      <c r="CD668" s="1702" t="str">
        <f>IF(TCATrigger="No","",IF(AcquisitionTrigger="No","",IF($S668="","",$S668)))</f>
        <v/>
      </c>
    </row>
    <row r="669" spans="7:82" ht="15">
      <c r="G669" s="1701" t="s">
        <v>1317</v>
      </c>
      <c r="H669" s="1702">
        <f>IF(rng02_Uses_DevRehabCosts_DevFee_TotDevFee="","",rng02_Uses_DevRehabCosts_DevFee_TotDevFee)</f>
        <v>0</v>
      </c>
      <c r="I669" s="1702"/>
      <c r="J669" s="1702"/>
      <c r="K669" s="1702"/>
      <c r="L669" s="1702"/>
      <c r="N669" s="1702"/>
      <c r="O669" s="1702"/>
      <c r="P669" s="1702"/>
      <c r="R669" s="1702"/>
      <c r="S669" s="1702"/>
      <c r="AM669" s="1702" t="s">
        <v>1317</v>
      </c>
      <c r="AN669" s="1702">
        <f>IF(FourPercentTrigger="No","",IF($H669="","",$H669))</f>
        <v>0</v>
      </c>
      <c r="AO669" s="1702" t="str">
        <f>IF(TCATrigger="No","",IF(FourPercentTrigger="No","",IF($I669="","",$I669)))</f>
        <v/>
      </c>
      <c r="AP669" s="1702" t="str">
        <f>IF(TCATrigger="No","",IF(FourPercentTrigger="No","",IF($J669="","",$J669)))</f>
        <v/>
      </c>
      <c r="AQ669" s="1702" t="str">
        <f>IF(TCATrigger="No","",IF(FourPercentTrigger="No","",IF($K669="","",$K669)))</f>
        <v/>
      </c>
      <c r="AR669" s="1702" t="str">
        <f>IF(TCATrigger="No","",IF(FourPercentTrigger="No","",IF($L669="","",$L669)))</f>
        <v/>
      </c>
      <c r="AT669" s="1702" t="str">
        <f>IF(TCATrigger="No","",IF(FourPercentTrigger="No","",IF($N669="","",$N669)))</f>
        <v/>
      </c>
      <c r="AU669" s="1702" t="str">
        <f>IF(TCATrigger="No","",IF(FourPercentTrigger="No","",IF($O669="","",$O669)))</f>
        <v/>
      </c>
      <c r="AV669" s="1702" t="str">
        <f>IF(TCATrigger="No","",IF(FourPercentTrigger="No","",IF($P669="","",$P669)))</f>
        <v/>
      </c>
      <c r="AX669" s="1702" t="str">
        <f>IF(TCATrigger="No","",IF(FourPercentTrigger="No","",IF($R669="","",$R669)))</f>
        <v/>
      </c>
      <c r="AY669" s="1702" t="str">
        <f>IF(TCATrigger="No","",IF(FourPercentTrigger="No","",IF($S669="","",$S669)))</f>
        <v/>
      </c>
      <c r="BC669" s="1702" t="s">
        <v>1317</v>
      </c>
      <c r="BD669" s="1702" t="str">
        <f>IF(TCATrigger="No","",IF(NinePercentTrigger="No","",IF($H669="","",$H669)))</f>
        <v/>
      </c>
      <c r="BE669" s="1702" t="str">
        <f>IF(TCATrigger="No","",IF(NinePercentTrigger="No","",IF($I669="","",$I669)))</f>
        <v/>
      </c>
      <c r="BF669" s="1702" t="str">
        <f>IF(TCATrigger="No","",IF(NinePercentTrigger="No","",IF($J669="","",$J669)))</f>
        <v/>
      </c>
      <c r="BG669" s="1702" t="str">
        <f>IF(TCATrigger="No","",IF(NinePercentTrigger="No","",IF($K669="","",$K669)))</f>
        <v/>
      </c>
      <c r="BH669" s="1702" t="str">
        <f>IF(TCATrigger="No","",IF(NinePercentTrigger="No","",IF($L669="","",$L669)))</f>
        <v/>
      </c>
      <c r="BJ669" s="1702" t="str">
        <f>IF(TCATrigger="No","",IF(NinePercentTrigger="No","",IF($N669="","",$N669)))</f>
        <v/>
      </c>
      <c r="BK669" s="1702" t="str">
        <f>IF(TCATrigger="No","",IF(NinePercentTrigger="No","",IF($O669="","",$O669)))</f>
        <v/>
      </c>
      <c r="BL669" s="1702" t="str">
        <f>IF(TCATrigger="No","",IF(NinePercentTrigger="No","",IF($P669="","",$P669)))</f>
        <v/>
      </c>
      <c r="BN669" s="2078" t="str">
        <f>IF(TCATrigger="No","",IF(NinePercentTrigger="No","",IF($R669="","",$R669)))</f>
        <v/>
      </c>
      <c r="BO669" s="2081" t="str">
        <f>IF(TCATrigger="No","",IF(NinePercentTrigger="No","",IF($S669="","",$S669)))</f>
        <v/>
      </c>
      <c r="BT669" s="1702" t="str">
        <f>IF(TCATrigger="No","",IF(AcquisitionTrigger="No","",IF($I669="","",$I669)))</f>
        <v/>
      </c>
      <c r="BU669" s="1702" t="str">
        <f>IF(TCATrigger="No","",IF(AcquisitionTrigger="No","",IF($J669="","",$J669)))</f>
        <v/>
      </c>
      <c r="BV669" s="1702" t="str">
        <f>IF(TCATrigger="No","",IF(AcquisitionTrigger="No","",IF($K669="","",$K669)))</f>
        <v/>
      </c>
      <c r="BW669" s="1702" t="s">
        <v>1317</v>
      </c>
      <c r="BY669" s="1702" t="str">
        <f>IF(TCATrigger="No","",IF(AcquisitionTrigger="No","",IF($N669="","",$N669)))</f>
        <v/>
      </c>
      <c r="BZ669" s="1702" t="str">
        <f>IF(TCATrigger="No","",IF(AcquisitionTrigger="No","",IF($O669="","",$O669)))</f>
        <v/>
      </c>
      <c r="CA669" s="1702" t="str">
        <f>IF(TCATrigger="No","",IF(AcquisitionTrigger="No","",IF($P669="","",$P669)))</f>
        <v/>
      </c>
      <c r="CC669" s="1702" t="str">
        <f>IF(TCATrigger="No","",IF(AcquisitionTrigger="No","",IF($R669="","",$R669)))</f>
        <v/>
      </c>
      <c r="CD669" s="1702" t="str">
        <f>IF(TCATrigger="No","",IF(AcquisitionTrigger="No","",IF($S669="","",$S669)))</f>
        <v/>
      </c>
    </row>
    <row r="670" spans="7:82" ht="15">
      <c r="G670" s="1701" t="s">
        <v>1318</v>
      </c>
      <c r="H670" s="1702">
        <f>IF(rng02_Uses_DevRehabCosts_SubtotalConstructionCosts="","",rng02_Uses_DevRehabCosts_SubtotalConstructionCosts)</f>
        <v>0</v>
      </c>
      <c r="I670" s="1702">
        <v>0</v>
      </c>
      <c r="J670" s="1702">
        <v>0</v>
      </c>
      <c r="K670" s="1702">
        <v>0</v>
      </c>
      <c r="L670" s="1702" t="s">
        <v>1085</v>
      </c>
      <c r="N670" s="1702"/>
      <c r="O670" s="1702"/>
      <c r="P670" s="1702"/>
      <c r="R670" s="1702"/>
      <c r="S670" s="1702"/>
      <c r="AM670" s="1702" t="s">
        <v>1318</v>
      </c>
      <c r="AN670" s="1702">
        <f>IF(FourPercentTrigger="No","",IF($H670="","",$H670))</f>
        <v>0</v>
      </c>
      <c r="AO670" s="1702" t="str">
        <f>IF(TCATrigger="No","",IF(FourPercentTrigger="No","",IF($I670="","",$I670)))</f>
        <v/>
      </c>
      <c r="AP670" s="1702" t="str">
        <f>IF(TCATrigger="No","",IF(FourPercentTrigger="No","",IF($J670="","",$J670)))</f>
        <v/>
      </c>
      <c r="AQ670" s="1702" t="str">
        <f>IF(TCATrigger="No","",IF(FourPercentTrigger="No","",IF($K670="","",$K670)))</f>
        <v/>
      </c>
      <c r="AR670" s="1702" t="str">
        <f>IF(TCATrigger="No","",IF(FourPercentTrigger="No","",IF($L670="","",$L670)))</f>
        <v/>
      </c>
      <c r="AT670" s="1702" t="str">
        <f>IF(TCATrigger="No","",IF(FourPercentTrigger="No","",IF($N670="","",$N670)))</f>
        <v/>
      </c>
      <c r="AU670" s="1702" t="str">
        <f>IF(TCATrigger="No","",IF(FourPercentTrigger="No","",IF($O670="","",$O670)))</f>
        <v/>
      </c>
      <c r="AV670" s="1702" t="str">
        <f>IF(TCATrigger="No","",IF(FourPercentTrigger="No","",IF($P670="","",$P670)))</f>
        <v/>
      </c>
      <c r="AX670" s="1702" t="str">
        <f>IF(TCATrigger="No","",IF(FourPercentTrigger="No","",IF($R670="","",$R670)))</f>
        <v/>
      </c>
      <c r="AY670" s="1702" t="str">
        <f>IF(TCATrigger="No","",IF(FourPercentTrigger="No","",IF($S670="","",$S670)))</f>
        <v/>
      </c>
      <c r="BC670" s="1702" t="s">
        <v>1318</v>
      </c>
      <c r="BD670" s="1702" t="str">
        <f>IF(TCATrigger="No","",IF(NinePercentTrigger="No","",IF($H670="","",$H670)))</f>
        <v/>
      </c>
      <c r="BE670" s="1702" t="str">
        <f>IF(TCATrigger="No","",IF(NinePercentTrigger="No","",IF($I670="","",$I670)))</f>
        <v/>
      </c>
      <c r="BF670" s="1702" t="str">
        <f>IF(TCATrigger="No","",IF(NinePercentTrigger="No","",IF($J670="","",$J670)))</f>
        <v/>
      </c>
      <c r="BG670" s="1702" t="str">
        <f>IF(TCATrigger="No","",IF(NinePercentTrigger="No","",IF($K670="","",$K670)))</f>
        <v/>
      </c>
      <c r="BH670" s="1702" t="str">
        <f>IF(TCATrigger="No","",IF(NinePercentTrigger="No","",IF($L670="","",$L670)))</f>
        <v/>
      </c>
      <c r="BJ670" s="1702" t="str">
        <f>IF(TCATrigger="No","",IF(NinePercentTrigger="No","",IF($N670="","",$N670)))</f>
        <v/>
      </c>
      <c r="BK670" s="1702" t="str">
        <f>IF(TCATrigger="No","",IF(NinePercentTrigger="No","",IF($O670="","",$O670)))</f>
        <v/>
      </c>
      <c r="BL670" s="1702" t="str">
        <f>IF(TCATrigger="No","",IF(NinePercentTrigger="No","",IF($P670="","",$P670)))</f>
        <v/>
      </c>
      <c r="BN670" s="2078" t="str">
        <f>IF(TCATrigger="No","",IF(NinePercentTrigger="No","",IF($R670="","",$R670)))</f>
        <v/>
      </c>
      <c r="BO670" s="2081" t="str">
        <f>IF(TCATrigger="No","",IF(NinePercentTrigger="No","",IF($S670="","",$S670)))</f>
        <v/>
      </c>
      <c r="BT670" s="1702" t="str">
        <f>IF(TCATrigger="No","",IF(AcquisitionTrigger="No","",IF($I670="","",$I670)))</f>
        <v/>
      </c>
      <c r="BU670" s="1702" t="str">
        <f>IF(TCATrigger="No","",IF(AcquisitionTrigger="No","",IF($J670="","",$J670)))</f>
        <v/>
      </c>
      <c r="BV670" s="1702" t="str">
        <f>IF(TCATrigger="No","",IF(AcquisitionTrigger="No","",IF($K670="","",$K670)))</f>
        <v/>
      </c>
      <c r="BW670" s="1702" t="s">
        <v>1318</v>
      </c>
      <c r="BY670" s="1702" t="str">
        <f>IF(TCATrigger="No","",IF(AcquisitionTrigger="No","",IF($N670="","",$N670)))</f>
        <v/>
      </c>
      <c r="BZ670" s="1702" t="str">
        <f>IF(TCATrigger="No","",IF(AcquisitionTrigger="No","",IF($O670="","",$O670)))</f>
        <v/>
      </c>
      <c r="CA670" s="1702" t="str">
        <f>IF(TCATrigger="No","",IF(AcquisitionTrigger="No","",IF($P670="","",$P670)))</f>
        <v/>
      </c>
      <c r="CC670" s="1702" t="str">
        <f>IF(TCATrigger="No","",IF(AcquisitionTrigger="No","",IF($R670="","",$R670)))</f>
        <v/>
      </c>
      <c r="CD670" s="1702" t="str">
        <f>IF(TCATrigger="No","",IF(AcquisitionTrigger="No","",IF($S670="","",$S670)))</f>
        <v/>
      </c>
    </row>
    <row r="671" spans="7:82" ht="15">
      <c r="G671" s="1701" t="s">
        <v>1319</v>
      </c>
      <c r="H671" s="1702">
        <f>IF(rng02_Uses_DevRehabCosts_TotDevCosts="","",rng02_Uses_DevRehabCosts_TotDevCosts)</f>
        <v>0</v>
      </c>
      <c r="I671" s="1702">
        <v>0</v>
      </c>
      <c r="J671" s="1702">
        <v>0</v>
      </c>
      <c r="K671" s="1702">
        <v>0</v>
      </c>
      <c r="L671" s="1702" t="s">
        <v>1085</v>
      </c>
      <c r="N671" s="1702">
        <v>0</v>
      </c>
      <c r="O671" s="1702">
        <v>0</v>
      </c>
      <c r="P671" s="1702">
        <v>0</v>
      </c>
      <c r="R671" s="1702">
        <v>0</v>
      </c>
      <c r="S671" s="1702">
        <v>0</v>
      </c>
      <c r="AM671" s="1702" t="s">
        <v>1319</v>
      </c>
      <c r="AN671" s="1702">
        <f>IF(FourPercentTrigger="No","",IF($H671="","",$H671))</f>
        <v>0</v>
      </c>
      <c r="AO671" s="1702" t="str">
        <f>IF(TCATrigger="No","",IF(FourPercentTrigger="No","",IF($I671="","",$I671)))</f>
        <v/>
      </c>
      <c r="AP671" s="1702" t="str">
        <f>IF(TCATrigger="No","",IF(FourPercentTrigger="No","",IF($J671="","",$J671)))</f>
        <v/>
      </c>
      <c r="AQ671" s="1702" t="str">
        <f>IF(TCATrigger="No","",IF(FourPercentTrigger="No","",IF($K671="","",$K671)))</f>
        <v/>
      </c>
      <c r="AR671" s="1702" t="str">
        <f>IF(TCATrigger="No","",IF(FourPercentTrigger="No","",IF($L671="","",$L671)))</f>
        <v/>
      </c>
      <c r="AT671" s="1702" t="str">
        <f>IF(TCATrigger="No","",IF(FourPercentTrigger="No","",IF($N671="","",$N671)))</f>
        <v/>
      </c>
      <c r="AU671" s="1702" t="str">
        <f>IF(TCATrigger="No","",IF(FourPercentTrigger="No","",IF($O671="","",$O671)))</f>
        <v/>
      </c>
      <c r="AV671" s="1702" t="str">
        <f>IF(TCATrigger="No","",IF(FourPercentTrigger="No","",IF($P671="","",$P671)))</f>
        <v/>
      </c>
      <c r="AX671" s="1702" t="str">
        <f>IF(TCATrigger="No","",IF(FourPercentTrigger="No","",IF($R671="","",$R671)))</f>
        <v/>
      </c>
      <c r="AY671" s="1702" t="str">
        <f>IF(TCATrigger="No","",IF(FourPercentTrigger="No","",IF($S671="","",$S671)))</f>
        <v/>
      </c>
      <c r="BC671" s="1702" t="s">
        <v>1319</v>
      </c>
      <c r="BD671" s="1702" t="str">
        <f>IF(TCATrigger="No","",IF(NinePercentTrigger="No","",IF($H671="","",$H671)))</f>
        <v/>
      </c>
      <c r="BE671" s="1702" t="str">
        <f>IF(TCATrigger="No","",IF(NinePercentTrigger="No","",IF($I671="","",$I671)))</f>
        <v/>
      </c>
      <c r="BF671" s="1702" t="str">
        <f>IF(TCATrigger="No","",IF(NinePercentTrigger="No","",IF($J671="","",$J671)))</f>
        <v/>
      </c>
      <c r="BG671" s="1702" t="str">
        <f>IF(TCATrigger="No","",IF(NinePercentTrigger="No","",IF($K671="","",$K671)))</f>
        <v/>
      </c>
      <c r="BH671" s="1702" t="str">
        <f>IF(TCATrigger="No","",IF(NinePercentTrigger="No","",IF($L671="","",$L671)))</f>
        <v/>
      </c>
      <c r="BJ671" s="1702" t="str">
        <f>IF(TCATrigger="No","",IF(NinePercentTrigger="No","",IF($N671="","",$N671)))</f>
        <v/>
      </c>
      <c r="BK671" s="1702" t="str">
        <f>IF(TCATrigger="No","",IF(NinePercentTrigger="No","",IF($O671="","",$O671)))</f>
        <v/>
      </c>
      <c r="BL671" s="1702" t="str">
        <f>IF(TCATrigger="No","",IF(NinePercentTrigger="No","",IF($P671="","",$P671)))</f>
        <v/>
      </c>
      <c r="BN671" s="2078" t="str">
        <f>IF(TCATrigger="No","",IF(NinePercentTrigger="No","",IF($R671="","",$R671)))</f>
        <v/>
      </c>
      <c r="BO671" s="2081" t="str">
        <f>IF(TCATrigger="No","",IF(NinePercentTrigger="No","",IF($S671="","",$S671)))</f>
        <v/>
      </c>
      <c r="BT671" s="1702" t="str">
        <f>IF(TCATrigger="No","",IF(AcquisitionTrigger="No","",IF($I671="","",$I671)))</f>
        <v/>
      </c>
      <c r="BU671" s="1702" t="str">
        <f>IF(TCATrigger="No","",IF(AcquisitionTrigger="No","",IF($J671="","",$J671)))</f>
        <v/>
      </c>
      <c r="BV671" s="1702" t="str">
        <f>IF(TCATrigger="No","",IF(AcquisitionTrigger="No","",IF($K671="","",$K671)))</f>
        <v/>
      </c>
      <c r="BW671" s="1702" t="s">
        <v>1319</v>
      </c>
      <c r="BY671" s="1702" t="str">
        <f>IF(TCATrigger="No","",IF(AcquisitionTrigger="No","",IF($N671="","",$N671)))</f>
        <v/>
      </c>
      <c r="BZ671" s="1702" t="str">
        <f>IF(TCATrigger="No","",IF(AcquisitionTrigger="No","",IF($O671="","",$O671)))</f>
        <v/>
      </c>
      <c r="CA671" s="1702" t="str">
        <f>IF(TCATrigger="No","",IF(AcquisitionTrigger="No","",IF($P671="","",$P671)))</f>
        <v/>
      </c>
      <c r="CC671" s="1702" t="str">
        <f>IF(TCATrigger="No","",IF(AcquisitionTrigger="No","",IF($R671="","",$R671)))</f>
        <v/>
      </c>
      <c r="CD671" s="1702" t="str">
        <f>IF(TCATrigger="No","",IF(AcquisitionTrigger="No","",IF($S671="","",$S671)))</f>
        <v/>
      </c>
    </row>
    <row r="675" spans="1:75" ht="15">
      <c r="A675" s="1685" t="s">
        <v>1244</v>
      </c>
      <c r="B675" s="1679" t="s">
        <v>1320</v>
      </c>
      <c r="AG675" s="1677" t="s">
        <v>1244</v>
      </c>
      <c r="AH675" s="1677" t="s">
        <v>1320</v>
      </c>
      <c r="BQ675" s="1677" t="s">
        <v>1244</v>
      </c>
      <c r="BR675" s="1677" t="s">
        <v>1320</v>
      </c>
    </row>
    <row r="676" spans="1:75" ht="15">
      <c r="A676" s="1685"/>
    </row>
    <row r="677" spans="1:75" ht="15">
      <c r="A677" s="1685"/>
    </row>
    <row r="678" spans="1:75" ht="15">
      <c r="A678" s="1685"/>
    </row>
    <row r="679" spans="1:75" ht="15">
      <c r="A679" s="1686" t="s">
        <v>1321</v>
      </c>
      <c r="G679" s="1702" t="s">
        <v>1322</v>
      </c>
      <c r="H679" s="1702" t="s">
        <v>1323</v>
      </c>
      <c r="I679" s="1702" t="s">
        <v>1324</v>
      </c>
      <c r="J679" s="1702" t="s">
        <v>1325</v>
      </c>
      <c r="AG679" s="1677" t="s">
        <v>1321</v>
      </c>
      <c r="AM679" s="1677" t="s">
        <v>1322</v>
      </c>
      <c r="AN679" s="1677" t="s">
        <v>1323</v>
      </c>
      <c r="AO679" s="1677" t="s">
        <v>1324</v>
      </c>
      <c r="AP679" s="1677" t="s">
        <v>1325</v>
      </c>
      <c r="AS679" s="1680" t="s">
        <v>2256</v>
      </c>
      <c r="BQ679" s="1677" t="s">
        <v>1321</v>
      </c>
      <c r="BW679" s="1677" t="s">
        <v>1322</v>
      </c>
    </row>
    <row r="680" spans="1:75">
      <c r="G680" s="1702" t="s">
        <v>1326</v>
      </c>
      <c r="H680" s="1702">
        <f>N671</f>
        <v>0</v>
      </c>
      <c r="I680" s="1702">
        <f>O670</f>
        <v>0</v>
      </c>
      <c r="J680" s="1702"/>
      <c r="AM680" s="1702" t="s">
        <v>1326</v>
      </c>
      <c r="AN680" s="1702" t="str">
        <f t="shared" ref="AN680:AN696" si="249">IF(TCATrigger="No","",IF(H680="","",H680))</f>
        <v/>
      </c>
      <c r="AO680" s="1702" t="str">
        <f t="shared" ref="AO680:AO696" si="250">IF(TCATrigger="No","",IF(I680="","",I680))</f>
        <v/>
      </c>
      <c r="AP680" s="1702" t="str">
        <f t="shared" ref="AP680:AP696" si="251">IF(TCATrigger="No","",IF(J680="","",J680))</f>
        <v/>
      </c>
      <c r="BW680" s="1702" t="s">
        <v>1326</v>
      </c>
    </row>
    <row r="681" spans="1:75">
      <c r="F681" s="1683" t="s">
        <v>1327</v>
      </c>
      <c r="G681" s="1702" t="s">
        <v>1328</v>
      </c>
      <c r="H681" s="1702">
        <v>0</v>
      </c>
      <c r="I681" s="1702">
        <v>0</v>
      </c>
      <c r="J681" s="1702"/>
      <c r="AM681" s="1702" t="s">
        <v>1328</v>
      </c>
      <c r="AN681" s="1702" t="str">
        <f t="shared" si="249"/>
        <v/>
      </c>
      <c r="AO681" s="1702" t="str">
        <f t="shared" si="250"/>
        <v/>
      </c>
      <c r="AP681" s="1702" t="str">
        <f t="shared" si="251"/>
        <v/>
      </c>
      <c r="BW681" s="1702" t="s">
        <v>1328</v>
      </c>
    </row>
    <row r="682" spans="1:75">
      <c r="F682" s="1683" t="s">
        <v>1327</v>
      </c>
      <c r="G682" s="1702" t="s">
        <v>1329</v>
      </c>
      <c r="H682" s="1702">
        <v>0</v>
      </c>
      <c r="I682" s="1702">
        <v>0</v>
      </c>
      <c r="J682" s="1702"/>
      <c r="AM682" s="1702" t="s">
        <v>1329</v>
      </c>
      <c r="AN682" s="1702" t="str">
        <f t="shared" si="249"/>
        <v/>
      </c>
      <c r="AO682" s="1702" t="str">
        <f t="shared" si="250"/>
        <v/>
      </c>
      <c r="AP682" s="1702" t="str">
        <f t="shared" si="251"/>
        <v/>
      </c>
      <c r="BW682" s="1702" t="s">
        <v>1329</v>
      </c>
    </row>
    <row r="683" spans="1:75">
      <c r="G683" s="1702" t="s">
        <v>1330</v>
      </c>
      <c r="H683" s="1702">
        <v>0</v>
      </c>
      <c r="I683" s="1702">
        <v>0</v>
      </c>
      <c r="J683" s="1702">
        <v>0</v>
      </c>
      <c r="AM683" s="1702" t="s">
        <v>1330</v>
      </c>
      <c r="AN683" s="1702" t="str">
        <f t="shared" si="249"/>
        <v/>
      </c>
      <c r="AO683" s="1702" t="str">
        <f t="shared" si="250"/>
        <v/>
      </c>
      <c r="AP683" s="1702" t="str">
        <f t="shared" si="251"/>
        <v/>
      </c>
      <c r="BW683" s="1702" t="s">
        <v>1330</v>
      </c>
    </row>
    <row r="684" spans="1:75">
      <c r="G684" s="1702" t="s">
        <v>1331</v>
      </c>
      <c r="H684" s="1702"/>
      <c r="I684" s="1702"/>
      <c r="J684" s="1702"/>
      <c r="AM684" s="1702" t="s">
        <v>1331</v>
      </c>
      <c r="AN684" s="1702" t="str">
        <f t="shared" si="249"/>
        <v/>
      </c>
      <c r="AO684" s="1702" t="str">
        <f t="shared" si="250"/>
        <v/>
      </c>
      <c r="AP684" s="1702" t="str">
        <f t="shared" si="251"/>
        <v/>
      </c>
      <c r="BW684" s="1702" t="s">
        <v>1331</v>
      </c>
    </row>
    <row r="685" spans="1:75">
      <c r="G685" s="1702" t="s">
        <v>1332</v>
      </c>
      <c r="H685" s="1702">
        <v>0</v>
      </c>
      <c r="I685" s="1702">
        <v>0</v>
      </c>
      <c r="J685" s="1702">
        <v>0</v>
      </c>
      <c r="AM685" s="1702" t="s">
        <v>1332</v>
      </c>
      <c r="AN685" s="1702" t="str">
        <f t="shared" si="249"/>
        <v/>
      </c>
      <c r="AO685" s="1702" t="str">
        <f t="shared" si="250"/>
        <v/>
      </c>
      <c r="AP685" s="1702" t="str">
        <f t="shared" si="251"/>
        <v/>
      </c>
      <c r="BW685" s="1702" t="s">
        <v>1332</v>
      </c>
    </row>
    <row r="686" spans="1:75">
      <c r="G686" s="1702" t="s">
        <v>1333</v>
      </c>
      <c r="H686" s="1702" t="e">
        <v>#DIV/0!</v>
      </c>
      <c r="I686" s="1702" t="e">
        <v>#DIV/0!</v>
      </c>
      <c r="J686" s="1702" t="e">
        <v>#DIV/0!</v>
      </c>
      <c r="AM686" s="1702" t="s">
        <v>1333</v>
      </c>
      <c r="AN686" s="1702" t="str">
        <f t="shared" si="249"/>
        <v/>
      </c>
      <c r="AO686" s="1702" t="str">
        <f t="shared" si="250"/>
        <v/>
      </c>
      <c r="AP686" s="1702" t="str">
        <f t="shared" si="251"/>
        <v/>
      </c>
      <c r="BW686" s="1702" t="s">
        <v>1333</v>
      </c>
    </row>
    <row r="687" spans="1:75">
      <c r="G687" s="1702" t="s">
        <v>1334</v>
      </c>
      <c r="H687" s="1702" t="e">
        <v>#DIV/0!</v>
      </c>
      <c r="I687" s="1702" t="e">
        <v>#DIV/0!</v>
      </c>
      <c r="J687" s="1702" t="e">
        <v>#DIV/0!</v>
      </c>
      <c r="AM687" s="1702" t="s">
        <v>1334</v>
      </c>
      <c r="AN687" s="1702" t="str">
        <f t="shared" si="249"/>
        <v/>
      </c>
      <c r="AO687" s="1702" t="str">
        <f t="shared" si="250"/>
        <v/>
      </c>
      <c r="AP687" s="1702" t="str">
        <f t="shared" si="251"/>
        <v/>
      </c>
      <c r="BW687" s="1702" t="s">
        <v>1334</v>
      </c>
    </row>
    <row r="688" spans="1:75">
      <c r="G688" s="1702" t="s">
        <v>1335</v>
      </c>
      <c r="H688" s="1702"/>
      <c r="I688" s="1702"/>
      <c r="J688" s="1702"/>
      <c r="AM688" s="1702" t="s">
        <v>1335</v>
      </c>
      <c r="AN688" s="1702" t="str">
        <f t="shared" si="249"/>
        <v/>
      </c>
      <c r="AO688" s="1702" t="str">
        <f t="shared" si="250"/>
        <v/>
      </c>
      <c r="AP688" s="1702" t="str">
        <f t="shared" si="251"/>
        <v/>
      </c>
      <c r="BW688" s="1702" t="s">
        <v>1335</v>
      </c>
    </row>
    <row r="689" spans="7:75">
      <c r="G689" s="1702" t="s">
        <v>1336</v>
      </c>
      <c r="H689" s="1702" t="e">
        <v>#DIV/0!</v>
      </c>
      <c r="I689" s="1702" t="e">
        <v>#DIV/0!</v>
      </c>
      <c r="J689" s="1702" t="e">
        <v>#DIV/0!</v>
      </c>
      <c r="AM689" s="1702" t="s">
        <v>1336</v>
      </c>
      <c r="AN689" s="1702" t="str">
        <f t="shared" si="249"/>
        <v/>
      </c>
      <c r="AO689" s="1702" t="str">
        <f t="shared" si="250"/>
        <v/>
      </c>
      <c r="AP689" s="1702" t="str">
        <f t="shared" si="251"/>
        <v/>
      </c>
      <c r="BW689" s="1702" t="s">
        <v>1336</v>
      </c>
    </row>
    <row r="690" spans="7:75">
      <c r="G690" s="1702" t="s">
        <v>1337</v>
      </c>
      <c r="H690" s="1702"/>
      <c r="I690" s="1702"/>
      <c r="J690" s="1702"/>
      <c r="AM690" s="1702" t="s">
        <v>1337</v>
      </c>
      <c r="AN690" s="1702" t="str">
        <f t="shared" si="249"/>
        <v/>
      </c>
      <c r="AO690" s="1702" t="str">
        <f t="shared" si="250"/>
        <v/>
      </c>
      <c r="AP690" s="1702" t="str">
        <f t="shared" si="251"/>
        <v/>
      </c>
      <c r="BW690" s="1702" t="s">
        <v>1337</v>
      </c>
    </row>
    <row r="691" spans="7:75">
      <c r="G691" s="1702" t="s">
        <v>1338</v>
      </c>
      <c r="H691" s="1702" t="e">
        <v>#DIV/0!</v>
      </c>
      <c r="I691" s="1702" t="e">
        <v>#DIV/0!</v>
      </c>
      <c r="J691" s="1702" t="e">
        <v>#DIV/0!</v>
      </c>
      <c r="AM691" s="1702" t="s">
        <v>1338</v>
      </c>
      <c r="AN691" s="1702" t="str">
        <f t="shared" si="249"/>
        <v/>
      </c>
      <c r="AO691" s="1702" t="str">
        <f t="shared" si="250"/>
        <v/>
      </c>
      <c r="AP691" s="1702" t="str">
        <f t="shared" si="251"/>
        <v/>
      </c>
      <c r="BW691" s="1702" t="s">
        <v>1338</v>
      </c>
    </row>
    <row r="692" spans="7:75">
      <c r="G692" s="1702" t="s">
        <v>1339</v>
      </c>
      <c r="H692" s="1702">
        <v>10</v>
      </c>
      <c r="I692" s="1702">
        <v>10</v>
      </c>
      <c r="J692" s="1702">
        <v>10</v>
      </c>
      <c r="AM692" s="1702" t="s">
        <v>1339</v>
      </c>
      <c r="AN692" s="1702" t="str">
        <f t="shared" si="249"/>
        <v/>
      </c>
      <c r="AO692" s="1702" t="str">
        <f t="shared" si="250"/>
        <v/>
      </c>
      <c r="AP692" s="1702" t="str">
        <f t="shared" si="251"/>
        <v/>
      </c>
      <c r="BW692" s="1702" t="s">
        <v>1339</v>
      </c>
    </row>
    <row r="693" spans="7:75">
      <c r="G693" s="1702" t="s">
        <v>1340</v>
      </c>
      <c r="H693" s="1702" t="e">
        <v>#DIV/0!</v>
      </c>
      <c r="I693" s="1702" t="e">
        <v>#DIV/0!</v>
      </c>
      <c r="J693" s="1702" t="e">
        <v>#DIV/0!</v>
      </c>
      <c r="AM693" s="1702" t="s">
        <v>1340</v>
      </c>
      <c r="AN693" s="1702" t="str">
        <f t="shared" si="249"/>
        <v/>
      </c>
      <c r="AO693" s="1702" t="str">
        <f t="shared" si="250"/>
        <v/>
      </c>
      <c r="AP693" s="1702" t="str">
        <f t="shared" si="251"/>
        <v/>
      </c>
      <c r="BW693" s="1702" t="s">
        <v>1340</v>
      </c>
    </row>
    <row r="694" spans="7:75">
      <c r="G694" s="1702" t="s">
        <v>1341</v>
      </c>
      <c r="H694" s="1702"/>
      <c r="I694" s="1702"/>
      <c r="J694" s="1702"/>
      <c r="AM694" s="1702" t="s">
        <v>1341</v>
      </c>
      <c r="AN694" s="1702" t="str">
        <f t="shared" si="249"/>
        <v/>
      </c>
      <c r="AO694" s="1702" t="str">
        <f t="shared" si="250"/>
        <v/>
      </c>
      <c r="AP694" s="1702" t="str">
        <f t="shared" si="251"/>
        <v/>
      </c>
      <c r="BW694" s="1702" t="s">
        <v>1341</v>
      </c>
    </row>
    <row r="695" spans="7:75">
      <c r="G695" s="1702" t="s">
        <v>1342</v>
      </c>
      <c r="H695" s="1702"/>
      <c r="I695" s="1702"/>
      <c r="J695" s="1702"/>
      <c r="AM695" s="1702" t="s">
        <v>1342</v>
      </c>
      <c r="AN695" s="1702" t="str">
        <f t="shared" si="249"/>
        <v/>
      </c>
      <c r="AO695" s="1702" t="str">
        <f t="shared" si="250"/>
        <v/>
      </c>
      <c r="AP695" s="1702" t="str">
        <f t="shared" si="251"/>
        <v/>
      </c>
      <c r="BW695" s="1702" t="s">
        <v>1342</v>
      </c>
    </row>
    <row r="696" spans="7:75">
      <c r="G696" s="1702" t="s">
        <v>1343</v>
      </c>
      <c r="H696" s="1702" t="e">
        <v>#DIV/0!</v>
      </c>
      <c r="I696" s="1702" t="e">
        <v>#DIV/0!</v>
      </c>
      <c r="J696" s="1702" t="e">
        <v>#DIV/0!</v>
      </c>
      <c r="AM696" s="1702" t="s">
        <v>1343</v>
      </c>
      <c r="AN696" s="1702" t="str">
        <f t="shared" si="249"/>
        <v/>
      </c>
      <c r="AO696" s="1702" t="str">
        <f t="shared" si="250"/>
        <v/>
      </c>
      <c r="AP696" s="1702" t="str">
        <f t="shared" si="251"/>
        <v/>
      </c>
      <c r="BW696" s="1702" t="s">
        <v>1343</v>
      </c>
    </row>
    <row r="699" spans="7:75">
      <c r="G699" s="1702" t="s">
        <v>1344</v>
      </c>
      <c r="H699" s="1702" t="s">
        <v>1002</v>
      </c>
      <c r="I699" s="1702" t="s">
        <v>1345</v>
      </c>
      <c r="AM699" s="1702" t="s">
        <v>1344</v>
      </c>
      <c r="AN699" s="1702" t="s">
        <v>1002</v>
      </c>
      <c r="AO699" s="1702" t="s">
        <v>1345</v>
      </c>
      <c r="BW699" s="1702" t="s">
        <v>1344</v>
      </c>
    </row>
    <row r="700" spans="7:75">
      <c r="G700" s="1702" t="s">
        <v>1346</v>
      </c>
      <c r="H700" s="1702" t="e">
        <v>#DIV/0!</v>
      </c>
      <c r="I700" s="1702" t="e">
        <v>#DIV/0!</v>
      </c>
      <c r="AM700" s="1702" t="s">
        <v>1346</v>
      </c>
      <c r="AN700" s="1702" t="str">
        <f>IF(TCATrigger="No","",IF(H700="","",H700))</f>
        <v/>
      </c>
      <c r="AO700" s="1702" t="str">
        <f>IF(TCATrigger="No","",IF(I700="","",I700))</f>
        <v/>
      </c>
      <c r="BW700" s="1702" t="s">
        <v>1346</v>
      </c>
    </row>
    <row r="701" spans="7:75">
      <c r="G701" s="1702" t="s">
        <v>1347</v>
      </c>
      <c r="H701" s="1702" t="e">
        <v>#DIV/0!</v>
      </c>
      <c r="I701" s="1702" t="e">
        <v>#DIV/0!</v>
      </c>
      <c r="AM701" s="1702" t="s">
        <v>1347</v>
      </c>
      <c r="AN701" s="1702" t="str">
        <f>IF(TCATrigger="No","",IF(H701="","",H701))</f>
        <v/>
      </c>
      <c r="AO701" s="1702" t="str">
        <f>IF(TCATrigger="No","",IF(I701="","",I701))</f>
        <v/>
      </c>
      <c r="BW701" s="1702" t="s">
        <v>1347</v>
      </c>
    </row>
    <row r="703" spans="7:75">
      <c r="G703" s="1702" t="s">
        <v>1348</v>
      </c>
      <c r="H703" s="1702" t="s">
        <v>1349</v>
      </c>
      <c r="I703" s="1702" t="s">
        <v>1350</v>
      </c>
      <c r="AM703" s="1677" t="s">
        <v>1348</v>
      </c>
      <c r="AN703" s="1677" t="s">
        <v>1349</v>
      </c>
      <c r="AO703" s="1677" t="s">
        <v>1350</v>
      </c>
      <c r="BW703" s="1677" t="s">
        <v>1348</v>
      </c>
    </row>
    <row r="704" spans="7:75">
      <c r="G704" s="1702" t="s">
        <v>1334</v>
      </c>
      <c r="H704" s="1702"/>
      <c r="I704" s="1702"/>
      <c r="AM704" s="1702" t="s">
        <v>1334</v>
      </c>
      <c r="AN704" s="1702" t="str">
        <f t="shared" ref="AN704:AO708" si="252">IF(TCATrigger="No","",IF(H704="","",H704))</f>
        <v/>
      </c>
      <c r="AO704" s="1702" t="str">
        <f t="shared" si="252"/>
        <v/>
      </c>
      <c r="BW704" s="1702" t="s">
        <v>1334</v>
      </c>
    </row>
    <row r="705" spans="1:76">
      <c r="G705" s="1702" t="s">
        <v>1335</v>
      </c>
      <c r="H705" s="1702"/>
      <c r="I705" s="1702"/>
      <c r="AM705" s="1702" t="s">
        <v>1335</v>
      </c>
      <c r="AN705" s="1702" t="str">
        <f t="shared" si="252"/>
        <v/>
      </c>
      <c r="AO705" s="1702" t="str">
        <f t="shared" si="252"/>
        <v/>
      </c>
      <c r="BW705" s="1702" t="s">
        <v>1335</v>
      </c>
    </row>
    <row r="706" spans="1:76">
      <c r="G706" s="1702" t="s">
        <v>1351</v>
      </c>
      <c r="H706" s="1702">
        <v>0</v>
      </c>
      <c r="I706" s="1702">
        <v>0</v>
      </c>
      <c r="AM706" s="1702" t="s">
        <v>1351</v>
      </c>
      <c r="AN706" s="1702" t="str">
        <f t="shared" si="252"/>
        <v/>
      </c>
      <c r="AO706" s="1702" t="str">
        <f t="shared" si="252"/>
        <v/>
      </c>
      <c r="BW706" s="1702" t="s">
        <v>1351</v>
      </c>
    </row>
    <row r="707" spans="1:76">
      <c r="G707" s="1702" t="s">
        <v>1342</v>
      </c>
      <c r="H707" s="1702"/>
      <c r="I707" s="1702"/>
      <c r="AM707" s="1702" t="s">
        <v>1342</v>
      </c>
      <c r="AN707" s="1702" t="str">
        <f t="shared" si="252"/>
        <v/>
      </c>
      <c r="AO707" s="1702" t="str">
        <f t="shared" si="252"/>
        <v/>
      </c>
      <c r="BW707" s="1702" t="s">
        <v>1342</v>
      </c>
    </row>
    <row r="708" spans="1:76">
      <c r="G708" s="1702" t="s">
        <v>1352</v>
      </c>
      <c r="H708" s="1702">
        <v>0</v>
      </c>
      <c r="I708" s="1702">
        <v>0</v>
      </c>
      <c r="AM708" s="1702" t="s">
        <v>1352</v>
      </c>
      <c r="AN708" s="1702" t="str">
        <f t="shared" si="252"/>
        <v/>
      </c>
      <c r="AO708" s="1702" t="str">
        <f t="shared" si="252"/>
        <v/>
      </c>
      <c r="BW708" s="1702" t="s">
        <v>1352</v>
      </c>
    </row>
    <row r="710" spans="1:76" ht="15" customHeight="1">
      <c r="A710" s="1683" t="s">
        <v>2423</v>
      </c>
      <c r="B710" s="1683"/>
      <c r="C710" s="1683" t="s">
        <v>2422</v>
      </c>
      <c r="G710" s="1702" t="s">
        <v>875</v>
      </c>
      <c r="H710" s="1763" t="s">
        <v>2414</v>
      </c>
      <c r="AI710" s="1683" t="s">
        <v>2422</v>
      </c>
      <c r="AM710" s="1702" t="s">
        <v>875</v>
      </c>
      <c r="AN710" s="1763" t="s">
        <v>2414</v>
      </c>
      <c r="BS710" s="1683" t="s">
        <v>2422</v>
      </c>
      <c r="BW710" s="1702" t="s">
        <v>875</v>
      </c>
      <c r="BX710" s="1763" t="s">
        <v>2414</v>
      </c>
    </row>
    <row r="711" spans="1:76" ht="15" customHeight="1">
      <c r="G711" s="1702" t="s">
        <v>2417</v>
      </c>
      <c r="H711" s="1763" t="str">
        <f>IF(HPFELI_Program_Award=0, "", HPFELI_Program_Award)</f>
        <v/>
      </c>
      <c r="AM711" s="1702" t="s">
        <v>2417</v>
      </c>
      <c r="AN711" s="1763" t="str">
        <f>IF(HPFELI_Program_Award=0, "", HPFELI_Program_Award)</f>
        <v/>
      </c>
      <c r="BW711" s="1702" t="s">
        <v>2417</v>
      </c>
      <c r="BX711" s="1702" t="str">
        <f>IF(HPFELI_Program_Award=0,"",HPFELI_Program_Award)</f>
        <v/>
      </c>
    </row>
    <row r="712" spans="1:76" ht="15" customHeight="1">
      <c r="G712" s="1763" t="s">
        <v>2421</v>
      </c>
      <c r="H712" s="1702" t="str">
        <f>IF(Total_HPF_ELI_30__Units=0, "", Total_HPF_ELI_30__Units)</f>
        <v/>
      </c>
      <c r="AM712" s="1763" t="s">
        <v>2421</v>
      </c>
      <c r="AN712" s="1702" t="str">
        <f>IF(Total_HPF_ELI_30__Units=0, "", Total_HPF_ELI_30__Units)</f>
        <v/>
      </c>
      <c r="BW712" s="1763" t="s">
        <v>2421</v>
      </c>
      <c r="BX712" s="1702"/>
    </row>
    <row r="713" spans="1:76" ht="15" customHeight="1">
      <c r="G713" s="1763" t="s">
        <v>2419</v>
      </c>
      <c r="H713" s="1702" t="str">
        <f>IF(Total_HPF_ELI_Units=0, "", Total_HPF_ELI_Units)</f>
        <v/>
      </c>
      <c r="AM713" s="1763" t="s">
        <v>2419</v>
      </c>
      <c r="AN713" s="1702" t="str">
        <f>IF(Total_HPF_ELI_Units=0, "", Total_HPF_ELI_Units)</f>
        <v/>
      </c>
      <c r="BW713" s="1763" t="s">
        <v>2419</v>
      </c>
      <c r="BX713" s="1702"/>
    </row>
    <row r="714" spans="1:76" ht="15" customHeight="1"/>
    <row r="715" spans="1:76" ht="15" customHeight="1">
      <c r="C715" s="1683" t="s">
        <v>2418</v>
      </c>
      <c r="G715" s="1843" t="s">
        <v>2218</v>
      </c>
      <c r="H715" s="1843" t="s">
        <v>169</v>
      </c>
      <c r="AI715" s="1683" t="s">
        <v>2418</v>
      </c>
      <c r="AM715" s="1843" t="s">
        <v>2218</v>
      </c>
      <c r="AN715" s="1843" t="s">
        <v>169</v>
      </c>
      <c r="BS715" s="1683" t="s">
        <v>2418</v>
      </c>
      <c r="BW715" s="1843" t="s">
        <v>2218</v>
      </c>
    </row>
    <row r="716" spans="1:76" ht="15" customHeight="1">
      <c r="G716" s="1843" t="s">
        <v>141</v>
      </c>
      <c r="H716" s="1843" t="str">
        <f>IF(HPFELI_SRO_30=0, "", HPFELI_SRO_30)</f>
        <v/>
      </c>
      <c r="AM716" s="1843" t="s">
        <v>141</v>
      </c>
      <c r="AN716" s="1843" t="str">
        <f>IF(HPFELI_SRO_30=0, "", HPFELI_SRO_30)</f>
        <v/>
      </c>
      <c r="BW716" s="1843" t="s">
        <v>141</v>
      </c>
    </row>
    <row r="717" spans="1:76" ht="15" customHeight="1">
      <c r="G717" s="1843" t="s">
        <v>168</v>
      </c>
      <c r="H717" s="1843" t="str">
        <f>IF(HPFELI_EFF_30=0, "", HPFELI_EFF_30)</f>
        <v/>
      </c>
      <c r="AM717" s="1843" t="s">
        <v>168</v>
      </c>
      <c r="AN717" s="1843" t="str">
        <f>IF(HPFELI_EFF_30=0, "", HPFELI_EFF_30)</f>
        <v/>
      </c>
      <c r="BW717" s="1843" t="s">
        <v>168</v>
      </c>
    </row>
    <row r="718" spans="1:76" ht="15" customHeight="1">
      <c r="G718" s="1843">
        <v>1</v>
      </c>
      <c r="H718" s="1843" t="str">
        <f>IF(HPFELI_1BR_30=0, "",HPFELI_1BR_30)</f>
        <v/>
      </c>
      <c r="AM718" s="1843">
        <v>1</v>
      </c>
      <c r="AN718" s="1843" t="str">
        <f>IF(HPFELI_1BR_30=0, "",HPFELI_1BR_30)</f>
        <v/>
      </c>
      <c r="BW718" s="1843">
        <v>1</v>
      </c>
    </row>
    <row r="719" spans="1:76" ht="15" customHeight="1">
      <c r="G719" s="1843">
        <v>2</v>
      </c>
      <c r="H719" s="1843" t="str">
        <f>IF(HPFELI_2BR_30=0, "", HPFELI_2BR_30)</f>
        <v/>
      </c>
      <c r="AM719" s="1843">
        <v>2</v>
      </c>
      <c r="AN719" s="1843" t="str">
        <f>IF(HPFELI_2BR_30=0, "", HPFELI_2BR_30)</f>
        <v/>
      </c>
      <c r="BW719" s="1843">
        <v>2</v>
      </c>
    </row>
    <row r="720" spans="1:76" ht="15" customHeight="1">
      <c r="G720" s="1843">
        <v>3</v>
      </c>
      <c r="H720" s="1843" t="str">
        <f>IF(HPFELI_3BR_30=0, "", HPFELI_3BR_30)</f>
        <v/>
      </c>
      <c r="AM720" s="1843">
        <v>3</v>
      </c>
      <c r="AN720" s="1843" t="str">
        <f>IF(HPFELI_3BR_30=0, "", HPFELI_3BR_30)</f>
        <v/>
      </c>
      <c r="BW720" s="1843">
        <v>3</v>
      </c>
    </row>
    <row r="721" spans="3:76" ht="15" customHeight="1">
      <c r="G721" s="1843">
        <v>4</v>
      </c>
      <c r="H721" s="1843" t="str">
        <f>IF(HPFELI_4BR_30=0, "", HPFELI_4BR_30)</f>
        <v/>
      </c>
      <c r="AM721" s="1843">
        <v>4</v>
      </c>
      <c r="AN721" s="1843" t="str">
        <f>IF(HPFELI_4BR_30=0, "", HPFELI_4BR_30)</f>
        <v/>
      </c>
      <c r="BW721" s="1843">
        <v>4</v>
      </c>
    </row>
    <row r="722" spans="3:76" ht="15" customHeight="1">
      <c r="G722" s="1843">
        <v>5</v>
      </c>
      <c r="H722" s="1843" t="str">
        <f>IF(HPFELI_5BR_30=0, "", HPFELI_5BR_30)</f>
        <v/>
      </c>
      <c r="AM722" s="1843">
        <v>5</v>
      </c>
      <c r="AN722" s="1843" t="str">
        <f>IF(HPFELI_5BR_30=0, "", HPFELI_5BR_30)</f>
        <v/>
      </c>
      <c r="BW722" s="1843">
        <v>5</v>
      </c>
    </row>
    <row r="723" spans="3:76" ht="15" customHeight="1">
      <c r="AM723" s="1801"/>
      <c r="AN723" s="1801"/>
      <c r="BW723" s="1801"/>
    </row>
    <row r="724" spans="3:76" ht="15" customHeight="1">
      <c r="C724" s="1677" t="s">
        <v>2441</v>
      </c>
      <c r="G724" s="1702" t="s">
        <v>875</v>
      </c>
      <c r="H724" s="1763" t="s">
        <v>2437</v>
      </c>
      <c r="AI724" s="1677" t="s">
        <v>2441</v>
      </c>
      <c r="AM724" s="1843" t="s">
        <v>875</v>
      </c>
      <c r="AN724" s="1843" t="s">
        <v>2437</v>
      </c>
      <c r="BS724" s="1677" t="s">
        <v>2441</v>
      </c>
      <c r="BW724" s="1843" t="s">
        <v>875</v>
      </c>
      <c r="BX724" s="1702" t="s">
        <v>2437</v>
      </c>
    </row>
    <row r="725" spans="3:76" ht="15" customHeight="1">
      <c r="G725" s="1702" t="s">
        <v>2417</v>
      </c>
      <c r="H725" s="1702" t="str">
        <f>IF(RIHELI_Program_Award=0,"",RIHELI_Program_Award)</f>
        <v/>
      </c>
      <c r="AM725" s="1843" t="s">
        <v>2417</v>
      </c>
      <c r="AN725" s="1843" t="str">
        <f>IF(RIHELI_Program_Award=0,"",RIHELI_Program_Award)</f>
        <v/>
      </c>
      <c r="BW725" s="1843" t="s">
        <v>2417</v>
      </c>
      <c r="BX725" s="1702" t="str">
        <f>IF(RIHELI_Program_Award=0,"",RIHELI_Program_Award)</f>
        <v/>
      </c>
    </row>
    <row r="726" spans="3:76" ht="15" customHeight="1">
      <c r="G726" s="1763" t="s">
        <v>2439</v>
      </c>
      <c r="H726" s="1702" t="str">
        <f>IF(Total_RIH_ELI_30__Units=0,"",Total_RIH_ELI_30__Units)</f>
        <v/>
      </c>
      <c r="AM726" s="1843" t="s">
        <v>2439</v>
      </c>
      <c r="AN726" s="1843" t="str">
        <f>IF(Total_RIH_ELI_30__Units=0,"",Total_RIH_ELI_30__Units)</f>
        <v/>
      </c>
      <c r="BW726" s="1843" t="s">
        <v>2439</v>
      </c>
      <c r="BX726" s="1702" t="str">
        <f>IF(Total_RIH_ELI_30__Units=0,"",Total_RIH_ELI_30__Units)</f>
        <v/>
      </c>
    </row>
    <row r="727" spans="3:76" ht="15" customHeight="1">
      <c r="G727" s="1763" t="s">
        <v>2440</v>
      </c>
      <c r="H727" s="1702" t="str">
        <f>IF(ISBLANK(Total_RIH_ELI_Units),"",Total_RIH_ELI_Units)</f>
        <v/>
      </c>
      <c r="AM727" s="1843" t="s">
        <v>2440</v>
      </c>
      <c r="AN727" s="1843" t="str">
        <f>IF(ISBLANK(Total_RIH_ELI_Units),"",Total_RIH_ELI_Units)</f>
        <v/>
      </c>
      <c r="BW727" s="1843" t="s">
        <v>2440</v>
      </c>
      <c r="BX727" s="1702" t="str">
        <f>IF(ISBLANK(Total_RIH_ELI_Units),"",Total_RIH_ELI_Units)</f>
        <v/>
      </c>
    </row>
    <row r="728" spans="3:76" ht="15" customHeight="1">
      <c r="AM728" s="1801"/>
      <c r="AN728" s="1801"/>
      <c r="BW728" s="1801"/>
    </row>
    <row r="729" spans="3:76" ht="15" customHeight="1">
      <c r="C729" s="1677" t="s">
        <v>2438</v>
      </c>
      <c r="G729" s="1843" t="s">
        <v>2218</v>
      </c>
      <c r="H729" s="1843" t="s">
        <v>169</v>
      </c>
      <c r="AI729" s="1677" t="s">
        <v>2438</v>
      </c>
      <c r="AM729" s="1843" t="s">
        <v>2218</v>
      </c>
      <c r="AN729" s="1843" t="s">
        <v>169</v>
      </c>
      <c r="BS729" s="1677" t="s">
        <v>2438</v>
      </c>
      <c r="BW729" s="1843" t="s">
        <v>2218</v>
      </c>
      <c r="BX729" s="1702" t="s">
        <v>169</v>
      </c>
    </row>
    <row r="730" spans="3:76" ht="15" customHeight="1">
      <c r="G730" s="1843" t="s">
        <v>141</v>
      </c>
      <c r="H730" s="1843">
        <f>IF(ISBLANK(RIHELI_SRO_30),"",RIHELI_SRO_30)</f>
        <v>0</v>
      </c>
      <c r="AM730" s="1843" t="s">
        <v>141</v>
      </c>
      <c r="AN730" s="1843">
        <f>IF(ISBLANK(RIHELI_SRO_30),"",RIHELI_SRO_30)</f>
        <v>0</v>
      </c>
      <c r="BW730" s="1843" t="s">
        <v>141</v>
      </c>
      <c r="BX730" s="1702">
        <f>IF(ISBLANK(RIHELI_SRO_30),"",RIHELI_SRO_30)</f>
        <v>0</v>
      </c>
    </row>
    <row r="731" spans="3:76" ht="15" customHeight="1">
      <c r="G731" s="1843" t="s">
        <v>168</v>
      </c>
      <c r="H731" s="1843">
        <f>IF(ISBLANK(RIHELI_EFF_30),"",RIHELI_EFF_30)</f>
        <v>0</v>
      </c>
      <c r="AM731" s="1843" t="s">
        <v>168</v>
      </c>
      <c r="AN731" s="1843">
        <f>IF(ISBLANK(RIHELI_EFF_30),"",RIHELI_EFF_30)</f>
        <v>0</v>
      </c>
      <c r="BW731" s="1843" t="s">
        <v>168</v>
      </c>
      <c r="BX731" s="1702">
        <f>IF(ISBLANK(RIHELI_EFF_30),"",RIHELI_EFF_30)</f>
        <v>0</v>
      </c>
    </row>
    <row r="732" spans="3:76" ht="15" customHeight="1">
      <c r="G732" s="1843">
        <v>1</v>
      </c>
      <c r="H732" s="1843">
        <f>IF(ISBLANK(RIHELI_1BR_30),"",RIHELI_1BR_30)</f>
        <v>0</v>
      </c>
      <c r="AM732" s="1843">
        <v>1</v>
      </c>
      <c r="AN732" s="1843">
        <f>IF(ISBLANK(RIHELI_1BR_30),"",RIHELI_1BR_30)</f>
        <v>0</v>
      </c>
      <c r="BW732" s="1843">
        <v>1</v>
      </c>
      <c r="BX732" s="1702">
        <f>IF(ISBLANK(RIHELI_1BR_30),"",RIHELI_1BR_30)</f>
        <v>0</v>
      </c>
    </row>
    <row r="733" spans="3:76" ht="15" customHeight="1">
      <c r="G733" s="1843">
        <v>2</v>
      </c>
      <c r="H733" s="1843">
        <f>IF(ISBLANK(RIHELI_2BR_30),"",RIHELI_2BR_30)</f>
        <v>0</v>
      </c>
      <c r="AM733" s="1843">
        <v>2</v>
      </c>
      <c r="AN733" s="1843">
        <f>IF(ISBLANK(RIHELI_2BR_30),"",RIHELI_2BR_30)</f>
        <v>0</v>
      </c>
      <c r="BW733" s="1843">
        <v>2</v>
      </c>
      <c r="BX733" s="1702">
        <f>IF(ISBLANK(RIHELI_2BR_30),"",RIHELI_2BR_30)</f>
        <v>0</v>
      </c>
    </row>
    <row r="734" spans="3:76" ht="15" customHeight="1">
      <c r="G734" s="1843">
        <v>3</v>
      </c>
      <c r="H734" s="1843">
        <f>IF(ISBLANK(RIHELI_3BR_30),"",RIHELI_3BR_30)</f>
        <v>0</v>
      </c>
      <c r="AM734" s="1843">
        <v>3</v>
      </c>
      <c r="AN734" s="1843">
        <f>IF(ISBLANK(RIHELI_3BR_30),"",RIHELI_3BR_30)</f>
        <v>0</v>
      </c>
      <c r="BW734" s="1843">
        <v>3</v>
      </c>
      <c r="BX734" s="1702">
        <f>IF(ISBLANK(RIHELI_3BR_30),"",RIHELI_3BR_30)</f>
        <v>0</v>
      </c>
    </row>
    <row r="735" spans="3:76" ht="15" customHeight="1">
      <c r="G735" s="1843">
        <v>4</v>
      </c>
      <c r="H735" s="1843">
        <f>IF(ISBLANK(RIHELI_4BR_30),"",RIHELI_4BR_30)</f>
        <v>0</v>
      </c>
      <c r="AM735" s="1843">
        <v>4</v>
      </c>
      <c r="AN735" s="1843">
        <f>IF(ISBLANK(RIHELI_4BR_30),"",RIHELI_4BR_30)</f>
        <v>0</v>
      </c>
      <c r="BW735" s="1843">
        <v>4</v>
      </c>
      <c r="BX735" s="1702">
        <f>IF(ISBLANK(RIHELI_4BR_30),"",RIHELI_4BR_30)</f>
        <v>0</v>
      </c>
    </row>
    <row r="736" spans="3:76" ht="15" customHeight="1">
      <c r="G736" s="1843">
        <v>5</v>
      </c>
      <c r="H736" s="1843">
        <f>IF(ISBLANK(RIHELI_5BR_30),"",RIHELI_5BR_30)</f>
        <v>0</v>
      </c>
      <c r="AM736" s="1843">
        <v>5</v>
      </c>
      <c r="AN736" s="1843">
        <f>IF(ISBLANK(RIHELI_5BR_30),"",RIHELI_5BR_30)</f>
        <v>0</v>
      </c>
      <c r="BW736" s="1843">
        <v>5</v>
      </c>
      <c r="BX736" s="1702">
        <f>IF(ISBLANK(RIHELI_5BR_30),"",RIHELI_5BR_30)</f>
        <v>0</v>
      </c>
    </row>
    <row r="737" spans="1:77" ht="15" customHeight="1"/>
    <row r="738" spans="1:77" ht="15" customHeight="1">
      <c r="A738" s="1677" t="s">
        <v>2526</v>
      </c>
      <c r="C738" s="1683" t="s">
        <v>2527</v>
      </c>
      <c r="G738" s="1763" t="s">
        <v>43</v>
      </c>
      <c r="H738" s="1702">
        <v>811</v>
      </c>
      <c r="AI738" s="1683" t="s">
        <v>2527</v>
      </c>
      <c r="AM738" s="1763" t="s">
        <v>43</v>
      </c>
      <c r="AN738" s="1702">
        <v>811</v>
      </c>
      <c r="BS738" s="1683" t="s">
        <v>2527</v>
      </c>
      <c r="BW738" s="1763" t="s">
        <v>43</v>
      </c>
      <c r="BX738" s="1702">
        <v>811</v>
      </c>
    </row>
    <row r="739" spans="1:77" ht="15" customHeight="1">
      <c r="G739" s="1763" t="s">
        <v>2417</v>
      </c>
      <c r="H739" s="2067" t="str">
        <f>IF(ISBLANK(_811Program_Award),"",_811Program_Award)</f>
        <v/>
      </c>
      <c r="AM739" s="1763" t="s">
        <v>2417</v>
      </c>
      <c r="AN739" s="1702"/>
      <c r="BW739" s="1763" t="s">
        <v>2417</v>
      </c>
      <c r="BX739" s="1702"/>
    </row>
    <row r="740" spans="1:77" ht="15" customHeight="1">
      <c r="G740" s="1763" t="s">
        <v>2474</v>
      </c>
      <c r="H740" s="1702">
        <f>IF(ISBLANK(_811Total_811_Units),"",_811Total_811_Units)</f>
        <v>0</v>
      </c>
      <c r="AM740" s="1763" t="s">
        <v>2474</v>
      </c>
      <c r="AN740" s="1702"/>
      <c r="BW740" s="1763" t="s">
        <v>2474</v>
      </c>
      <c r="BX740" s="1702"/>
    </row>
    <row r="741" spans="1:77" ht="15" customHeight="1"/>
    <row r="742" spans="1:77" ht="15" customHeight="1">
      <c r="C742" s="1683" t="s">
        <v>2465</v>
      </c>
      <c r="G742" s="1843" t="s">
        <v>1930</v>
      </c>
      <c r="H742" s="2032">
        <v>0.3</v>
      </c>
      <c r="AI742" s="1683" t="s">
        <v>2465</v>
      </c>
      <c r="AM742" s="1843" t="s">
        <v>1930</v>
      </c>
      <c r="AN742" s="2032">
        <v>0.3</v>
      </c>
      <c r="BS742" s="1683" t="s">
        <v>2465</v>
      </c>
      <c r="BW742" s="1843" t="s">
        <v>1930</v>
      </c>
      <c r="BX742" s="2032">
        <v>0.3</v>
      </c>
    </row>
    <row r="743" spans="1:77" ht="15" customHeight="1">
      <c r="G743" s="1843" t="s">
        <v>141</v>
      </c>
      <c r="H743" s="1843" t="str">
        <f>IF(ISBLANK(_811_SRO_30),"",_811_SRO_30)</f>
        <v/>
      </c>
      <c r="AM743" s="1843" t="s">
        <v>141</v>
      </c>
      <c r="AN743" s="1843" t="str">
        <f>IF(ISBLANK(_811_SRO_30),"",_811_SRO_30)</f>
        <v/>
      </c>
      <c r="BW743" s="1843" t="s">
        <v>141</v>
      </c>
      <c r="BX743" s="1843" t="str">
        <f>IF(ISBLANK(_811_SRO_30),"",_811_SRO_30)</f>
        <v/>
      </c>
    </row>
    <row r="744" spans="1:77" ht="15" customHeight="1">
      <c r="G744" s="1843" t="s">
        <v>168</v>
      </c>
      <c r="H744" s="1843" t="str">
        <f>IF(ISBLANK(_811_EFF_30),"",_811_EFF_30)</f>
        <v/>
      </c>
      <c r="AM744" s="1843" t="s">
        <v>168</v>
      </c>
      <c r="AN744" s="1843" t="str">
        <f>IF(ISBLANK(_811_EFF_30),"",_811_EFF_30)</f>
        <v/>
      </c>
      <c r="BW744" s="1843" t="s">
        <v>168</v>
      </c>
      <c r="BX744" s="1843" t="str">
        <f>IF(ISBLANK(_811_EFF_30),"",_811_EFF_30)</f>
        <v/>
      </c>
    </row>
    <row r="745" spans="1:77" ht="15" customHeight="1">
      <c r="G745" s="1843">
        <v>1</v>
      </c>
      <c r="H745" s="1843" t="str">
        <f>IF(ISBLANK(_811_1BR_30),"",_811_1BR_30)</f>
        <v/>
      </c>
      <c r="AM745" s="1843">
        <v>1</v>
      </c>
      <c r="AN745" s="1843" t="str">
        <f>IF(ISBLANK(_811_1BR_30),"",_811_1BR_30)</f>
        <v/>
      </c>
      <c r="BW745" s="1843">
        <v>1</v>
      </c>
      <c r="BX745" s="1843" t="str">
        <f>IF(ISBLANK(_811_1BR_30),"",_811_1BR_30)</f>
        <v/>
      </c>
    </row>
    <row r="746" spans="1:77" ht="15" customHeight="1">
      <c r="G746" s="1843">
        <v>2</v>
      </c>
      <c r="H746" s="1843" t="str">
        <f>IF(ISBLANK(_811_2BR_30),"",_811_2BR_30)</f>
        <v/>
      </c>
      <c r="AM746" s="1843">
        <v>2</v>
      </c>
      <c r="AN746" s="1843" t="str">
        <f>IF(ISBLANK(_811_2BR_30),"",_811_2BR_30)</f>
        <v/>
      </c>
      <c r="BW746" s="1843">
        <v>2</v>
      </c>
      <c r="BX746" s="1843" t="str">
        <f>IF(ISBLANK(_811_2BR_30),"",_811_2BR_30)</f>
        <v/>
      </c>
    </row>
    <row r="747" spans="1:77" ht="15" customHeight="1">
      <c r="G747" s="1843">
        <v>3</v>
      </c>
      <c r="H747" s="1843" t="str">
        <f>IF(ISBLANK(_811_3BR_30),"",_811_3BR_30)</f>
        <v/>
      </c>
      <c r="AM747" s="1843">
        <v>3</v>
      </c>
      <c r="AN747" s="1843" t="str">
        <f>IF(ISBLANK(_811_3BR_30),"",_811_3BR_30)</f>
        <v/>
      </c>
      <c r="BW747" s="1843">
        <v>3</v>
      </c>
      <c r="BX747" s="1843" t="str">
        <f>IF(ISBLANK(_811_3BR_30),"",_811_3BR_30)</f>
        <v/>
      </c>
    </row>
    <row r="748" spans="1:77" ht="15" customHeight="1">
      <c r="G748" s="1843">
        <v>4</v>
      </c>
      <c r="H748" s="1843" t="str">
        <f>IF(ISBLANK(_811_4BR_30),"",_811_4BR_30)</f>
        <v/>
      </c>
      <c r="AM748" s="1843">
        <v>4</v>
      </c>
      <c r="AN748" s="1843" t="str">
        <f>IF(ISBLANK(_811_4BR_30),"",_811_4BR_30)</f>
        <v/>
      </c>
      <c r="BW748" s="1843">
        <v>4</v>
      </c>
      <c r="BX748" s="1843" t="str">
        <f>IF(ISBLANK(_811_4BR_30),"",_811_4BR_30)</f>
        <v/>
      </c>
    </row>
    <row r="749" spans="1:77" ht="15" customHeight="1">
      <c r="G749" s="1843">
        <v>5</v>
      </c>
      <c r="H749" s="1843" t="str">
        <f>IF(ISBLANK(_811_5BR_30),"",_811_5BR_30)</f>
        <v/>
      </c>
      <c r="AM749" s="1843">
        <v>5</v>
      </c>
      <c r="AN749" s="1843" t="str">
        <f>IF(ISBLANK(_811_5BR_30),"",_811_5BR_30)</f>
        <v/>
      </c>
      <c r="BW749" s="1843">
        <v>5</v>
      </c>
      <c r="BX749" s="1843" t="str">
        <f>IF(ISBLANK(_811_5BR_30),"",_811_5BR_30)</f>
        <v/>
      </c>
    </row>
    <row r="750" spans="1:77" ht="15" customHeight="1">
      <c r="G750" s="2068" t="s">
        <v>2534</v>
      </c>
      <c r="H750" s="2116" t="str">
        <f>IF(ISBLANK(_811_Undefined_30),"",_811_Undefined_30)</f>
        <v/>
      </c>
      <c r="AM750" s="1843" t="s">
        <v>2534</v>
      </c>
      <c r="AN750" s="1843" t="str">
        <f>IF(ISBLANK(_811_Undefined_30),"",_811_Undefined_30)</f>
        <v/>
      </c>
      <c r="BW750" s="1843" t="s">
        <v>2534</v>
      </c>
      <c r="BX750" s="1843" t="str">
        <f>IF(ISBLANK(_811_Undefined_30),"",_811_Undefined_30)</f>
        <v/>
      </c>
    </row>
    <row r="751" spans="1:77" ht="15" customHeight="1">
      <c r="G751" s="2029"/>
      <c r="H751" s="2029"/>
      <c r="AM751" s="2029"/>
      <c r="AN751" s="2029"/>
      <c r="BW751" s="2029"/>
      <c r="BX751" s="2029"/>
    </row>
    <row r="752" spans="1:77" ht="15" customHeight="1">
      <c r="C752" s="1683" t="s">
        <v>2528</v>
      </c>
      <c r="D752" s="1683"/>
      <c r="E752" s="1683"/>
      <c r="F752" s="1683"/>
      <c r="G752" s="2038" t="s">
        <v>2475</v>
      </c>
      <c r="H752" s="1653" t="s">
        <v>594</v>
      </c>
      <c r="I752" s="2039" t="s">
        <v>598</v>
      </c>
      <c r="AI752" s="1683" t="s">
        <v>2528</v>
      </c>
      <c r="AJ752" s="1683"/>
      <c r="AK752" s="1683"/>
      <c r="AL752" s="1683"/>
      <c r="AM752" s="2038" t="s">
        <v>2475</v>
      </c>
      <c r="AN752" s="1653" t="s">
        <v>594</v>
      </c>
      <c r="AO752" s="2039" t="s">
        <v>598</v>
      </c>
      <c r="BS752" s="1683" t="s">
        <v>2528</v>
      </c>
      <c r="BT752" s="1683"/>
      <c r="BU752" s="1683"/>
      <c r="BV752" s="1683"/>
      <c r="BW752" s="2038" t="s">
        <v>2475</v>
      </c>
      <c r="BX752" s="1653" t="s">
        <v>594</v>
      </c>
      <c r="BY752" s="2039" t="s">
        <v>598</v>
      </c>
    </row>
    <row r="753" spans="3:77" ht="15" customHeight="1">
      <c r="C753" s="1683"/>
      <c r="D753" s="1683"/>
      <c r="E753" s="1683"/>
      <c r="F753" s="1683"/>
      <c r="G753" s="2038" t="s">
        <v>1008</v>
      </c>
      <c r="H753" s="2109" t="str">
        <f>IF(ISBLANK(_811SPCompanyName),"", "PSH Service Provider")</f>
        <v/>
      </c>
      <c r="I753" s="2114" t="str">
        <f>IF(ISBLANK(_811SPContactName),"","PSH Service Provider")</f>
        <v/>
      </c>
      <c r="AI753" s="1683"/>
      <c r="AJ753" s="1683"/>
      <c r="AK753" s="1683"/>
      <c r="AL753" s="1683"/>
      <c r="AM753" s="2038"/>
      <c r="AN753" s="1653"/>
      <c r="AO753" s="2039"/>
      <c r="BS753" s="1683"/>
      <c r="BT753" s="1683"/>
      <c r="BU753" s="1683"/>
      <c r="BV753" s="1683"/>
      <c r="BW753" s="2038"/>
      <c r="BX753" s="1653"/>
      <c r="BY753" s="2039"/>
    </row>
    <row r="754" spans="3:77" ht="15" customHeight="1">
      <c r="C754" s="1683"/>
      <c r="D754" s="1683"/>
      <c r="E754" s="1683"/>
      <c r="F754" s="1683"/>
      <c r="G754" s="2038" t="s">
        <v>2540</v>
      </c>
      <c r="H754" s="2109" t="str">
        <f>IF(ISBLANK(_811SPCompanyName),"","Company")</f>
        <v/>
      </c>
      <c r="I754" s="2109" t="str">
        <f>IF(ISBLANK(_811SPContactName),"","Individual")</f>
        <v/>
      </c>
      <c r="AI754" s="1683"/>
      <c r="AJ754" s="1683"/>
      <c r="AK754" s="1683"/>
      <c r="AL754" s="1683"/>
      <c r="AM754" s="2034" t="s">
        <v>2467</v>
      </c>
      <c r="AN754" s="1653"/>
      <c r="AO754" s="1653"/>
      <c r="BS754" s="1683"/>
      <c r="BT754" s="1683"/>
      <c r="BU754" s="1683"/>
      <c r="BV754" s="1683"/>
      <c r="BW754" s="2034" t="s">
        <v>2467</v>
      </c>
      <c r="BX754" s="1653"/>
      <c r="BY754" s="1653"/>
    </row>
    <row r="755" spans="3:77" ht="15" customHeight="1">
      <c r="C755" s="1683"/>
      <c r="D755" s="1683"/>
      <c r="E755" s="1683"/>
      <c r="F755" s="1683"/>
      <c r="G755" s="2034" t="s">
        <v>2467</v>
      </c>
      <c r="H755" s="1653" t="str">
        <f>IF(ISBLANK(_811SPCompanyName),"",_811SPCompanyName)</f>
        <v/>
      </c>
      <c r="I755" s="2112" t="str">
        <f>IF(ISBLANK(_811SPCompanyName),"",_811SPCompanyName)</f>
        <v/>
      </c>
      <c r="AI755" s="1683"/>
      <c r="AJ755" s="1683"/>
      <c r="AK755" s="1683"/>
      <c r="AL755" s="1683"/>
      <c r="AM755" s="2034" t="s">
        <v>2468</v>
      </c>
      <c r="AN755" s="2035"/>
      <c r="AO755" s="2035"/>
      <c r="BS755" s="1683"/>
      <c r="BT755" s="1683"/>
      <c r="BU755" s="1683"/>
      <c r="BV755" s="1683"/>
      <c r="BW755" s="2034" t="s">
        <v>2468</v>
      </c>
      <c r="BX755" s="2035"/>
      <c r="BY755" s="2035"/>
    </row>
    <row r="756" spans="3:77" ht="15" customHeight="1">
      <c r="C756" s="1683"/>
      <c r="D756" s="1683"/>
      <c r="E756" s="1683"/>
      <c r="F756" s="1683"/>
      <c r="G756" s="2034" t="s">
        <v>2468</v>
      </c>
      <c r="H756" s="1341" t="str">
        <f>IF(ISBLANK(_811SPAddress)," ",_811SPAddress)</f>
        <v xml:space="preserve"> </v>
      </c>
      <c r="I756" s="1341" t="str">
        <f>IF(ISBLANK(_811SPAddress)," ",_811SPAddress)</f>
        <v xml:space="preserve"> </v>
      </c>
      <c r="AI756" s="1683"/>
      <c r="AJ756" s="1683"/>
      <c r="AK756" s="1683"/>
      <c r="AL756" s="1683"/>
      <c r="AM756" s="2034" t="s">
        <v>2469</v>
      </c>
      <c r="AN756" s="1653"/>
      <c r="AO756" s="1653"/>
      <c r="BS756" s="1683"/>
      <c r="BT756" s="1683"/>
      <c r="BU756" s="1683"/>
      <c r="BV756" s="1683"/>
      <c r="BW756" s="2034" t="s">
        <v>2469</v>
      </c>
      <c r="BX756" s="1653"/>
      <c r="BY756" s="1653"/>
    </row>
    <row r="757" spans="3:77" ht="15" customHeight="1">
      <c r="C757" s="1683"/>
      <c r="D757" s="1683"/>
      <c r="E757" s="1683"/>
      <c r="F757" s="1683"/>
      <c r="G757" s="2034" t="s">
        <v>2469</v>
      </c>
      <c r="H757" s="2111" t="str">
        <f>IF(ISBLANK(_811SPCityStateZip)," ",_811SPCityStateZip)</f>
        <v xml:space="preserve"> </v>
      </c>
      <c r="I757" s="2111" t="str">
        <f>IF(ISBLANK(_811SPCityStateZip)," ",_811SPCityStateZip)</f>
        <v xml:space="preserve"> </v>
      </c>
      <c r="AI757" s="1683"/>
      <c r="AJ757" s="1683"/>
      <c r="AK757" s="1683"/>
      <c r="AL757" s="1683"/>
      <c r="AM757" s="2034" t="s">
        <v>2472</v>
      </c>
      <c r="AN757" s="1653"/>
      <c r="AO757" s="1653"/>
      <c r="BS757" s="1683"/>
      <c r="BT757" s="1683"/>
      <c r="BU757" s="1683"/>
      <c r="BV757" s="1683"/>
      <c r="BW757" s="2034" t="s">
        <v>2472</v>
      </c>
      <c r="BX757" s="1653"/>
      <c r="BY757" s="1653"/>
    </row>
    <row r="758" spans="3:77" ht="15" customHeight="1">
      <c r="C758" s="1683"/>
      <c r="D758" s="1683"/>
      <c r="E758" s="1683"/>
      <c r="F758" s="1683"/>
      <c r="G758" s="2034" t="s">
        <v>2541</v>
      </c>
      <c r="H758" s="1341" t="str">
        <f>IF(ISBLANK(_811SPCityStateZip),"",LEFT(_811SPCityStateZip,SEARCH(" ",_811SPCityStateZip)-2))</f>
        <v/>
      </c>
      <c r="I758" s="1341" t="str">
        <f>IF(ISBLANK(_811SPCityStateZip),"",LEFT(_811SPCityStateZip,SEARCH(" ",_811SPCityStateZip)-2))</f>
        <v/>
      </c>
      <c r="AI758" s="1683"/>
      <c r="AJ758" s="1683"/>
      <c r="AK758" s="1683"/>
      <c r="AL758" s="1683"/>
      <c r="AM758" s="2034" t="s">
        <v>2470</v>
      </c>
      <c r="AN758" s="1653"/>
      <c r="AO758" s="1653"/>
      <c r="BS758" s="1683"/>
      <c r="BT758" s="1683"/>
      <c r="BU758" s="1683"/>
      <c r="BV758" s="1683"/>
      <c r="BW758" s="2034" t="s">
        <v>2470</v>
      </c>
      <c r="BX758" s="1653"/>
      <c r="BY758" s="1653"/>
    </row>
    <row r="759" spans="3:77" ht="15" customHeight="1">
      <c r="C759" s="1683"/>
      <c r="D759" s="1683"/>
      <c r="E759" s="1683"/>
      <c r="F759" s="1683"/>
      <c r="G759" s="2034" t="s">
        <v>2542</v>
      </c>
      <c r="H759" s="2115" t="str">
        <f>IF(ISBLANK(_811SPCityStateZip),"",MID(_811SPCityStateZip,FIND(" ",_811SPCityStateZip)+1,FIND(" ",_811SPCityStateZip,FIND(" ",_811SPCityStateZip)+1)-FIND(" ",_811SPCityStateZip)-2))</f>
        <v/>
      </c>
      <c r="I759" s="2115" t="str">
        <f>IF(ISBLANK(_811SPCityStateZip),"",MID(_811SPCityStateZip,FIND(" ",_811SPCityStateZip)+1,FIND(" ",_811SPCityStateZip,FIND(" ",_811SPCityStateZip)+1)-FIND(" ",_811SPCityStateZip)-2))</f>
        <v/>
      </c>
      <c r="AI759" s="1683"/>
      <c r="AJ759" s="1683"/>
      <c r="AK759" s="1683"/>
      <c r="AL759" s="1683"/>
      <c r="AM759" s="2034" t="s">
        <v>2541</v>
      </c>
      <c r="AN759" s="1653"/>
      <c r="AO759" s="1653"/>
      <c r="BS759" s="1683"/>
      <c r="BT759" s="1683"/>
      <c r="BU759" s="1683"/>
      <c r="BV759" s="1683"/>
      <c r="BW759" s="2034" t="s">
        <v>2541</v>
      </c>
      <c r="BX759" s="1653"/>
      <c r="BY759" s="1653"/>
    </row>
    <row r="760" spans="3:77" ht="15" customHeight="1">
      <c r="C760" s="1683"/>
      <c r="D760" s="1683"/>
      <c r="E760" s="1683"/>
      <c r="F760" s="1683"/>
      <c r="G760" s="2034" t="s">
        <v>2543</v>
      </c>
      <c r="H760" s="1341" t="str">
        <f>IF(ISBLANK(_811SPCityStateZip),"",RIGHT(_811SPCityStateZip,LEN(_811SPCityStateZip)-SEARCH(" ",_811SPCityStateZip)-4))</f>
        <v/>
      </c>
      <c r="I760" s="1341" t="str">
        <f>IF(ISBLANK(_811SPCityStateZip),"",RIGHT(_811SPCityStateZip,LEN(_811SPCityStateZip)-SEARCH(" ",_811SPCityStateZip)-4))</f>
        <v/>
      </c>
      <c r="AI760" s="1683"/>
      <c r="AJ760" s="1683"/>
      <c r="AK760" s="1683"/>
      <c r="AL760" s="1683"/>
      <c r="AM760" s="2034" t="s">
        <v>2542</v>
      </c>
      <c r="AN760" s="1653"/>
      <c r="AO760" s="1653"/>
      <c r="BS760" s="1683"/>
      <c r="BT760" s="1683"/>
      <c r="BU760" s="1683"/>
      <c r="BV760" s="1683"/>
      <c r="BW760" s="2034" t="s">
        <v>2542</v>
      </c>
      <c r="BX760" s="1653"/>
      <c r="BY760" s="1653"/>
    </row>
    <row r="761" spans="3:77" ht="15" customHeight="1">
      <c r="C761" s="1683"/>
      <c r="D761" s="1683"/>
      <c r="E761" s="1683"/>
      <c r="F761" s="1683"/>
      <c r="G761" s="2034" t="s">
        <v>2472</v>
      </c>
      <c r="H761" s="2111" t="str">
        <f>IF(ISBLANK(_811SPContactName),"",_811SPContactName)</f>
        <v/>
      </c>
      <c r="I761" s="2111" t="str">
        <f>IF(ISBLANK(_811SPContactName)," ",_811SPContactName)</f>
        <v xml:space="preserve"> </v>
      </c>
      <c r="AI761" s="1683"/>
      <c r="AJ761" s="1683"/>
      <c r="AK761" s="1683"/>
      <c r="AL761" s="1683"/>
      <c r="AM761" s="2034" t="s">
        <v>2543</v>
      </c>
      <c r="AN761" s="1653"/>
      <c r="AO761" s="1653"/>
      <c r="BS761" s="1683"/>
      <c r="BT761" s="1683"/>
      <c r="BU761" s="1683"/>
      <c r="BV761" s="1683"/>
      <c r="BW761" s="2034" t="s">
        <v>2543</v>
      </c>
      <c r="BX761" s="1653"/>
      <c r="BY761" s="1653"/>
    </row>
    <row r="762" spans="3:77" ht="15" customHeight="1">
      <c r="C762" s="1683"/>
      <c r="D762" s="1683"/>
      <c r="E762" s="1683"/>
      <c r="F762" s="1683"/>
      <c r="G762" s="2034" t="s">
        <v>2564</v>
      </c>
      <c r="H762" s="2111" t="str">
        <f>IF(ISBLANK(_811SPContactName),"",LEFT(_811SPContactName,SEARCH(" ",_811SPContactName)-1))</f>
        <v/>
      </c>
      <c r="I762" s="1341" t="str">
        <f>IF(ISBLANK(_811SPContactName),"",LEFT(_811SPContactName,SEARCH(" ",_811SPContactName)-1))</f>
        <v/>
      </c>
      <c r="AI762" s="1683"/>
      <c r="AJ762" s="1683"/>
      <c r="AK762" s="1683"/>
      <c r="AL762" s="1683"/>
      <c r="AM762" s="2034"/>
      <c r="AN762" s="1653"/>
      <c r="AO762" s="1653"/>
      <c r="BS762" s="1683"/>
      <c r="BT762" s="1683"/>
      <c r="BU762" s="1683"/>
      <c r="BV762" s="1683"/>
      <c r="BW762" s="2034"/>
      <c r="BX762" s="1653"/>
      <c r="BY762" s="1653"/>
    </row>
    <row r="763" spans="3:77" ht="15" customHeight="1">
      <c r="C763" s="1683"/>
      <c r="D763" s="1683"/>
      <c r="E763" s="1683"/>
      <c r="F763" s="1683"/>
      <c r="G763" s="2034" t="s">
        <v>2565</v>
      </c>
      <c r="H763" s="2111" t="str">
        <f>IF(ISBLANK(_811SPContactName),"",RIGHT(_811SPContactName,LEN(_811SPContactName)-SEARCH(" ",_811SPContactName)))</f>
        <v/>
      </c>
      <c r="I763" s="1341" t="str">
        <f>IF(ISBLANK(_811SPContactName),"",RIGHT(_811SPContactName,LEN(_811SPContactName)-SEARCH(" ",_811SPContactName)))</f>
        <v/>
      </c>
      <c r="AI763" s="1683"/>
      <c r="AJ763" s="1683"/>
      <c r="AK763" s="1683"/>
      <c r="AL763" s="1683"/>
      <c r="AM763" s="2034"/>
      <c r="AN763" s="1653"/>
      <c r="AO763" s="1653"/>
      <c r="BS763" s="1683"/>
      <c r="BT763" s="1683"/>
      <c r="BU763" s="1683"/>
      <c r="BV763" s="1683"/>
      <c r="BW763" s="2034"/>
      <c r="BX763" s="1653"/>
      <c r="BY763" s="1653"/>
    </row>
    <row r="764" spans="3:77" ht="15" customHeight="1">
      <c r="C764" s="1683"/>
      <c r="D764" s="1683"/>
      <c r="E764" s="1683"/>
      <c r="F764" s="1683"/>
      <c r="G764" s="2034" t="s">
        <v>2470</v>
      </c>
      <c r="H764" s="1341" t="str">
        <f>IF(ISBLANK(_811SPContactPhone),"",_811SPContactPhone)</f>
        <v/>
      </c>
      <c r="I764" s="1341" t="str">
        <f>IF(ISBLANK(_811SPContactPhone)," ",_811SPContactPhone)</f>
        <v xml:space="preserve"> </v>
      </c>
      <c r="AI764" s="1683"/>
      <c r="AJ764" s="1683"/>
      <c r="AK764" s="1683"/>
      <c r="AL764" s="1683"/>
      <c r="AM764" s="2034" t="s">
        <v>2471</v>
      </c>
      <c r="AN764" s="1653"/>
      <c r="AO764" s="1653"/>
      <c r="BS764" s="1683"/>
      <c r="BT764" s="1683"/>
      <c r="BU764" s="1683"/>
      <c r="BV764" s="1683"/>
      <c r="BW764" s="2034" t="s">
        <v>2471</v>
      </c>
      <c r="BX764" s="1653"/>
      <c r="BY764" s="1653"/>
    </row>
    <row r="765" spans="3:77" ht="15" customHeight="1">
      <c r="C765" s="1683"/>
      <c r="D765" s="1683"/>
      <c r="E765" s="1683"/>
      <c r="F765" s="1683"/>
      <c r="G765" s="2034" t="s">
        <v>2471</v>
      </c>
      <c r="H765" s="1341" t="str">
        <f>IF(ISBLANK(_811SPContactEmail)," ",_811SPContactEmail)</f>
        <v xml:space="preserve"> </v>
      </c>
      <c r="I765" s="1341" t="str">
        <f>IF(ISBLANK(_811SPContactEmail)," ",_811SPContactEmail)</f>
        <v xml:space="preserve"> </v>
      </c>
    </row>
    <row r="766" spans="3:77" ht="15" customHeight="1">
      <c r="AI766" s="1683" t="s">
        <v>2530</v>
      </c>
      <c r="AM766" s="1763" t="s">
        <v>43</v>
      </c>
      <c r="AN766" s="1702"/>
      <c r="BS766" s="1683" t="s">
        <v>2530</v>
      </c>
      <c r="BW766" s="1763" t="s">
        <v>43</v>
      </c>
      <c r="BX766" s="1702"/>
    </row>
    <row r="767" spans="3:77" ht="15" customHeight="1">
      <c r="C767" s="1683" t="s">
        <v>2546</v>
      </c>
      <c r="G767" s="1763" t="s">
        <v>43</v>
      </c>
      <c r="H767" s="1702" t="str">
        <f>IF(ISBLANK(OtherPSH_Program_Type),"",OtherPSH_Program_Type)</f>
        <v/>
      </c>
      <c r="AM767" s="1763" t="s">
        <v>2417</v>
      </c>
      <c r="AN767" s="1702"/>
      <c r="BW767" s="1763" t="s">
        <v>2417</v>
      </c>
      <c r="BX767" s="1702"/>
    </row>
    <row r="768" spans="3:77" ht="15" customHeight="1">
      <c r="G768" s="1763" t="s">
        <v>2417</v>
      </c>
      <c r="H768" s="1702" t="str">
        <f>IF(ISBLANK(OtherPSHProgram_Award),"",OtherPSHProgram_Award)</f>
        <v/>
      </c>
      <c r="AM768" s="1763" t="s">
        <v>2474</v>
      </c>
      <c r="AN768" s="1702"/>
      <c r="BW768" s="1763" t="s">
        <v>2474</v>
      </c>
      <c r="BX768" s="1702"/>
    </row>
    <row r="769" spans="3:124" ht="15" customHeight="1">
      <c r="G769" s="1763" t="s">
        <v>2536</v>
      </c>
      <c r="H769" s="1702"/>
    </row>
    <row r="770" spans="3:124" ht="15" customHeight="1">
      <c r="AI770" s="1683" t="s">
        <v>2531</v>
      </c>
      <c r="AM770" s="1843" t="s">
        <v>1930</v>
      </c>
      <c r="AN770" s="2032">
        <v>0.3</v>
      </c>
      <c r="BS770" s="1683" t="s">
        <v>2531</v>
      </c>
      <c r="BW770" s="1843" t="s">
        <v>1930</v>
      </c>
      <c r="BX770" s="2032">
        <v>0.3</v>
      </c>
    </row>
    <row r="771" spans="3:124" ht="15" customHeight="1">
      <c r="C771" s="1683" t="s">
        <v>2544</v>
      </c>
      <c r="G771" s="1843" t="s">
        <v>1930</v>
      </c>
      <c r="H771" s="2032">
        <v>0.3</v>
      </c>
      <c r="AI771" s="1683"/>
      <c r="AM771" s="1843"/>
      <c r="AN771" s="2032"/>
      <c r="BS771" s="1683"/>
      <c r="BW771" s="1843"/>
      <c r="BX771" s="2032"/>
    </row>
    <row r="772" spans="3:124" s="1683" customFormat="1" ht="15" customHeight="1">
      <c r="C772" s="1677"/>
      <c r="D772" s="1677"/>
      <c r="E772" s="1677"/>
      <c r="F772" s="1677"/>
      <c r="G772" s="1843" t="s">
        <v>141</v>
      </c>
      <c r="H772" s="1341" t="str">
        <f>IF(ISBLANK(PSH_SRO_SUM)," ",PSH_SRO_SUM)</f>
        <v/>
      </c>
      <c r="AD772" s="2072"/>
      <c r="AE772" s="2076"/>
      <c r="AF772" s="1677"/>
      <c r="AG772" s="1677"/>
      <c r="AH772" s="1677"/>
      <c r="AI772" s="1677"/>
      <c r="AJ772" s="1677"/>
      <c r="AK772" s="1677"/>
      <c r="AL772" s="1677"/>
      <c r="AM772" s="1843" t="s">
        <v>141</v>
      </c>
      <c r="AN772" s="1843"/>
      <c r="AV772" s="1677"/>
      <c r="AW772" s="1677"/>
      <c r="AX772" s="1677"/>
      <c r="AY772" s="1677"/>
      <c r="AZ772" s="1677"/>
      <c r="BA772" s="1677"/>
      <c r="BB772" s="1677"/>
      <c r="BC772" s="1677"/>
      <c r="BD772" s="1677"/>
      <c r="BE772" s="1677"/>
      <c r="BF772" s="1677"/>
      <c r="BG772" s="1677"/>
      <c r="BH772" s="1677"/>
      <c r="BI772" s="1677"/>
      <c r="BJ772" s="1677"/>
      <c r="BK772" s="1677"/>
      <c r="BL772" s="1677"/>
      <c r="BM772" s="1677"/>
      <c r="BN772" s="2075"/>
      <c r="BO772" s="2079"/>
      <c r="BP772" s="1677"/>
      <c r="BQ772" s="1677"/>
      <c r="BR772" s="1677"/>
      <c r="BS772" s="1677"/>
      <c r="BT772" s="1677"/>
      <c r="BU772" s="1677"/>
      <c r="BV772" s="1677"/>
      <c r="BW772" s="1843" t="s">
        <v>141</v>
      </c>
      <c r="BX772" s="1843"/>
      <c r="CF772" s="1677"/>
      <c r="CG772" s="1677"/>
      <c r="CH772" s="1677"/>
      <c r="CI772" s="1677"/>
      <c r="CJ772" s="1677"/>
      <c r="CK772" s="1677"/>
      <c r="CL772" s="1677"/>
      <c r="CM772" s="1677"/>
      <c r="CN772" s="1677"/>
      <c r="CO772" s="1677"/>
      <c r="CP772" s="1677"/>
      <c r="CQ772" s="1677"/>
      <c r="CR772" s="1677"/>
      <c r="CS772" s="1677"/>
      <c r="CT772" s="1677"/>
      <c r="CU772" s="1677"/>
      <c r="CV772" s="1677"/>
      <c r="CW772" s="1677"/>
      <c r="CX772" s="1677"/>
      <c r="CY772" s="1677"/>
      <c r="CZ772" s="1677"/>
      <c r="DA772" s="1677"/>
      <c r="DB772" s="1677"/>
      <c r="DC772" s="1677"/>
      <c r="DD772" s="1677"/>
      <c r="DE772" s="1677"/>
      <c r="DF772" s="1677"/>
      <c r="DG772" s="1677"/>
      <c r="DH772" s="1677"/>
      <c r="DI772" s="1677"/>
      <c r="DJ772" s="1677"/>
      <c r="DK772" s="1677"/>
      <c r="DL772" s="1677"/>
      <c r="DM772" s="1677"/>
      <c r="DN772" s="1677"/>
      <c r="DO772" s="1677"/>
      <c r="DP772" s="1677"/>
      <c r="DQ772" s="1677"/>
      <c r="DR772" s="1677"/>
      <c r="DS772" s="1677"/>
      <c r="DT772" s="1677"/>
    </row>
    <row r="773" spans="3:124" s="1683" customFormat="1" ht="15" customHeight="1">
      <c r="C773" s="1677"/>
      <c r="D773" s="1677"/>
      <c r="E773" s="1677"/>
      <c r="F773" s="1677"/>
      <c r="G773" s="1843" t="s">
        <v>168</v>
      </c>
      <c r="H773" s="1341" t="str">
        <f>IF(ISBLANK(PSH_EFF_SUM)," ",PSH_EFF_SUM)</f>
        <v/>
      </c>
      <c r="AD773" s="2072"/>
      <c r="AE773" s="2076"/>
      <c r="AH773" s="1677"/>
      <c r="AI773" s="1677"/>
      <c r="AJ773" s="1677"/>
      <c r="AK773" s="1677"/>
      <c r="AL773" s="1677"/>
      <c r="AM773" s="1843" t="s">
        <v>168</v>
      </c>
      <c r="AN773" s="1843"/>
      <c r="AV773" s="1677"/>
      <c r="AW773" s="1677"/>
      <c r="AX773" s="1677"/>
      <c r="AY773" s="1677"/>
      <c r="AZ773" s="1677"/>
      <c r="BA773" s="1677"/>
      <c r="BB773" s="1677"/>
      <c r="BC773" s="1677"/>
      <c r="BD773" s="1677"/>
      <c r="BE773" s="1677"/>
      <c r="BF773" s="1677"/>
      <c r="BG773" s="1677"/>
      <c r="BH773" s="1677"/>
      <c r="BI773" s="1677"/>
      <c r="BJ773" s="1677"/>
      <c r="BK773" s="1677"/>
      <c r="BL773" s="1677"/>
      <c r="BM773" s="1677"/>
      <c r="BN773" s="2075"/>
      <c r="BO773" s="2079"/>
      <c r="BP773" s="1677"/>
      <c r="BQ773" s="1677"/>
      <c r="BR773" s="1677"/>
      <c r="BS773" s="1677"/>
      <c r="BT773" s="1677"/>
      <c r="BU773" s="1677"/>
      <c r="BV773" s="1677"/>
      <c r="BW773" s="1843" t="s">
        <v>168</v>
      </c>
      <c r="BX773" s="1843"/>
      <c r="CF773" s="1677"/>
      <c r="CG773" s="1677"/>
      <c r="CH773" s="1677"/>
      <c r="CI773" s="1677"/>
      <c r="CJ773" s="1677"/>
      <c r="CK773" s="1677"/>
      <c r="CL773" s="1677"/>
      <c r="CM773" s="1677"/>
      <c r="CN773" s="1677"/>
      <c r="CO773" s="1677"/>
      <c r="CP773" s="1677"/>
      <c r="CQ773" s="1677"/>
      <c r="CR773" s="1677"/>
      <c r="CS773" s="1677"/>
      <c r="CT773" s="1677"/>
      <c r="CU773" s="1677"/>
      <c r="CV773" s="1677"/>
      <c r="CW773" s="1677"/>
      <c r="CX773" s="1677"/>
      <c r="CY773" s="1677"/>
      <c r="CZ773" s="1677"/>
      <c r="DA773" s="1677"/>
      <c r="DB773" s="1677"/>
      <c r="DC773" s="1677"/>
      <c r="DD773" s="1677"/>
      <c r="DE773" s="1677"/>
      <c r="DF773" s="1677"/>
      <c r="DG773" s="1677"/>
      <c r="DH773" s="1677"/>
      <c r="DI773" s="1677"/>
      <c r="DJ773" s="1677"/>
      <c r="DK773" s="1677"/>
      <c r="DL773" s="1677"/>
      <c r="DM773" s="1677"/>
      <c r="DN773" s="1677"/>
      <c r="DO773" s="1677"/>
      <c r="DP773" s="1677"/>
      <c r="DQ773" s="1677"/>
      <c r="DR773" s="1677"/>
      <c r="DS773" s="1677"/>
      <c r="DT773" s="1677"/>
    </row>
    <row r="774" spans="3:124" s="1683" customFormat="1" ht="15" customHeight="1">
      <c r="C774" s="1677"/>
      <c r="D774" s="1677"/>
      <c r="E774" s="1677"/>
      <c r="F774" s="1677"/>
      <c r="G774" s="1843">
        <v>1</v>
      </c>
      <c r="H774" s="1341" t="str">
        <f>IF(ISBLANK(PSH_1BR_SUM)," ",PSH_1BR_SUM)</f>
        <v/>
      </c>
      <c r="AD774" s="2072"/>
      <c r="AE774" s="2076"/>
      <c r="AH774" s="1677"/>
      <c r="AI774" s="1677"/>
      <c r="AJ774" s="1677"/>
      <c r="AK774" s="1677"/>
      <c r="AL774" s="1677"/>
      <c r="AM774" s="1843"/>
      <c r="AN774" s="1843"/>
      <c r="AV774" s="1677"/>
      <c r="AW774" s="1677"/>
      <c r="AX774" s="1677"/>
      <c r="AY774" s="1677"/>
      <c r="AZ774" s="1677"/>
      <c r="BA774" s="1677"/>
      <c r="BB774" s="1677"/>
      <c r="BC774" s="1677"/>
      <c r="BD774" s="1677"/>
      <c r="BE774" s="1677"/>
      <c r="BF774" s="1677"/>
      <c r="BG774" s="1677"/>
      <c r="BH774" s="1677"/>
      <c r="BI774" s="1677"/>
      <c r="BJ774" s="1677"/>
      <c r="BK774" s="1677"/>
      <c r="BL774" s="1677"/>
      <c r="BM774" s="1677"/>
      <c r="BN774" s="2075"/>
      <c r="BO774" s="2079"/>
      <c r="BP774" s="1677"/>
      <c r="BQ774" s="1677"/>
      <c r="BR774" s="1677"/>
      <c r="BS774" s="1677"/>
      <c r="BT774" s="1677"/>
      <c r="BU774" s="1677"/>
      <c r="BV774" s="1677"/>
      <c r="BW774" s="1843"/>
      <c r="BX774" s="1843"/>
      <c r="CF774" s="1677"/>
      <c r="CG774" s="1677"/>
      <c r="CH774" s="1677"/>
      <c r="CI774" s="1677"/>
      <c r="CJ774" s="1677"/>
      <c r="CK774" s="1677"/>
      <c r="CL774" s="1677"/>
      <c r="CM774" s="1677"/>
      <c r="CN774" s="1677"/>
      <c r="CO774" s="1677"/>
      <c r="CP774" s="1677"/>
      <c r="CQ774" s="1677"/>
      <c r="CR774" s="1677"/>
      <c r="CS774" s="1677"/>
      <c r="CT774" s="1677"/>
      <c r="CU774" s="1677"/>
      <c r="CV774" s="1677"/>
      <c r="CW774" s="1677"/>
      <c r="CX774" s="1677"/>
      <c r="CY774" s="1677"/>
      <c r="CZ774" s="1677"/>
      <c r="DA774" s="1677"/>
      <c r="DB774" s="1677"/>
      <c r="DC774" s="1677"/>
      <c r="DD774" s="1677"/>
      <c r="DE774" s="1677"/>
      <c r="DF774" s="1677"/>
      <c r="DG774" s="1677"/>
      <c r="DH774" s="1677"/>
      <c r="DI774" s="1677"/>
      <c r="DJ774" s="1677"/>
      <c r="DK774" s="1677"/>
      <c r="DL774" s="1677"/>
      <c r="DM774" s="1677"/>
      <c r="DN774" s="1677"/>
      <c r="DO774" s="1677"/>
      <c r="DP774" s="1677"/>
      <c r="DQ774" s="1677"/>
      <c r="DR774" s="1677"/>
      <c r="DS774" s="1677"/>
      <c r="DT774" s="1677"/>
    </row>
    <row r="775" spans="3:124" s="1683" customFormat="1" ht="15" customHeight="1">
      <c r="C775" s="1677"/>
      <c r="D775" s="1677"/>
      <c r="E775" s="1677"/>
      <c r="F775" s="1677"/>
      <c r="G775" s="1843">
        <v>2</v>
      </c>
      <c r="H775" s="1341" t="str">
        <f>IF(ISBLANK(PSH_2BR_SUM)," ",PSH_2BR_SUM)</f>
        <v/>
      </c>
      <c r="AD775" s="2072"/>
      <c r="AE775" s="2076"/>
      <c r="AH775" s="1677"/>
      <c r="AI775" s="1677"/>
      <c r="AJ775" s="1677"/>
      <c r="AK775" s="1677"/>
      <c r="AL775" s="1677"/>
      <c r="AM775" s="1843">
        <v>1</v>
      </c>
      <c r="AN775" s="1843"/>
      <c r="AV775" s="1677"/>
      <c r="AW775" s="1677"/>
      <c r="AX775" s="1677"/>
      <c r="AY775" s="1677"/>
      <c r="AZ775" s="1677"/>
      <c r="BA775" s="1677"/>
      <c r="BB775" s="1677"/>
      <c r="BC775" s="1677"/>
      <c r="BD775" s="1677"/>
      <c r="BE775" s="1677"/>
      <c r="BF775" s="1677"/>
      <c r="BG775" s="1677"/>
      <c r="BH775" s="1677"/>
      <c r="BI775" s="1677"/>
      <c r="BJ775" s="1677"/>
      <c r="BK775" s="1677"/>
      <c r="BL775" s="1677"/>
      <c r="BM775" s="1677"/>
      <c r="BN775" s="2075"/>
      <c r="BO775" s="2079"/>
      <c r="BP775" s="1677"/>
      <c r="BQ775" s="1677"/>
      <c r="BR775" s="1677"/>
      <c r="BS775" s="1677"/>
      <c r="BT775" s="1677"/>
      <c r="BU775" s="1677"/>
      <c r="BV775" s="1677"/>
      <c r="BW775" s="1843">
        <v>1</v>
      </c>
      <c r="BX775" s="1843"/>
      <c r="CF775" s="1677"/>
      <c r="CG775" s="1677"/>
      <c r="CH775" s="1677"/>
      <c r="CI775" s="1677"/>
      <c r="CJ775" s="1677"/>
      <c r="CK775" s="1677"/>
      <c r="CL775" s="1677"/>
      <c r="CM775" s="1677"/>
      <c r="CN775" s="1677"/>
      <c r="CO775" s="1677"/>
      <c r="CP775" s="1677"/>
      <c r="CQ775" s="1677"/>
      <c r="CR775" s="1677"/>
      <c r="CS775" s="1677"/>
    </row>
    <row r="776" spans="3:124" s="1683" customFormat="1" ht="15" customHeight="1">
      <c r="C776" s="1677"/>
      <c r="D776" s="1677"/>
      <c r="E776" s="1677"/>
      <c r="F776" s="1677"/>
      <c r="G776" s="1843">
        <v>3</v>
      </c>
      <c r="H776" s="1341" t="str">
        <f>IF(ISBLANK(PSH_3BR_SUM)," ",PSH_3BR_SUM)</f>
        <v/>
      </c>
      <c r="AD776" s="2072"/>
      <c r="AE776" s="2076"/>
      <c r="AH776" s="1677"/>
      <c r="AI776" s="1677"/>
      <c r="AJ776" s="1677"/>
      <c r="AK776" s="1677"/>
      <c r="AL776" s="1677"/>
      <c r="AM776" s="1843">
        <v>2</v>
      </c>
      <c r="AN776" s="1843"/>
      <c r="AV776" s="1677"/>
      <c r="AW776" s="1677"/>
      <c r="AX776" s="1677"/>
      <c r="AY776" s="1677"/>
      <c r="AZ776" s="1677"/>
      <c r="BA776" s="1677"/>
      <c r="BB776" s="1677"/>
      <c r="BC776" s="1677"/>
      <c r="BD776" s="1677"/>
      <c r="BE776" s="1677"/>
      <c r="BF776" s="1677"/>
      <c r="BG776" s="1677"/>
      <c r="BH776" s="1677"/>
      <c r="BI776" s="1677"/>
      <c r="BJ776" s="1677"/>
      <c r="BK776" s="1677"/>
      <c r="BL776" s="1677"/>
      <c r="BM776" s="1677"/>
      <c r="BN776" s="2075"/>
      <c r="BO776" s="2079"/>
      <c r="BP776" s="1677"/>
      <c r="BQ776" s="1677"/>
      <c r="BR776" s="1677"/>
      <c r="BS776" s="1677"/>
      <c r="BT776" s="1677"/>
      <c r="BU776" s="1677"/>
      <c r="BV776" s="1677"/>
      <c r="BW776" s="1843">
        <v>2</v>
      </c>
      <c r="BX776" s="1843"/>
      <c r="CF776" s="1677"/>
      <c r="CG776" s="1677"/>
      <c r="CH776" s="1677"/>
      <c r="CI776" s="1677"/>
      <c r="CJ776" s="1677"/>
      <c r="CK776" s="1677"/>
      <c r="CL776" s="1677"/>
      <c r="CM776" s="1677"/>
      <c r="CN776" s="1677"/>
      <c r="CO776" s="1677"/>
      <c r="CP776" s="1677"/>
      <c r="CQ776" s="1677"/>
    </row>
    <row r="777" spans="3:124" s="1683" customFormat="1" ht="15" customHeight="1">
      <c r="C777" s="1677"/>
      <c r="D777" s="1677"/>
      <c r="E777" s="1677"/>
      <c r="F777" s="1677"/>
      <c r="G777" s="1843">
        <v>4</v>
      </c>
      <c r="H777" s="1341" t="str">
        <f>IF(ISBLANK(PSH_4BR_SUM)," ",PSH_4BR_SUM)</f>
        <v/>
      </c>
      <c r="AD777" s="2072"/>
      <c r="AE777" s="2076"/>
      <c r="AH777" s="1677"/>
      <c r="AI777" s="1677"/>
      <c r="AJ777" s="1677"/>
      <c r="AK777" s="1677"/>
      <c r="AL777" s="1677"/>
      <c r="AM777" s="1843">
        <v>3</v>
      </c>
      <c r="AN777" s="1843"/>
      <c r="AV777" s="1677"/>
      <c r="AW777" s="1677"/>
      <c r="AX777" s="1677"/>
      <c r="AY777" s="1677"/>
      <c r="AZ777" s="1677"/>
      <c r="BA777" s="1677"/>
      <c r="BB777" s="1677"/>
      <c r="BC777" s="1677"/>
      <c r="BD777" s="1677"/>
      <c r="BE777" s="1677"/>
      <c r="BF777" s="1677"/>
      <c r="BG777" s="1677"/>
      <c r="BH777" s="1677"/>
      <c r="BI777" s="1677"/>
      <c r="BJ777" s="1677"/>
      <c r="BK777" s="1677"/>
      <c r="BL777" s="1677"/>
      <c r="BM777" s="1677"/>
      <c r="BN777" s="2075"/>
      <c r="BO777" s="2079"/>
      <c r="BP777" s="1677"/>
      <c r="BQ777" s="1677"/>
      <c r="BR777" s="1677"/>
      <c r="BS777" s="1677"/>
      <c r="BT777" s="1677"/>
      <c r="BU777" s="1677"/>
      <c r="BV777" s="1677"/>
      <c r="BW777" s="1843">
        <v>3</v>
      </c>
      <c r="BX777" s="1843"/>
      <c r="CF777" s="1677"/>
      <c r="CG777" s="1677"/>
      <c r="CH777" s="1677"/>
      <c r="CI777" s="1677"/>
      <c r="CJ777" s="1677"/>
      <c r="CK777" s="1677"/>
      <c r="CL777" s="1677"/>
      <c r="CM777" s="1677"/>
      <c r="CN777" s="1677"/>
      <c r="CO777" s="1677"/>
      <c r="CP777" s="1677"/>
      <c r="CQ777" s="1677"/>
    </row>
    <row r="778" spans="3:124" s="1683" customFormat="1" ht="15" customHeight="1">
      <c r="C778" s="1677"/>
      <c r="D778" s="1677"/>
      <c r="E778" s="1677"/>
      <c r="F778" s="1677"/>
      <c r="G778" s="1843">
        <v>5</v>
      </c>
      <c r="H778" s="1341" t="str">
        <f>IF(ISBLANK(PSH_5BR_SUM)," ",PSH_5BR_SUM)</f>
        <v/>
      </c>
      <c r="AD778" s="2072"/>
      <c r="AE778" s="2076"/>
      <c r="AH778" s="1677"/>
      <c r="AI778" s="1677"/>
      <c r="AJ778" s="1677"/>
      <c r="AK778" s="1677"/>
      <c r="AL778" s="1677"/>
      <c r="AM778" s="1843">
        <v>4</v>
      </c>
      <c r="AN778" s="1843"/>
      <c r="AV778" s="1677"/>
      <c r="AW778" s="1677"/>
      <c r="AX778" s="1677"/>
      <c r="AY778" s="1677"/>
      <c r="AZ778" s="1677"/>
      <c r="BA778" s="1677"/>
      <c r="BB778" s="1677"/>
      <c r="BC778" s="1677"/>
      <c r="BD778" s="1677"/>
      <c r="BE778" s="1677"/>
      <c r="BF778" s="1677"/>
      <c r="BG778" s="1677"/>
      <c r="BH778" s="1677"/>
      <c r="BI778" s="1677"/>
      <c r="BJ778" s="1677"/>
      <c r="BK778" s="1677"/>
      <c r="BL778" s="1677"/>
      <c r="BM778" s="1677"/>
      <c r="BN778" s="2075"/>
      <c r="BO778" s="2079"/>
      <c r="BP778" s="1677"/>
      <c r="BQ778" s="1677"/>
      <c r="BR778" s="1677"/>
      <c r="BS778" s="1677"/>
      <c r="BT778" s="1677"/>
      <c r="BU778" s="1677"/>
      <c r="BV778" s="1677"/>
      <c r="BW778" s="1843">
        <v>4</v>
      </c>
      <c r="BX778" s="1843"/>
      <c r="CF778" s="1677"/>
      <c r="CG778" s="1677"/>
      <c r="CH778" s="1677"/>
      <c r="CI778" s="1677"/>
      <c r="CJ778" s="1677"/>
      <c r="CK778" s="1677"/>
      <c r="CL778" s="1677"/>
      <c r="CM778" s="1677"/>
      <c r="CN778" s="1677"/>
      <c r="CO778" s="1677"/>
      <c r="CP778" s="1677"/>
      <c r="CQ778" s="1677"/>
    </row>
    <row r="779" spans="3:124" s="1683" customFormat="1" ht="15" customHeight="1">
      <c r="C779" s="1677"/>
      <c r="D779" s="1677"/>
      <c r="E779" s="1677"/>
      <c r="F779" s="1677"/>
      <c r="G779" s="1843" t="s">
        <v>2534</v>
      </c>
      <c r="H779" s="1341" t="str">
        <f>IF(ISBLANK(PSH_Undefined_SUM)," ",PSH_Undefined_SUM)</f>
        <v/>
      </c>
      <c r="AD779" s="2072"/>
      <c r="AE779" s="2076"/>
      <c r="AH779" s="1677"/>
      <c r="AI779" s="1677"/>
      <c r="AJ779" s="1677"/>
      <c r="AK779" s="1677"/>
      <c r="AL779" s="1677"/>
      <c r="AM779" s="1843">
        <v>5</v>
      </c>
      <c r="AN779" s="1843"/>
      <c r="AV779" s="1677"/>
      <c r="AW779" s="1677"/>
      <c r="AX779" s="1677"/>
      <c r="AY779" s="1677"/>
      <c r="AZ779" s="1677"/>
      <c r="BA779" s="1677"/>
      <c r="BB779" s="1677"/>
      <c r="BC779" s="1677"/>
      <c r="BD779" s="1677"/>
      <c r="BE779" s="1677"/>
      <c r="BF779" s="1677"/>
      <c r="BG779" s="1677"/>
      <c r="BH779" s="1677"/>
      <c r="BI779" s="1677"/>
      <c r="BJ779" s="1677"/>
      <c r="BK779" s="1677"/>
      <c r="BL779" s="1677"/>
      <c r="BM779" s="1677"/>
      <c r="BN779" s="2075"/>
      <c r="BO779" s="2079"/>
      <c r="BP779" s="1677"/>
      <c r="BQ779" s="1677"/>
      <c r="BR779" s="1677"/>
      <c r="BS779" s="1677"/>
      <c r="BT779" s="1677"/>
      <c r="BU779" s="1677"/>
      <c r="BV779" s="1677"/>
      <c r="BW779" s="1843">
        <v>5</v>
      </c>
      <c r="BX779" s="1843"/>
      <c r="CF779" s="1677"/>
      <c r="CG779" s="1677"/>
      <c r="CH779" s="1677"/>
      <c r="CI779" s="1677"/>
      <c r="CJ779" s="1677"/>
      <c r="CK779" s="1677"/>
      <c r="CL779" s="1677"/>
      <c r="CM779" s="1677"/>
      <c r="CN779" s="1677"/>
      <c r="CO779" s="1677"/>
      <c r="CP779" s="1677"/>
      <c r="CQ779" s="1677"/>
    </row>
    <row r="780" spans="3:124" s="1683" customFormat="1" ht="15" customHeight="1">
      <c r="AD780" s="2072"/>
      <c r="AE780" s="2076"/>
      <c r="AH780" s="1677"/>
      <c r="AV780" s="1677"/>
      <c r="AW780" s="1677"/>
      <c r="AX780" s="1677"/>
      <c r="AY780" s="1677"/>
      <c r="AZ780" s="1677"/>
      <c r="BA780" s="1677"/>
      <c r="BB780" s="1677"/>
      <c r="BC780" s="1677"/>
      <c r="BD780" s="1677"/>
      <c r="BE780" s="1677"/>
      <c r="BF780" s="1677"/>
      <c r="BG780" s="1677"/>
      <c r="BH780" s="1677"/>
      <c r="BI780" s="1677"/>
      <c r="BJ780" s="1677"/>
      <c r="BK780" s="1677"/>
      <c r="BL780" s="1677"/>
      <c r="BM780" s="1677"/>
      <c r="BN780" s="2075"/>
      <c r="BO780" s="2079"/>
      <c r="BP780" s="1677"/>
      <c r="BQ780" s="1677"/>
      <c r="BR780" s="1677"/>
      <c r="CF780" s="1677"/>
      <c r="CG780" s="1677"/>
      <c r="CH780" s="1677"/>
      <c r="CI780" s="1677"/>
      <c r="CJ780" s="1677"/>
      <c r="CK780" s="1677"/>
      <c r="CL780" s="1677"/>
      <c r="CM780" s="1677"/>
      <c r="CN780" s="1677"/>
      <c r="CO780" s="1677"/>
      <c r="CP780" s="1677"/>
      <c r="CQ780" s="1677"/>
    </row>
    <row r="781" spans="3:124" s="1683" customFormat="1" ht="15" customHeight="1">
      <c r="C781" s="1683" t="s">
        <v>2545</v>
      </c>
      <c r="G781" s="2038" t="s">
        <v>2529</v>
      </c>
      <c r="H781" s="1653" t="s">
        <v>594</v>
      </c>
      <c r="I781" s="2039" t="s">
        <v>598</v>
      </c>
      <c r="AD781" s="2072"/>
      <c r="AE781" s="2076"/>
      <c r="AH781" s="1677"/>
      <c r="AI781" s="1683" t="s">
        <v>2532</v>
      </c>
      <c r="AM781" s="2038" t="s">
        <v>2529</v>
      </c>
      <c r="AN781" s="1653" t="s">
        <v>594</v>
      </c>
      <c r="AO781" s="2039" t="s">
        <v>598</v>
      </c>
      <c r="AV781" s="1677"/>
      <c r="AW781" s="1677"/>
      <c r="AX781" s="1677"/>
      <c r="AY781" s="1677"/>
      <c r="AZ781" s="1677"/>
      <c r="BA781" s="1677"/>
      <c r="BB781" s="1677"/>
      <c r="BC781" s="1677"/>
      <c r="BD781" s="1677"/>
      <c r="BE781" s="1677"/>
      <c r="BF781" s="1677"/>
      <c r="BG781" s="1677"/>
      <c r="BH781" s="1677"/>
      <c r="BI781" s="1677"/>
      <c r="BJ781" s="1677"/>
      <c r="BK781" s="1677"/>
      <c r="BL781" s="1677"/>
      <c r="BM781" s="1677"/>
      <c r="BN781" s="2075"/>
      <c r="BO781" s="2079"/>
      <c r="BP781" s="1677"/>
      <c r="BQ781" s="1677"/>
      <c r="BR781" s="1677"/>
      <c r="BS781" s="1683" t="s">
        <v>2532</v>
      </c>
      <c r="BW781" s="2038" t="s">
        <v>2529</v>
      </c>
      <c r="BX781" s="1653" t="s">
        <v>594</v>
      </c>
      <c r="BY781" s="2039" t="s">
        <v>598</v>
      </c>
      <c r="CF781" s="1677"/>
      <c r="CG781" s="1677"/>
      <c r="CH781" s="1677"/>
      <c r="CI781" s="1677"/>
      <c r="CJ781" s="1677"/>
      <c r="CK781" s="1677"/>
      <c r="CL781" s="1677"/>
      <c r="CM781" s="1677"/>
      <c r="CN781" s="1677"/>
      <c r="CO781" s="1677"/>
      <c r="CP781" s="1677"/>
      <c r="CQ781" s="1677"/>
    </row>
    <row r="782" spans="3:124" s="1683" customFormat="1" ht="15" customHeight="1">
      <c r="G782" s="2038" t="s">
        <v>1008</v>
      </c>
      <c r="H782" s="2109" t="str">
        <f>IF(ISBLANK(OtherPSHSPCompanyName),"", "PSH Service Provider")</f>
        <v/>
      </c>
      <c r="I782" s="2114" t="str">
        <f>IF(ISBLANK(OtherPSHSPContactName),"","PSH Service Provider")</f>
        <v/>
      </c>
      <c r="AD782" s="2072"/>
      <c r="AE782" s="2076"/>
      <c r="AH782" s="1677"/>
      <c r="AM782" s="2038"/>
      <c r="AN782" s="1653"/>
      <c r="AO782" s="2039"/>
      <c r="AV782" s="1677"/>
      <c r="AW782" s="1677"/>
      <c r="AX782" s="1677"/>
      <c r="AY782" s="1677"/>
      <c r="AZ782" s="1677"/>
      <c r="BA782" s="1677"/>
      <c r="BB782" s="1677"/>
      <c r="BC782" s="1677"/>
      <c r="BD782" s="1677"/>
      <c r="BE782" s="1677"/>
      <c r="BF782" s="1677"/>
      <c r="BG782" s="1677"/>
      <c r="BH782" s="1677"/>
      <c r="BI782" s="1677"/>
      <c r="BJ782" s="1677"/>
      <c r="BK782" s="1677"/>
      <c r="BL782" s="1677"/>
      <c r="BM782" s="1677"/>
      <c r="BN782" s="2075"/>
      <c r="BO782" s="2079"/>
      <c r="BP782" s="1677"/>
      <c r="BQ782" s="1677"/>
      <c r="BR782" s="1677"/>
      <c r="BW782" s="2038"/>
      <c r="BX782" s="1653"/>
      <c r="BY782" s="2039"/>
      <c r="CF782" s="1677"/>
      <c r="CG782" s="1677"/>
      <c r="CH782" s="1677"/>
      <c r="CI782" s="1677"/>
      <c r="CJ782" s="1677"/>
      <c r="CK782" s="1677"/>
      <c r="CL782" s="1677"/>
      <c r="CM782" s="1677"/>
      <c r="CN782" s="1677"/>
      <c r="CO782" s="1677"/>
      <c r="CP782" s="1677"/>
      <c r="CQ782" s="1677"/>
    </row>
    <row r="783" spans="3:124" s="1683" customFormat="1" ht="15" customHeight="1">
      <c r="G783" s="2038" t="s">
        <v>1009</v>
      </c>
      <c r="H783" s="2109" t="str">
        <f>IF(ISBLANK(OtherPSHSPCompanyName),"","Company")</f>
        <v/>
      </c>
      <c r="I783" s="2109" t="str">
        <f>IF(ISBLANK(OtherPSHSPCompanyName),"","Individual")</f>
        <v/>
      </c>
      <c r="AD783" s="2072"/>
      <c r="AE783" s="2076"/>
      <c r="AH783" s="1677"/>
      <c r="AM783" s="2034" t="s">
        <v>2467</v>
      </c>
      <c r="AN783" s="1653" t="str">
        <f>IF(ISBLANK(OtherPSHSPCompanyName),"","Company")</f>
        <v/>
      </c>
      <c r="AO783" s="1653" t="str">
        <f>IF(ISBLANK(OtherPSHSPCompanyName),"","Individual")</f>
        <v/>
      </c>
      <c r="AV783" s="1677"/>
      <c r="AW783" s="1677"/>
      <c r="AX783" s="1677"/>
      <c r="AY783" s="1677"/>
      <c r="AZ783" s="1677"/>
      <c r="BA783" s="1677"/>
      <c r="BB783" s="1677"/>
      <c r="BC783" s="1677"/>
      <c r="BD783" s="1677"/>
      <c r="BE783" s="1677"/>
      <c r="BF783" s="1677"/>
      <c r="BG783" s="1677"/>
      <c r="BH783" s="1677"/>
      <c r="BI783" s="1677"/>
      <c r="BJ783" s="1677"/>
      <c r="BK783" s="1677"/>
      <c r="BL783" s="1677"/>
      <c r="BM783" s="1677"/>
      <c r="BN783" s="2075"/>
      <c r="BO783" s="2079"/>
      <c r="BP783" s="1677"/>
      <c r="BQ783" s="1677"/>
      <c r="BR783" s="1677"/>
      <c r="BW783" s="2034" t="s">
        <v>2467</v>
      </c>
      <c r="BX783" s="1653" t="str">
        <f>IF(ISBLANK(OtherPSHSPCompanyName),"","Company")</f>
        <v/>
      </c>
      <c r="BY783" s="1653" t="str">
        <f>IF(ISBLANK(OtherPSHSPCompanyName),"","Individual")</f>
        <v/>
      </c>
      <c r="CF783" s="1677"/>
      <c r="CG783" s="1677"/>
      <c r="CH783" s="1677"/>
      <c r="CI783" s="1677"/>
      <c r="CJ783" s="1677"/>
      <c r="CK783" s="1677"/>
      <c r="CL783" s="1677"/>
      <c r="CM783" s="1677"/>
      <c r="CN783" s="1677"/>
      <c r="CO783" s="1677"/>
      <c r="CP783" s="1677"/>
      <c r="CQ783" s="1677"/>
    </row>
    <row r="784" spans="3:124" s="1683" customFormat="1" ht="15" customHeight="1">
      <c r="G784" s="2034" t="s">
        <v>2467</v>
      </c>
      <c r="H784" s="1341" t="str">
        <f>IF(ISBLANK(OtherPSHSPCompanyName),"",OtherPSHSPCompanyName)</f>
        <v/>
      </c>
      <c r="I784" s="2111" t="str">
        <f>IF(ISBLANK(OtherPSHSPCompanyName),"",OtherPSHSPCompanyName)</f>
        <v/>
      </c>
      <c r="AD784" s="2072"/>
      <c r="AE784" s="2076"/>
      <c r="AH784" s="1677"/>
      <c r="AM784" s="2034" t="s">
        <v>2468</v>
      </c>
      <c r="AN784" s="2036" t="str">
        <f>IF(ISBLANK(OtherPSHSPCompanyName),"",OtherPSHSPCompanyName)</f>
        <v/>
      </c>
      <c r="AO784" s="2036" t="str">
        <f>IF(ISBLANK(OtherPSHSPCompanyName),"",OtherPSHSPCompanyName)</f>
        <v/>
      </c>
      <c r="AV784" s="1677"/>
      <c r="AW784" s="1677"/>
      <c r="AX784" s="1677"/>
      <c r="AY784" s="1677"/>
      <c r="AZ784" s="1677"/>
      <c r="BA784" s="1677"/>
      <c r="BB784" s="1677"/>
      <c r="BC784" s="1677"/>
      <c r="BD784" s="1677"/>
      <c r="BE784" s="1677"/>
      <c r="BF784" s="1677"/>
      <c r="BG784" s="1677"/>
      <c r="BH784" s="1677"/>
      <c r="BI784" s="1677"/>
      <c r="BJ784" s="1677"/>
      <c r="BK784" s="1677"/>
      <c r="BL784" s="1677"/>
      <c r="BM784" s="1677"/>
      <c r="BN784" s="2075"/>
      <c r="BO784" s="2079"/>
      <c r="BP784" s="1677"/>
      <c r="BQ784" s="1677"/>
      <c r="BR784" s="1677"/>
      <c r="BW784" s="2034" t="s">
        <v>2468</v>
      </c>
      <c r="BX784" s="2036" t="str">
        <f>IF(ISBLANK(OtherPSHSPCompanyName),"",OtherPSHSPCompanyName)</f>
        <v/>
      </c>
      <c r="BY784" s="2036" t="str">
        <f>IF(ISBLANK(OtherPSHSPCompanyName),"",OtherPSHSPCompanyName)</f>
        <v/>
      </c>
      <c r="CF784" s="1677"/>
      <c r="CG784" s="1677"/>
      <c r="CH784" s="1677"/>
      <c r="CI784" s="1677"/>
      <c r="CJ784" s="1677"/>
      <c r="CK784" s="1677"/>
      <c r="CL784" s="1677"/>
      <c r="CM784" s="1677"/>
      <c r="CN784" s="1677"/>
      <c r="CO784" s="1677"/>
      <c r="CP784" s="1677"/>
      <c r="CQ784" s="1677"/>
    </row>
    <row r="785" spans="3:124" s="1683" customFormat="1" ht="15" customHeight="1">
      <c r="G785" s="2034" t="s">
        <v>2468</v>
      </c>
      <c r="H785" s="1341" t="str">
        <f>IF(ISBLANK(OtherPSHSPAddress),"",OtherPSHSPAddress)</f>
        <v/>
      </c>
      <c r="I785" s="1341" t="str">
        <f>IF(ISBLANK(OtherPSHSPAddress),"",OtherPSHSPAddress)</f>
        <v/>
      </c>
      <c r="AD785" s="2072"/>
      <c r="AE785" s="2076"/>
      <c r="AH785" s="1677"/>
      <c r="AM785" s="2034" t="s">
        <v>2469</v>
      </c>
      <c r="AN785" s="2037" t="str">
        <f>IF(ISBLANK(OtherPSHSPAddress),"",OtherPSHSPAddress)</f>
        <v/>
      </c>
      <c r="AO785" s="2037" t="str">
        <f>IF(ISBLANK(OtherPSHSPAddress),"",OtherPSHSPAddress)</f>
        <v/>
      </c>
      <c r="AV785" s="1677"/>
      <c r="AW785" s="1677"/>
      <c r="AX785" s="1677"/>
      <c r="AY785" s="1677"/>
      <c r="AZ785" s="1677"/>
      <c r="BA785" s="1677"/>
      <c r="BB785" s="1677"/>
      <c r="BC785" s="1677"/>
      <c r="BD785" s="1677"/>
      <c r="BE785" s="1677"/>
      <c r="BF785" s="1677"/>
      <c r="BG785" s="1677"/>
      <c r="BH785" s="1677"/>
      <c r="BI785" s="1677"/>
      <c r="BJ785" s="1677"/>
      <c r="BK785" s="1677"/>
      <c r="BL785" s="1677"/>
      <c r="BM785" s="1677"/>
      <c r="BN785" s="2075"/>
      <c r="BO785" s="2079"/>
      <c r="BP785" s="1677"/>
      <c r="BQ785" s="1677"/>
      <c r="BR785" s="1677"/>
      <c r="BW785" s="2034" t="s">
        <v>2469</v>
      </c>
      <c r="BX785" s="2037" t="str">
        <f>IF(ISBLANK(OtherPSHSPAddress),"",OtherPSHSPAddress)</f>
        <v/>
      </c>
      <c r="BY785" s="2037" t="str">
        <f>IF(ISBLANK(OtherPSHSPAddress),"",OtherPSHSPAddress)</f>
        <v/>
      </c>
      <c r="CF785" s="1677"/>
      <c r="CG785" s="1677"/>
      <c r="CH785" s="1677"/>
      <c r="CI785" s="1677"/>
      <c r="CJ785" s="1677"/>
      <c r="CK785" s="1677"/>
      <c r="CL785" s="1677"/>
      <c r="CM785" s="1677"/>
      <c r="CN785" s="1677"/>
      <c r="CO785" s="1677"/>
      <c r="CP785" s="1677"/>
      <c r="CQ785" s="1677"/>
    </row>
    <row r="786" spans="3:124" s="1683" customFormat="1" ht="15" customHeight="1">
      <c r="G786" s="2034" t="s">
        <v>2469</v>
      </c>
      <c r="H786" s="2111" t="str">
        <f>IF(ISBLANK(OtherPSHSPCityStateZip),"",OtherPSHSPCityStateZip)</f>
        <v/>
      </c>
      <c r="I786" s="2111" t="str">
        <f>IF(ISBLANK(OtherPSHSPCityStateZip),"",OtherPSHSPCityStateZip)</f>
        <v/>
      </c>
      <c r="AD786" s="2072"/>
      <c r="AE786" s="2076"/>
      <c r="AH786" s="1677"/>
      <c r="AM786" s="2034" t="s">
        <v>2472</v>
      </c>
      <c r="AN786" s="2037" t="str">
        <f>IF(ISBLANK(OtherPSHSPCityStateZip),"",OtherPSHSPCityStateZip)</f>
        <v/>
      </c>
      <c r="AO786" s="2037" t="str">
        <f>IF(ISBLANK(OtherPSHSPCityStateZip),"",OtherPSHSPCityStateZip)</f>
        <v/>
      </c>
      <c r="AV786" s="1677"/>
      <c r="AW786" s="1677"/>
      <c r="AX786" s="1677"/>
      <c r="AY786" s="1677"/>
      <c r="AZ786" s="1677"/>
      <c r="BA786" s="1677"/>
      <c r="BB786" s="1677"/>
      <c r="BC786" s="1677"/>
      <c r="BD786" s="1677"/>
      <c r="BE786" s="1677"/>
      <c r="BF786" s="1677"/>
      <c r="BG786" s="1677"/>
      <c r="BH786" s="1677"/>
      <c r="BI786" s="1677"/>
      <c r="BJ786" s="1677"/>
      <c r="BK786" s="1677"/>
      <c r="BL786" s="1677"/>
      <c r="BM786" s="1677"/>
      <c r="BN786" s="2075"/>
      <c r="BO786" s="2079"/>
      <c r="BP786" s="1677"/>
      <c r="BQ786" s="1677"/>
      <c r="BR786" s="1677"/>
      <c r="BW786" s="2034" t="s">
        <v>2472</v>
      </c>
      <c r="BX786" s="2037" t="str">
        <f>IF(ISBLANK(OtherPSHSPCityStateZip),"",OtherPSHSPCityStateZip)</f>
        <v/>
      </c>
      <c r="BY786" s="2037" t="str">
        <f>IF(ISBLANK(OtherPSHSPCityStateZip),"",OtherPSHSPCityStateZip)</f>
        <v/>
      </c>
      <c r="CF786" s="1677"/>
      <c r="CG786" s="1677"/>
      <c r="CH786" s="1677"/>
      <c r="CI786" s="1677"/>
      <c r="CJ786" s="1677"/>
      <c r="CK786" s="1677"/>
      <c r="CL786" s="1677"/>
      <c r="CM786" s="1677"/>
      <c r="CN786" s="1677"/>
      <c r="CO786" s="1677"/>
      <c r="CP786" s="1677"/>
      <c r="CQ786" s="1677"/>
    </row>
    <row r="787" spans="3:124" s="1683" customFormat="1" ht="15" customHeight="1">
      <c r="G787" s="2034" t="s">
        <v>2541</v>
      </c>
      <c r="H787" s="1341" t="str">
        <f>IF(ISBLANK(OtherPSHSPCityStateZip),"",LEFT(OtherPSHSPCityStateZip,SEARCH(" ",OtherPSHSPCityStateZip)-2))</f>
        <v/>
      </c>
      <c r="I787" s="1341" t="str">
        <f>IF(ISBLANK(OtherPSHSPCityStateZip),"",LEFT(OtherPSHSPCityStateZip,SEARCH(" ",OtherPSHSPCityStateZip)-2))</f>
        <v/>
      </c>
      <c r="AD787" s="2072"/>
      <c r="AE787" s="2076"/>
      <c r="AH787" s="1677"/>
      <c r="AM787" s="2034" t="s">
        <v>2470</v>
      </c>
      <c r="AN787" s="2037" t="str">
        <f>IF(ISBLANK(OtherPSHSPCityStateZip),"",LEFT(OtherPSHSPCityStateZip,SEARCH(" ",OtherPSHSPCityStateZip)-2))</f>
        <v/>
      </c>
      <c r="AO787" s="2037" t="str">
        <f>IF(ISBLANK(OtherPSHSPCityStateZip),"",LEFT(OtherPSHSPCityStateZip,SEARCH(" ",OtherPSHSPCityStateZip)-2))</f>
        <v/>
      </c>
      <c r="AV787" s="1677"/>
      <c r="AW787" s="1677"/>
      <c r="AX787" s="1677"/>
      <c r="AY787" s="1677"/>
      <c r="AZ787" s="1677"/>
      <c r="BA787" s="1677"/>
      <c r="BB787" s="1677"/>
      <c r="BC787" s="1677"/>
      <c r="BD787" s="1677"/>
      <c r="BE787" s="1677"/>
      <c r="BF787" s="1677"/>
      <c r="BG787" s="1677"/>
      <c r="BH787" s="1677"/>
      <c r="BI787" s="1677"/>
      <c r="BJ787" s="1677"/>
      <c r="BK787" s="1677"/>
      <c r="BL787" s="1677"/>
      <c r="BM787" s="1677"/>
      <c r="BN787" s="2075"/>
      <c r="BO787" s="2079"/>
      <c r="BP787" s="1677"/>
      <c r="BQ787" s="1677"/>
      <c r="BR787" s="1677"/>
      <c r="BW787" s="2034" t="s">
        <v>2470</v>
      </c>
      <c r="BX787" s="2037" t="str">
        <f>IF(ISBLANK(OtherPSHSPCityStateZip),"",LEFT(OtherPSHSPCityStateZip,SEARCH(" ",OtherPSHSPCityStateZip)-2))</f>
        <v/>
      </c>
      <c r="BY787" s="2037" t="str">
        <f>IF(ISBLANK(OtherPSHSPCityStateZip),"",LEFT(OtherPSHSPCityStateZip,SEARCH(" ",OtherPSHSPCityStateZip)-2))</f>
        <v/>
      </c>
      <c r="CF787" s="1677"/>
      <c r="CG787" s="1677"/>
      <c r="CH787" s="1677"/>
      <c r="CI787" s="1677"/>
      <c r="CJ787" s="1677"/>
      <c r="CK787" s="1677"/>
      <c r="CL787" s="1677"/>
      <c r="CM787" s="1677"/>
      <c r="CN787" s="1677"/>
      <c r="CO787" s="1677"/>
      <c r="CP787" s="1677"/>
      <c r="CQ787" s="1677"/>
    </row>
    <row r="788" spans="3:124" s="1683" customFormat="1" ht="15" customHeight="1">
      <c r="G788" s="2110" t="s">
        <v>2542</v>
      </c>
      <c r="H788" s="2115" t="str">
        <f>IF(ISBLANK(OtherPSHSPCityStateZip),"",MID(OtherPSHSPCityStateZip,FIND(" ",OtherPSHSPCityStateZip)+1,FIND(" ",OtherPSHSPCityStateZip,FIND(" ",OtherPSHSPCityStateZip)+1)-FIND(" ",OtherPSHSPCityStateZip)-2))</f>
        <v/>
      </c>
      <c r="I788" s="2115" t="str">
        <f>IF(ISBLANK(OtherPSHSPCityStateZip),"",MID(OtherPSHSPCityStateZip,FIND(" ",OtherPSHSPCityStateZip)+1,FIND(" ",OtherPSHSPCityStateZip,FIND(" ",OtherPSHSPCityStateZip)+1)-FIND(" ",OtherPSHSPCityStateZip)-2))</f>
        <v/>
      </c>
      <c r="AD788" s="2072"/>
      <c r="AE788" s="2076"/>
      <c r="AH788" s="1677"/>
      <c r="AM788" s="2034" t="s">
        <v>2541</v>
      </c>
      <c r="AN788" s="2037" t="str">
        <f>IF(ISBLANK(OtherPSHSPCityStateZip),"",MID(OtherPSHSPCityStateZip,FIND(" ",OtherPSHSPCityStateZip)+1,FIND(" ",OtherPSHSPCityStateZip,FIND(" ",OtherPSHSPCityStateZip)+1)-FIND(" ",OtherPSHSPCityStateZip)-2))</f>
        <v/>
      </c>
      <c r="AO788" s="2037" t="str">
        <f>IF(ISBLANK(OtherPSHSPCityStateZip),"",MID(OtherPSHSPCityStateZip,FIND(" ",OtherPSHSPCityStateZip)+1,FIND(" ",OtherPSHSPCityStateZip,FIND(" ",OtherPSHSPCityStateZip)+1)-FIND(" ",OtherPSHSPCityStateZip)-2))</f>
        <v/>
      </c>
      <c r="AV788" s="1677"/>
      <c r="AW788" s="1677"/>
      <c r="AX788" s="1677"/>
      <c r="AY788" s="1677"/>
      <c r="AZ788" s="1677"/>
      <c r="BA788" s="1677"/>
      <c r="BB788" s="1677"/>
      <c r="BC788" s="1677"/>
      <c r="BD788" s="1677"/>
      <c r="BE788" s="1677"/>
      <c r="BF788" s="1677"/>
      <c r="BG788" s="1677"/>
      <c r="BH788" s="1677"/>
      <c r="BI788" s="1677"/>
      <c r="BJ788" s="1677"/>
      <c r="BK788" s="1677"/>
      <c r="BL788" s="1677"/>
      <c r="BM788" s="1677"/>
      <c r="BN788" s="2075"/>
      <c r="BO788" s="2079"/>
      <c r="BP788" s="1677"/>
      <c r="BQ788" s="1677"/>
      <c r="BR788" s="1677"/>
      <c r="BW788" s="2034" t="s">
        <v>2541</v>
      </c>
      <c r="BX788" s="2037" t="str">
        <f>IF(ISBLANK(OtherPSHSPCityStateZip),"",MID(OtherPSHSPCityStateZip,FIND(" ",OtherPSHSPCityStateZip)+1,FIND(" ",OtherPSHSPCityStateZip,FIND(" ",OtherPSHSPCityStateZip)+1)-FIND(" ",OtherPSHSPCityStateZip)-2))</f>
        <v/>
      </c>
      <c r="BY788" s="2037" t="str">
        <f>IF(ISBLANK(OtherPSHSPCityStateZip),"",MID(OtherPSHSPCityStateZip,FIND(" ",OtherPSHSPCityStateZip)+1,FIND(" ",OtherPSHSPCityStateZip,FIND(" ",OtherPSHSPCityStateZip)+1)-FIND(" ",OtherPSHSPCityStateZip)-2))</f>
        <v/>
      </c>
      <c r="CF788" s="1677"/>
      <c r="CG788" s="1677"/>
      <c r="CH788" s="1677"/>
      <c r="CI788" s="1677"/>
      <c r="CJ788" s="1677"/>
      <c r="CK788" s="1677"/>
      <c r="CL788" s="1677"/>
      <c r="CM788" s="1677"/>
      <c r="CN788" s="1677"/>
      <c r="CO788" s="1677"/>
      <c r="CP788" s="1677"/>
      <c r="CQ788" s="1677"/>
    </row>
    <row r="789" spans="3:124" s="1683" customFormat="1" ht="15" customHeight="1">
      <c r="G789" s="2110" t="s">
        <v>2543</v>
      </c>
      <c r="H789" s="1341" t="str">
        <f>IF(ISBLANK(OtherPSHSPCityStateZip),"",RIGHT(OtherPSHSPCityStateZip,LEN(OtherPSHSPCityStateZip)-SEARCH(" ",OtherPSHSPCityStateZip)-4))</f>
        <v/>
      </c>
      <c r="I789" s="1341" t="str">
        <f>IF(ISBLANK(OtherPSHSPCityStateZip),"",RIGHT(OtherPSHSPCityStateZip,LEN(OtherPSHSPCityStateZip)-SEARCH(" ",OtherPSHSPCityStateZip)-4))</f>
        <v/>
      </c>
      <c r="AD789" s="2072"/>
      <c r="AE789" s="2076"/>
      <c r="AH789" s="1677"/>
      <c r="AM789" s="2110" t="s">
        <v>2542</v>
      </c>
      <c r="AN789" s="2037" t="str">
        <f>IF(ISBLANK(OtherPSHSPCityStateZip),"",RIGHT(OtherPSHSPCityStateZip,LEN(OtherPSHSPCityStateZip)-SEARCH(" ",OtherPSHSPCityStateZip)-4))</f>
        <v/>
      </c>
      <c r="AO789" s="2037" t="str">
        <f>IF(ISBLANK(OtherPSHSPCityStateZip),"",RIGHT(OtherPSHSPCityStateZip,LEN(OtherPSHSPCityStateZip)-SEARCH(" ",OtherPSHSPCityStateZip)-4))</f>
        <v/>
      </c>
      <c r="AV789" s="1677"/>
      <c r="AW789" s="1677"/>
      <c r="AX789" s="1677"/>
      <c r="AY789" s="1677"/>
      <c r="AZ789" s="1677"/>
      <c r="BA789" s="1677"/>
      <c r="BB789" s="1677"/>
      <c r="BC789" s="1677"/>
      <c r="BD789" s="1677"/>
      <c r="BE789" s="1677"/>
      <c r="BF789" s="1677"/>
      <c r="BG789" s="1677"/>
      <c r="BH789" s="1677"/>
      <c r="BI789" s="1677"/>
      <c r="BJ789" s="1677"/>
      <c r="BK789" s="1677"/>
      <c r="BL789" s="1677"/>
      <c r="BM789" s="1677"/>
      <c r="BN789" s="2075"/>
      <c r="BO789" s="2079"/>
      <c r="BP789" s="1677"/>
      <c r="BQ789" s="1677"/>
      <c r="BR789" s="1677"/>
      <c r="BW789" s="2110" t="s">
        <v>2542</v>
      </c>
      <c r="BX789" s="2037" t="str">
        <f>IF(ISBLANK(OtherPSHSPCityStateZip),"",RIGHT(OtherPSHSPCityStateZip,LEN(OtherPSHSPCityStateZip)-SEARCH(" ",OtherPSHSPCityStateZip)-4))</f>
        <v/>
      </c>
      <c r="BY789" s="2037" t="str">
        <f>IF(ISBLANK(OtherPSHSPCityStateZip),"",RIGHT(OtherPSHSPCityStateZip,LEN(OtherPSHSPCityStateZip)-SEARCH(" ",OtherPSHSPCityStateZip)-4))</f>
        <v/>
      </c>
      <c r="CF789" s="1677"/>
      <c r="CG789" s="1677"/>
      <c r="CH789" s="1677"/>
      <c r="CI789" s="1677"/>
      <c r="CJ789" s="1677"/>
      <c r="CK789" s="1677"/>
      <c r="CL789" s="1677"/>
      <c r="CM789" s="1677"/>
      <c r="CN789" s="1677"/>
      <c r="CO789" s="1677"/>
      <c r="CP789" s="1677"/>
      <c r="CQ789" s="1677"/>
    </row>
    <row r="790" spans="3:124" s="1683" customFormat="1" ht="15" customHeight="1">
      <c r="G790" s="2034" t="s">
        <v>2472</v>
      </c>
      <c r="H790" s="2111" t="str">
        <f>IF(ISBLANK(OtherPSHSPContactName),"",OtherPSHSPContactName)</f>
        <v/>
      </c>
      <c r="I790" s="2111" t="str">
        <f>IF(ISBLANK(OtherPSHSPContactName),"",OtherPSHSPContactName)</f>
        <v/>
      </c>
      <c r="AD790" s="2072"/>
      <c r="AE790" s="2076"/>
      <c r="AH790" s="1677"/>
      <c r="AM790" s="2110" t="s">
        <v>2543</v>
      </c>
      <c r="AN790" s="2037" t="str">
        <f>IF(ISBLANK(OtherPSHSPContactName),"",OtherPSHSPContactName)</f>
        <v/>
      </c>
      <c r="AO790" s="2037" t="str">
        <f>IF(ISBLANK(OtherPSHSPContactName),"",OtherPSHSPContactName)</f>
        <v/>
      </c>
      <c r="AV790" s="1677"/>
      <c r="AW790" s="1677"/>
      <c r="AX790" s="1677"/>
      <c r="AY790" s="1677"/>
      <c r="AZ790" s="1677"/>
      <c r="BA790" s="1677"/>
      <c r="BB790" s="1677"/>
      <c r="BC790" s="1677"/>
      <c r="BD790" s="1677"/>
      <c r="BE790" s="1677"/>
      <c r="BF790" s="1677"/>
      <c r="BG790" s="1677"/>
      <c r="BH790" s="1677"/>
      <c r="BI790" s="1677"/>
      <c r="BJ790" s="1677"/>
      <c r="BK790" s="1677"/>
      <c r="BL790" s="1677"/>
      <c r="BM790" s="1677"/>
      <c r="BN790" s="2075"/>
      <c r="BO790" s="2079"/>
      <c r="BP790" s="1677"/>
      <c r="BQ790" s="1677"/>
      <c r="BR790" s="1677"/>
      <c r="BW790" s="2110" t="s">
        <v>2543</v>
      </c>
      <c r="BX790" s="2037" t="str">
        <f>IF(ISBLANK(OtherPSHSPContactName),"",OtherPSHSPContactName)</f>
        <v/>
      </c>
      <c r="BY790" s="2037" t="str">
        <f>IF(ISBLANK(OtherPSHSPContactName),"",OtherPSHSPContactName)</f>
        <v/>
      </c>
      <c r="CF790" s="1677"/>
      <c r="CG790" s="1677"/>
      <c r="CH790" s="1677"/>
      <c r="CI790" s="1677"/>
      <c r="CJ790" s="1677"/>
      <c r="CK790" s="1677"/>
      <c r="CL790" s="1677"/>
      <c r="CM790" s="1677"/>
      <c r="CN790" s="1677"/>
      <c r="CO790" s="1677"/>
      <c r="CP790" s="1677"/>
      <c r="CQ790" s="1677"/>
    </row>
    <row r="791" spans="3:124" s="1683" customFormat="1" ht="15" customHeight="1">
      <c r="G791" s="2034" t="s">
        <v>2564</v>
      </c>
      <c r="H791" s="2111" t="str">
        <f>IF(ISBLANK(OtherPSHSPContactName),"",LEFT(OtherPSHSPContactName,SEARCH(" ",OtherPSHSPContactName)-1))</f>
        <v/>
      </c>
      <c r="I791" s="1341" t="str">
        <f>IF(ISBLANK(OtherPSHSPContactName),"",LEFT(OtherPSHSPContactName,SEARCH(" ",OtherPSHSPContactName)-1))</f>
        <v/>
      </c>
      <c r="AD791" s="2072"/>
      <c r="AE791" s="2076"/>
      <c r="AH791" s="1677"/>
      <c r="AM791" s="2110"/>
      <c r="AN791" s="2037"/>
      <c r="AO791" s="2037"/>
      <c r="AV791" s="1677"/>
      <c r="AW791" s="1677"/>
      <c r="AX791" s="1677"/>
      <c r="AY791" s="1677"/>
      <c r="AZ791" s="1677"/>
      <c r="BA791" s="1677"/>
      <c r="BB791" s="1677"/>
      <c r="BC791" s="1677"/>
      <c r="BD791" s="1677"/>
      <c r="BE791" s="1677"/>
      <c r="BF791" s="1677"/>
      <c r="BG791" s="1677"/>
      <c r="BH791" s="1677"/>
      <c r="BI791" s="1677"/>
      <c r="BJ791" s="1677"/>
      <c r="BK791" s="1677"/>
      <c r="BL791" s="1677"/>
      <c r="BM791" s="1677"/>
      <c r="BN791" s="2075"/>
      <c r="BO791" s="2079"/>
      <c r="BP791" s="1677"/>
      <c r="BQ791" s="1677"/>
      <c r="BR791" s="1677"/>
      <c r="BW791" s="2110"/>
      <c r="BX791" s="2037"/>
      <c r="BY791" s="2037"/>
      <c r="CF791" s="1677"/>
      <c r="CG791" s="1677"/>
      <c r="CH791" s="1677"/>
      <c r="CI791" s="1677"/>
      <c r="CJ791" s="1677"/>
      <c r="CK791" s="1677"/>
      <c r="CL791" s="1677"/>
      <c r="CM791" s="1677"/>
      <c r="CN791" s="1677"/>
      <c r="CO791" s="1677"/>
      <c r="CP791" s="1677"/>
      <c r="CQ791" s="1677"/>
    </row>
    <row r="792" spans="3:124" s="1683" customFormat="1" ht="15" customHeight="1">
      <c r="G792" s="2034" t="s">
        <v>2565</v>
      </c>
      <c r="H792" s="2111" t="str">
        <f>IF(ISBLANK(OtherPSHSPContactName),"",RIGHT(OtherPSHSPContactName,LEN(OtherPSHSPContactName)-SEARCH(" ",OtherPSHSPContactName)))</f>
        <v/>
      </c>
      <c r="I792" s="1341" t="str">
        <f>IF(ISBLANK(OtherPSHSPContactName),"",RIGHT(OtherPSHSPContactName,LEN(OtherPSHSPContactName)-SEARCH(" ",OtherPSHSPContactName)))</f>
        <v/>
      </c>
      <c r="AD792" s="2072"/>
      <c r="AE792" s="2076"/>
      <c r="AH792" s="1677"/>
      <c r="AM792" s="2110"/>
      <c r="AN792" s="2037"/>
      <c r="AO792" s="2037"/>
      <c r="AV792" s="1677"/>
      <c r="AW792" s="1677"/>
      <c r="AX792" s="1677"/>
      <c r="AY792" s="1677"/>
      <c r="AZ792" s="1677"/>
      <c r="BA792" s="1677"/>
      <c r="BB792" s="1677"/>
      <c r="BC792" s="1677"/>
      <c r="BD792" s="1677"/>
      <c r="BE792" s="1677"/>
      <c r="BF792" s="1677"/>
      <c r="BG792" s="1677"/>
      <c r="BH792" s="1677"/>
      <c r="BI792" s="1677"/>
      <c r="BJ792" s="1677"/>
      <c r="BK792" s="1677"/>
      <c r="BL792" s="1677"/>
      <c r="BM792" s="1677"/>
      <c r="BN792" s="2075"/>
      <c r="BO792" s="2079"/>
      <c r="BP792" s="1677"/>
      <c r="BQ792" s="1677"/>
      <c r="BR792" s="1677"/>
      <c r="BW792" s="2110"/>
      <c r="BX792" s="2037"/>
      <c r="BY792" s="2037"/>
      <c r="CF792" s="1677"/>
      <c r="CG792" s="1677"/>
      <c r="CH792" s="1677"/>
      <c r="CI792" s="1677"/>
      <c r="CJ792" s="1677"/>
      <c r="CK792" s="1677"/>
      <c r="CL792" s="1677"/>
      <c r="CM792" s="1677"/>
      <c r="CN792" s="1677"/>
      <c r="CO792" s="1677"/>
      <c r="CP792" s="1677"/>
      <c r="CQ792" s="1677"/>
    </row>
    <row r="793" spans="3:124" s="1683" customFormat="1" ht="15" customHeight="1">
      <c r="G793" s="2034" t="s">
        <v>2470</v>
      </c>
      <c r="H793" s="1341" t="str">
        <f>IF(ISBLANK(OtherPSHSPPhone),"",OtherPSHSPPhone)</f>
        <v/>
      </c>
      <c r="I793" s="1341" t="str">
        <f>IF(ISBLANK(OtherPSHSPPhone),"",OtherPSHSPPhone)</f>
        <v/>
      </c>
      <c r="AD793" s="2072"/>
      <c r="AE793" s="2076"/>
      <c r="AH793" s="1677"/>
      <c r="AM793" s="2034" t="s">
        <v>2471</v>
      </c>
      <c r="AN793" s="2037" t="str">
        <f>IF(ISBLANK(OtherPSHSPPhone),"",OtherPSHSPPhone)</f>
        <v/>
      </c>
      <c r="AO793" s="2037" t="str">
        <f>IF(ISBLANK(OtherPSHSPPhone),"",OtherPSHSPPhone)</f>
        <v/>
      </c>
      <c r="BN793" s="2076"/>
      <c r="BO793" s="2082"/>
      <c r="BW793" s="2034" t="s">
        <v>2471</v>
      </c>
      <c r="BX793" s="2037" t="str">
        <f>IF(ISBLANK(OtherPSHSPPhone),"",OtherPSHSPPhone)</f>
        <v/>
      </c>
      <c r="BY793" s="2037" t="str">
        <f>IF(ISBLANK(OtherPSHSPPhone),"",OtherPSHSPPhone)</f>
        <v/>
      </c>
      <c r="CH793" s="1677"/>
      <c r="CI793" s="1677"/>
      <c r="CJ793" s="1677"/>
      <c r="CK793" s="1677"/>
      <c r="CL793" s="1677"/>
      <c r="CM793" s="1677"/>
      <c r="CN793" s="1677"/>
      <c r="CO793" s="1677"/>
      <c r="CP793" s="1677"/>
      <c r="CQ793" s="1677"/>
    </row>
    <row r="794" spans="3:124" s="1683" customFormat="1" ht="15" customHeight="1" thickBot="1">
      <c r="G794" s="2034" t="s">
        <v>2471</v>
      </c>
      <c r="H794" s="1341" t="str">
        <f>IF(ISBLANK(OtherPSHEmail),"",OtherPSHEmail)</f>
        <v/>
      </c>
      <c r="I794" s="1341" t="str">
        <f>IF(ISBLANK(OtherPSHEmail),"",OtherPSHEmail)</f>
        <v/>
      </c>
      <c r="AD794" s="2072"/>
      <c r="AE794" s="2076"/>
      <c r="AN794" s="1683" t="str">
        <f>IF(ISBLANK(OtherPSHEmail),"",OtherPSHEmail)</f>
        <v/>
      </c>
      <c r="AO794" s="1683" t="str">
        <f>IF(ISBLANK(OtherPSHEmail),"",OtherPSHEmail)</f>
        <v/>
      </c>
      <c r="BN794" s="2076"/>
      <c r="BO794" s="2082"/>
      <c r="BX794" s="1683" t="str">
        <f>IF(ISBLANK(OtherPSHEmail),"",OtherPSHEmail)</f>
        <v/>
      </c>
      <c r="BY794" s="1683" t="str">
        <f>IF(ISBLANK(OtherPSHEmail),"",OtherPSHEmail)</f>
        <v/>
      </c>
    </row>
    <row r="795" spans="3:124" s="1683" customFormat="1" ht="15" customHeight="1" thickBot="1">
      <c r="AD795" s="2072"/>
      <c r="AE795" s="2076"/>
      <c r="AM795" s="2134" t="str">
        <f>IF(ISBLANK(AM780), "Other PSH Unit Matrix", AM780&amp;" Unit Matrix")</f>
        <v>Other PSH Unit Matrix</v>
      </c>
      <c r="AN795" s="2135"/>
      <c r="AO795" s="2135"/>
      <c r="AP795" s="2135"/>
      <c r="AQ795" s="2135"/>
      <c r="AR795" s="2135"/>
      <c r="AS795" s="2135"/>
      <c r="AT795" s="2135"/>
      <c r="AU795" s="2135"/>
      <c r="AV795" s="2136"/>
      <c r="BN795" s="2076"/>
      <c r="BO795" s="2082"/>
      <c r="BW795" s="2134" t="str">
        <f>IF(ISBLANK(BW780), "Other PSH Unit Matrix", BW780&amp;" Unit Matrix")</f>
        <v>Other PSH Unit Matrix</v>
      </c>
      <c r="BX795" s="2135"/>
      <c r="BY795" s="2135"/>
      <c r="BZ795" s="2135"/>
      <c r="CA795" s="2135"/>
      <c r="CB795" s="2135"/>
      <c r="CC795" s="2135"/>
      <c r="CD795" s="2135"/>
      <c r="CE795" s="2135"/>
      <c r="CF795" s="2136"/>
    </row>
    <row r="796" spans="3:124" s="1683" customFormat="1" ht="15" customHeight="1">
      <c r="C796" s="1683" t="s">
        <v>2547</v>
      </c>
      <c r="G796" s="2134" t="str">
        <f>IF(ISBLANK(G780), "Other PSH Unit Matrix", G780&amp;" Unit Matrix")</f>
        <v>Other PSH Unit Matrix</v>
      </c>
      <c r="H796" s="2135"/>
      <c r="I796" s="2135"/>
      <c r="J796" s="2135"/>
      <c r="K796" s="2135"/>
      <c r="L796" s="2135"/>
      <c r="M796" s="2135"/>
      <c r="N796" s="2135"/>
      <c r="O796" s="2135"/>
      <c r="P796" s="2136"/>
      <c r="AD796" s="2072"/>
      <c r="AE796" s="2076"/>
      <c r="AM796" s="2042" t="s">
        <v>2442</v>
      </c>
      <c r="AN796" s="2043" t="s">
        <v>141</v>
      </c>
      <c r="AO796" s="2043" t="s">
        <v>595</v>
      </c>
      <c r="AP796" s="2043" t="s">
        <v>2285</v>
      </c>
      <c r="AQ796" s="2043" t="s">
        <v>2286</v>
      </c>
      <c r="AR796" s="2043" t="s">
        <v>2287</v>
      </c>
      <c r="AS796" s="2043" t="s">
        <v>2288</v>
      </c>
      <c r="AT796" s="2058" t="s">
        <v>2289</v>
      </c>
      <c r="AU796" s="2058" t="s">
        <v>2534</v>
      </c>
      <c r="AV796" s="2060" t="s">
        <v>1030</v>
      </c>
      <c r="BN796" s="2076"/>
      <c r="BO796" s="2082"/>
      <c r="BW796" s="2042" t="s">
        <v>2442</v>
      </c>
      <c r="BX796" s="2043" t="s">
        <v>141</v>
      </c>
      <c r="BY796" s="2043" t="s">
        <v>595</v>
      </c>
      <c r="BZ796" s="2043" t="s">
        <v>2285</v>
      </c>
      <c r="CA796" s="2043" t="s">
        <v>2286</v>
      </c>
      <c r="CB796" s="2043" t="s">
        <v>2287</v>
      </c>
      <c r="CC796" s="2043" t="s">
        <v>2288</v>
      </c>
      <c r="CD796" s="2058" t="s">
        <v>2289</v>
      </c>
      <c r="CE796" s="2058" t="s">
        <v>2534</v>
      </c>
      <c r="CF796" s="2060" t="s">
        <v>1030</v>
      </c>
    </row>
    <row r="797" spans="3:124" s="1683" customFormat="1" ht="15" customHeight="1">
      <c r="G797" s="2042" t="s">
        <v>2442</v>
      </c>
      <c r="H797" s="2043" t="s">
        <v>141</v>
      </c>
      <c r="I797" s="2043" t="s">
        <v>595</v>
      </c>
      <c r="J797" s="2043" t="s">
        <v>2285</v>
      </c>
      <c r="K797" s="2043" t="s">
        <v>2286</v>
      </c>
      <c r="L797" s="2043" t="s">
        <v>2287</v>
      </c>
      <c r="M797" s="2043" t="s">
        <v>2288</v>
      </c>
      <c r="N797" s="2058" t="s">
        <v>2289</v>
      </c>
      <c r="O797" s="2058" t="s">
        <v>2534</v>
      </c>
      <c r="P797" s="2060" t="s">
        <v>1030</v>
      </c>
      <c r="AD797" s="2072"/>
      <c r="AE797" s="2076"/>
      <c r="AM797" s="2044">
        <v>0.2</v>
      </c>
      <c r="AN797" s="1654" t="str">
        <f>IF(ISBLANK(PSH_SRO_20),"",PSH_SRO_20)</f>
        <v/>
      </c>
      <c r="AO797" s="2045" t="str">
        <f>IF(ISBLANK(PSH_EFF_20),"",PSH_EFF_20)</f>
        <v/>
      </c>
      <c r="AP797" s="1653" t="str">
        <f>IF(ISBLANK(PSH_1BR_20)," ",PSH_1BR_20)</f>
        <v xml:space="preserve"> </v>
      </c>
      <c r="AQ797" s="1653" t="str">
        <f>IF(ISBLANK(PSH_2BR_20)," ",PSH_2BR_20)</f>
        <v xml:space="preserve"> </v>
      </c>
      <c r="AR797" s="1653" t="str">
        <f>IF(ISBLANK(PSH_3BR_20)," ",PSH_3BR_20)</f>
        <v xml:space="preserve"> </v>
      </c>
      <c r="AS797" s="1653" t="str">
        <f>IF(ISBLANK(PSH_4BR_20)," ",PSH_4BR_20)</f>
        <v xml:space="preserve"> </v>
      </c>
      <c r="AT797" s="1653" t="str">
        <f>IF(ISBLANK(PSH_5BR_20)," ",PSH_5BR_20)</f>
        <v xml:space="preserve"> </v>
      </c>
      <c r="AU797" s="2063" t="str">
        <f>IF(ISBLANK(PSH_Undefined_20)," ",PSH_Undefined_20)</f>
        <v xml:space="preserve"> </v>
      </c>
      <c r="AV797" s="2061">
        <f>SUM(AN797:AT797)</f>
        <v>0</v>
      </c>
      <c r="BN797" s="2076"/>
      <c r="BO797" s="2082"/>
      <c r="BW797" s="2044">
        <v>0.2</v>
      </c>
      <c r="BX797" s="1654" t="str">
        <f>IF(ISBLANK(PSH_SRO_20),"",PSH_SRO_20)</f>
        <v/>
      </c>
      <c r="BY797" s="2045" t="str">
        <f>IF(ISBLANK(PSH_EFF_20),"",PSH_EFF_20)</f>
        <v/>
      </c>
      <c r="BZ797" s="1653" t="str">
        <f>IF(ISBLANK(PSH_1BR_20)," ",PSH_1BR_20)</f>
        <v xml:space="preserve"> </v>
      </c>
      <c r="CA797" s="1653" t="str">
        <f>IF(ISBLANK(PSH_2BR_20)," ",PSH_2BR_20)</f>
        <v xml:space="preserve"> </v>
      </c>
      <c r="CB797" s="1653" t="str">
        <f>IF(ISBLANK(PSH_3BR_20)," ",PSH_3BR_20)</f>
        <v xml:space="preserve"> </v>
      </c>
      <c r="CC797" s="1653" t="str">
        <f>IF(ISBLANK(PSH_4BR_20)," ",PSH_4BR_20)</f>
        <v xml:space="preserve"> </v>
      </c>
      <c r="CD797" s="1653" t="str">
        <f>IF(ISBLANK(PSH_5BR_20)," ",PSH_5BR_20)</f>
        <v xml:space="preserve"> </v>
      </c>
      <c r="CE797" s="2063" t="str">
        <f>IF(ISBLANK(PSH_Undefined_20)," ",PSH_Undefined_20)</f>
        <v xml:space="preserve"> </v>
      </c>
      <c r="CF797" s="2061">
        <f>SUM(BX797:CD797)</f>
        <v>0</v>
      </c>
    </row>
    <row r="798" spans="3:124" s="1683" customFormat="1" ht="15" customHeight="1">
      <c r="G798" s="2044">
        <v>0.2</v>
      </c>
      <c r="H798" s="1654" t="str">
        <f>IF(ISBLANK(PSH_SRO_20),"",PSH_SRO_20)</f>
        <v/>
      </c>
      <c r="I798" s="2045" t="str">
        <f>IF(ISBLANK(PSH_EFF_20),"",PSH_EFF_20)</f>
        <v/>
      </c>
      <c r="J798" s="1653" t="str">
        <f>IF(ISBLANK(PSH_1BR_20)," ",PSH_1BR_20)</f>
        <v xml:space="preserve"> </v>
      </c>
      <c r="K798" s="1653" t="str">
        <f>IF(ISBLANK(PSH_2BR_20)," ",PSH_2BR_20)</f>
        <v xml:space="preserve"> </v>
      </c>
      <c r="L798" s="1653" t="str">
        <f>IF(ISBLANK(PSH_3BR_20)," ",PSH_3BR_20)</f>
        <v xml:space="preserve"> </v>
      </c>
      <c r="M798" s="1653" t="str">
        <f>IF(ISBLANK(PSH_4BR_20)," ",PSH_4BR_20)</f>
        <v xml:space="preserve"> </v>
      </c>
      <c r="N798" s="1653" t="str">
        <f>IF(ISBLANK(PSH_5BR_20)," ",PSH_5BR_20)</f>
        <v xml:space="preserve"> </v>
      </c>
      <c r="O798" s="2063" t="str">
        <f>IF(ISBLANK(PSH_Undefined_20)," ",PSH_Undefined_20)</f>
        <v xml:space="preserve"> </v>
      </c>
      <c r="P798" s="2061">
        <f>SUM(H798:N798)</f>
        <v>0</v>
      </c>
      <c r="AD798" s="2072"/>
      <c r="AE798" s="2076"/>
      <c r="AM798" s="2044">
        <v>0.3</v>
      </c>
      <c r="AN798" s="2045" t="str">
        <f>IF(ISBLANK(PSH_SRO_30),"",PSH_SRO_30)</f>
        <v/>
      </c>
      <c r="AO798" s="2045" t="str">
        <f>IF(ISBLANK(PSH_EFF_30),"",PSH_EFF_30)</f>
        <v/>
      </c>
      <c r="AP798" s="2064" t="str">
        <f>IF(ISBLANK(PSH_1BR_30)," ",PSH_1BR_30)</f>
        <v xml:space="preserve"> </v>
      </c>
      <c r="AQ798" s="1653" t="str">
        <f>IF(ISBLANK(PSH_2BR_30)," ",PSH_2BR_30)</f>
        <v xml:space="preserve"> </v>
      </c>
      <c r="AR798" s="1653" t="str">
        <f>IF(ISBLANK(PSH_3BR_30)," ",PSH_3BR_30)</f>
        <v xml:space="preserve"> </v>
      </c>
      <c r="AS798" s="1653" t="str">
        <f>IF(ISBLANK(PSH_4BR_30)," ",PSH_4BR_30)</f>
        <v xml:space="preserve"> </v>
      </c>
      <c r="AT798" s="1653" t="str">
        <f>IF(ISBLANK(PSH_5BR_30)," ",PSH_5BR_30)</f>
        <v xml:space="preserve"> </v>
      </c>
      <c r="AU798" s="2063" t="str">
        <f>IF(ISBLANK(PSH_Undefined_30)," ",PSH_Undefined_30)</f>
        <v xml:space="preserve"> </v>
      </c>
      <c r="AV798" s="2061">
        <f t="shared" ref="AV798:AV808" si="253">SUM(AN798:AT798)</f>
        <v>0</v>
      </c>
      <c r="BN798" s="2076"/>
      <c r="BO798" s="2082"/>
      <c r="BW798" s="2044">
        <v>0.3</v>
      </c>
      <c r="BX798" s="2045" t="str">
        <f>IF(ISBLANK(PSH_SRO_30),"",PSH_SRO_30)</f>
        <v/>
      </c>
      <c r="BY798" s="2045" t="str">
        <f>IF(ISBLANK(PSH_EFF_30),"",PSH_EFF_30)</f>
        <v/>
      </c>
      <c r="BZ798" s="2064" t="str">
        <f>IF(ISBLANK(PSH_1BR_30)," ",PSH_1BR_30)</f>
        <v xml:space="preserve"> </v>
      </c>
      <c r="CA798" s="1653" t="str">
        <f>IF(ISBLANK(PSH_2BR_30)," ",PSH_2BR_30)</f>
        <v xml:space="preserve"> </v>
      </c>
      <c r="CB798" s="1653" t="str">
        <f>IF(ISBLANK(PSH_3BR_30)," ",PSH_3BR_30)</f>
        <v xml:space="preserve"> </v>
      </c>
      <c r="CC798" s="1653" t="str">
        <f>IF(ISBLANK(PSH_4BR_30)," ",PSH_4BR_30)</f>
        <v xml:space="preserve"> </v>
      </c>
      <c r="CD798" s="1653" t="str">
        <f>IF(ISBLANK(PSH_5BR_30)," ",PSH_5BR_30)</f>
        <v xml:space="preserve"> </v>
      </c>
      <c r="CE798" s="2063" t="str">
        <f>IF(ISBLANK(PSH_Undefined_30)," ",PSH_Undefined_30)</f>
        <v xml:space="preserve"> </v>
      </c>
      <c r="CF798" s="2061">
        <f t="shared" ref="CF798:CF808" si="254">SUM(BX798:CD798)</f>
        <v>0</v>
      </c>
    </row>
    <row r="799" spans="3:124" s="1683" customFormat="1" ht="15" customHeight="1">
      <c r="G799" s="2044">
        <v>0.3</v>
      </c>
      <c r="H799" s="2045" t="str">
        <f>IF(ISBLANK(PSH_SRO_30),"",PSH_SRO_30)</f>
        <v/>
      </c>
      <c r="I799" s="2045" t="str">
        <f>IF(ISBLANK(PSH_EFF_30),"",PSH_EFF_30)</f>
        <v/>
      </c>
      <c r="J799" s="2064" t="str">
        <f>IF(ISBLANK(PSH_1BR_30)," ",PSH_1BR_30)</f>
        <v xml:space="preserve"> </v>
      </c>
      <c r="K799" s="1653" t="str">
        <f>IF(ISBLANK(PSH_2BR_30)," ",PSH_2BR_30)</f>
        <v xml:space="preserve"> </v>
      </c>
      <c r="L799" s="1653" t="str">
        <f>IF(ISBLANK(PSH_3BR_30)," ",PSH_3BR_30)</f>
        <v xml:space="preserve"> </v>
      </c>
      <c r="M799" s="1653" t="str">
        <f>IF(ISBLANK(PSH_4BR_30)," ",PSH_4BR_30)</f>
        <v xml:space="preserve"> </v>
      </c>
      <c r="N799" s="1653" t="str">
        <f>IF(ISBLANK(PSH_5BR_30)," ",PSH_5BR_30)</f>
        <v xml:space="preserve"> </v>
      </c>
      <c r="O799" s="2063" t="str">
        <f>IF(ISBLANK(PSH_Undefined_30)," ",PSH_Undefined_30)</f>
        <v xml:space="preserve"> </v>
      </c>
      <c r="P799" s="2061">
        <f t="shared" ref="P799:P807" si="255">SUM(H799:N799)</f>
        <v>0</v>
      </c>
      <c r="AD799" s="2072"/>
      <c r="AE799" s="2076"/>
      <c r="AI799" s="1677"/>
      <c r="AJ799" s="1677"/>
      <c r="AK799" s="1677"/>
      <c r="AL799" s="1677"/>
      <c r="AM799" s="2044">
        <v>0.4</v>
      </c>
      <c r="AN799" s="2046" t="str">
        <f>IF(ISBLANK(PSH_SRO_40),"",PSH_SRO_40)</f>
        <v/>
      </c>
      <c r="AO799" s="2045" t="str">
        <f>IF(ISBLANK(PSH_EFF_40),"",PSH_EFF_40)</f>
        <v/>
      </c>
      <c r="AP799" s="1653" t="str">
        <f>IF(ISBLANK(PSH_1BR_40)," ",PSH_1BR_40)</f>
        <v xml:space="preserve"> </v>
      </c>
      <c r="AQ799" s="1653" t="str">
        <f>IF(ISBLANK(PSH_2BR_40)," ",PSH_2BR_40)</f>
        <v xml:space="preserve"> </v>
      </c>
      <c r="AR799" s="1653" t="str">
        <f>IF(ISBLANK(PSH_3BR_40)," ",PSH_3BR_40)</f>
        <v xml:space="preserve"> </v>
      </c>
      <c r="AS799" s="1653" t="str">
        <f>IF(ISBLANK(PSH_4BR_40)," ",PSH_4BR_40)</f>
        <v xml:space="preserve"> </v>
      </c>
      <c r="AT799" s="1653" t="str">
        <f>IF(ISBLANK(PSH_5BR_40)," ",PSH_5BR_40)</f>
        <v xml:space="preserve"> </v>
      </c>
      <c r="AU799" s="2063" t="str">
        <f>IF(ISBLANK(PSH_Undefined_40)," ",PSH_Undefined_40)</f>
        <v xml:space="preserve"> </v>
      </c>
      <c r="AV799" s="2061">
        <f t="shared" si="253"/>
        <v>0</v>
      </c>
      <c r="BN799" s="2076"/>
      <c r="BO799" s="2082"/>
      <c r="BS799" s="1677"/>
      <c r="BT799" s="1677"/>
      <c r="BU799" s="1677"/>
      <c r="BV799" s="1677"/>
      <c r="BW799" s="2044">
        <v>0.4</v>
      </c>
      <c r="BX799" s="2046" t="str">
        <f>IF(ISBLANK(PSH_SRO_40),"",PSH_SRO_40)</f>
        <v/>
      </c>
      <c r="BY799" s="2045" t="str">
        <f>IF(ISBLANK(PSH_EFF_40),"",PSH_EFF_40)</f>
        <v/>
      </c>
      <c r="BZ799" s="1653" t="str">
        <f>IF(ISBLANK(PSH_1BR_40)," ",PSH_1BR_40)</f>
        <v xml:space="preserve"> </v>
      </c>
      <c r="CA799" s="1653" t="str">
        <f>IF(ISBLANK(PSH_2BR_40)," ",PSH_2BR_40)</f>
        <v xml:space="preserve"> </v>
      </c>
      <c r="CB799" s="1653" t="str">
        <f>IF(ISBLANK(PSH_3BR_40)," ",PSH_3BR_40)</f>
        <v xml:space="preserve"> </v>
      </c>
      <c r="CC799" s="1653" t="str">
        <f>IF(ISBLANK(PSH_4BR_40)," ",PSH_4BR_40)</f>
        <v xml:space="preserve"> </v>
      </c>
      <c r="CD799" s="1653" t="str">
        <f>IF(ISBLANK(PSH_5BR_40)," ",PSH_5BR_40)</f>
        <v xml:space="preserve"> </v>
      </c>
      <c r="CE799" s="2063" t="str">
        <f>IF(ISBLANK(PSH_Undefined_40)," ",PSH_Undefined_40)</f>
        <v xml:space="preserve"> </v>
      </c>
      <c r="CF799" s="2061">
        <f t="shared" si="254"/>
        <v>0</v>
      </c>
    </row>
    <row r="800" spans="3:124" ht="15" customHeight="1">
      <c r="G800" s="2044">
        <v>0.4</v>
      </c>
      <c r="H800" s="2046" t="str">
        <f>IF(ISBLANK(PSH_SRO_40),"",PSH_SRO_40)</f>
        <v/>
      </c>
      <c r="I800" s="2045" t="str">
        <f>IF(ISBLANK(PSH_EFF_40),"",PSH_EFF_40)</f>
        <v/>
      </c>
      <c r="J800" s="1653" t="str">
        <f>IF(ISBLANK(PSH_1BR_40)," ",PSH_1BR_40)</f>
        <v xml:space="preserve"> </v>
      </c>
      <c r="K800" s="1653" t="str">
        <f>IF(ISBLANK(PSH_2BR_40)," ",PSH_2BR_40)</f>
        <v xml:space="preserve"> </v>
      </c>
      <c r="L800" s="1653" t="str">
        <f>IF(ISBLANK(PSH_3BR_40)," ",PSH_3BR_40)</f>
        <v xml:space="preserve"> </v>
      </c>
      <c r="M800" s="1653" t="str">
        <f>IF(ISBLANK(PSH_4BR_40)," ",PSH_4BR_40)</f>
        <v xml:space="preserve"> </v>
      </c>
      <c r="N800" s="1653" t="str">
        <f>IF(ISBLANK(PSH_5BR_40)," ",PSH_5BR_40)</f>
        <v xml:space="preserve"> </v>
      </c>
      <c r="O800" s="2063" t="str">
        <f>IF(ISBLANK(PSH_Undefined_40)," ",PSH_Undefined_40)</f>
        <v xml:space="preserve"> </v>
      </c>
      <c r="P800" s="2061">
        <f t="shared" si="255"/>
        <v>0</v>
      </c>
      <c r="AF800" s="1683"/>
      <c r="AG800" s="1683"/>
      <c r="AH800" s="1683"/>
      <c r="AM800" s="2044"/>
      <c r="AN800" s="2046"/>
      <c r="AO800" s="2045"/>
      <c r="AP800" s="1653"/>
      <c r="AQ800" s="1653"/>
      <c r="AR800" s="1653"/>
      <c r="AS800" s="1653"/>
      <c r="AT800" s="1653"/>
      <c r="AU800" s="2063"/>
      <c r="AV800" s="2061"/>
      <c r="AW800" s="1683"/>
      <c r="AX800" s="1683"/>
      <c r="AY800" s="1683"/>
      <c r="AZ800" s="1683"/>
      <c r="BA800" s="1683"/>
      <c r="BB800" s="1683"/>
      <c r="BC800" s="1683"/>
      <c r="BD800" s="1683"/>
      <c r="BE800" s="1683"/>
      <c r="BF800" s="1683"/>
      <c r="BG800" s="1683"/>
      <c r="BH800" s="1683"/>
      <c r="BI800" s="1683"/>
      <c r="BJ800" s="1683"/>
      <c r="BK800" s="1683"/>
      <c r="BL800" s="1683"/>
      <c r="BM800" s="1683"/>
      <c r="BN800" s="2076"/>
      <c r="BO800" s="2082"/>
      <c r="BP800" s="1683"/>
      <c r="BQ800" s="1683"/>
      <c r="BR800" s="1683"/>
      <c r="BW800" s="2044"/>
      <c r="BX800" s="2046"/>
      <c r="BY800" s="2045"/>
      <c r="BZ800" s="1653"/>
      <c r="CA800" s="1653"/>
      <c r="CB800" s="1653"/>
      <c r="CC800" s="1653"/>
      <c r="CD800" s="1653"/>
      <c r="CE800" s="2063"/>
      <c r="CF800" s="2061"/>
      <c r="CG800" s="1683"/>
      <c r="CH800" s="1683"/>
      <c r="CI800" s="1683"/>
      <c r="CJ800" s="1683"/>
      <c r="CK800" s="1683"/>
      <c r="CL800" s="1683"/>
      <c r="CM800" s="1683"/>
      <c r="CN800" s="1683"/>
      <c r="CO800" s="1683"/>
      <c r="CP800" s="1683"/>
      <c r="CQ800" s="1683"/>
      <c r="CR800" s="1683"/>
      <c r="CS800" s="1683"/>
      <c r="CT800" s="1683"/>
      <c r="CU800" s="1683"/>
      <c r="CV800" s="1683"/>
      <c r="CW800" s="1683"/>
      <c r="CX800" s="1683"/>
      <c r="CY800" s="1683"/>
      <c r="CZ800" s="1683"/>
      <c r="DA800" s="1683"/>
      <c r="DB800" s="1683"/>
      <c r="DC800" s="1683"/>
      <c r="DD800" s="1683"/>
      <c r="DE800" s="1683"/>
      <c r="DF800" s="1683"/>
      <c r="DG800" s="1683"/>
      <c r="DH800" s="1683"/>
      <c r="DI800" s="1683"/>
      <c r="DJ800" s="1683"/>
      <c r="DK800" s="1683"/>
      <c r="DL800" s="1683"/>
      <c r="DM800" s="1683"/>
      <c r="DN800" s="1683"/>
      <c r="DO800" s="1683"/>
      <c r="DP800" s="1683"/>
      <c r="DQ800" s="1683"/>
      <c r="DR800" s="1683"/>
      <c r="DS800" s="1683"/>
      <c r="DT800" s="1683"/>
    </row>
    <row r="801" spans="7:124" ht="15" customHeight="1">
      <c r="G801" s="2044">
        <v>0.5</v>
      </c>
      <c r="H801" s="2045" t="str">
        <f>IF(ISBLANK(PSH_SRO_50),"",PSH_SRO_50)</f>
        <v/>
      </c>
      <c r="I801" s="2045" t="str">
        <f>IF(ISBLANK(PSH_EFF_50),"",(PSH_EFF_50))</f>
        <v/>
      </c>
      <c r="J801" s="2045" t="str">
        <f>IF(ISBLANK(PSH_1BR_50)," ",PSH_1BR_50)</f>
        <v xml:space="preserve"> </v>
      </c>
      <c r="K801" s="1653" t="str">
        <f>IF(ISBLANK(PSH_2BR_50)," ",PSH_2BR_50)</f>
        <v xml:space="preserve"> </v>
      </c>
      <c r="L801" s="1653" t="str">
        <f>IF(ISBLANK(PSH_3BR_50)," ",PSH_3BR_50)</f>
        <v xml:space="preserve"> </v>
      </c>
      <c r="M801" s="1653" t="str">
        <f>IF(ISBLANK(PSH_4BR_50)," ",PSH_4BR_50)</f>
        <v xml:space="preserve"> </v>
      </c>
      <c r="N801" s="1653" t="str">
        <f>IF(ISBLANK(PSH_5BR_50)," ",PSH_5BR_50)</f>
        <v xml:space="preserve"> </v>
      </c>
      <c r="O801" s="2063" t="str">
        <f>IF(ISBLANK(PSH_Undefined_50)," ",PSH_Undefined_50)</f>
        <v xml:space="preserve"> </v>
      </c>
      <c r="P801" s="2061">
        <f t="shared" si="255"/>
        <v>0</v>
      </c>
      <c r="AH801" s="1683"/>
      <c r="AM801" s="2044">
        <v>0.5</v>
      </c>
      <c r="AN801" s="2045" t="str">
        <f>IF(ISBLANK(PSH_SRO_50),"",PSH_SRO_50)</f>
        <v/>
      </c>
      <c r="AO801" s="2045" t="str">
        <f>IF(ISBLANK(PSH_EFF_50),"",(PSH_EFF_50))</f>
        <v/>
      </c>
      <c r="AP801" s="2045" t="str">
        <f>IF(ISBLANK(PSH_1BR_50)," ",PSH_1BR_50)</f>
        <v xml:space="preserve"> </v>
      </c>
      <c r="AQ801" s="1653" t="str">
        <f>IF(ISBLANK(PSH_2BR_50)," ",PSH_2BR_50)</f>
        <v xml:space="preserve"> </v>
      </c>
      <c r="AR801" s="1653" t="str">
        <f>IF(ISBLANK(PSH_3BR_50)," ",PSH_3BR_50)</f>
        <v xml:space="preserve"> </v>
      </c>
      <c r="AS801" s="1653" t="str">
        <f>IF(ISBLANK(PSH_4BR_50)," ",PSH_4BR_50)</f>
        <v xml:space="preserve"> </v>
      </c>
      <c r="AT801" s="1653" t="str">
        <f>IF(ISBLANK(PSH_5BR_50)," ",PSH_5BR_50)</f>
        <v xml:space="preserve"> </v>
      </c>
      <c r="AU801" s="2063" t="str">
        <f>IF(ISBLANK(PSH_Undefined_50)," ",PSH_Undefined_50)</f>
        <v xml:space="preserve"> </v>
      </c>
      <c r="AV801" s="2061">
        <f t="shared" si="253"/>
        <v>0</v>
      </c>
      <c r="AW801" s="1683"/>
      <c r="AX801" s="1683"/>
      <c r="AY801" s="1683"/>
      <c r="AZ801" s="1683"/>
      <c r="BA801" s="1683"/>
      <c r="BB801" s="1683"/>
      <c r="BC801" s="1683"/>
      <c r="BD801" s="1683"/>
      <c r="BE801" s="1683"/>
      <c r="BF801" s="1683"/>
      <c r="BG801" s="1683"/>
      <c r="BH801" s="1683"/>
      <c r="BI801" s="1683"/>
      <c r="BJ801" s="1683"/>
      <c r="BK801" s="1683"/>
      <c r="BL801" s="1683"/>
      <c r="BM801" s="1683"/>
      <c r="BN801" s="2076"/>
      <c r="BO801" s="2082"/>
      <c r="BP801" s="1683"/>
      <c r="BQ801" s="1683"/>
      <c r="BR801" s="1683"/>
      <c r="BW801" s="2044">
        <v>0.5</v>
      </c>
      <c r="BX801" s="2045" t="str">
        <f>IF(ISBLANK(PSH_SRO_50),"",PSH_SRO_50)</f>
        <v/>
      </c>
      <c r="BY801" s="2045" t="str">
        <f>IF(ISBLANK(PSH_EFF_50),"",(PSH_EFF_50))</f>
        <v/>
      </c>
      <c r="BZ801" s="2045" t="str">
        <f>IF(ISBLANK(PSH_1BR_50)," ",PSH_1BR_50)</f>
        <v xml:space="preserve"> </v>
      </c>
      <c r="CA801" s="1653" t="str">
        <f>IF(ISBLANK(PSH_2BR_50)," ",PSH_2BR_50)</f>
        <v xml:space="preserve"> </v>
      </c>
      <c r="CB801" s="1653" t="str">
        <f>IF(ISBLANK(PSH_3BR_50)," ",PSH_3BR_50)</f>
        <v xml:space="preserve"> </v>
      </c>
      <c r="CC801" s="1653" t="str">
        <f>IF(ISBLANK(PSH_4BR_50)," ",PSH_4BR_50)</f>
        <v xml:space="preserve"> </v>
      </c>
      <c r="CD801" s="1653" t="str">
        <f>IF(ISBLANK(PSH_5BR_50)," ",PSH_5BR_50)</f>
        <v xml:space="preserve"> </v>
      </c>
      <c r="CE801" s="2063" t="str">
        <f>IF(ISBLANK(PSH_Undefined_50)," ",PSH_Undefined_50)</f>
        <v xml:space="preserve"> </v>
      </c>
      <c r="CF801" s="2061">
        <f t="shared" si="254"/>
        <v>0</v>
      </c>
      <c r="CG801" s="1683"/>
      <c r="CH801" s="1683"/>
      <c r="CI801" s="1683"/>
      <c r="CJ801" s="1683"/>
      <c r="CK801" s="1683"/>
      <c r="CL801" s="1683"/>
      <c r="CM801" s="1683"/>
      <c r="CN801" s="1683"/>
      <c r="CO801" s="1683"/>
      <c r="CP801" s="1683"/>
      <c r="CQ801" s="1683"/>
      <c r="CR801" s="1683"/>
      <c r="CS801" s="1683"/>
      <c r="CT801" s="1683"/>
      <c r="CU801" s="1683"/>
      <c r="CV801" s="1683"/>
      <c r="CW801" s="1683"/>
      <c r="CX801" s="1683"/>
      <c r="CY801" s="1683"/>
      <c r="CZ801" s="1683"/>
      <c r="DA801" s="1683"/>
      <c r="DB801" s="1683"/>
      <c r="DC801" s="1683"/>
      <c r="DD801" s="1683"/>
      <c r="DE801" s="1683"/>
      <c r="DF801" s="1683"/>
      <c r="DG801" s="1683"/>
      <c r="DH801" s="1683"/>
      <c r="DI801" s="1683"/>
      <c r="DJ801" s="1683"/>
      <c r="DK801" s="1683"/>
      <c r="DL801" s="1683"/>
      <c r="DM801" s="1683"/>
      <c r="DN801" s="1683"/>
      <c r="DO801" s="1683"/>
      <c r="DP801" s="1683"/>
      <c r="DQ801" s="1683"/>
      <c r="DR801" s="1683"/>
      <c r="DS801" s="1683"/>
      <c r="DT801" s="1683"/>
    </row>
    <row r="802" spans="7:124" ht="15" customHeight="1">
      <c r="G802" s="2044">
        <v>0.6</v>
      </c>
      <c r="H802" s="2045" t="str">
        <f>IF(ISBLANK(PSH_SRO_60),"",(PSH_SRO_60))</f>
        <v/>
      </c>
      <c r="I802" s="2045" t="str">
        <f>IF(ISBLANK(PSH_EFF_60),"",PSH_EFF_60)</f>
        <v/>
      </c>
      <c r="J802" s="1653" t="str">
        <f>IF(ISBLANK(PSH_1BR_60)," ",PSH_1BR_60)</f>
        <v xml:space="preserve"> </v>
      </c>
      <c r="K802" s="2064" t="str">
        <f>IF(ISBLANK(PSH_2BR_60)," ",PSH_2BR_60)</f>
        <v xml:space="preserve"> </v>
      </c>
      <c r="L802" s="1653" t="str">
        <f>IF(ISBLANK(PSH_3BR_60)," ",PSH_3BR_60)</f>
        <v xml:space="preserve"> </v>
      </c>
      <c r="M802" s="1653" t="str">
        <f>IF(ISBLANK(PSH_4BR_60)," ",PSH_4BR_60)</f>
        <v xml:space="preserve"> </v>
      </c>
      <c r="N802" s="1653" t="str">
        <f>IF(ISBLANK(PSH_5BR_60)," ",PSH_5BR_60)</f>
        <v xml:space="preserve"> </v>
      </c>
      <c r="O802" s="2063" t="str">
        <f>IF(ISBLANK(PSH_Undefined_60)," ",PSH_Undefined_60)</f>
        <v xml:space="preserve"> </v>
      </c>
      <c r="P802" s="2061">
        <f t="shared" si="255"/>
        <v>0</v>
      </c>
      <c r="AH802" s="1683"/>
      <c r="AM802" s="2044">
        <v>0.6</v>
      </c>
      <c r="AN802" s="2045" t="str">
        <f>IF(ISBLANK(PSH_SRO_60),"",(PSH_SRO_60))</f>
        <v/>
      </c>
      <c r="AO802" s="2045" t="str">
        <f>IF(ISBLANK(PSH_EFF_60),"",PSH_EFF_60)</f>
        <v/>
      </c>
      <c r="AP802" s="1653" t="str">
        <f>IF(ISBLANK(PSH_1BR_60)," ",PSH_1BR_60)</f>
        <v xml:space="preserve"> </v>
      </c>
      <c r="AQ802" s="2064" t="str">
        <f>IF(ISBLANK(PSH_2BR_60)," ",PSH_2BR_60)</f>
        <v xml:space="preserve"> </v>
      </c>
      <c r="AR802" s="1653" t="str">
        <f>IF(ISBLANK(PSH_3BR_60)," ",PSH_3BR_60)</f>
        <v xml:space="preserve"> </v>
      </c>
      <c r="AS802" s="1653" t="str">
        <f>IF(ISBLANK(PSH_4BR_60)," ",PSH_4BR_60)</f>
        <v xml:space="preserve"> </v>
      </c>
      <c r="AT802" s="1653" t="str">
        <f>IF(ISBLANK(PSH_5BR_60)," ",PSH_5BR_60)</f>
        <v xml:space="preserve"> </v>
      </c>
      <c r="AU802" s="2063" t="str">
        <f>IF(ISBLANK(PSH_Undefined_60)," ",PSH_Undefined_60)</f>
        <v xml:space="preserve"> </v>
      </c>
      <c r="AV802" s="2061">
        <f t="shared" si="253"/>
        <v>0</v>
      </c>
      <c r="AW802" s="1683"/>
      <c r="AX802" s="1683"/>
      <c r="AY802" s="1683"/>
      <c r="AZ802" s="1683"/>
      <c r="BA802" s="1683"/>
      <c r="BB802" s="1683"/>
      <c r="BC802" s="1683"/>
      <c r="BD802" s="1683"/>
      <c r="BE802" s="1683"/>
      <c r="BF802" s="1683"/>
      <c r="BG802" s="1683"/>
      <c r="BH802" s="1683"/>
      <c r="BI802" s="1683"/>
      <c r="BJ802" s="1683"/>
      <c r="BK802" s="1683"/>
      <c r="BL802" s="1683"/>
      <c r="BM802" s="1683"/>
      <c r="BN802" s="2076"/>
      <c r="BO802" s="2082"/>
      <c r="BP802" s="1683"/>
      <c r="BQ802" s="1683"/>
      <c r="BR802" s="1683"/>
      <c r="BW802" s="2044">
        <v>0.6</v>
      </c>
      <c r="BX802" s="2045" t="str">
        <f>IF(ISBLANK(PSH_SRO_60),"",(PSH_SRO_60))</f>
        <v/>
      </c>
      <c r="BY802" s="2045" t="str">
        <f>IF(ISBLANK(PSH_EFF_60),"",PSH_EFF_60)</f>
        <v/>
      </c>
      <c r="BZ802" s="1653" t="str">
        <f>IF(ISBLANK(PSH_1BR_60)," ",PSH_1BR_60)</f>
        <v xml:space="preserve"> </v>
      </c>
      <c r="CA802" s="2064" t="str">
        <f>IF(ISBLANK(PSH_2BR_60)," ",PSH_2BR_60)</f>
        <v xml:space="preserve"> </v>
      </c>
      <c r="CB802" s="1653" t="str">
        <f>IF(ISBLANK(PSH_3BR_60)," ",PSH_3BR_60)</f>
        <v xml:space="preserve"> </v>
      </c>
      <c r="CC802" s="1653" t="str">
        <f>IF(ISBLANK(PSH_4BR_60)," ",PSH_4BR_60)</f>
        <v xml:space="preserve"> </v>
      </c>
      <c r="CD802" s="1653" t="str">
        <f>IF(ISBLANK(PSH_5BR_60)," ",PSH_5BR_60)</f>
        <v xml:space="preserve"> </v>
      </c>
      <c r="CE802" s="2063" t="str">
        <f>IF(ISBLANK(PSH_Undefined_60)," ",PSH_Undefined_60)</f>
        <v xml:space="preserve"> </v>
      </c>
      <c r="CF802" s="2061">
        <f t="shared" si="254"/>
        <v>0</v>
      </c>
      <c r="CG802" s="1683"/>
      <c r="CH802" s="1683"/>
      <c r="CI802" s="1683"/>
      <c r="CJ802" s="1683"/>
      <c r="CK802" s="1683"/>
      <c r="CL802" s="1683"/>
      <c r="CM802" s="1683"/>
      <c r="CN802" s="1683"/>
      <c r="CO802" s="1683"/>
      <c r="CP802" s="1683"/>
      <c r="CQ802" s="1683"/>
      <c r="CR802" s="1683"/>
      <c r="CS802" s="1683"/>
      <c r="CT802" s="1683"/>
      <c r="CU802" s="1683"/>
      <c r="CV802" s="1683"/>
      <c r="CW802" s="1683"/>
      <c r="CX802" s="1683"/>
      <c r="CY802" s="1683"/>
      <c r="CZ802" s="1683"/>
      <c r="DA802" s="1683"/>
      <c r="DB802" s="1683"/>
      <c r="DC802" s="1683"/>
      <c r="DD802" s="1683"/>
      <c r="DE802" s="1683"/>
      <c r="DF802" s="1683"/>
      <c r="DG802" s="1683"/>
      <c r="DH802" s="1683"/>
      <c r="DI802" s="1683"/>
      <c r="DJ802" s="1683"/>
      <c r="DK802" s="1683"/>
      <c r="DL802" s="1683"/>
      <c r="DM802" s="1683"/>
      <c r="DN802" s="1683"/>
      <c r="DO802" s="1683"/>
      <c r="DP802" s="1683"/>
      <c r="DQ802" s="1683"/>
      <c r="DR802" s="1683"/>
      <c r="DS802" s="1683"/>
      <c r="DT802" s="1683"/>
    </row>
    <row r="803" spans="7:124" ht="15" customHeight="1">
      <c r="G803" s="2044">
        <v>0.7</v>
      </c>
      <c r="H803" s="2045" t="str">
        <f>IF(ISBLANK(PSH_SRO_70),"",PSH_SRO_70)</f>
        <v/>
      </c>
      <c r="I803" s="2045" t="str">
        <f>IF(ISBLANK(PSH_EFF_70),"",PSH_EFF_70)</f>
        <v/>
      </c>
      <c r="J803" s="1653" t="str">
        <f>IF(ISBLANK(PSH_1BR_70)," ",PSH_1BR_70)</f>
        <v xml:space="preserve"> </v>
      </c>
      <c r="K803" s="1653" t="str">
        <f>IF(ISBLANK(PSH_2BR_70)," ",PSH_2BR_70)</f>
        <v xml:space="preserve"> </v>
      </c>
      <c r="L803" s="1653" t="str">
        <f>IF(ISBLANK(PSH_3BR_70)," ",PSH_3BR_70)</f>
        <v xml:space="preserve"> </v>
      </c>
      <c r="M803" s="1653" t="str">
        <f>IF(ISBLANK(PSH_4BR_70)," ",PSH_4BR_70)</f>
        <v xml:space="preserve"> </v>
      </c>
      <c r="N803" s="1653" t="str">
        <f>IF(ISBLANK(PSH_5BR_70)," ",PSH_5BR_70)</f>
        <v xml:space="preserve"> </v>
      </c>
      <c r="O803" s="2063" t="str">
        <f>IF(ISBLANK(PSH_Undefined_70)," ",PSH_Undefined_70)</f>
        <v xml:space="preserve"> </v>
      </c>
      <c r="P803" s="2061">
        <f t="shared" si="255"/>
        <v>0</v>
      </c>
      <c r="AH803" s="1683"/>
      <c r="AM803" s="2044"/>
      <c r="AN803" s="2045"/>
      <c r="AO803" s="2045"/>
      <c r="AP803" s="1653"/>
      <c r="AQ803" s="2064"/>
      <c r="AR803" s="1653"/>
      <c r="AS803" s="1653"/>
      <c r="AT803" s="1653"/>
      <c r="AU803" s="2063"/>
      <c r="AV803" s="2061"/>
      <c r="AW803" s="1683"/>
      <c r="AX803" s="1683"/>
      <c r="AY803" s="1683"/>
      <c r="AZ803" s="1683"/>
      <c r="BA803" s="1683"/>
      <c r="BB803" s="1683"/>
      <c r="BC803" s="1683"/>
      <c r="BD803" s="1683"/>
      <c r="BE803" s="1683"/>
      <c r="BF803" s="1683"/>
      <c r="BG803" s="1683"/>
      <c r="BH803" s="1683"/>
      <c r="BI803" s="1683"/>
      <c r="BJ803" s="1683"/>
      <c r="BK803" s="1683"/>
      <c r="BL803" s="1683"/>
      <c r="BM803" s="1683"/>
      <c r="BN803" s="2076"/>
      <c r="BO803" s="2082"/>
      <c r="BP803" s="1683"/>
      <c r="BQ803" s="1683"/>
      <c r="BR803" s="1683"/>
      <c r="BW803" s="2044"/>
      <c r="BX803" s="2045"/>
      <c r="BY803" s="2045"/>
      <c r="BZ803" s="1653"/>
      <c r="CA803" s="2064"/>
      <c r="CB803" s="1653"/>
      <c r="CC803" s="1653"/>
      <c r="CD803" s="1653"/>
      <c r="CE803" s="2063"/>
      <c r="CF803" s="2061"/>
      <c r="CG803" s="1683"/>
      <c r="CH803" s="1683"/>
      <c r="CI803" s="1683"/>
      <c r="CJ803" s="1683"/>
      <c r="CK803" s="1683"/>
      <c r="CL803" s="1683"/>
      <c r="CM803" s="1683"/>
      <c r="CN803" s="1683"/>
      <c r="CO803" s="1683"/>
      <c r="CP803" s="1683"/>
      <c r="CQ803" s="1683"/>
      <c r="CR803" s="1683"/>
      <c r="CS803" s="1683"/>
    </row>
    <row r="804" spans="7:124" ht="15" customHeight="1">
      <c r="G804" s="2044">
        <v>0.8</v>
      </c>
      <c r="H804" s="2045" t="str">
        <f>IF(ISBLANK(PSH_SRO_80),"",PSH_SRO_80)</f>
        <v/>
      </c>
      <c r="I804" s="2046" t="str">
        <f>IF(ISBLANK(PSH_EFF_80),"",PSH_EFF_80)</f>
        <v/>
      </c>
      <c r="J804" s="1653" t="str">
        <f>IF(ISBLANK(PSH_1BR_80)," ",PSH_1BR_80)</f>
        <v xml:space="preserve"> </v>
      </c>
      <c r="K804" s="1653" t="str">
        <f>IF(ISBLANK(PSH_2BR_80)," ",PSH_2BR_80)</f>
        <v xml:space="preserve"> </v>
      </c>
      <c r="L804" s="1653" t="str">
        <f>IF(ISBLANK(PSH_3BR_80)," ",PSH_3BR_80)</f>
        <v xml:space="preserve"> </v>
      </c>
      <c r="M804" s="1653" t="str">
        <f>IF(ISBLANK(PSH_4BR_80)," ",PSH_4BR_80)</f>
        <v xml:space="preserve"> </v>
      </c>
      <c r="N804" s="1653" t="str">
        <f>IF(ISBLANK(PSH_5BR_80)," ",PSH_5BR_80)</f>
        <v xml:space="preserve"> </v>
      </c>
      <c r="O804" s="2063" t="str">
        <f>IF(ISBLANK(PSH_Undefined_80)," ",PSH_Undefined_80)</f>
        <v xml:space="preserve"> </v>
      </c>
      <c r="P804" s="2061">
        <f t="shared" si="255"/>
        <v>0</v>
      </c>
      <c r="AH804" s="1683"/>
      <c r="AM804" s="2044">
        <v>0.7</v>
      </c>
      <c r="AN804" s="2045" t="str">
        <f>IF(ISBLANK(PSH_SRO_70),"",PSH_SRO_70)</f>
        <v/>
      </c>
      <c r="AO804" s="2045" t="str">
        <f>IF(ISBLANK(PSH_EFF_70),"",PSH_EFF_70)</f>
        <v/>
      </c>
      <c r="AP804" s="1653" t="str">
        <f>IF(ISBLANK(PSH_1BR_70)," ",PSH_1BR_70)</f>
        <v xml:space="preserve"> </v>
      </c>
      <c r="AQ804" s="1653" t="str">
        <f>IF(ISBLANK(PSH_2BR_70)," ",PSH_2BR_70)</f>
        <v xml:space="preserve"> </v>
      </c>
      <c r="AR804" s="1653" t="str">
        <f>IF(ISBLANK(PSH_3BR_70)," ",PSH_3BR_70)</f>
        <v xml:space="preserve"> </v>
      </c>
      <c r="AS804" s="1653" t="str">
        <f>IF(ISBLANK(PSH_4BR_70)," ",PSH_4BR_70)</f>
        <v xml:space="preserve"> </v>
      </c>
      <c r="AT804" s="1653" t="str">
        <f>IF(ISBLANK(PSH_5BR_70)," ",PSH_5BR_70)</f>
        <v xml:space="preserve"> </v>
      </c>
      <c r="AU804" s="2063" t="str">
        <f>IF(ISBLANK(PSH_Undefined_70)," ",PSH_Undefined_70)</f>
        <v xml:space="preserve"> </v>
      </c>
      <c r="AV804" s="2061">
        <f t="shared" si="253"/>
        <v>0</v>
      </c>
      <c r="AW804" s="1683"/>
      <c r="AX804" s="1683"/>
      <c r="AY804" s="1683"/>
      <c r="AZ804" s="1683"/>
      <c r="BA804" s="1683"/>
      <c r="BB804" s="1683"/>
      <c r="BC804" s="1683"/>
      <c r="BD804" s="1683"/>
      <c r="BE804" s="1683"/>
      <c r="BF804" s="1683"/>
      <c r="BG804" s="1683"/>
      <c r="BH804" s="1683"/>
      <c r="BI804" s="1683"/>
      <c r="BJ804" s="1683"/>
      <c r="BK804" s="1683"/>
      <c r="BL804" s="1683"/>
      <c r="BM804" s="1683"/>
      <c r="BN804" s="2076"/>
      <c r="BO804" s="2082"/>
      <c r="BP804" s="1683"/>
      <c r="BQ804" s="1683"/>
      <c r="BR804" s="1683"/>
      <c r="BW804" s="2044">
        <v>0.7</v>
      </c>
      <c r="BX804" s="2045" t="str">
        <f>IF(ISBLANK(PSH_SRO_70),"",PSH_SRO_70)</f>
        <v/>
      </c>
      <c r="BY804" s="2045" t="str">
        <f>IF(ISBLANK(PSH_EFF_70),"",PSH_EFF_70)</f>
        <v/>
      </c>
      <c r="BZ804" s="1653" t="str">
        <f>IF(ISBLANK(PSH_1BR_70)," ",PSH_1BR_70)</f>
        <v xml:space="preserve"> </v>
      </c>
      <c r="CA804" s="1653" t="str">
        <f>IF(ISBLANK(PSH_2BR_70)," ",PSH_2BR_70)</f>
        <v xml:space="preserve"> </v>
      </c>
      <c r="CB804" s="1653" t="str">
        <f>IF(ISBLANK(PSH_3BR_70)," ",PSH_3BR_70)</f>
        <v xml:space="preserve"> </v>
      </c>
      <c r="CC804" s="1653" t="str">
        <f>IF(ISBLANK(PSH_4BR_70)," ",PSH_4BR_70)</f>
        <v xml:space="preserve"> </v>
      </c>
      <c r="CD804" s="1653" t="str">
        <f>IF(ISBLANK(PSH_5BR_70)," ",PSH_5BR_70)</f>
        <v xml:space="preserve"> </v>
      </c>
      <c r="CE804" s="2063" t="str">
        <f>IF(ISBLANK(PSH_Undefined_70)," ",PSH_Undefined_70)</f>
        <v xml:space="preserve"> </v>
      </c>
      <c r="CF804" s="2061">
        <f t="shared" si="254"/>
        <v>0</v>
      </c>
      <c r="CG804" s="1683"/>
      <c r="CH804" s="1683"/>
      <c r="CI804" s="1683"/>
      <c r="CJ804" s="1683"/>
      <c r="CK804" s="1683"/>
      <c r="CL804" s="1683"/>
      <c r="CM804" s="1683"/>
      <c r="CN804" s="1683"/>
      <c r="CO804" s="1683"/>
      <c r="CP804" s="1683"/>
      <c r="CQ804" s="1683"/>
    </row>
    <row r="805" spans="7:124" ht="15" customHeight="1">
      <c r="G805" s="2047">
        <v>1</v>
      </c>
      <c r="H805" s="2048" t="str">
        <f>IF(ISBLANK(PSH_SRO_100),"",PSH_SRO_100)</f>
        <v/>
      </c>
      <c r="I805" s="2049" t="str">
        <f>IF(ISBLANK(PSH_EFF_100),"",(PSH_EFF_100))</f>
        <v/>
      </c>
      <c r="J805" s="1653" t="str">
        <f>IF(ISBLANK(PSH_1BR_100)," ",PSH_1BR_100)</f>
        <v xml:space="preserve"> </v>
      </c>
      <c r="K805" s="1653" t="str">
        <f>IF(ISBLANK(PSH_2BR_100)," ",PSH_2BR_100)</f>
        <v xml:space="preserve"> </v>
      </c>
      <c r="L805" s="1653" t="str">
        <f>IF(ISBLANK(PSH_3BR_100)," ",PSH_3BR_100)</f>
        <v xml:space="preserve"> </v>
      </c>
      <c r="M805" s="1653" t="str">
        <f>IF(ISBLANK(PSH_4BR_100)," ",PSH_4BR_100)</f>
        <v xml:space="preserve"> </v>
      </c>
      <c r="N805" s="1653" t="str">
        <f>IF(ISBLANK(PSH_5BR_100)," ",PSH_5BR_100)</f>
        <v xml:space="preserve"> </v>
      </c>
      <c r="O805" s="2063" t="str">
        <f>IF(ISBLANK(PSH_Undefined_100)," ",PSH_Undefined_100)</f>
        <v xml:space="preserve"> </v>
      </c>
      <c r="P805" s="2061">
        <f t="shared" si="255"/>
        <v>0</v>
      </c>
      <c r="AH805" s="1683"/>
      <c r="AM805" s="2044">
        <v>0.8</v>
      </c>
      <c r="AN805" s="2045" t="str">
        <f>IF(ISBLANK(PSH_SRO_80),"",PSH_SRO_80)</f>
        <v/>
      </c>
      <c r="AO805" s="2046" t="str">
        <f>IF(ISBLANK(PSH_EFF_80),"",PSH_EFF_80)</f>
        <v/>
      </c>
      <c r="AP805" s="1653" t="str">
        <f>IF(ISBLANK(PSH_1BR_80)," ",PSH_1BR_80)</f>
        <v xml:space="preserve"> </v>
      </c>
      <c r="AQ805" s="1653" t="str">
        <f>IF(ISBLANK(PSH_2BR_80)," ",PSH_2BR_80)</f>
        <v xml:space="preserve"> </v>
      </c>
      <c r="AR805" s="1653" t="str">
        <f>IF(ISBLANK(PSH_3BR_80)," ",PSH_3BR_80)</f>
        <v xml:space="preserve"> </v>
      </c>
      <c r="AS805" s="1653" t="str">
        <f>IF(ISBLANK(PSH_4BR_80)," ",PSH_4BR_80)</f>
        <v xml:space="preserve"> </v>
      </c>
      <c r="AT805" s="1653" t="str">
        <f>IF(ISBLANK(PSH_5BR_80)," ",PSH_5BR_80)</f>
        <v xml:space="preserve"> </v>
      </c>
      <c r="AU805" s="2063" t="str">
        <f>IF(ISBLANK(PSH_Undefined_80)," ",PSH_Undefined_80)</f>
        <v xml:space="preserve"> </v>
      </c>
      <c r="AV805" s="2061">
        <f t="shared" si="253"/>
        <v>0</v>
      </c>
      <c r="AW805" s="1683"/>
      <c r="AX805" s="1683"/>
      <c r="AY805" s="1683"/>
      <c r="AZ805" s="1683"/>
      <c r="BA805" s="1683"/>
      <c r="BB805" s="1683"/>
      <c r="BC805" s="1683"/>
      <c r="BD805" s="1683"/>
      <c r="BE805" s="1683"/>
      <c r="BF805" s="1683"/>
      <c r="BG805" s="1683"/>
      <c r="BH805" s="1683"/>
      <c r="BI805" s="1683"/>
      <c r="BJ805" s="1683"/>
      <c r="BK805" s="1683"/>
      <c r="BL805" s="1683"/>
      <c r="BM805" s="1683"/>
      <c r="BN805" s="2076"/>
      <c r="BO805" s="2082"/>
      <c r="BP805" s="1683"/>
      <c r="BQ805" s="1683"/>
      <c r="BR805" s="1683"/>
      <c r="BW805" s="2044">
        <v>0.8</v>
      </c>
      <c r="BX805" s="2045" t="str">
        <f>IF(ISBLANK(PSH_SRO_80),"",PSH_SRO_80)</f>
        <v/>
      </c>
      <c r="BY805" s="2046" t="str">
        <f>IF(ISBLANK(PSH_EFF_80),"",PSH_EFF_80)</f>
        <v/>
      </c>
      <c r="BZ805" s="1653" t="str">
        <f>IF(ISBLANK(PSH_1BR_80)," ",PSH_1BR_80)</f>
        <v xml:space="preserve"> </v>
      </c>
      <c r="CA805" s="1653" t="str">
        <f>IF(ISBLANK(PSH_2BR_80)," ",PSH_2BR_80)</f>
        <v xml:space="preserve"> </v>
      </c>
      <c r="CB805" s="1653" t="str">
        <f>IF(ISBLANK(PSH_3BR_80)," ",PSH_3BR_80)</f>
        <v xml:space="preserve"> </v>
      </c>
      <c r="CC805" s="1653" t="str">
        <f>IF(ISBLANK(PSH_4BR_80)," ",PSH_4BR_80)</f>
        <v xml:space="preserve"> </v>
      </c>
      <c r="CD805" s="1653" t="str">
        <f>IF(ISBLANK(PSH_5BR_80)," ",PSH_5BR_80)</f>
        <v xml:space="preserve"> </v>
      </c>
      <c r="CE805" s="2063" t="str">
        <f>IF(ISBLANK(PSH_Undefined_80)," ",PSH_Undefined_80)</f>
        <v xml:space="preserve"> </v>
      </c>
      <c r="CF805" s="2061">
        <f t="shared" si="254"/>
        <v>0</v>
      </c>
      <c r="CG805" s="1683"/>
      <c r="CH805" s="1683"/>
      <c r="CI805" s="1683"/>
      <c r="CJ805" s="1683"/>
      <c r="CK805" s="1683"/>
      <c r="CL805" s="1683"/>
      <c r="CM805" s="1683"/>
      <c r="CN805" s="1683"/>
      <c r="CO805" s="1683"/>
      <c r="CP805" s="1683"/>
      <c r="CQ805" s="1683"/>
    </row>
    <row r="806" spans="7:124" ht="15" customHeight="1">
      <c r="G806" s="2047">
        <v>1.2</v>
      </c>
      <c r="H806" s="2048" t="str">
        <f>IF(ISBLANK(PSH_SRO_120),"",(PSH_SRO_120))</f>
        <v/>
      </c>
      <c r="I806" s="2049" t="str">
        <f>IF(ISBLANK(PSH_EFF_120),"",PSH_EFF_120)</f>
        <v/>
      </c>
      <c r="J806" s="2055" t="str">
        <f>IF(ISBLANK(PSH_1BR_120)," ",PSH_1BR_120)</f>
        <v xml:space="preserve"> </v>
      </c>
      <c r="K806" s="1653" t="str">
        <f>IF(ISBLANK(PSH_2BR_120)," ",PSH_2BR_120)</f>
        <v xml:space="preserve"> </v>
      </c>
      <c r="L806" s="1653" t="str">
        <f>IF(ISBLANK(PSH_3BR_120)," ",PSH_3BR_120)</f>
        <v xml:space="preserve"> </v>
      </c>
      <c r="M806" s="1653" t="str">
        <f>IF(ISBLANK(PSH_4BR_120)," ",PSH_4BR_120)</f>
        <v xml:space="preserve"> </v>
      </c>
      <c r="N806" s="1653" t="str">
        <f>IF(ISBLANK(PSH_5BR_120)," ",PSH_5BR_120)</f>
        <v xml:space="preserve"> </v>
      </c>
      <c r="O806" s="2063" t="str">
        <f>IF(ISBLANK(PSH_Undefined_120)," ",PSH_Undefined_120)</f>
        <v xml:space="preserve"> </v>
      </c>
      <c r="P806" s="2061">
        <f t="shared" si="255"/>
        <v>0</v>
      </c>
      <c r="AH806" s="1683"/>
      <c r="AM806" s="2047">
        <v>1</v>
      </c>
      <c r="AN806" s="2048" t="str">
        <f>IF(ISBLANK(PSH_SRO_100),"",PSH_SRO_100)</f>
        <v/>
      </c>
      <c r="AO806" s="2049" t="str">
        <f>IF(ISBLANK(PSH_EFF_100),"",(PSH_EFF_100))</f>
        <v/>
      </c>
      <c r="AP806" s="1653" t="str">
        <f>IF(ISBLANK(PSH_1BR_100)," ",PSH_1BR_100)</f>
        <v xml:space="preserve"> </v>
      </c>
      <c r="AQ806" s="1653" t="str">
        <f>IF(ISBLANK(PSH_2BR_100)," ",PSH_2BR_100)</f>
        <v xml:space="preserve"> </v>
      </c>
      <c r="AR806" s="1653" t="str">
        <f>IF(ISBLANK(PSH_3BR_100)," ",PSH_3BR_100)</f>
        <v xml:space="preserve"> </v>
      </c>
      <c r="AS806" s="1653" t="str">
        <f>IF(ISBLANK(PSH_4BR_100)," ",PSH_4BR_100)</f>
        <v xml:space="preserve"> </v>
      </c>
      <c r="AT806" s="1653" t="str">
        <f>IF(ISBLANK(PSH_5BR_100)," ",PSH_5BR_100)</f>
        <v xml:space="preserve"> </v>
      </c>
      <c r="AU806" s="2063" t="str">
        <f>IF(ISBLANK(PSH_Undefined_100)," ",PSH_Undefined_100)</f>
        <v xml:space="preserve"> </v>
      </c>
      <c r="AV806" s="2061">
        <f t="shared" si="253"/>
        <v>0</v>
      </c>
      <c r="AW806" s="1683"/>
      <c r="AX806" s="1683"/>
      <c r="AY806" s="1683"/>
      <c r="AZ806" s="1683"/>
      <c r="BA806" s="1683"/>
      <c r="BB806" s="1683"/>
      <c r="BC806" s="1683"/>
      <c r="BD806" s="1683"/>
      <c r="BE806" s="1683"/>
      <c r="BF806" s="1683"/>
      <c r="BG806" s="1683"/>
      <c r="BH806" s="1683"/>
      <c r="BI806" s="1683"/>
      <c r="BJ806" s="1683"/>
      <c r="BK806" s="1683"/>
      <c r="BL806" s="1683"/>
      <c r="BM806" s="1683"/>
      <c r="BN806" s="2076"/>
      <c r="BO806" s="2082"/>
      <c r="BP806" s="1683"/>
      <c r="BQ806" s="1683"/>
      <c r="BR806" s="1683"/>
      <c r="BW806" s="2047">
        <v>1</v>
      </c>
      <c r="BX806" s="2048" t="str">
        <f>IF(ISBLANK(PSH_SRO_100),"",PSH_SRO_100)</f>
        <v/>
      </c>
      <c r="BY806" s="2049" t="str">
        <f>IF(ISBLANK(PSH_EFF_100),"",(PSH_EFF_100))</f>
        <v/>
      </c>
      <c r="BZ806" s="1653" t="str">
        <f>IF(ISBLANK(PSH_1BR_100)," ",PSH_1BR_100)</f>
        <v xml:space="preserve"> </v>
      </c>
      <c r="CA806" s="1653" t="str">
        <f>IF(ISBLANK(PSH_2BR_100)," ",PSH_2BR_100)</f>
        <v xml:space="preserve"> </v>
      </c>
      <c r="CB806" s="1653" t="str">
        <f>IF(ISBLANK(PSH_3BR_100)," ",PSH_3BR_100)</f>
        <v xml:space="preserve"> </v>
      </c>
      <c r="CC806" s="1653" t="str">
        <f>IF(ISBLANK(PSH_4BR_100)," ",PSH_4BR_100)</f>
        <v xml:space="preserve"> </v>
      </c>
      <c r="CD806" s="1653" t="str">
        <f>IF(ISBLANK(PSH_5BR_100)," ",PSH_5BR_100)</f>
        <v xml:space="preserve"> </v>
      </c>
      <c r="CE806" s="2063" t="str">
        <f>IF(ISBLANK(PSH_Undefined_100)," ",PSH_Undefined_100)</f>
        <v xml:space="preserve"> </v>
      </c>
      <c r="CF806" s="2061">
        <f t="shared" si="254"/>
        <v>0</v>
      </c>
      <c r="CG806" s="1683"/>
      <c r="CH806" s="1683"/>
      <c r="CI806" s="1683"/>
      <c r="CJ806" s="1683"/>
      <c r="CK806" s="1683"/>
      <c r="CL806" s="1683"/>
      <c r="CM806" s="1683"/>
      <c r="CN806" s="1683"/>
      <c r="CO806" s="1683"/>
      <c r="CP806" s="1683"/>
      <c r="CQ806" s="1683"/>
    </row>
    <row r="807" spans="7:124" ht="15" customHeight="1" thickBot="1">
      <c r="G807" s="2050" t="s">
        <v>2443</v>
      </c>
      <c r="H807" s="2051" t="str">
        <f>IF(ISBLANK(PSH_SRO_MKT),"",PSH_SRO_MKT)</f>
        <v/>
      </c>
      <c r="I807" s="2051" t="str">
        <f>IF(ISBLANK(PSH_EFF_MKT),"",(PSH_EFF_MKT))</f>
        <v/>
      </c>
      <c r="J807" s="2057" t="str">
        <f>IF(ISBLANK(PSH_1BR_MKT)," ",PSH_1BR_MKT)</f>
        <v xml:space="preserve"> </v>
      </c>
      <c r="K807" s="2057" t="str">
        <f>IF(ISBLANK(PSH_2BR_MKT)," ",PSH_2BR_MKT)</f>
        <v xml:space="preserve"> </v>
      </c>
      <c r="L807" s="2057" t="str">
        <f>IF(ISBLANK(PSH_3BR_MKT)," ",PSH_3BR_MKT)</f>
        <v xml:space="preserve"> </v>
      </c>
      <c r="M807" s="2057" t="str">
        <f>IF(ISBLANK(PSH_4BR_MKT)," ",PSH_4BR_MKT)</f>
        <v xml:space="preserve"> </v>
      </c>
      <c r="N807" s="2057" t="str">
        <f>IF(ISBLANK(PSH_5BR_MKT)," ",PSH_5BR_MKT)</f>
        <v xml:space="preserve"> </v>
      </c>
      <c r="O807" s="2065" t="str">
        <f>IF(ISBLANK(PSH_Undefined_MKT)," ",PSH_Undefined_MKT)</f>
        <v xml:space="preserve"> </v>
      </c>
      <c r="P807" s="2061">
        <f t="shared" si="255"/>
        <v>0</v>
      </c>
      <c r="AH807" s="1683"/>
      <c r="AM807" s="2047">
        <v>1.2</v>
      </c>
      <c r="AN807" s="2048" t="str">
        <f>IF(ISBLANK(PSH_SRO_120),"",(PSH_SRO_120))</f>
        <v/>
      </c>
      <c r="AO807" s="2049" t="str">
        <f>IF(ISBLANK(PSH_EFF_120),"",PSH_EFF_120)</f>
        <v/>
      </c>
      <c r="AP807" s="2055" t="str">
        <f>IF(ISBLANK(PSH_1BR_120)," ",PSH_1BR_120)</f>
        <v xml:space="preserve"> </v>
      </c>
      <c r="AQ807" s="1653" t="str">
        <f>IF(ISBLANK(PSH_2BR_120)," ",PSH_2BR_120)</f>
        <v xml:space="preserve"> </v>
      </c>
      <c r="AR807" s="1653" t="str">
        <f>IF(ISBLANK(PSH_3BR_120)," ",PSH_3BR_120)</f>
        <v xml:space="preserve"> </v>
      </c>
      <c r="AS807" s="1653" t="str">
        <f>IF(ISBLANK(PSH_4BR_120)," ",PSH_4BR_120)</f>
        <v xml:space="preserve"> </v>
      </c>
      <c r="AT807" s="1653" t="str">
        <f>IF(ISBLANK(PSH_5BR_120)," ",PSH_5BR_120)</f>
        <v xml:space="preserve"> </v>
      </c>
      <c r="AU807" s="2063" t="str">
        <f>IF(ISBLANK(PSH_Undefined_120)," ",PSH_Undefined_120)</f>
        <v xml:space="preserve"> </v>
      </c>
      <c r="AV807" s="2061">
        <f t="shared" si="253"/>
        <v>0</v>
      </c>
      <c r="AW807" s="1683"/>
      <c r="AX807" s="1683"/>
      <c r="AY807" s="1683"/>
      <c r="AZ807" s="1683"/>
      <c r="BA807" s="1683"/>
      <c r="BB807" s="1683"/>
      <c r="BC807" s="1683"/>
      <c r="BD807" s="1683"/>
      <c r="BE807" s="1683"/>
      <c r="BF807" s="1683"/>
      <c r="BG807" s="1683"/>
      <c r="BH807" s="1683"/>
      <c r="BI807" s="1683"/>
      <c r="BJ807" s="1683"/>
      <c r="BK807" s="1683"/>
      <c r="BL807" s="1683"/>
      <c r="BM807" s="1683"/>
      <c r="BN807" s="2076"/>
      <c r="BO807" s="2082"/>
      <c r="BP807" s="1683"/>
      <c r="BQ807" s="1683"/>
      <c r="BR807" s="1683"/>
      <c r="BW807" s="2047">
        <v>1.2</v>
      </c>
      <c r="BX807" s="2048" t="str">
        <f>IF(ISBLANK(PSH_SRO_120),"",(PSH_SRO_120))</f>
        <v/>
      </c>
      <c r="BY807" s="2049" t="str">
        <f>IF(ISBLANK(PSH_EFF_120),"",PSH_EFF_120)</f>
        <v/>
      </c>
      <c r="BZ807" s="2055" t="str">
        <f>IF(ISBLANK(PSH_1BR_120)," ",PSH_1BR_120)</f>
        <v xml:space="preserve"> </v>
      </c>
      <c r="CA807" s="1653" t="str">
        <f>IF(ISBLANK(PSH_2BR_120)," ",PSH_2BR_120)</f>
        <v xml:space="preserve"> </v>
      </c>
      <c r="CB807" s="1653" t="str">
        <f>IF(ISBLANK(PSH_3BR_120)," ",PSH_3BR_120)</f>
        <v xml:space="preserve"> </v>
      </c>
      <c r="CC807" s="1653" t="str">
        <f>IF(ISBLANK(PSH_4BR_120)," ",PSH_4BR_120)</f>
        <v xml:space="preserve"> </v>
      </c>
      <c r="CD807" s="1653" t="str">
        <f>IF(ISBLANK(PSH_5BR_120)," ",PSH_5BR_120)</f>
        <v xml:space="preserve"> </v>
      </c>
      <c r="CE807" s="2063" t="str">
        <f>IF(ISBLANK(PSH_Undefined_120)," ",PSH_Undefined_120)</f>
        <v xml:space="preserve"> </v>
      </c>
      <c r="CF807" s="2061">
        <f t="shared" si="254"/>
        <v>0</v>
      </c>
      <c r="CG807" s="1683"/>
      <c r="CH807" s="1683"/>
      <c r="CI807" s="1683"/>
      <c r="CJ807" s="1683"/>
      <c r="CK807" s="1683"/>
      <c r="CL807" s="1683"/>
      <c r="CM807" s="1683"/>
      <c r="CN807" s="1683"/>
      <c r="CO807" s="1683"/>
      <c r="CP807" s="1683"/>
      <c r="CQ807" s="1683"/>
    </row>
    <row r="808" spans="7:124" ht="15" customHeight="1" thickBot="1">
      <c r="G808" s="2052" t="s">
        <v>1070</v>
      </c>
      <c r="H808" s="2053" t="str">
        <f>PSH_SRO_SUM</f>
        <v/>
      </c>
      <c r="I808" s="2053" t="str">
        <f>PSH_EFF_SUM</f>
        <v/>
      </c>
      <c r="J808" s="2056" t="str">
        <f>PSH_1BR_SUM</f>
        <v/>
      </c>
      <c r="K808" s="2053" t="str">
        <f>PSH_2BR_SUM</f>
        <v/>
      </c>
      <c r="L808" s="2053" t="str">
        <f>PSH_3BR_SUM</f>
        <v/>
      </c>
      <c r="M808" s="2053" t="str">
        <f>PSH_4BR_SUM</f>
        <v/>
      </c>
      <c r="N808" s="2059" t="str">
        <f>PSH_5BR_SUM</f>
        <v/>
      </c>
      <c r="O808" s="2054" t="str">
        <f>PSH_Undefined_SUM</f>
        <v/>
      </c>
      <c r="P808" s="2062">
        <f>SUM(P798:P807)</f>
        <v>0</v>
      </c>
      <c r="AH808" s="1683"/>
      <c r="AM808" s="2050" t="s">
        <v>2443</v>
      </c>
      <c r="AN808" s="2051" t="str">
        <f>IF(ISBLANK(PSH_SRO_MKT),"",PSH_SRO_MKT)</f>
        <v/>
      </c>
      <c r="AO808" s="2051" t="str">
        <f>IF(ISBLANK(PSH_EFF_MKT),"",(PSH_EFF_MKT))</f>
        <v/>
      </c>
      <c r="AP808" s="2057" t="str">
        <f>IF(ISBLANK(PSH_1BR_MKT)," ",PSH_1BR_MKT)</f>
        <v xml:space="preserve"> </v>
      </c>
      <c r="AQ808" s="2057" t="str">
        <f>IF(ISBLANK(PSH_2BR_MKT)," ",PSH_2BR_MKT)</f>
        <v xml:space="preserve"> </v>
      </c>
      <c r="AR808" s="2057" t="str">
        <f>IF(ISBLANK(PSH_3BR_MKT)," ",PSH_3BR_MKT)</f>
        <v xml:space="preserve"> </v>
      </c>
      <c r="AS808" s="2057" t="str">
        <f>IF(ISBLANK(PSH_4BR_MKT)," ",PSH_4BR_MKT)</f>
        <v xml:space="preserve"> </v>
      </c>
      <c r="AT808" s="2057" t="str">
        <f>IF(ISBLANK(PSH_5BR_MKT)," ",PSH_5BR_MKT)</f>
        <v xml:space="preserve"> </v>
      </c>
      <c r="AU808" s="2065" t="str">
        <f>IF(ISBLANK(PSH_Undefined_MKT)," ",PSH_Undefined_MKT)</f>
        <v xml:space="preserve"> </v>
      </c>
      <c r="AV808" s="2061">
        <f t="shared" si="253"/>
        <v>0</v>
      </c>
      <c r="AW808" s="1683"/>
      <c r="AX808" s="1683"/>
      <c r="AY808" s="1683"/>
      <c r="AZ808" s="1683"/>
      <c r="BA808" s="1683"/>
      <c r="BB808" s="1683"/>
      <c r="BC808" s="1683"/>
      <c r="BD808" s="1683"/>
      <c r="BE808" s="1683"/>
      <c r="BF808" s="1683"/>
      <c r="BG808" s="1683"/>
      <c r="BH808" s="1683"/>
      <c r="BI808" s="1683"/>
      <c r="BJ808" s="1683"/>
      <c r="BK808" s="1683"/>
      <c r="BL808" s="1683"/>
      <c r="BM808" s="1683"/>
      <c r="BN808" s="2076"/>
      <c r="BO808" s="2082"/>
      <c r="BP808" s="1683"/>
      <c r="BQ808" s="1683"/>
      <c r="BR808" s="1683"/>
      <c r="BW808" s="2050" t="s">
        <v>2443</v>
      </c>
      <c r="BX808" s="2051" t="str">
        <f>IF(ISBLANK(PSH_SRO_MKT),"",PSH_SRO_MKT)</f>
        <v/>
      </c>
      <c r="BY808" s="2051" t="str">
        <f>IF(ISBLANK(PSH_EFF_MKT),"",(PSH_EFF_MKT))</f>
        <v/>
      </c>
      <c r="BZ808" s="2057" t="str">
        <f>IF(ISBLANK(PSH_1BR_MKT)," ",PSH_1BR_MKT)</f>
        <v xml:space="preserve"> </v>
      </c>
      <c r="CA808" s="2057" t="str">
        <f>IF(ISBLANK(PSH_2BR_MKT)," ",PSH_2BR_MKT)</f>
        <v xml:space="preserve"> </v>
      </c>
      <c r="CB808" s="2057" t="str">
        <f>IF(ISBLANK(PSH_3BR_MKT)," ",PSH_3BR_MKT)</f>
        <v xml:space="preserve"> </v>
      </c>
      <c r="CC808" s="2057" t="str">
        <f>IF(ISBLANK(PSH_4BR_MKT)," ",PSH_4BR_MKT)</f>
        <v xml:space="preserve"> </v>
      </c>
      <c r="CD808" s="2057" t="str">
        <f>IF(ISBLANK(PSH_5BR_MKT)," ",PSH_5BR_MKT)</f>
        <v xml:space="preserve"> </v>
      </c>
      <c r="CE808" s="2065" t="str">
        <f>IF(ISBLANK(PSH_Undefined_MKT)," ",PSH_Undefined_MKT)</f>
        <v xml:space="preserve"> </v>
      </c>
      <c r="CF808" s="2061">
        <f t="shared" si="254"/>
        <v>0</v>
      </c>
      <c r="CG808" s="1683"/>
      <c r="CH808" s="1683"/>
      <c r="CI808" s="1683"/>
      <c r="CJ808" s="1683"/>
      <c r="CK808" s="1683"/>
      <c r="CL808" s="1683"/>
      <c r="CM808" s="1683"/>
      <c r="CN808" s="1683"/>
      <c r="CO808" s="1683"/>
      <c r="CP808" s="1683"/>
      <c r="CQ808" s="1683"/>
    </row>
    <row r="809" spans="7:124" ht="13.5" thickBot="1">
      <c r="AH809" s="1683"/>
      <c r="AM809" s="2052" t="s">
        <v>1070</v>
      </c>
      <c r="AN809" s="2053">
        <f t="shared" ref="AN809:AV809" si="256">SUM(AN797:AN808)</f>
        <v>0</v>
      </c>
      <c r="AO809" s="2053">
        <f t="shared" si="256"/>
        <v>0</v>
      </c>
      <c r="AP809" s="2056">
        <f t="shared" si="256"/>
        <v>0</v>
      </c>
      <c r="AQ809" s="2053">
        <f t="shared" si="256"/>
        <v>0</v>
      </c>
      <c r="AR809" s="2053">
        <f t="shared" si="256"/>
        <v>0</v>
      </c>
      <c r="AS809" s="2053">
        <f t="shared" si="256"/>
        <v>0</v>
      </c>
      <c r="AT809" s="2059">
        <f t="shared" si="256"/>
        <v>0</v>
      </c>
      <c r="AU809" s="2054">
        <f t="shared" si="256"/>
        <v>0</v>
      </c>
      <c r="AV809" s="2062">
        <f t="shared" si="256"/>
        <v>0</v>
      </c>
      <c r="AW809" s="1683"/>
      <c r="AX809" s="1683"/>
      <c r="AY809" s="1683"/>
      <c r="AZ809" s="1683"/>
      <c r="BA809" s="1683"/>
      <c r="BB809" s="1683"/>
      <c r="BC809" s="1683"/>
      <c r="BD809" s="1683"/>
      <c r="BE809" s="1683"/>
      <c r="BF809" s="1683"/>
      <c r="BG809" s="1683"/>
      <c r="BH809" s="1683"/>
      <c r="BI809" s="1683"/>
      <c r="BJ809" s="1683"/>
      <c r="BK809" s="1683"/>
      <c r="BL809" s="1683"/>
      <c r="BM809" s="1683"/>
      <c r="BN809" s="2076"/>
      <c r="BO809" s="2082"/>
      <c r="BP809" s="1683"/>
      <c r="BQ809" s="1683"/>
      <c r="BR809" s="1683"/>
      <c r="BW809" s="2052" t="s">
        <v>1070</v>
      </c>
      <c r="BX809" s="2053">
        <f t="shared" ref="BX809:CF809" si="257">SUM(BX797:BX808)</f>
        <v>0</v>
      </c>
      <c r="BY809" s="2053">
        <f t="shared" si="257"/>
        <v>0</v>
      </c>
      <c r="BZ809" s="2056">
        <f t="shared" si="257"/>
        <v>0</v>
      </c>
      <c r="CA809" s="2053">
        <f t="shared" si="257"/>
        <v>0</v>
      </c>
      <c r="CB809" s="2053">
        <f t="shared" si="257"/>
        <v>0</v>
      </c>
      <c r="CC809" s="2053">
        <f t="shared" si="257"/>
        <v>0</v>
      </c>
      <c r="CD809" s="2059">
        <f t="shared" si="257"/>
        <v>0</v>
      </c>
      <c r="CE809" s="2054">
        <f t="shared" si="257"/>
        <v>0</v>
      </c>
      <c r="CF809" s="2062">
        <f t="shared" si="257"/>
        <v>0</v>
      </c>
      <c r="CG809" s="1683"/>
      <c r="CH809" s="1683"/>
      <c r="CI809" s="1683"/>
      <c r="CJ809" s="1683"/>
      <c r="CK809" s="1683"/>
      <c r="CL809" s="1683"/>
      <c r="CM809" s="1683"/>
      <c r="CN809" s="1683"/>
      <c r="CO809" s="1683"/>
      <c r="CP809" s="1683"/>
      <c r="CQ809" s="1683"/>
    </row>
    <row r="810" spans="7:124">
      <c r="AH810" s="1683"/>
      <c r="AI810" s="1683"/>
      <c r="AJ810" s="1683"/>
      <c r="AK810" s="1683"/>
      <c r="AL810" s="1683"/>
      <c r="AM810" s="1683"/>
      <c r="AN810" s="1683"/>
      <c r="AO810" s="1683"/>
      <c r="AP810" s="1683"/>
      <c r="AQ810" s="1683"/>
      <c r="AR810" s="1683"/>
      <c r="AS810" s="1683"/>
      <c r="AT810" s="1683"/>
      <c r="AU810" s="1683"/>
      <c r="AV810" s="1683"/>
      <c r="AW810" s="1683"/>
      <c r="AX810" s="1683"/>
      <c r="AY810" s="1683"/>
      <c r="AZ810" s="1683"/>
      <c r="BA810" s="1683"/>
      <c r="BB810" s="1683"/>
      <c r="BC810" s="1683"/>
      <c r="BD810" s="1683"/>
      <c r="BE810" s="1683"/>
      <c r="BF810" s="1683"/>
      <c r="BG810" s="1683"/>
      <c r="BH810" s="1683"/>
      <c r="BI810" s="1683"/>
      <c r="BJ810" s="1683"/>
      <c r="BK810" s="1683"/>
      <c r="BL810" s="1683"/>
      <c r="BM810" s="1683"/>
      <c r="BN810" s="2076"/>
      <c r="BO810" s="2082"/>
      <c r="BP810" s="1683"/>
      <c r="BQ810" s="1683"/>
      <c r="BR810" s="1683"/>
      <c r="BS810" s="1683"/>
      <c r="BT810" s="1683"/>
      <c r="BU810" s="1683"/>
      <c r="BV810" s="1683"/>
      <c r="BW810" s="1683"/>
      <c r="BX810" s="1683"/>
      <c r="BY810" s="1683"/>
      <c r="BZ810" s="1683"/>
      <c r="CA810" s="1683"/>
      <c r="CB810" s="1683"/>
      <c r="CC810" s="1683"/>
      <c r="CD810" s="1683"/>
      <c r="CE810" s="1683"/>
      <c r="CF810" s="1683"/>
      <c r="CG810" s="1683"/>
      <c r="CH810" s="1683"/>
      <c r="CI810" s="1683"/>
      <c r="CJ810" s="1683"/>
      <c r="CK810" s="1683"/>
      <c r="CL810" s="1683"/>
      <c r="CM810" s="1683"/>
      <c r="CN810" s="1683"/>
      <c r="CO810" s="1683"/>
      <c r="CP810" s="1683"/>
      <c r="CQ810" s="1683"/>
    </row>
    <row r="811" spans="7:124">
      <c r="AH811" s="1683"/>
      <c r="AI811" s="1683"/>
      <c r="AJ811" s="1683"/>
      <c r="AK811" s="1683"/>
      <c r="AL811" s="1683"/>
      <c r="AM811" s="1683"/>
      <c r="AN811" s="1683"/>
      <c r="AO811" s="1683"/>
      <c r="AP811" s="1683"/>
      <c r="AQ811" s="1683"/>
      <c r="AR811" s="1683"/>
      <c r="AS811" s="1683"/>
      <c r="AT811" s="1683"/>
      <c r="AU811" s="1683"/>
      <c r="AV811" s="1683"/>
      <c r="AW811" s="1683"/>
      <c r="AX811" s="1683"/>
      <c r="AY811" s="1683"/>
      <c r="AZ811" s="1683"/>
      <c r="BA811" s="1683"/>
      <c r="BB811" s="1683"/>
      <c r="BC811" s="1683"/>
      <c r="BD811" s="1683"/>
      <c r="BE811" s="1683"/>
      <c r="BF811" s="1683"/>
      <c r="BG811" s="1683"/>
      <c r="BH811" s="1683"/>
      <c r="BI811" s="1683"/>
      <c r="BJ811" s="1683"/>
      <c r="BK811" s="1683"/>
      <c r="BL811" s="1683"/>
      <c r="BM811" s="1683"/>
      <c r="BN811" s="2076"/>
      <c r="BO811" s="2082"/>
      <c r="BP811" s="1683"/>
      <c r="BQ811" s="1683"/>
      <c r="BR811" s="1683"/>
      <c r="BS811" s="1683"/>
      <c r="BT811" s="1683"/>
      <c r="BU811" s="1683"/>
      <c r="BV811" s="1683"/>
      <c r="BW811" s="1683"/>
      <c r="BX811" s="1683"/>
      <c r="BY811" s="1683"/>
      <c r="BZ811" s="1683"/>
      <c r="CA811" s="1683"/>
      <c r="CB811" s="1683"/>
      <c r="CC811" s="1683"/>
      <c r="CD811" s="1683"/>
      <c r="CE811" s="1683"/>
      <c r="CF811" s="1683"/>
      <c r="CG811" s="1683"/>
      <c r="CH811" s="1683"/>
      <c r="CI811" s="1683"/>
      <c r="CJ811" s="1683"/>
      <c r="CK811" s="1683"/>
      <c r="CL811" s="1683"/>
      <c r="CM811" s="1683"/>
      <c r="CN811" s="1683"/>
      <c r="CO811" s="1683"/>
      <c r="CP811" s="1683"/>
      <c r="CQ811" s="1683"/>
    </row>
    <row r="812" spans="7:124">
      <c r="AH812" s="1683"/>
      <c r="AI812" s="1683"/>
      <c r="AJ812" s="1683"/>
      <c r="AK812" s="1683"/>
      <c r="AL812" s="1683"/>
      <c r="AM812" s="1683"/>
      <c r="AN812" s="1683"/>
      <c r="AO812" s="1683"/>
      <c r="AP812" s="1683"/>
      <c r="AQ812" s="1683"/>
      <c r="AR812" s="1683"/>
      <c r="AS812" s="1683"/>
      <c r="AT812" s="1683"/>
      <c r="AU812" s="1683"/>
      <c r="AV812" s="1683"/>
      <c r="AW812" s="1683"/>
      <c r="AX812" s="1683"/>
      <c r="AY812" s="1683"/>
      <c r="AZ812" s="1683"/>
      <c r="BA812" s="1683"/>
      <c r="BB812" s="1683"/>
      <c r="BC812" s="1683"/>
      <c r="BD812" s="1683"/>
      <c r="BE812" s="1683"/>
      <c r="BF812" s="1683"/>
      <c r="BG812" s="1683"/>
      <c r="BH812" s="1683"/>
      <c r="BI812" s="1683"/>
      <c r="BJ812" s="1683"/>
      <c r="BK812" s="1683"/>
      <c r="BL812" s="1683"/>
      <c r="BM812" s="1683"/>
      <c r="BN812" s="2076"/>
      <c r="BO812" s="2082"/>
      <c r="BP812" s="2033"/>
      <c r="BQ812" s="1683"/>
      <c r="BR812" s="1683"/>
      <c r="BS812" s="1683"/>
      <c r="BT812" s="1683"/>
      <c r="BU812" s="1683"/>
      <c r="BV812" s="1683"/>
      <c r="BW812" s="1683"/>
      <c r="BX812" s="1683"/>
      <c r="BY812" s="1683"/>
      <c r="BZ812" s="1683"/>
      <c r="CA812" s="1683"/>
      <c r="CB812" s="1683"/>
      <c r="CC812" s="1683"/>
      <c r="CD812" s="1683"/>
      <c r="CE812" s="1683"/>
      <c r="CF812" s="1683"/>
      <c r="CG812" s="1683"/>
      <c r="CH812" s="1683"/>
      <c r="CI812" s="1683"/>
      <c r="CJ812" s="1683"/>
      <c r="CK812" s="1683"/>
      <c r="CL812" s="1683"/>
      <c r="CM812" s="1683"/>
      <c r="CN812" s="1683"/>
      <c r="CO812" s="1683"/>
      <c r="CP812" s="1683"/>
      <c r="CQ812" s="1683"/>
    </row>
    <row r="813" spans="7:124">
      <c r="AH813" s="1683"/>
      <c r="AI813" s="1683"/>
      <c r="AJ813" s="1683"/>
      <c r="AK813" s="1683"/>
      <c r="AL813" s="1683"/>
      <c r="AM813" s="1683"/>
      <c r="AN813" s="1683"/>
      <c r="AO813" s="1683"/>
      <c r="AP813" s="1683"/>
      <c r="AQ813" s="1683"/>
      <c r="AR813" s="1683"/>
      <c r="AS813" s="1683"/>
      <c r="AT813" s="1683"/>
      <c r="AU813" s="1683"/>
      <c r="AV813" s="1683"/>
      <c r="AW813" s="1683"/>
      <c r="AX813" s="1683"/>
      <c r="AY813" s="1683"/>
      <c r="AZ813" s="1683"/>
      <c r="BA813" s="1683"/>
      <c r="BB813" s="1683"/>
      <c r="BC813" s="1683"/>
      <c r="BD813" s="1683"/>
      <c r="BE813" s="1683"/>
      <c r="BF813" s="1683"/>
      <c r="BG813" s="1683"/>
      <c r="BH813" s="1683"/>
      <c r="BI813" s="1683"/>
      <c r="BJ813" s="1683"/>
      <c r="BK813" s="1683"/>
      <c r="BL813" s="1683"/>
      <c r="BM813" s="1683"/>
      <c r="BN813" s="2076"/>
      <c r="BO813" s="2082"/>
      <c r="BP813" s="2033"/>
      <c r="BQ813" s="1683"/>
      <c r="BR813" s="1683"/>
      <c r="BS813" s="1683"/>
      <c r="BT813" s="1683"/>
      <c r="BU813" s="1683"/>
      <c r="BV813" s="1683"/>
      <c r="BW813" s="1683"/>
      <c r="BX813" s="1683"/>
      <c r="BY813" s="1683"/>
      <c r="BZ813" s="1683"/>
      <c r="CA813" s="1683"/>
      <c r="CB813" s="1683"/>
      <c r="CC813" s="1683"/>
      <c r="CD813" s="1683"/>
      <c r="CE813" s="1683"/>
      <c r="CF813" s="1683"/>
      <c r="CG813" s="1683"/>
      <c r="CH813" s="1683"/>
      <c r="CI813" s="1683"/>
      <c r="CJ813" s="1683"/>
      <c r="CK813" s="1683"/>
      <c r="CL813" s="1683"/>
      <c r="CM813" s="1683"/>
      <c r="CN813" s="1683"/>
      <c r="CO813" s="1683"/>
      <c r="CP813" s="1683"/>
      <c r="CQ813" s="1683"/>
    </row>
    <row r="814" spans="7:124">
      <c r="AH814" s="1683"/>
      <c r="AI814" s="1683"/>
      <c r="AJ814" s="1683"/>
      <c r="AK814" s="1683"/>
      <c r="AL814" s="1683"/>
      <c r="AM814" s="1683"/>
      <c r="AN814" s="1683"/>
      <c r="AO814" s="1683"/>
      <c r="AP814" s="1683"/>
      <c r="AQ814" s="1683"/>
      <c r="AR814" s="1683"/>
      <c r="AS814" s="1683"/>
      <c r="AT814" s="1683"/>
      <c r="AU814" s="1683"/>
      <c r="AV814" s="1683"/>
      <c r="AW814" s="1683"/>
      <c r="AX814" s="1683"/>
      <c r="AY814" s="1683"/>
      <c r="AZ814" s="1683"/>
      <c r="BA814" s="1683"/>
      <c r="BB814" s="1683"/>
      <c r="BC814" s="1683"/>
      <c r="BD814" s="1683"/>
      <c r="BE814" s="1683"/>
      <c r="BF814" s="1683"/>
      <c r="BG814" s="1683"/>
      <c r="BH814" s="1683"/>
      <c r="BI814" s="1683"/>
      <c r="BJ814" s="1683"/>
      <c r="BK814" s="1683"/>
      <c r="BL814" s="1683"/>
      <c r="BM814" s="1683"/>
      <c r="BN814" s="2076"/>
      <c r="BO814" s="2082"/>
      <c r="BP814" s="2033"/>
      <c r="BQ814" s="1683"/>
      <c r="BR814" s="1683"/>
      <c r="BS814" s="1683"/>
      <c r="BT814" s="1683"/>
      <c r="BU814" s="1683"/>
      <c r="BV814" s="1683"/>
      <c r="BW814" s="1683"/>
      <c r="BX814" s="1683"/>
      <c r="BY814" s="1683"/>
      <c r="BZ814" s="1683"/>
      <c r="CA814" s="1683"/>
      <c r="CB814" s="1683"/>
      <c r="CC814" s="1683"/>
      <c r="CD814" s="1683"/>
      <c r="CE814" s="1683"/>
      <c r="CF814" s="1683"/>
      <c r="CG814" s="1683"/>
      <c r="CH814" s="1683"/>
      <c r="CI814" s="1683"/>
      <c r="CJ814" s="1683"/>
      <c r="CK814" s="1683"/>
      <c r="CL814" s="1683"/>
      <c r="CM814" s="1683"/>
      <c r="CN814" s="1683"/>
      <c r="CO814" s="1683"/>
      <c r="CP814" s="1683"/>
      <c r="CQ814" s="1683"/>
    </row>
    <row r="815" spans="7:124">
      <c r="AH815" s="1683"/>
      <c r="BP815" s="1764"/>
      <c r="CH815" s="1683"/>
      <c r="CI815" s="1683"/>
      <c r="CJ815" s="1683"/>
      <c r="CK815" s="1683"/>
      <c r="CL815" s="1683"/>
      <c r="CM815" s="1683"/>
      <c r="CN815" s="1683"/>
      <c r="CO815" s="1683"/>
      <c r="CP815" s="1683"/>
      <c r="CQ815" s="1683"/>
    </row>
    <row r="816" spans="7:124">
      <c r="BP816" s="1764"/>
    </row>
    <row r="817" spans="68:68">
      <c r="BP817" s="1764"/>
    </row>
    <row r="818" spans="68:68">
      <c r="BP818" s="1764"/>
    </row>
    <row r="819" spans="68:68">
      <c r="BP819" s="1764"/>
    </row>
    <row r="820" spans="68:68">
      <c r="BP820" s="1764"/>
    </row>
    <row r="821" spans="68:68">
      <c r="BP821" s="1764"/>
    </row>
    <row r="822" spans="68:68">
      <c r="BP822" s="1764"/>
    </row>
    <row r="823" spans="68:68">
      <c r="BP823" s="1764"/>
    </row>
  </sheetData>
  <sheetProtection formatCells="0" formatColumns="0" formatRows="0"/>
  <mergeCells count="6">
    <mergeCell ref="G796:P796"/>
    <mergeCell ref="AM795:AV795"/>
    <mergeCell ref="BW795:CF795"/>
    <mergeCell ref="AD1:AE6"/>
    <mergeCell ref="F1:F6"/>
    <mergeCell ref="BN1:BO6"/>
  </mergeCells>
  <phoneticPr fontId="174" type="noConversion"/>
  <dataValidations count="330">
    <dataValidation type="list" allowBlank="1" showInputMessage="1" showErrorMessage="1" sqref="N230:N309" xr:uid="{561CE27F-E0FF-4649-83F1-C16123519381}">
      <formula1>"Yes, No"</formula1>
    </dataValidation>
    <dataValidation type="list" allowBlank="1" showInputMessage="1" showErrorMessage="1" sqref="U324:V352 K324:K352 O324:O352" xr:uid="{2BFCCE84-27B7-4E2A-A63D-87C9BD8D3FE3}">
      <formula1>AMI</formula1>
    </dataValidation>
    <dataValidation type="list" errorStyle="warning" showInputMessage="1" showErrorMessage="1" errorTitle="SmartDox" error="The value you entered for the dropdown is not valid." sqref="CF212:CF219 AV212:AV219 AU211 I16" xr:uid="{542AEC25-1BDA-4C73-820A-940CCCCDDA81}">
      <formula1>SD_D_PL_State_Name</formula1>
    </dataValidation>
    <dataValidation type="list" errorStyle="warning" showInputMessage="1" showErrorMessage="1" errorTitle="SmartDox" error="The value you entered for the dropdown is not valid." sqref="I19" xr:uid="{B5907D31-D354-40D3-BCEB-DE51DF8430E2}">
      <formula1>SD_D_PL_PropertyType_Name</formula1>
    </dataValidation>
    <dataValidation type="list" errorStyle="warning" showInputMessage="1" showErrorMessage="1" errorTitle="SmartDox" error="The value you entered for the dropdown is not valid." sqref="I20" xr:uid="{00CB6E11-0A44-4379-B6C0-6F755142C4CB}">
      <formula1>SD_D_PL_ConstructionBuildingType_Name</formula1>
    </dataValidation>
    <dataValidation type="list" errorStyle="warning" showInputMessage="1" showErrorMessage="1" errorTitle="SmartDox" error="The value you entered for the dropdown is not valid." sqref="I23" xr:uid="{4677180D-F4BE-4977-8091-ECD785400EDA}">
      <formula1>SD_D_PL_TaxCreditPercentType_Name</formula1>
    </dataValidation>
    <dataValidation type="list" errorStyle="warning" showInputMessage="1" showErrorMessage="1" errorTitle="SmartDox" error="The value you entered for the dropdown is not valid." sqref="F201:F211 BZ212:BZ219 AP212:AP219 AO211" xr:uid="{68C3B4AF-006F-4D2B-851F-3CA050FFF23E}">
      <formula1>SD_D_PL_EntityCompanyOrIndividual_Name</formula1>
    </dataValidation>
    <dataValidation type="list" errorStyle="warning" showInputMessage="1" showErrorMessage="1" errorTitle="SmartDox" error="The value you entered for the dropdown is not valid." sqref="J6" xr:uid="{42D60FE5-E41D-4ED4-9DA6-8E60B03AC08D}">
      <formula1>SD_D_DEVDeals_545_TCStageStatusDataSource_Name</formula1>
    </dataValidation>
    <dataValidation type="list" errorStyle="warning" showInputMessage="1" showErrorMessage="1" errorTitle="SmartDox" error="The value you entered for the dropdown is not valid." sqref="N6" xr:uid="{C8FB2F0B-25FC-4216-933B-0319BC97E364}">
      <formula1>SD_D_DEVDeals_545_TCCyclesDataSource_Name</formula1>
    </dataValidation>
    <dataValidation type="list" errorStyle="warning" showInputMessage="1" showErrorMessage="1" errorTitle="SmartDox" error="The value you entered for the dropdown is not valid." sqref="AN22" xr:uid="{5BB1114F-F4A8-4505-A944-DDDAB136CD55}">
      <formula1>SD_D_PL_TargetType_Name</formula1>
    </dataValidation>
    <dataValidation type="list" errorStyle="warning" showInputMessage="1" showErrorMessage="1" errorTitle="SmartDox" error="The value you entered for the dropdown is not valid." sqref="BW421:BW427" xr:uid="{4DBF9EB8-BBB9-4358-B0F8-7A87FD0F869E}">
      <formula1>SD_D_PL_TCUnitType_Name</formula1>
    </dataValidation>
    <dataValidation type="list" errorStyle="warning" showInputMessage="1" showErrorMessage="1" errorTitle="SmartDox" error="The value you entered for the dropdown is not valid." sqref="BY212:BY219 AN211" xr:uid="{7C5925FA-042B-4D2A-92FF-EB0228533849}">
      <formula1>SD_D_PL_DealEntityRole_Name</formula1>
    </dataValidation>
    <dataValidation type="list" errorStyle="warning" showInputMessage="1" showErrorMessage="1" errorTitle="SmartDox" error="The value you entered for the dropdown is not valid." sqref="H26" xr:uid="{39BCAD09-9776-4E39-9D3F-FE05088A83FC}">
      <formula1>SD_D_DealStageStatus_Name</formula1>
    </dataValidation>
    <dataValidation type="list" errorStyle="warning" showInputMessage="1" showErrorMessage="1" errorTitle="SmartDox" error="The value you entered for the dropdown is not valid." sqref="H23" xr:uid="{303A3C52-8551-40FF-97F3-2EB0E36BCCD8}">
      <formula1>SD_D_PL_TaxCreditPercentType_Name</formula1>
    </dataValidation>
    <dataValidation type="list" errorStyle="warning" showInputMessage="1" showErrorMessage="1" errorTitle="SmartDox" error="The value you entered for the dropdown is not valid." sqref="K163" xr:uid="{6AAA54D4-642C-4668-A4BB-A5FAC5441890}">
      <formula1>SD_D_PL_HeatingType_Name</formula1>
    </dataValidation>
    <dataValidation type="list" errorStyle="warning" showInputMessage="1" showErrorMessage="1" errorTitle="SmartDox" error="The value you entered for the dropdown is not valid." sqref="K165" xr:uid="{FF40F9E2-2D31-4A72-89A7-2713E3E2E723}">
      <formula1>SD_D_PL_CookingType_Name</formula1>
    </dataValidation>
    <dataValidation type="list" errorStyle="warning" showInputMessage="1" showErrorMessage="1" errorTitle="SmartDox" error="The value you entered for the dropdown is not valid." sqref="K164" xr:uid="{84A2DB53-0507-4838-9001-85A357600999}">
      <formula1>SD_D_PL_HotWaterType_Name</formula1>
    </dataValidation>
    <dataValidation type="list" errorStyle="warning" showInputMessage="1" showErrorMessage="1" errorTitle="SmartDox" error="The value you entered for the dropdown is not valid." sqref="J323" xr:uid="{CD4DE7E2-1DE9-40B0-926D-0C18E59B8C8C}">
      <formula1>SD_D_PL_UnitMixAmiPercent_Name</formula1>
    </dataValidation>
    <dataValidation type="list" errorStyle="warning" showInputMessage="1" showErrorMessage="1" errorTitle="SmartDox" error="The value you entered for the dropdown is not valid." sqref="I323" xr:uid="{85D520D4-CD14-453B-BFEC-347EFF67A275}">
      <formula1>SD_D_PL_UnitType_Name</formula1>
    </dataValidation>
    <dataValidation type="list" errorStyle="warning" showInputMessage="1" showErrorMessage="1" errorTitle="SmartDox" error="The value you entered for the dropdown is not valid." sqref="J332" xr:uid="{CBA2F8FD-378B-4D84-99F2-961994FD93E1}">
      <formula1>SD_D_PL_UnitMixAmiPercent_Name</formula1>
    </dataValidation>
    <dataValidation type="list" errorStyle="warning" showInputMessage="1" showErrorMessage="1" errorTitle="SmartDox" error="The value you entered for the dropdown is not valid." sqref="I332" xr:uid="{23C8AA81-C97C-4958-A355-4B8E4C04762B}">
      <formula1>SD_D_PL_UnitType_Name</formula1>
    </dataValidation>
    <dataValidation type="list" errorStyle="warning" showInputMessage="1" showErrorMessage="1" errorTitle="SmartDox" error="The value you entered for the dropdown is not valid." sqref="J333" xr:uid="{3378B332-28A4-40E5-B0AB-761D8A281A4D}">
      <formula1>SD_D_PL_UnitMixAmiPercent_Name</formula1>
    </dataValidation>
    <dataValidation type="list" errorStyle="warning" showInputMessage="1" showErrorMessage="1" errorTitle="SmartDox" error="The value you entered for the dropdown is not valid." sqref="I333" xr:uid="{A250790B-1C62-43DA-AFC5-56923307B01A}">
      <formula1>SD_D_PL_UnitType_Name</formula1>
    </dataValidation>
    <dataValidation type="list" errorStyle="warning" showInputMessage="1" showErrorMessage="1" errorTitle="SmartDox" error="The value you entered for the dropdown is not valid." sqref="J334" xr:uid="{E61E8CB1-559E-4E99-AC0C-92E49410019F}">
      <formula1>SD_D_PL_UnitMixAmiPercent_Name</formula1>
    </dataValidation>
    <dataValidation type="list" errorStyle="warning" showInputMessage="1" showErrorMessage="1" errorTitle="SmartDox" error="The value you entered for the dropdown is not valid." sqref="I334" xr:uid="{2ECB8A97-6723-42C0-AE11-A23039997F04}">
      <formula1>SD_D_PL_UnitType_Name</formula1>
    </dataValidation>
    <dataValidation type="list" errorStyle="warning" showInputMessage="1" showErrorMessage="1" errorTitle="SmartDox" error="The value you entered for the dropdown is not valid." sqref="J335" xr:uid="{53350790-8C21-44EE-8786-B739DD8FFC6B}">
      <formula1>SD_D_PL_UnitMixAmiPercent_Name</formula1>
    </dataValidation>
    <dataValidation type="list" errorStyle="warning" showInputMessage="1" showErrorMessage="1" errorTitle="SmartDox" error="The value you entered for the dropdown is not valid." sqref="I335" xr:uid="{B7BE16BC-22B6-4DF6-9D4E-4847C5613D57}">
      <formula1>SD_D_PL_UnitType_Name</formula1>
    </dataValidation>
    <dataValidation type="list" errorStyle="warning" showInputMessage="1" showErrorMessage="1" errorTitle="SmartDox" error="The value you entered for the dropdown is not valid." sqref="J336" xr:uid="{C48D99E0-7F00-4903-9842-C3A1BE95B711}">
      <formula1>SD_D_PL_UnitMixAmiPercent_Name</formula1>
    </dataValidation>
    <dataValidation type="list" errorStyle="warning" showInputMessage="1" showErrorMessage="1" errorTitle="SmartDox" error="The value you entered for the dropdown is not valid." sqref="I336" xr:uid="{13CDB27D-7A1B-4DDD-B20D-10E26D2C2698}">
      <formula1>SD_D_PL_UnitType_Name</formula1>
    </dataValidation>
    <dataValidation type="list" errorStyle="warning" showInputMessage="1" showErrorMessage="1" errorTitle="SmartDox" error="The value you entered for the dropdown is not valid." sqref="J337" xr:uid="{69CDA802-B73B-4686-8CB8-8C99727A2600}">
      <formula1>SD_D_PL_UnitMixAmiPercent_Name</formula1>
    </dataValidation>
    <dataValidation type="list" errorStyle="warning" showInputMessage="1" showErrorMessage="1" errorTitle="SmartDox" error="The value you entered for the dropdown is not valid." sqref="I337" xr:uid="{CB42CC76-CD31-41BE-8F30-CDF332CC85D0}">
      <formula1>SD_D_PL_UnitType_Name</formula1>
    </dataValidation>
    <dataValidation type="list" errorStyle="warning" showInputMessage="1" showErrorMessage="1" errorTitle="SmartDox" error="The value you entered for the dropdown is not valid." sqref="J338" xr:uid="{F31CE52E-419D-4C71-AD8D-976722579CD7}">
      <formula1>SD_D_PL_UnitMixAmiPercent_Name</formula1>
    </dataValidation>
    <dataValidation type="list" errorStyle="warning" showInputMessage="1" showErrorMessage="1" errorTitle="SmartDox" error="The value you entered for the dropdown is not valid." sqref="I338" xr:uid="{A5979DF5-1AAF-48BE-A2DC-B3AE945A39B6}">
      <formula1>SD_D_PL_UnitType_Name</formula1>
    </dataValidation>
    <dataValidation type="list" errorStyle="warning" showInputMessage="1" showErrorMessage="1" errorTitle="SmartDox" error="The value you entered for the dropdown is not valid." sqref="J339" xr:uid="{8AB8760E-6D73-498B-849E-997D1C1F246C}">
      <formula1>SD_D_PL_UnitMixAmiPercent_Name</formula1>
    </dataValidation>
    <dataValidation type="list" errorStyle="warning" showInputMessage="1" showErrorMessage="1" errorTitle="SmartDox" error="The value you entered for the dropdown is not valid." sqref="I339" xr:uid="{59F079DB-75CC-453D-9EEC-1F35725056A2}">
      <formula1>SD_D_PL_UnitType_Name</formula1>
    </dataValidation>
    <dataValidation type="list" errorStyle="warning" showInputMessage="1" showErrorMessage="1" errorTitle="SmartDox" error="The value you entered for the dropdown is not valid." sqref="J340" xr:uid="{C7C50FC1-C645-4F06-8B9F-4A33735EF53E}">
      <formula1>SD_D_PL_UnitMixAmiPercent_Name</formula1>
    </dataValidation>
    <dataValidation type="list" errorStyle="warning" showInputMessage="1" showErrorMessage="1" errorTitle="SmartDox" error="The value you entered for the dropdown is not valid." sqref="I340" xr:uid="{B034A80C-AFFC-4378-A16F-BB3A82DA68D5}">
      <formula1>SD_D_PL_UnitType_Name</formula1>
    </dataValidation>
    <dataValidation type="list" errorStyle="warning" showInputMessage="1" showErrorMessage="1" errorTitle="SmartDox" error="The value you entered for the dropdown is not valid." sqref="J341" xr:uid="{1C077333-8301-4D29-8FE8-387B55A024A3}">
      <formula1>SD_D_PL_UnitMixAmiPercent_Name</formula1>
    </dataValidation>
    <dataValidation type="list" errorStyle="warning" showInputMessage="1" showErrorMessage="1" errorTitle="SmartDox" error="The value you entered for the dropdown is not valid." sqref="I341" xr:uid="{E5D1064A-7289-48A2-A049-34E8330C0263}">
      <formula1>SD_D_PL_UnitType_Name</formula1>
    </dataValidation>
    <dataValidation type="list" errorStyle="warning" showInputMessage="1" showErrorMessage="1" errorTitle="SmartDox" error="The value you entered for the dropdown is not valid." sqref="J324" xr:uid="{F2F12DD9-AD5B-44C0-92ED-73023037DAD9}">
      <formula1>SD_D_PL_UnitMixAmiPercent_Name</formula1>
    </dataValidation>
    <dataValidation type="list" errorStyle="warning" showInputMessage="1" showErrorMessage="1" errorTitle="SmartDox" error="The value you entered for the dropdown is not valid." sqref="I324" xr:uid="{D710A12D-3B26-4335-89D2-6317534EB125}">
      <formula1>SD_D_PL_UnitType_Name</formula1>
    </dataValidation>
    <dataValidation type="list" errorStyle="warning" showInputMessage="1" showErrorMessage="1" errorTitle="SmartDox" error="The value you entered for the dropdown is not valid." sqref="J342" xr:uid="{0AA67D79-CD02-4517-8618-E3EA886E47B2}">
      <formula1>SD_D_PL_UnitMixAmiPercent_Name</formula1>
    </dataValidation>
    <dataValidation type="list" errorStyle="warning" showInputMessage="1" showErrorMessage="1" errorTitle="SmartDox" error="The value you entered for the dropdown is not valid." sqref="I342" xr:uid="{D6F94166-C6B3-4031-9CD7-FE44983F25D7}">
      <formula1>SD_D_PL_UnitType_Name</formula1>
    </dataValidation>
    <dataValidation type="list" errorStyle="warning" showInputMessage="1" showErrorMessage="1" errorTitle="SmartDox" error="The value you entered for the dropdown is not valid." sqref="J343" xr:uid="{64B194FF-F33C-4710-95AE-0000CC0798E0}">
      <formula1>SD_D_PL_UnitMixAmiPercent_Name</formula1>
    </dataValidation>
    <dataValidation type="list" errorStyle="warning" showInputMessage="1" showErrorMessage="1" errorTitle="SmartDox" error="The value you entered for the dropdown is not valid." sqref="I343" xr:uid="{65D6400C-A44D-4D5F-BC41-10F25FB39BF4}">
      <formula1>SD_D_PL_UnitType_Name</formula1>
    </dataValidation>
    <dataValidation type="list" errorStyle="warning" showInputMessage="1" showErrorMessage="1" errorTitle="SmartDox" error="The value you entered for the dropdown is not valid." sqref="J344" xr:uid="{CDFEC144-F355-4FFA-9E58-C857B3713B56}">
      <formula1>SD_D_PL_UnitMixAmiPercent_Name</formula1>
    </dataValidation>
    <dataValidation type="list" errorStyle="warning" showInputMessage="1" showErrorMessage="1" errorTitle="SmartDox" error="The value you entered for the dropdown is not valid." sqref="I344" xr:uid="{A6A3891B-4C29-45F6-8CEB-D4144A5EE2A4}">
      <formula1>SD_D_PL_UnitType_Name</formula1>
    </dataValidation>
    <dataValidation type="list" errorStyle="warning" showInputMessage="1" showErrorMessage="1" errorTitle="SmartDox" error="The value you entered for the dropdown is not valid." sqref="J345" xr:uid="{DAF9ECF1-4383-4455-AA0C-A26CEA3369D1}">
      <formula1>SD_D_PL_UnitMixAmiPercent_Name</formula1>
    </dataValidation>
    <dataValidation type="list" errorStyle="warning" showInputMessage="1" showErrorMessage="1" errorTitle="SmartDox" error="The value you entered for the dropdown is not valid." sqref="I345" xr:uid="{06B42F3C-AA07-4885-B283-BFD728BCD3A1}">
      <formula1>SD_D_PL_UnitType_Name</formula1>
    </dataValidation>
    <dataValidation type="list" errorStyle="warning" showInputMessage="1" showErrorMessage="1" errorTitle="SmartDox" error="The value you entered for the dropdown is not valid." sqref="J346" xr:uid="{FBF676AA-270A-417D-809D-CCCC125F77F6}">
      <formula1>SD_D_PL_UnitMixAmiPercent_Name</formula1>
    </dataValidation>
    <dataValidation type="list" errorStyle="warning" showInputMessage="1" showErrorMessage="1" errorTitle="SmartDox" error="The value you entered for the dropdown is not valid." sqref="I346" xr:uid="{F50E7C87-4407-4225-817E-8CA120CEC844}">
      <formula1>SD_D_PL_UnitType_Name</formula1>
    </dataValidation>
    <dataValidation type="list" errorStyle="warning" showInputMessage="1" showErrorMessage="1" errorTitle="SmartDox" error="The value you entered for the dropdown is not valid." sqref="J347" xr:uid="{88AAD1FC-8E96-411B-81A7-A3EE935BF0CD}">
      <formula1>SD_D_PL_UnitMixAmiPercent_Name</formula1>
    </dataValidation>
    <dataValidation type="list" errorStyle="warning" showInputMessage="1" showErrorMessage="1" errorTitle="SmartDox" error="The value you entered for the dropdown is not valid." sqref="I347" xr:uid="{37F62BB7-AACF-4B0D-B6A9-D770884C1A3D}">
      <formula1>SD_D_PL_UnitType_Name</formula1>
    </dataValidation>
    <dataValidation type="list" errorStyle="warning" showInputMessage="1" showErrorMessage="1" errorTitle="SmartDox" error="The value you entered for the dropdown is not valid." sqref="J348" xr:uid="{35EC94D2-D497-4B40-B014-2B527D3A85BA}">
      <formula1>SD_D_PL_UnitMixAmiPercent_Name</formula1>
    </dataValidation>
    <dataValidation type="list" errorStyle="warning" showInputMessage="1" showErrorMessage="1" errorTitle="SmartDox" error="The value you entered for the dropdown is not valid." sqref="I348" xr:uid="{2AEB97B2-BB11-4F7C-929B-35F7C99BAAFC}">
      <formula1>SD_D_PL_UnitType_Name</formula1>
    </dataValidation>
    <dataValidation type="list" errorStyle="warning" showInputMessage="1" showErrorMessage="1" errorTitle="SmartDox" error="The value you entered for the dropdown is not valid." sqref="J349" xr:uid="{287D73E7-76FB-45B8-BF16-10BEAFF79E76}">
      <formula1>SD_D_PL_UnitMixAmiPercent_Name</formula1>
    </dataValidation>
    <dataValidation type="list" errorStyle="warning" showInputMessage="1" showErrorMessage="1" errorTitle="SmartDox" error="The value you entered for the dropdown is not valid." sqref="I349" xr:uid="{F9F68834-25CF-45C1-AF47-0D0F940E25C4}">
      <formula1>SD_D_PL_UnitType_Name</formula1>
    </dataValidation>
    <dataValidation type="list" errorStyle="warning" showInputMessage="1" showErrorMessage="1" errorTitle="SmartDox" error="The value you entered for the dropdown is not valid." sqref="J350" xr:uid="{7F89D897-BAB7-4B8D-A646-7136542806EB}">
      <formula1>SD_D_PL_UnitMixAmiPercent_Name</formula1>
    </dataValidation>
    <dataValidation type="list" errorStyle="warning" showInputMessage="1" showErrorMessage="1" errorTitle="SmartDox" error="The value you entered for the dropdown is not valid." sqref="I350" xr:uid="{DB9DB180-6BCC-4C35-9F86-24EF174C44D6}">
      <formula1>SD_D_PL_UnitType_Name</formula1>
    </dataValidation>
    <dataValidation type="list" errorStyle="warning" showInputMessage="1" showErrorMessage="1" errorTitle="SmartDox" error="The value you entered for the dropdown is not valid." sqref="J351" xr:uid="{5D41D4EB-FAC0-47C9-9905-028802684917}">
      <formula1>SD_D_PL_UnitMixAmiPercent_Name</formula1>
    </dataValidation>
    <dataValidation type="list" errorStyle="warning" showInputMessage="1" showErrorMessage="1" errorTitle="SmartDox" error="The value you entered for the dropdown is not valid." sqref="I351" xr:uid="{167FA0A8-A48B-40B3-A7BB-A49BBC39A66F}">
      <formula1>SD_D_PL_UnitType_Name</formula1>
    </dataValidation>
    <dataValidation type="list" errorStyle="warning" showInputMessage="1" showErrorMessage="1" errorTitle="SmartDox" error="The value you entered for the dropdown is not valid." sqref="J325" xr:uid="{727330E3-E971-4D71-A211-8B523170ACD2}">
      <formula1>SD_D_PL_UnitMixAmiPercent_Name</formula1>
    </dataValidation>
    <dataValidation type="list" errorStyle="warning" showInputMessage="1" showErrorMessage="1" errorTitle="SmartDox" error="The value you entered for the dropdown is not valid." sqref="I325" xr:uid="{E3752E00-ECC9-4DF0-B7D2-A8E2D4B6914B}">
      <formula1>SD_D_PL_UnitType_Name</formula1>
    </dataValidation>
    <dataValidation type="list" errorStyle="warning" showInputMessage="1" showErrorMessage="1" errorTitle="SmartDox" error="The value you entered for the dropdown is not valid." sqref="J352" xr:uid="{C480A309-99EB-485B-929B-12107B7CA70F}">
      <formula1>SD_D_PL_UnitMixAmiPercent_Name</formula1>
    </dataValidation>
    <dataValidation type="list" errorStyle="warning" showInputMessage="1" showErrorMessage="1" errorTitle="SmartDox" error="The value you entered for the dropdown is not valid." sqref="I352" xr:uid="{88B76DC0-2048-4DF5-85AE-443BCCA08B89}">
      <formula1>SD_D_PL_UnitType_Name</formula1>
    </dataValidation>
    <dataValidation type="list" errorStyle="warning" showInputMessage="1" showErrorMessage="1" errorTitle="SmartDox" error="The value you entered for the dropdown is not valid." sqref="J326" xr:uid="{FBE14D3E-E29C-4D8F-A3A0-524AEAABD72F}">
      <formula1>SD_D_PL_UnitMixAmiPercent_Name</formula1>
    </dataValidation>
    <dataValidation type="list" errorStyle="warning" showInputMessage="1" showErrorMessage="1" errorTitle="SmartDox" error="The value you entered for the dropdown is not valid." sqref="I326" xr:uid="{BC3F9C43-AEDE-433C-A4C4-2466432D1A1A}">
      <formula1>SD_D_PL_UnitType_Name</formula1>
    </dataValidation>
    <dataValidation type="list" errorStyle="warning" showInputMessage="1" showErrorMessage="1" errorTitle="SmartDox" error="The value you entered for the dropdown is not valid." sqref="J327" xr:uid="{1728ECA1-CDFD-49D7-BD9A-D1C25C700DC7}">
      <formula1>SD_D_PL_UnitMixAmiPercent_Name</formula1>
    </dataValidation>
    <dataValidation type="list" errorStyle="warning" showInputMessage="1" showErrorMessage="1" errorTitle="SmartDox" error="The value you entered for the dropdown is not valid." sqref="I327" xr:uid="{8D211DE6-4743-4D23-9623-CBCC6B043DE4}">
      <formula1>SD_D_PL_UnitType_Name</formula1>
    </dataValidation>
    <dataValidation type="list" errorStyle="warning" showInputMessage="1" showErrorMessage="1" errorTitle="SmartDox" error="The value you entered for the dropdown is not valid." sqref="J328" xr:uid="{3A3586C9-2D65-412C-AE01-04AA88605DA9}">
      <formula1>SD_D_PL_UnitMixAmiPercent_Name</formula1>
    </dataValidation>
    <dataValidation type="list" errorStyle="warning" showInputMessage="1" showErrorMessage="1" errorTitle="SmartDox" error="The value you entered for the dropdown is not valid." sqref="I328" xr:uid="{00C37AFF-E63B-4DA2-9CED-3114180B2A1F}">
      <formula1>SD_D_PL_UnitType_Name</formula1>
    </dataValidation>
    <dataValidation type="list" errorStyle="warning" showInputMessage="1" showErrorMessage="1" errorTitle="SmartDox" error="The value you entered for the dropdown is not valid." sqref="J329" xr:uid="{D1E700E9-3994-4432-97AE-A44D1288F7A6}">
      <formula1>SD_D_PL_UnitMixAmiPercent_Name</formula1>
    </dataValidation>
    <dataValidation type="list" errorStyle="warning" showInputMessage="1" showErrorMessage="1" errorTitle="SmartDox" error="The value you entered for the dropdown is not valid." sqref="I329" xr:uid="{1C6FBDF3-1451-4D6C-B0D9-327CBB461985}">
      <formula1>SD_D_PL_UnitType_Name</formula1>
    </dataValidation>
    <dataValidation type="list" errorStyle="warning" showInputMessage="1" showErrorMessage="1" errorTitle="SmartDox" error="The value you entered for the dropdown is not valid." sqref="J330" xr:uid="{B178AF36-058D-43A9-922F-86AA1DE5A35D}">
      <formula1>SD_D_PL_UnitMixAmiPercent_Name</formula1>
    </dataValidation>
    <dataValidation type="list" errorStyle="warning" showInputMessage="1" showErrorMessage="1" errorTitle="SmartDox" error="The value you entered for the dropdown is not valid." sqref="I330" xr:uid="{EDBBD2DF-F497-42A4-81E9-A26169F5C059}">
      <formula1>SD_D_PL_UnitType_Name</formula1>
    </dataValidation>
    <dataValidation type="list" errorStyle="warning" showInputMessage="1" showErrorMessage="1" errorTitle="SmartDox" error="The value you entered for the dropdown is not valid." sqref="J331" xr:uid="{D24F2566-28C4-42B0-AE57-E6AA3C06EED3}">
      <formula1>SD_D_PL_UnitMixAmiPercent_Name</formula1>
    </dataValidation>
    <dataValidation type="list" errorStyle="warning" showInputMessage="1" showErrorMessage="1" errorTitle="SmartDox" error="The value you entered for the dropdown is not valid." sqref="I331" xr:uid="{9B3A4A68-9B6D-4AA2-BBD9-56BC0A5DD1C8}">
      <formula1>SD_D_PL_UnitType_Name</formula1>
    </dataValidation>
    <dataValidation type="list" errorStyle="warning" showInputMessage="1" showErrorMessage="1" errorTitle="SmartDox" error="The value you entered for the dropdown is not valid." sqref="H16" xr:uid="{635D4222-B5F5-4898-863A-96450D2215E8}">
      <formula1>SD_D_PL_State_Name</formula1>
    </dataValidation>
    <dataValidation type="list" errorStyle="warning" showInputMessage="1" showErrorMessage="1" errorTitle="SmartDox" error="The value you entered for the dropdown is not valid." sqref="H19" xr:uid="{6CFC2FAD-FAB3-40A5-BA67-97A0328AAE3B}">
      <formula1>SD_D_PL_PropertyType_Name</formula1>
    </dataValidation>
    <dataValidation type="list" errorStyle="warning" showInputMessage="1" showErrorMessage="1" errorTitle="SmartDox" error="The value you entered for the dropdown is not valid." sqref="H15" xr:uid="{196656AE-417A-45E6-ACB6-17C1FAE8A17D}">
      <formula1>SD_D_PL_Jurisdiction_Name</formula1>
    </dataValidation>
    <dataValidation type="list" errorStyle="warning" showInputMessage="1" showErrorMessage="1" errorTitle="SmartDox" error="The value you entered for the dropdown is not valid." sqref="H22" xr:uid="{69BE3B42-11F7-4413-94DB-B7F7CAEE721A}">
      <formula1>SD_D_PL_TenantStatus_Name</formula1>
    </dataValidation>
    <dataValidation type="list" errorStyle="warning" showInputMessage="1" showErrorMessage="1" errorTitle="SmartDox" error="The value you entered for the dropdown is not valid." sqref="H20" xr:uid="{A69A47EB-4358-4186-BC48-DBA6EEADB65D}">
      <formula1>SD_D_PL_ConstructionBuildingType_Name</formula1>
    </dataValidation>
    <dataValidation type="list" errorStyle="warning" showInputMessage="1" showErrorMessage="1" errorTitle="SmartDox" error="The value you entered for the dropdown is not valid." sqref="R547" xr:uid="{C9BC2DC6-966A-4E63-B2CD-30F9DABA2697}">
      <formula1>SD_D_PL_ProgramType_Name</formula1>
    </dataValidation>
    <dataValidation type="list" errorStyle="warning" showInputMessage="1" showErrorMessage="1" errorTitle="SmartDox" error="The value you entered for the dropdown is not valid." sqref="M547" xr:uid="{1C5B38D0-6362-425A-B68B-A358D65D1AC4}">
      <formula1>SD_D_AllDEVFundingSourcesForSmartDox_Name</formula1>
    </dataValidation>
    <dataValidation type="list" errorStyle="warning" showInputMessage="1" showErrorMessage="1" errorTitle="SmartDox" error="The value you entered for the dropdown is not valid." sqref="R556" xr:uid="{7270A1BA-73CC-4CDD-BCD0-AA03DC7F6FE0}">
      <formula1>SD_D_PL_ProgramType_Name</formula1>
    </dataValidation>
    <dataValidation type="list" errorStyle="warning" showInputMessage="1" showErrorMessage="1" errorTitle="SmartDox" error="The value you entered for the dropdown is not valid." sqref="M556" xr:uid="{9A48DE20-1AC3-4662-BC1C-93442F0106B9}">
      <formula1>SD_D_AllDEVFundingSourcesForSmartDox_Name</formula1>
    </dataValidation>
    <dataValidation type="list" errorStyle="warning" showInputMessage="1" showErrorMessage="1" errorTitle="SmartDox" error="The value you entered for the dropdown is not valid." sqref="R557" xr:uid="{7D9EA3A5-4D76-48F4-A17F-32F0058B69EF}">
      <formula1>SD_D_PL_ProgramType_Name</formula1>
    </dataValidation>
    <dataValidation type="list" errorStyle="warning" showInputMessage="1" showErrorMessage="1" errorTitle="SmartDox" error="The value you entered for the dropdown is not valid." sqref="M557" xr:uid="{A942CF0D-901C-413C-9CC3-2A935C9BF404}">
      <formula1>SD_D_AllDEVFundingSourcesForSmartDox_Name</formula1>
    </dataValidation>
    <dataValidation type="list" errorStyle="warning" showInputMessage="1" showErrorMessage="1" errorTitle="SmartDox" error="The value you entered for the dropdown is not valid." sqref="R558" xr:uid="{221BADE8-B19B-461F-A68C-94D690800235}">
      <formula1>SD_D_PL_ProgramType_Name</formula1>
    </dataValidation>
    <dataValidation type="list" errorStyle="warning" showInputMessage="1" showErrorMessage="1" errorTitle="SmartDox" error="The value you entered for the dropdown is not valid." sqref="M558" xr:uid="{1BF5CFF1-CB07-49B5-9435-631BEFBC4CB6}">
      <formula1>SD_D_AllDEVFundingSourcesForSmartDox_Name</formula1>
    </dataValidation>
    <dataValidation type="list" errorStyle="warning" showInputMessage="1" showErrorMessage="1" errorTitle="SmartDox" error="The value you entered for the dropdown is not valid." sqref="R559" xr:uid="{DDE65DBB-58E5-4D48-8916-1CB5627AC930}">
      <formula1>SD_D_PL_ProgramType_Name</formula1>
    </dataValidation>
    <dataValidation type="list" errorStyle="warning" showInputMessage="1" showErrorMessage="1" errorTitle="SmartDox" error="The value you entered for the dropdown is not valid." sqref="M559" xr:uid="{2FA50E0C-6D42-4105-B06E-58A04829EDFC}">
      <formula1>SD_D_AllDEVFundingSourcesForSmartDox_Name</formula1>
    </dataValidation>
    <dataValidation type="list" errorStyle="warning" showInputMessage="1" showErrorMessage="1" errorTitle="SmartDox" error="The value you entered for the dropdown is not valid." sqref="R560" xr:uid="{5FE98015-D02B-409C-A399-E56513158B0D}">
      <formula1>SD_D_PL_ProgramType_Name</formula1>
    </dataValidation>
    <dataValidation type="list" errorStyle="warning" showInputMessage="1" showErrorMessage="1" errorTitle="SmartDox" error="The value you entered for the dropdown is not valid." sqref="M560" xr:uid="{5ADA4F82-976F-4CD7-A9AD-CE806F10C4F5}">
      <formula1>SD_D_AllDEVFundingSourcesForSmartDox_Name</formula1>
    </dataValidation>
    <dataValidation type="list" errorStyle="warning" showInputMessage="1" showErrorMessage="1" errorTitle="SmartDox" error="The value you entered for the dropdown is not valid." sqref="R561" xr:uid="{3F343F1B-913F-4514-9F0C-FF7831143343}">
      <formula1>SD_D_PL_ProgramType_Name</formula1>
    </dataValidation>
    <dataValidation type="list" errorStyle="warning" showInputMessage="1" showErrorMessage="1" errorTitle="SmartDox" error="The value you entered for the dropdown is not valid." sqref="M561" xr:uid="{A50B6412-0D87-4400-B004-7500F7A3F331}">
      <formula1>SD_D_AllDEVFundingSourcesForSmartDox_Name</formula1>
    </dataValidation>
    <dataValidation type="list" errorStyle="warning" showInputMessage="1" showErrorMessage="1" errorTitle="SmartDox" error="The value you entered for the dropdown is not valid." sqref="R562" xr:uid="{208F6B3F-7637-41F7-8930-3286BDEC4E4B}">
      <formula1>SD_D_PL_ProgramType_Name</formula1>
    </dataValidation>
    <dataValidation type="list" errorStyle="warning" showInputMessage="1" showErrorMessage="1" errorTitle="SmartDox" error="The value you entered for the dropdown is not valid." sqref="M562" xr:uid="{D9CB440A-9847-4A2E-853E-76A512BBB566}">
      <formula1>SD_D_AllDEVFundingSourcesForSmartDox_Name</formula1>
    </dataValidation>
    <dataValidation type="list" errorStyle="warning" showInputMessage="1" showErrorMessage="1" errorTitle="SmartDox" error="The value you entered for the dropdown is not valid." sqref="R563" xr:uid="{788A95AF-A590-48B8-AB31-345DF5380188}">
      <formula1>SD_D_PL_ProgramType_Name</formula1>
    </dataValidation>
    <dataValidation type="list" errorStyle="warning" showInputMessage="1" showErrorMessage="1" errorTitle="SmartDox" error="The value you entered for the dropdown is not valid." sqref="M563" xr:uid="{5E3E1017-E348-4A41-A5C1-5DDA0B759783}">
      <formula1>SD_D_AllDEVFundingSourcesForSmartDox_Name</formula1>
    </dataValidation>
    <dataValidation type="list" errorStyle="warning" showInputMessage="1" showErrorMessage="1" errorTitle="SmartDox" error="The value you entered for the dropdown is not valid." sqref="R564" xr:uid="{E49DC6B9-C57F-42A7-85FA-3AA4217CBE26}">
      <formula1>SD_D_PL_ProgramType_Name</formula1>
    </dataValidation>
    <dataValidation type="list" errorStyle="warning" showInputMessage="1" showErrorMessage="1" errorTitle="SmartDox" error="The value you entered for the dropdown is not valid." sqref="M564" xr:uid="{38812FE0-C000-4B39-8EBC-DB1E572F98CA}">
      <formula1>SD_D_AllDEVFundingSourcesForSmartDox_Name</formula1>
    </dataValidation>
    <dataValidation type="list" errorStyle="warning" showInputMessage="1" showErrorMessage="1" errorTitle="SmartDox" error="The value you entered for the dropdown is not valid." sqref="R565" xr:uid="{CAF79286-F700-4631-9A11-541A58CE367D}">
      <formula1>SD_D_PL_ProgramType_Name</formula1>
    </dataValidation>
    <dataValidation type="list" errorStyle="warning" showInputMessage="1" showErrorMessage="1" errorTitle="SmartDox" error="The value you entered for the dropdown is not valid." sqref="M565" xr:uid="{58758E26-140E-440D-A9C9-F56444C48417}">
      <formula1>SD_D_AllDEVFundingSourcesForSmartDox_Name</formula1>
    </dataValidation>
    <dataValidation type="list" errorStyle="warning" showInputMessage="1" showErrorMessage="1" errorTitle="SmartDox" error="The value you entered for the dropdown is not valid." sqref="R548" xr:uid="{2EF61981-27CE-4511-B5ED-5003010F8D74}">
      <formula1>SD_D_PL_ProgramType_Name</formula1>
    </dataValidation>
    <dataValidation type="list" errorStyle="warning" showInputMessage="1" showErrorMessage="1" errorTitle="SmartDox" error="The value you entered for the dropdown is not valid." sqref="M548" xr:uid="{1C27539D-1A2B-41D5-91AE-251BE5C3A44B}">
      <formula1>SD_D_AllDEVFundingSourcesForSmartDox_Name</formula1>
    </dataValidation>
    <dataValidation type="list" errorStyle="warning" showInputMessage="1" showErrorMessage="1" errorTitle="SmartDox" error="The value you entered for the dropdown is not valid." sqref="R566" xr:uid="{41DD0C86-6963-4130-A18C-6C3599678FD3}">
      <formula1>SD_D_PL_ProgramType_Name</formula1>
    </dataValidation>
    <dataValidation type="list" errorStyle="warning" showInputMessage="1" showErrorMessage="1" errorTitle="SmartDox" error="The value you entered for the dropdown is not valid." sqref="M566" xr:uid="{241D09B1-2BBD-44C9-921B-D5F1E09ABCB7}">
      <formula1>SD_D_AllDEVFundingSourcesForSmartDox_Name</formula1>
    </dataValidation>
    <dataValidation type="list" errorStyle="warning" showInputMessage="1" showErrorMessage="1" errorTitle="SmartDox" error="The value you entered for the dropdown is not valid." sqref="R567" xr:uid="{028D5F18-A603-4F6C-A545-DB101DE2E295}">
      <formula1>SD_D_PL_ProgramType_Name</formula1>
    </dataValidation>
    <dataValidation type="list" errorStyle="warning" showInputMessage="1" showErrorMessage="1" errorTitle="SmartDox" error="The value you entered for the dropdown is not valid." sqref="M567" xr:uid="{39CEC6F6-94AE-4CDE-BFE3-E70FE3B4B664}">
      <formula1>SD_D_AllDEVFundingSourcesForSmartDox_Name</formula1>
    </dataValidation>
    <dataValidation type="list" errorStyle="warning" showInputMessage="1" showErrorMessage="1" errorTitle="SmartDox" error="The value you entered for the dropdown is not valid." sqref="R568" xr:uid="{28E2B129-B802-4648-A7DE-34F1B2CEBFDF}">
      <formula1>SD_D_PL_ProgramType_Name</formula1>
    </dataValidation>
    <dataValidation type="list" errorStyle="warning" showInputMessage="1" showErrorMessage="1" errorTitle="SmartDox" error="The value you entered for the dropdown is not valid." sqref="M568" xr:uid="{2EEC20A7-AC9A-41F5-A6EA-72E5935FB557}">
      <formula1>SD_D_AllDEVFundingSourcesForSmartDox_Name</formula1>
    </dataValidation>
    <dataValidation type="list" errorStyle="warning" showInputMessage="1" showErrorMessage="1" errorTitle="SmartDox" error="The value you entered for the dropdown is not valid." sqref="R569" xr:uid="{D35DFC59-5CDF-46AC-8A63-093A7756C6BF}">
      <formula1>SD_D_PL_ProgramType_Name</formula1>
    </dataValidation>
    <dataValidation type="list" errorStyle="warning" showInputMessage="1" showErrorMessage="1" errorTitle="SmartDox" error="The value you entered for the dropdown is not valid." sqref="M569" xr:uid="{A0E89652-C58F-41FA-8A9D-7FF1CB79C7DF}">
      <formula1>SD_D_AllDEVFundingSourcesForSmartDox_Name</formula1>
    </dataValidation>
    <dataValidation type="list" errorStyle="warning" showInputMessage="1" showErrorMessage="1" errorTitle="SmartDox" error="The value you entered for the dropdown is not valid." sqref="R570" xr:uid="{D9A1BF73-EE11-425E-8E1D-8712643D1B95}">
      <formula1>SD_D_PL_ProgramType_Name</formula1>
    </dataValidation>
    <dataValidation type="list" errorStyle="warning" showInputMessage="1" showErrorMessage="1" errorTitle="SmartDox" error="The value you entered for the dropdown is not valid." sqref="M570" xr:uid="{2EA2A516-6DF2-492D-9DB1-F38D3AC629AB}">
      <formula1>SD_D_AllDEVFundingSourcesForSmartDox_Name</formula1>
    </dataValidation>
    <dataValidation type="list" errorStyle="warning" showInputMessage="1" showErrorMessage="1" errorTitle="SmartDox" error="The value you entered for the dropdown is not valid." sqref="R549" xr:uid="{56FA4F7D-796B-48CB-BAE3-438738879132}">
      <formula1>SD_D_PL_ProgramType_Name</formula1>
    </dataValidation>
    <dataValidation type="list" errorStyle="warning" showInputMessage="1" showErrorMessage="1" errorTitle="SmartDox" error="The value you entered for the dropdown is not valid." sqref="M549" xr:uid="{222F584C-3E11-4F46-B38B-BEAA83BA8901}">
      <formula1>SD_D_AllDEVFundingSourcesForSmartDox_Name</formula1>
    </dataValidation>
    <dataValidation type="list" errorStyle="warning" showInputMessage="1" showErrorMessage="1" errorTitle="SmartDox" error="The value you entered for the dropdown is not valid." sqref="R550" xr:uid="{6735B915-B751-46B2-ABCF-D515F5E77F81}">
      <formula1>SD_D_PL_ProgramType_Name</formula1>
    </dataValidation>
    <dataValidation type="list" errorStyle="warning" showInputMessage="1" showErrorMessage="1" errorTitle="SmartDox" error="The value you entered for the dropdown is not valid." sqref="M550" xr:uid="{2CA37DA3-CC99-4240-9342-E342B8CB4FFE}">
      <formula1>SD_D_AllDEVFundingSourcesForSmartDox_Name</formula1>
    </dataValidation>
    <dataValidation type="list" errorStyle="warning" showInputMessage="1" showErrorMessage="1" errorTitle="SmartDox" error="The value you entered for the dropdown is not valid." sqref="R551" xr:uid="{4958565F-787C-4DFF-A733-8562A0DB7CB7}">
      <formula1>SD_D_PL_ProgramType_Name</formula1>
    </dataValidation>
    <dataValidation type="list" errorStyle="warning" showInputMessage="1" showErrorMessage="1" errorTitle="SmartDox" error="The value you entered for the dropdown is not valid." sqref="M551" xr:uid="{D5D2238A-61D7-408E-9974-FFBC4B66B513}">
      <formula1>SD_D_AllDEVFundingSourcesForSmartDox_Name</formula1>
    </dataValidation>
    <dataValidation type="list" errorStyle="warning" showInputMessage="1" showErrorMessage="1" errorTitle="SmartDox" error="The value you entered for the dropdown is not valid." sqref="R552" xr:uid="{505842BE-EE9B-4697-9DAE-888F59A019C6}">
      <formula1>SD_D_PL_ProgramType_Name</formula1>
    </dataValidation>
    <dataValidation type="list" errorStyle="warning" showInputMessage="1" showErrorMessage="1" errorTitle="SmartDox" error="The value you entered for the dropdown is not valid." sqref="M552" xr:uid="{8683FE31-995D-486B-98B7-01AA3903B540}">
      <formula1>SD_D_AllDEVFundingSourcesForSmartDox_Name</formula1>
    </dataValidation>
    <dataValidation type="list" errorStyle="warning" showInputMessage="1" showErrorMessage="1" errorTitle="SmartDox" error="The value you entered for the dropdown is not valid." sqref="R553" xr:uid="{DEC6730D-416D-4C7B-B010-CD95116D97E2}">
      <formula1>SD_D_PL_ProgramType_Name</formula1>
    </dataValidation>
    <dataValidation type="list" errorStyle="warning" showInputMessage="1" showErrorMessage="1" errorTitle="SmartDox" error="The value you entered for the dropdown is not valid." sqref="M553" xr:uid="{7C6816CB-A5FC-42DF-9F53-F28024138775}">
      <formula1>SD_D_AllDEVFundingSourcesForSmartDox_Name</formula1>
    </dataValidation>
    <dataValidation type="list" errorStyle="warning" showInputMessage="1" showErrorMessage="1" errorTitle="SmartDox" error="The value you entered for the dropdown is not valid." sqref="R554" xr:uid="{A8ED1B9F-67EB-4C56-8223-7D543DD48B97}">
      <formula1>SD_D_PL_ProgramType_Name</formula1>
    </dataValidation>
    <dataValidation type="list" errorStyle="warning" showInputMessage="1" showErrorMessage="1" errorTitle="SmartDox" error="The value you entered for the dropdown is not valid." sqref="M554" xr:uid="{BF7FF1FE-362E-41DE-B9E4-DFFACB736665}">
      <formula1>SD_D_AllDEVFundingSourcesForSmartDox_Name</formula1>
    </dataValidation>
    <dataValidation type="list" errorStyle="warning" showInputMessage="1" showErrorMessage="1" errorTitle="SmartDox" error="The value you entered for the dropdown is not valid." sqref="R555" xr:uid="{71AE26F4-7876-4961-A174-632FE27FF8EE}">
      <formula1>SD_D_PL_ProgramType_Name</formula1>
    </dataValidation>
    <dataValidation type="list" errorStyle="warning" showInputMessage="1" showErrorMessage="1" errorTitle="SmartDox" error="The value you entered for the dropdown is not valid." sqref="M555" xr:uid="{2995BBFE-CE59-43EE-8635-ECD5DD48CF32}">
      <formula1>SD_D_AllDEVFundingSourcesForSmartDox_Name</formula1>
    </dataValidation>
    <dataValidation type="list" errorStyle="warning" showInputMessage="1" showErrorMessage="1" errorTitle="SmartDox" error="The value you entered for the dropdown is not valid." sqref="AN16" xr:uid="{6328AA11-B37D-4226-87AB-D89D8667AFAD}">
      <formula1>SD_D_PL_State_Name</formula1>
    </dataValidation>
    <dataValidation type="list" errorStyle="warning" showInputMessage="1" showErrorMessage="1" errorTitle="SmartDox" error="The value you entered for the dropdown is not valid." sqref="AN21" xr:uid="{83277419-3D9E-4A4C-B98B-F25CE0CA7790}">
      <formula1>SD_D_PL_TargetType_Name</formula1>
    </dataValidation>
    <dataValidation type="list" errorStyle="warning" showInputMessage="1" showErrorMessage="1" errorTitle="SmartDox" error="The value you entered for the dropdown is not valid." sqref="AN20" xr:uid="{90E4C93B-1E3B-42E4-847A-48D845D673B4}">
      <formula1>SD_D_PL_BldgAllocType_Name</formula1>
    </dataValidation>
    <dataValidation type="list" errorStyle="warning" showInputMessage="1" showErrorMessage="1" errorTitle="SmartDox" error="The value you entered for the dropdown is not valid." sqref="AN72" xr:uid="{500E9E73-8290-4E9A-8AE1-9DA755F41CC3}">
      <formula1>SD_D_PL_State_Name</formula1>
    </dataValidation>
    <dataValidation type="list" errorStyle="warning" showInputMessage="1" showErrorMessage="1" errorTitle="SmartDox" error="The value you entered for the dropdown is not valid." sqref="AN547" xr:uid="{32CD0E59-12FB-4979-8B6A-682F43BB2E0B}">
      <formula1>SD_D_PL_FinancingType_Name</formula1>
    </dataValidation>
    <dataValidation type="list" errorStyle="warning" showInputMessage="1" showErrorMessage="1" errorTitle="SmartDox" error="The value you entered for the dropdown is not valid." sqref="AN556" xr:uid="{B1C5DAB6-5F91-4F45-A264-ACB5CA0279AF}">
      <formula1>SD_D_PL_FinancingType_Name</formula1>
    </dataValidation>
    <dataValidation type="list" errorStyle="warning" showInputMessage="1" showErrorMessage="1" errorTitle="SmartDox" error="The value you entered for the dropdown is not valid." sqref="AN557" xr:uid="{1EAAA24D-701D-42B2-8939-270C4300BFB2}">
      <formula1>SD_D_PL_FinancingType_Name</formula1>
    </dataValidation>
    <dataValidation type="list" errorStyle="warning" showInputMessage="1" showErrorMessage="1" errorTitle="SmartDox" error="The value you entered for the dropdown is not valid." sqref="AN558" xr:uid="{90DC5CA0-04E6-4D76-9ABE-5F30593D2D3E}">
      <formula1>SD_D_PL_FinancingType_Name</formula1>
    </dataValidation>
    <dataValidation type="list" errorStyle="warning" showInputMessage="1" showErrorMessage="1" errorTitle="SmartDox" error="The value you entered for the dropdown is not valid." sqref="AN559" xr:uid="{E0BDAD81-7DF0-4A35-922F-0486BACFCDCF}">
      <formula1>SD_D_PL_FinancingType_Name</formula1>
    </dataValidation>
    <dataValidation type="list" errorStyle="warning" showInputMessage="1" showErrorMessage="1" errorTitle="SmartDox" error="The value you entered for the dropdown is not valid." sqref="AN560" xr:uid="{0968BA6F-AC3C-4734-9FD0-7911EF146AE1}">
      <formula1>SD_D_PL_FinancingType_Name</formula1>
    </dataValidation>
    <dataValidation type="list" errorStyle="warning" showInputMessage="1" showErrorMessage="1" errorTitle="SmartDox" error="The value you entered for the dropdown is not valid." sqref="AN561" xr:uid="{C3DE59EA-C79A-496B-8A16-65C855DF340E}">
      <formula1>SD_D_PL_FinancingType_Name</formula1>
    </dataValidation>
    <dataValidation type="list" errorStyle="warning" showInputMessage="1" showErrorMessage="1" errorTitle="SmartDox" error="The value you entered for the dropdown is not valid." sqref="AN562" xr:uid="{FF57AC68-B750-4AFC-A299-831E98DA7270}">
      <formula1>SD_D_PL_FinancingType_Name</formula1>
    </dataValidation>
    <dataValidation type="list" errorStyle="warning" showInputMessage="1" showErrorMessage="1" errorTitle="SmartDox" error="The value you entered for the dropdown is not valid." sqref="AN563" xr:uid="{343B2D43-8FD9-490E-989E-C01BC1DA6CB1}">
      <formula1>SD_D_PL_FinancingType_Name</formula1>
    </dataValidation>
    <dataValidation type="list" errorStyle="warning" showInputMessage="1" showErrorMessage="1" errorTitle="SmartDox" error="The value you entered for the dropdown is not valid." sqref="AN564" xr:uid="{D6D5BA1C-BAF4-4732-8237-DACF20C229CC}">
      <formula1>SD_D_PL_FinancingType_Name</formula1>
    </dataValidation>
    <dataValidation type="list" errorStyle="warning" showInputMessage="1" showErrorMessage="1" errorTitle="SmartDox" error="The value you entered for the dropdown is not valid." sqref="AN565" xr:uid="{2F64197C-49E4-46C0-992F-1BD08D1A03E9}">
      <formula1>SD_D_PL_FinancingType_Name</formula1>
    </dataValidation>
    <dataValidation type="list" errorStyle="warning" showInputMessage="1" showErrorMessage="1" errorTitle="SmartDox" error="The value you entered for the dropdown is not valid." sqref="AN548" xr:uid="{08AC92DB-707F-4797-B4F9-6492684C6546}">
      <formula1>SD_D_PL_FinancingType_Name</formula1>
    </dataValidation>
    <dataValidation type="list" errorStyle="warning" showInputMessage="1" showErrorMessage="1" errorTitle="SmartDox" error="The value you entered for the dropdown is not valid." sqref="AN566" xr:uid="{DE673080-DE97-419A-B7ED-A29C97B5CB4D}">
      <formula1>SD_D_PL_FinancingType_Name</formula1>
    </dataValidation>
    <dataValidation type="list" errorStyle="warning" showInputMessage="1" showErrorMessage="1" errorTitle="SmartDox" error="The value you entered for the dropdown is not valid." sqref="AN567" xr:uid="{3721CEB0-DE0F-4AB4-B0B3-60E7F6F144AB}">
      <formula1>SD_D_PL_FinancingType_Name</formula1>
    </dataValidation>
    <dataValidation type="list" errorStyle="warning" showInputMessage="1" showErrorMessage="1" errorTitle="SmartDox" error="The value you entered for the dropdown is not valid." sqref="AN568" xr:uid="{8DBBE840-2A51-405F-8BF5-47DFF45DF4E2}">
      <formula1>SD_D_PL_FinancingType_Name</formula1>
    </dataValidation>
    <dataValidation type="list" errorStyle="warning" showInputMessage="1" showErrorMessage="1" errorTitle="SmartDox" error="The value you entered for the dropdown is not valid." sqref="AN569" xr:uid="{A45C76A4-C441-495D-9CAF-A72570B14F2B}">
      <formula1>SD_D_PL_FinancingType_Name</formula1>
    </dataValidation>
    <dataValidation type="list" errorStyle="warning" showInputMessage="1" showErrorMessage="1" errorTitle="SmartDox" error="The value you entered for the dropdown is not valid." sqref="AN570" xr:uid="{9E5FFEF3-7CB9-4C67-BBA8-94EEE561212A}">
      <formula1>SD_D_PL_FinancingType_Name</formula1>
    </dataValidation>
    <dataValidation type="list" errorStyle="warning" showInputMessage="1" showErrorMessage="1" errorTitle="SmartDox" error="The value you entered for the dropdown is not valid." sqref="AN549" xr:uid="{A18C78B1-1C3E-42E0-8076-66025A4DD20C}">
      <formula1>SD_D_PL_FinancingType_Name</formula1>
    </dataValidation>
    <dataValidation type="list" errorStyle="warning" showInputMessage="1" showErrorMessage="1" errorTitle="SmartDox" error="The value you entered for the dropdown is not valid." sqref="AN550" xr:uid="{DEFAE96A-3462-4920-8394-C375F921D1D2}">
      <formula1>SD_D_PL_FinancingType_Name</formula1>
    </dataValidation>
    <dataValidation type="list" errorStyle="warning" showInputMessage="1" showErrorMessage="1" errorTitle="SmartDox" error="The value you entered for the dropdown is not valid." sqref="AN551" xr:uid="{F6D7E473-EC50-4BB7-8AEA-071E6B38D618}">
      <formula1>SD_D_PL_FinancingType_Name</formula1>
    </dataValidation>
    <dataValidation type="list" errorStyle="warning" showInputMessage="1" showErrorMessage="1" errorTitle="SmartDox" error="The value you entered for the dropdown is not valid." sqref="AN552" xr:uid="{C2DC71A3-EACF-4FA9-A139-5D23B4F7BE3B}">
      <formula1>SD_D_PL_FinancingType_Name</formula1>
    </dataValidation>
    <dataValidation type="list" errorStyle="warning" showInputMessage="1" showErrorMessage="1" errorTitle="SmartDox" error="The value you entered for the dropdown is not valid." sqref="AN553" xr:uid="{AAF1A8FF-6BA6-4237-962B-55BDFA0CC3F6}">
      <formula1>SD_D_PL_FinancingType_Name</formula1>
    </dataValidation>
    <dataValidation type="list" errorStyle="warning" showInputMessage="1" showErrorMessage="1" errorTitle="SmartDox" error="The value you entered for the dropdown is not valid." sqref="AN554" xr:uid="{E114E20B-49CF-4C3E-93DC-AE0BDB489DB5}">
      <formula1>SD_D_PL_FinancingType_Name</formula1>
    </dataValidation>
    <dataValidation type="list" errorStyle="warning" showInputMessage="1" showErrorMessage="1" errorTitle="SmartDox" error="The value you entered for the dropdown is not valid." sqref="AN555" xr:uid="{A920FE61-D727-4651-8515-90040A4C5C29}">
      <formula1>SD_D_PL_FinancingType_Name</formula1>
    </dataValidation>
    <dataValidation type="list" errorStyle="warning" showInputMessage="1" showErrorMessage="1" errorTitle="SmartDox" error="The value you entered for the dropdown is not valid." sqref="AO323" xr:uid="{093E016D-E2E7-411A-B482-C1F104333B79}">
      <formula1>SD_D_PL_TCUnitMixType_Name</formula1>
    </dataValidation>
    <dataValidation type="list" errorStyle="warning" showInputMessage="1" showErrorMessage="1" errorTitle="SmartDox" error="The value you entered for the dropdown is not valid." sqref="AO332" xr:uid="{9931EED8-C974-4F3A-BD08-C59A96486E66}">
      <formula1>SD_D_PL_TCUnitMixType_Name</formula1>
    </dataValidation>
    <dataValidation type="list" errorStyle="warning" showInputMessage="1" showErrorMessage="1" errorTitle="SmartDox" error="The value you entered for the dropdown is not valid." sqref="AO333" xr:uid="{A7265890-2333-4E72-9D02-69E9FB0765C7}">
      <formula1>SD_D_PL_TCUnitMixType_Name</formula1>
    </dataValidation>
    <dataValidation type="list" errorStyle="warning" showInputMessage="1" showErrorMessage="1" errorTitle="SmartDox" error="The value you entered for the dropdown is not valid." sqref="AO334" xr:uid="{EFD14DA8-3CB4-4721-A07E-B98662D10804}">
      <formula1>SD_D_PL_TCUnitMixType_Name</formula1>
    </dataValidation>
    <dataValidation type="list" errorStyle="warning" showInputMessage="1" showErrorMessage="1" errorTitle="SmartDox" error="The value you entered for the dropdown is not valid." sqref="AO335" xr:uid="{5CE41ACA-2C06-4EF1-933D-5A488FE95186}">
      <formula1>SD_D_PL_TCUnitMixType_Name</formula1>
    </dataValidation>
    <dataValidation type="list" errorStyle="warning" showInputMessage="1" showErrorMessage="1" errorTitle="SmartDox" error="The value you entered for the dropdown is not valid." sqref="AO336" xr:uid="{07814900-D3A2-4170-8C6D-C90579107C40}">
      <formula1>SD_D_PL_TCUnitMixType_Name</formula1>
    </dataValidation>
    <dataValidation type="list" errorStyle="warning" showInputMessage="1" showErrorMessage="1" errorTitle="SmartDox" error="The value you entered for the dropdown is not valid." sqref="AO337" xr:uid="{8ADDC232-224F-4637-8C79-99281083D3C3}">
      <formula1>SD_D_PL_TCUnitMixType_Name</formula1>
    </dataValidation>
    <dataValidation type="list" errorStyle="warning" showInputMessage="1" showErrorMessage="1" errorTitle="SmartDox" error="The value you entered for the dropdown is not valid." sqref="AO338" xr:uid="{BD4C3774-0876-45C2-BB1B-664EEF90FD60}">
      <formula1>SD_D_PL_TCUnitMixType_Name</formula1>
    </dataValidation>
    <dataValidation type="list" errorStyle="warning" showInputMessage="1" showErrorMessage="1" errorTitle="SmartDox" error="The value you entered for the dropdown is not valid." sqref="AO339" xr:uid="{E42CBE99-B6A6-46BB-B327-B8F7E502A276}">
      <formula1>SD_D_PL_TCUnitMixType_Name</formula1>
    </dataValidation>
    <dataValidation type="list" errorStyle="warning" showInputMessage="1" showErrorMessage="1" errorTitle="SmartDox" error="The value you entered for the dropdown is not valid." sqref="AO340" xr:uid="{6F7D6226-A47E-458D-9FB3-D33AA245BA61}">
      <formula1>SD_D_PL_TCUnitMixType_Name</formula1>
    </dataValidation>
    <dataValidation type="list" errorStyle="warning" showInputMessage="1" showErrorMessage="1" errorTitle="SmartDox" error="The value you entered for the dropdown is not valid." sqref="AO341" xr:uid="{01302E27-5C65-4047-AB1B-E3147A6EEFA5}">
      <formula1>SD_D_PL_TCUnitMixType_Name</formula1>
    </dataValidation>
    <dataValidation type="list" errorStyle="warning" showInputMessage="1" showErrorMessage="1" errorTitle="SmartDox" error="The value you entered for the dropdown is not valid." sqref="AO324" xr:uid="{BF4F75E4-C620-45DA-AF70-A7C91A6EB559}">
      <formula1>SD_D_PL_TCUnitMixType_Name</formula1>
    </dataValidation>
    <dataValidation type="list" errorStyle="warning" showInputMessage="1" showErrorMessage="1" errorTitle="SmartDox" error="The value you entered for the dropdown is not valid." sqref="AO342" xr:uid="{5EE59EC7-A565-4F7A-BA55-425FE33B50DD}">
      <formula1>SD_D_PL_TCUnitMixType_Name</formula1>
    </dataValidation>
    <dataValidation type="list" errorStyle="warning" showInputMessage="1" showErrorMessage="1" errorTitle="SmartDox" error="The value you entered for the dropdown is not valid." sqref="AO343" xr:uid="{95F47001-6305-4A1C-A175-B1321C5FAC5A}">
      <formula1>SD_D_PL_TCUnitMixType_Name</formula1>
    </dataValidation>
    <dataValidation type="list" errorStyle="warning" showInputMessage="1" showErrorMessage="1" errorTitle="SmartDox" error="The value you entered for the dropdown is not valid." sqref="AO344" xr:uid="{519E9A08-CAC2-4F4E-882E-AB73F2F18CB4}">
      <formula1>SD_D_PL_TCUnitMixType_Name</formula1>
    </dataValidation>
    <dataValidation type="list" errorStyle="warning" showInputMessage="1" showErrorMessage="1" errorTitle="SmartDox" error="The value you entered for the dropdown is not valid." sqref="AO345" xr:uid="{38BF574E-4989-47F3-B787-C94AA4E78ECE}">
      <formula1>SD_D_PL_TCUnitMixType_Name</formula1>
    </dataValidation>
    <dataValidation type="list" errorStyle="warning" showInputMessage="1" showErrorMessage="1" errorTitle="SmartDox" error="The value you entered for the dropdown is not valid." sqref="AO346" xr:uid="{0BF958C9-9066-405F-ACB7-9DDB425C5098}">
      <formula1>SD_D_PL_TCUnitMixType_Name</formula1>
    </dataValidation>
    <dataValidation type="list" errorStyle="warning" showInputMessage="1" showErrorMessage="1" errorTitle="SmartDox" error="The value you entered for the dropdown is not valid." sqref="AO347" xr:uid="{8AEE908C-88A4-43CB-9FE1-2170AF508111}">
      <formula1>SD_D_PL_TCUnitMixType_Name</formula1>
    </dataValidation>
    <dataValidation type="list" errorStyle="warning" showInputMessage="1" showErrorMessage="1" errorTitle="SmartDox" error="The value you entered for the dropdown is not valid." sqref="AO348" xr:uid="{24818C4A-F544-401E-BC97-938924B2BA1D}">
      <formula1>SD_D_PL_TCUnitMixType_Name</formula1>
    </dataValidation>
    <dataValidation type="list" errorStyle="warning" showInputMessage="1" showErrorMessage="1" errorTitle="SmartDox" error="The value you entered for the dropdown is not valid." sqref="AO349" xr:uid="{8C592AD9-AABD-4996-935F-0D2B8126AD59}">
      <formula1>SD_D_PL_TCUnitMixType_Name</formula1>
    </dataValidation>
    <dataValidation type="list" errorStyle="warning" showInputMessage="1" showErrorMessage="1" errorTitle="SmartDox" error="The value you entered for the dropdown is not valid." sqref="AO350" xr:uid="{913B6C81-1D92-4C83-9548-A16A1173913C}">
      <formula1>SD_D_PL_TCUnitMixType_Name</formula1>
    </dataValidation>
    <dataValidation type="list" errorStyle="warning" showInputMessage="1" showErrorMessage="1" errorTitle="SmartDox" error="The value you entered for the dropdown is not valid." sqref="AO351" xr:uid="{EDD52387-F979-475E-9883-9783EC1E69A3}">
      <formula1>SD_D_PL_TCUnitMixType_Name</formula1>
    </dataValidation>
    <dataValidation type="list" errorStyle="warning" showInputMessage="1" showErrorMessage="1" errorTitle="SmartDox" error="The value you entered for the dropdown is not valid." sqref="AO325" xr:uid="{1ECE95AA-21DA-4DCA-8FF9-D29D388E620E}">
      <formula1>SD_D_PL_TCUnitMixType_Name</formula1>
    </dataValidation>
    <dataValidation type="list" errorStyle="warning" showInputMessage="1" showErrorMessage="1" errorTitle="SmartDox" error="The value you entered for the dropdown is not valid." sqref="AO352" xr:uid="{10AC13B4-DF95-42F0-B50B-D66C2B624708}">
      <formula1>SD_D_PL_TCUnitMixType_Name</formula1>
    </dataValidation>
    <dataValidation type="list" errorStyle="warning" showInputMessage="1" showErrorMessage="1" errorTitle="SmartDox" error="The value you entered for the dropdown is not valid." sqref="AO326" xr:uid="{5516A418-AA05-4F07-946F-0946937FAFDE}">
      <formula1>SD_D_PL_TCUnitMixType_Name</formula1>
    </dataValidation>
    <dataValidation type="list" errorStyle="warning" showInputMessage="1" showErrorMessage="1" errorTitle="SmartDox" error="The value you entered for the dropdown is not valid." sqref="AO327" xr:uid="{FEEE400B-0283-4D64-8EE7-C488AE72D40F}">
      <formula1>SD_D_PL_TCUnitMixType_Name</formula1>
    </dataValidation>
    <dataValidation type="list" errorStyle="warning" showInputMessage="1" showErrorMessage="1" errorTitle="SmartDox" error="The value you entered for the dropdown is not valid." sqref="AO328" xr:uid="{DC86B354-4E92-48F1-B79B-EED0DA487E2D}">
      <formula1>SD_D_PL_TCUnitMixType_Name</formula1>
    </dataValidation>
    <dataValidation type="list" errorStyle="warning" showInputMessage="1" showErrorMessage="1" errorTitle="SmartDox" error="The value you entered for the dropdown is not valid." sqref="AO329" xr:uid="{32841486-56F2-4E38-89DA-792FA72E43D5}">
      <formula1>SD_D_PL_TCUnitMixType_Name</formula1>
    </dataValidation>
    <dataValidation type="list" errorStyle="warning" showInputMessage="1" showErrorMessage="1" errorTitle="SmartDox" error="The value you entered for the dropdown is not valid." sqref="AO330" xr:uid="{90712D6E-92BC-4D2D-90CB-4DD76CBBBE98}">
      <formula1>SD_D_PL_TCUnitMixType_Name</formula1>
    </dataValidation>
    <dataValidation type="list" errorStyle="warning" showInputMessage="1" showErrorMessage="1" errorTitle="SmartDox" error="The value you entered for the dropdown is not valid." sqref="AO331" xr:uid="{80E11EBC-604E-4196-B8D2-780F18AAB6BD}">
      <formula1>SD_D_PL_TCUnitMixType_Name</formula1>
    </dataValidation>
    <dataValidation type="list" errorStyle="warning" showInputMessage="1" showErrorMessage="1" errorTitle="SmartDox" error="The value you entered for the dropdown is not valid." sqref="AM421" xr:uid="{A920E0CD-8E3A-4624-94A7-7E74D7463C8E}">
      <formula1>SD_D_PL_TCUnitType_Name</formula1>
    </dataValidation>
    <dataValidation type="list" errorStyle="warning" showInputMessage="1" showErrorMessage="1" errorTitle="SmartDox" error="The value you entered for the dropdown is not valid." sqref="AM422" xr:uid="{AC2FADED-F7E5-47CD-A733-65FFD224CD26}">
      <formula1>SD_D_PL_TCUnitType_Name</formula1>
    </dataValidation>
    <dataValidation type="list" errorStyle="warning" showInputMessage="1" showErrorMessage="1" errorTitle="SmartDox" error="The value you entered for the dropdown is not valid." sqref="AM423" xr:uid="{D9770ADE-E17D-405E-9205-F00A5A89203D}">
      <formula1>SD_D_PL_TCUnitType_Name</formula1>
    </dataValidation>
    <dataValidation type="list" errorStyle="warning" showInputMessage="1" showErrorMessage="1" errorTitle="SmartDox" error="The value you entered for the dropdown is not valid." sqref="AM424" xr:uid="{8428E9F6-36F5-40C3-9F69-5B4E764C8080}">
      <formula1>SD_D_PL_TCUnitType_Name</formula1>
    </dataValidation>
    <dataValidation type="list" errorStyle="warning" showInputMessage="1" showErrorMessage="1" errorTitle="SmartDox" error="The value you entered for the dropdown is not valid." sqref="AM425" xr:uid="{EF1C23B4-7603-451E-8557-8AE9007966D1}">
      <formula1>SD_D_PL_TCUnitType_Name</formula1>
    </dataValidation>
    <dataValidation type="list" errorStyle="warning" showInputMessage="1" showErrorMessage="1" errorTitle="SmartDox" error="The value you entered for the dropdown is not valid." sqref="AM426" xr:uid="{35AE7CE3-999D-4A6A-B435-13AEEEB734F0}">
      <formula1>SD_D_PL_TCUnitType_Name</formula1>
    </dataValidation>
    <dataValidation type="list" errorStyle="warning" showInputMessage="1" showErrorMessage="1" errorTitle="SmartDox" error="The value you entered for the dropdown is not valid." sqref="AM427" xr:uid="{47476C5F-24FA-4BD5-BA82-5FE09DA72347}">
      <formula1>SD_D_PL_TCUnitType_Name</formula1>
    </dataValidation>
    <dataValidation type="list" errorStyle="warning" showInputMessage="1" showErrorMessage="1" errorTitle="SmartDox" error="The value you entered for the dropdown is not valid." sqref="AN40" xr:uid="{CB72028A-4E2F-4C7D-A2A3-472F674F3DA4}">
      <formula1>SD_D_PL_BuildingType_Name</formula1>
    </dataValidation>
    <dataValidation type="list" errorStyle="warning" showInputMessage="1" showErrorMessage="1" errorTitle="SmartDox" error="The value you entered for the dropdown is not valid." sqref="AN24" xr:uid="{96663077-0171-490E-8DCB-7CCF2D36CD92}">
      <formula1>SD_D_PL_ConstructionType_Name</formula1>
    </dataValidation>
    <dataValidation type="list" errorStyle="warning" showInputMessage="1" showErrorMessage="1" errorTitle="SmartDox" error="The value you entered for the dropdown is not valid." sqref="AU201" xr:uid="{9934B98E-DAF3-40D3-99D7-A00BAAF05A5B}">
      <formula1>SD_D_PL_State_Name</formula1>
    </dataValidation>
    <dataValidation type="list" errorStyle="warning" showInputMessage="1" showErrorMessage="1" errorTitle="SmartDox" error="The value you entered for the dropdown is not valid." sqref="AO201" xr:uid="{F842FE06-FB82-4EF6-905A-FB8D72774964}">
      <formula1>SD_D_PL_EntityCompanyOrIndividual_Name</formula1>
    </dataValidation>
    <dataValidation type="list" errorStyle="warning" showInputMessage="1" showErrorMessage="1" errorTitle="SmartDox" error="The value you entered for the dropdown is not valid." sqref="AN201" xr:uid="{1453AD6B-FEF2-4118-B139-57E5DB0E21CB}">
      <formula1>SD_D_PL_DealEntityRole_Name</formula1>
    </dataValidation>
    <dataValidation type="list" errorStyle="warning" showInputMessage="1" showErrorMessage="1" errorTitle="SmartDox" error="The value you entered for the dropdown is not valid." sqref="AU210" xr:uid="{F85B6869-3435-46ED-BD7E-B7C0E3C33E80}">
      <formula1>SD_D_PL_State_Name</formula1>
    </dataValidation>
    <dataValidation type="list" errorStyle="warning" showInputMessage="1" showErrorMessage="1" errorTitle="SmartDox" error="The value you entered for the dropdown is not valid." sqref="AO210" xr:uid="{A43EFF2B-EEBE-43C7-9746-76F318EAE92D}">
      <formula1>SD_D_PL_EntityCompanyOrIndividual_Name</formula1>
    </dataValidation>
    <dataValidation type="list" errorStyle="warning" showInputMessage="1" showErrorMessage="1" errorTitle="SmartDox" error="The value you entered for the dropdown is not valid." sqref="AN210" xr:uid="{5AD30226-3550-49D9-BCED-8E647EB75EF5}">
      <formula1>SD_D_PL_DealEntityRole_Name</formula1>
    </dataValidation>
    <dataValidation type="list" errorStyle="warning" showInputMessage="1" showErrorMessage="1" errorTitle="SmartDox" error="The value you entered for the dropdown is not valid." sqref="AU212" xr:uid="{CE524160-15D7-4262-BF7A-36BED00A4DB2}">
      <formula1>SD_D_PL_State_Name</formula1>
    </dataValidation>
    <dataValidation type="list" errorStyle="warning" showInputMessage="1" showErrorMessage="1" errorTitle="SmartDox" error="The value you entered for the dropdown is not valid." sqref="AO212" xr:uid="{94F1840E-7A4F-4CD2-A13C-137A837A3AE8}">
      <formula1>SD_D_PL_EntityCompanyOrIndividual_Name</formula1>
    </dataValidation>
    <dataValidation type="list" errorStyle="warning" showInputMessage="1" showErrorMessage="1" errorTitle="SmartDox" error="The value you entered for the dropdown is not valid." sqref="AN212" xr:uid="{74571AA6-CF86-4F65-8853-15B47165E86C}">
      <formula1>SD_D_PL_DealEntityRole_Name</formula1>
    </dataValidation>
    <dataValidation type="list" errorStyle="warning" showInputMessage="1" showErrorMessage="1" errorTitle="SmartDox" error="The value you entered for the dropdown is not valid." sqref="AU213" xr:uid="{A524236A-2F91-4DEC-9BCA-6DAC302C3D96}">
      <formula1>SD_D_PL_State_Name</formula1>
    </dataValidation>
    <dataValidation type="list" errorStyle="warning" showInputMessage="1" showErrorMessage="1" errorTitle="SmartDox" error="The value you entered for the dropdown is not valid." sqref="AO213" xr:uid="{0750FB87-CA6B-43C6-8EE5-76AB26C0FF2F}">
      <formula1>SD_D_PL_EntityCompanyOrIndividual_Name</formula1>
    </dataValidation>
    <dataValidation type="list" errorStyle="warning" showInputMessage="1" showErrorMessage="1" errorTitle="SmartDox" error="The value you entered for the dropdown is not valid." sqref="AN213" xr:uid="{C6231E33-04ED-44BA-8D59-2EA354C1306A}">
      <formula1>SD_D_PL_DealEntityRole_Name</formula1>
    </dataValidation>
    <dataValidation type="list" errorStyle="warning" showInputMessage="1" showErrorMessage="1" errorTitle="SmartDox" error="The value you entered for the dropdown is not valid." sqref="AU214" xr:uid="{6CF1CF72-1B78-487D-B920-40EA2322BB1D}">
      <formula1>SD_D_PL_State_Name</formula1>
    </dataValidation>
    <dataValidation type="list" errorStyle="warning" showInputMessage="1" showErrorMessage="1" errorTitle="SmartDox" error="The value you entered for the dropdown is not valid." sqref="AO214" xr:uid="{FBC1340C-5130-4207-8F92-4DB1FB103661}">
      <formula1>SD_D_PL_EntityCompanyOrIndividual_Name</formula1>
    </dataValidation>
    <dataValidation type="list" errorStyle="warning" showInputMessage="1" showErrorMessage="1" errorTitle="SmartDox" error="The value you entered for the dropdown is not valid." sqref="AN214" xr:uid="{17B75692-443A-4418-8E04-6C987AAB73C4}">
      <formula1>SD_D_PL_DealEntityRole_Name</formula1>
    </dataValidation>
    <dataValidation type="list" errorStyle="warning" showInputMessage="1" showErrorMessage="1" errorTitle="SmartDox" error="The value you entered for the dropdown is not valid." sqref="AU215" xr:uid="{FFBAA494-106F-4450-84AF-271B75924F47}">
      <formula1>SD_D_PL_State_Name</formula1>
    </dataValidation>
    <dataValidation type="list" errorStyle="warning" showInputMessage="1" showErrorMessage="1" errorTitle="SmartDox" error="The value you entered for the dropdown is not valid." sqref="AO215" xr:uid="{E62B3979-181D-4E4E-A180-CAB1675B6621}">
      <formula1>SD_D_PL_EntityCompanyOrIndividual_Name</formula1>
    </dataValidation>
    <dataValidation type="list" errorStyle="warning" showInputMessage="1" showErrorMessage="1" errorTitle="SmartDox" error="The value you entered for the dropdown is not valid." sqref="AN215" xr:uid="{BE705419-B926-49DF-9F7C-7B41B20852BD}">
      <formula1>SD_D_PL_DealEntityRole_Name</formula1>
    </dataValidation>
    <dataValidation type="list" errorStyle="warning" showInputMessage="1" showErrorMessage="1" errorTitle="SmartDox" error="The value you entered for the dropdown is not valid." sqref="AU216" xr:uid="{1E494AC3-D1CB-4FC1-8489-FC3504468086}">
      <formula1>SD_D_PL_State_Name</formula1>
    </dataValidation>
    <dataValidation type="list" errorStyle="warning" showInputMessage="1" showErrorMessage="1" errorTitle="SmartDox" error="The value you entered for the dropdown is not valid." sqref="AO216" xr:uid="{34BE88A4-6386-4CF8-8675-CE072E27A6CE}">
      <formula1>SD_D_PL_EntityCompanyOrIndividual_Name</formula1>
    </dataValidation>
    <dataValidation type="list" errorStyle="warning" showInputMessage="1" showErrorMessage="1" errorTitle="SmartDox" error="The value you entered for the dropdown is not valid." sqref="AN216" xr:uid="{32CD524D-714C-4CF3-B501-40F3247627FD}">
      <formula1>SD_D_PL_DealEntityRole_Name</formula1>
    </dataValidation>
    <dataValidation type="list" errorStyle="warning" showInputMessage="1" showErrorMessage="1" errorTitle="SmartDox" error="The value you entered for the dropdown is not valid." sqref="AU217" xr:uid="{166713A9-6D60-4867-B328-378D0E3C7F1D}">
      <formula1>SD_D_PL_State_Name</formula1>
    </dataValidation>
    <dataValidation type="list" errorStyle="warning" showInputMessage="1" showErrorMessage="1" errorTitle="SmartDox" error="The value you entered for the dropdown is not valid." sqref="AO217" xr:uid="{156FBA8C-38B5-457A-8B4D-7B234F0C614C}">
      <formula1>SD_D_PL_EntityCompanyOrIndividual_Name</formula1>
    </dataValidation>
    <dataValidation type="list" errorStyle="warning" showInputMessage="1" showErrorMessage="1" errorTitle="SmartDox" error="The value you entered for the dropdown is not valid." sqref="AN217" xr:uid="{94583EAD-6653-4153-86A1-13C4AD173D98}">
      <formula1>SD_D_PL_DealEntityRole_Name</formula1>
    </dataValidation>
    <dataValidation type="list" errorStyle="warning" showInputMessage="1" showErrorMessage="1" errorTitle="SmartDox" error="The value you entered for the dropdown is not valid." sqref="AU218" xr:uid="{A44111FB-76ED-49AC-B28E-2E90BF6D2A6C}">
      <formula1>SD_D_PL_State_Name</formula1>
    </dataValidation>
    <dataValidation type="list" errorStyle="warning" showInputMessage="1" showErrorMessage="1" errorTitle="SmartDox" error="The value you entered for the dropdown is not valid." sqref="AO218" xr:uid="{9A0B8F39-131A-4D63-A1AC-3716C5AE4FD2}">
      <formula1>SD_D_PL_EntityCompanyOrIndividual_Name</formula1>
    </dataValidation>
    <dataValidation type="list" errorStyle="warning" showInputMessage="1" showErrorMessage="1" errorTitle="SmartDox" error="The value you entered for the dropdown is not valid." sqref="AN218" xr:uid="{DF7D79CC-3144-4BD9-B74D-10D39B6C7A0B}">
      <formula1>SD_D_PL_DealEntityRole_Name</formula1>
    </dataValidation>
    <dataValidation type="list" errorStyle="warning" showInputMessage="1" showErrorMessage="1" errorTitle="SmartDox" error="The value you entered for the dropdown is not valid." sqref="AU219" xr:uid="{D9E7953D-E587-4AFB-92FF-B5344E18DFA8}">
      <formula1>SD_D_PL_State_Name</formula1>
    </dataValidation>
    <dataValidation type="list" errorStyle="warning" showInputMessage="1" showErrorMessage="1" errorTitle="SmartDox" error="The value you entered for the dropdown is not valid." sqref="AO219" xr:uid="{B5C2B232-9DA4-4B5A-B5D7-639A41313511}">
      <formula1>SD_D_PL_EntityCompanyOrIndividual_Name</formula1>
    </dataValidation>
    <dataValidation type="list" errorStyle="warning" showInputMessage="1" showErrorMessage="1" errorTitle="SmartDox" error="The value you entered for the dropdown is not valid." sqref="AN219" xr:uid="{FD674ABF-577E-4AEE-9E83-052C04555182}">
      <formula1>SD_D_PL_DealEntityRole_Name</formula1>
    </dataValidation>
    <dataValidation type="list" errorStyle="warning" showInputMessage="1" showErrorMessage="1" errorTitle="SmartDox" error="The value you entered for the dropdown is not valid." sqref="AU220" xr:uid="{B6373FD2-9D8F-4C9D-9C0C-81838D9D7EDE}">
      <formula1>SD_D_PL_State_Name</formula1>
    </dataValidation>
    <dataValidation type="list" errorStyle="warning" showInputMessage="1" showErrorMessage="1" errorTitle="SmartDox" error="The value you entered for the dropdown is not valid." sqref="AO220" xr:uid="{C7C322A5-8B22-44E3-9195-C45FA1347B3E}">
      <formula1>SD_D_PL_EntityCompanyOrIndividual_Name</formula1>
    </dataValidation>
    <dataValidation type="list" errorStyle="warning" showInputMessage="1" showErrorMessage="1" errorTitle="SmartDox" error="The value you entered for the dropdown is not valid." sqref="AN220" xr:uid="{AB275EAB-3ABD-4352-9B28-5197B0F53324}">
      <formula1>SD_D_PL_DealEntityRole_Name</formula1>
    </dataValidation>
    <dataValidation type="list" errorStyle="warning" showInputMessage="1" showErrorMessage="1" errorTitle="SmartDox" error="The value you entered for the dropdown is not valid." sqref="AU202" xr:uid="{FD3F0CE4-3C3A-4EC1-99F3-BDB1C07CC99E}">
      <formula1>SD_D_PL_State_Name</formula1>
    </dataValidation>
    <dataValidation type="list" errorStyle="warning" showInputMessage="1" showErrorMessage="1" errorTitle="SmartDox" error="The value you entered for the dropdown is not valid." sqref="AO202" xr:uid="{78925F35-1A06-445C-B14B-D989A6CE1FE6}">
      <formula1>SD_D_PL_EntityCompanyOrIndividual_Name</formula1>
    </dataValidation>
    <dataValidation type="list" errorStyle="warning" showInputMessage="1" showErrorMessage="1" errorTitle="SmartDox" error="The value you entered for the dropdown is not valid." sqref="AN202" xr:uid="{BC588BA3-2091-4892-B91D-E422D1BB4729}">
      <formula1>SD_D_PL_DealEntityRole_Name</formula1>
    </dataValidation>
    <dataValidation type="list" errorStyle="warning" showInputMessage="1" showErrorMessage="1" errorTitle="SmartDox" error="The value you entered for the dropdown is not valid." sqref="AU221" xr:uid="{CE16B22F-38CA-4792-9358-10A380DCE322}">
      <formula1>SD_D_PL_State_Name</formula1>
    </dataValidation>
    <dataValidation type="list" errorStyle="warning" showInputMessage="1" showErrorMessage="1" errorTitle="SmartDox" error="The value you entered for the dropdown is not valid." sqref="AO221" xr:uid="{63D5DCAA-6D68-4581-8998-4CC19C064858}">
      <formula1>SD_D_PL_EntityCompanyOrIndividual_Name</formula1>
    </dataValidation>
    <dataValidation type="list" errorStyle="warning" showInputMessage="1" showErrorMessage="1" errorTitle="SmartDox" error="The value you entered for the dropdown is not valid." sqref="AN221" xr:uid="{76DD704F-2C98-4EB3-A13D-C3CD2A752C1D}">
      <formula1>SD_D_PL_DealEntityRole_Name</formula1>
    </dataValidation>
    <dataValidation type="list" errorStyle="warning" showInputMessage="1" showErrorMessage="1" errorTitle="SmartDox" error="The value you entered for the dropdown is not valid." sqref="AU203" xr:uid="{AE0AA5A6-BF59-4906-A692-8B0303570049}">
      <formula1>SD_D_PL_State_Name</formula1>
    </dataValidation>
    <dataValidation type="list" errorStyle="warning" showInputMessage="1" showErrorMessage="1" errorTitle="SmartDox" error="The value you entered for the dropdown is not valid." sqref="AO203" xr:uid="{798C77E6-DE8F-4113-AA7A-EC8DC6EE2FD0}">
      <formula1>SD_D_PL_EntityCompanyOrIndividual_Name</formula1>
    </dataValidation>
    <dataValidation type="list" errorStyle="warning" showInputMessage="1" showErrorMessage="1" errorTitle="SmartDox" error="The value you entered for the dropdown is not valid." sqref="AN203" xr:uid="{7F656F91-71E5-45D2-B3FB-7800BCB16742}">
      <formula1>SD_D_PL_DealEntityRole_Name</formula1>
    </dataValidation>
    <dataValidation type="list" errorStyle="warning" showInputMessage="1" showErrorMessage="1" errorTitle="SmartDox" error="The value you entered for the dropdown is not valid." sqref="AU204" xr:uid="{21DFD3BF-957F-48DF-AB4B-00F3CDE218D0}">
      <formula1>SD_D_PL_State_Name</formula1>
    </dataValidation>
    <dataValidation type="list" errorStyle="warning" showInputMessage="1" showErrorMessage="1" errorTitle="SmartDox" error="The value you entered for the dropdown is not valid." sqref="AO204" xr:uid="{1DE3A3E2-CCDD-4C27-858F-A06DDD7B1BA3}">
      <formula1>SD_D_PL_EntityCompanyOrIndividual_Name</formula1>
    </dataValidation>
    <dataValidation type="list" errorStyle="warning" showInputMessage="1" showErrorMessage="1" errorTitle="SmartDox" error="The value you entered for the dropdown is not valid." sqref="AN204" xr:uid="{BF7416BD-7A09-45FF-B290-CDE350312444}">
      <formula1>SD_D_PL_DealEntityRole_Name</formula1>
    </dataValidation>
    <dataValidation type="list" errorStyle="warning" showInputMessage="1" showErrorMessage="1" errorTitle="SmartDox" error="The value you entered for the dropdown is not valid." sqref="AU205" xr:uid="{A55B8BE8-FD90-477D-9B5B-F5A92DE8569C}">
      <formula1>SD_D_PL_State_Name</formula1>
    </dataValidation>
    <dataValidation type="list" errorStyle="warning" showInputMessage="1" showErrorMessage="1" errorTitle="SmartDox" error="The value you entered for the dropdown is not valid." sqref="AO205" xr:uid="{A595AE39-9D5D-4CCA-866C-45E6157A50D3}">
      <formula1>SD_D_PL_EntityCompanyOrIndividual_Name</formula1>
    </dataValidation>
    <dataValidation type="list" errorStyle="warning" showInputMessage="1" showErrorMessage="1" errorTitle="SmartDox" error="The value you entered for the dropdown is not valid." sqref="AN205" xr:uid="{B951FE87-8970-44FE-856B-42B861A2D7E7}">
      <formula1>SD_D_PL_DealEntityRole_Name</formula1>
    </dataValidation>
    <dataValidation type="list" errorStyle="warning" showInputMessage="1" showErrorMessage="1" errorTitle="SmartDox" error="The value you entered for the dropdown is not valid." sqref="AU206" xr:uid="{9E1485CF-3D36-4320-8D17-71DD477AAC3F}">
      <formula1>SD_D_PL_State_Name</formula1>
    </dataValidation>
    <dataValidation type="list" errorStyle="warning" showInputMessage="1" showErrorMessage="1" errorTitle="SmartDox" error="The value you entered for the dropdown is not valid." sqref="AO206" xr:uid="{07E5DFE1-AEC5-4C14-A2A6-17CC619F0424}">
      <formula1>SD_D_PL_EntityCompanyOrIndividual_Name</formula1>
    </dataValidation>
    <dataValidation type="list" errorStyle="warning" showInputMessage="1" showErrorMessage="1" errorTitle="SmartDox" error="The value you entered for the dropdown is not valid." sqref="AN206" xr:uid="{6F03BEEC-14D2-4BAC-9B2C-321F0B0B9701}">
      <formula1>SD_D_PL_DealEntityRole_Name</formula1>
    </dataValidation>
    <dataValidation type="list" errorStyle="warning" showInputMessage="1" showErrorMessage="1" errorTitle="SmartDox" error="The value you entered for the dropdown is not valid." sqref="AU207" xr:uid="{5E3ADA07-0404-4B6C-9501-83DFC7F70F56}">
      <formula1>SD_D_PL_State_Name</formula1>
    </dataValidation>
    <dataValidation type="list" errorStyle="warning" showInputMessage="1" showErrorMessage="1" errorTitle="SmartDox" error="The value you entered for the dropdown is not valid." sqref="AO207" xr:uid="{29B9B8FD-DB07-45B5-BDAD-8F6235B1A427}">
      <formula1>SD_D_PL_EntityCompanyOrIndividual_Name</formula1>
    </dataValidation>
    <dataValidation type="list" errorStyle="warning" showInputMessage="1" showErrorMessage="1" errorTitle="SmartDox" error="The value you entered for the dropdown is not valid." sqref="AN207" xr:uid="{B8EC0045-495E-4A63-A571-5E639EA78DA2}">
      <formula1>SD_D_PL_DealEntityRole_Name</formula1>
    </dataValidation>
    <dataValidation type="list" errorStyle="warning" showInputMessage="1" showErrorMessage="1" errorTitle="SmartDox" error="The value you entered for the dropdown is not valid." sqref="AU208" xr:uid="{48CDE366-3ECF-474C-84F2-DB2493FD1D9C}">
      <formula1>SD_D_PL_State_Name</formula1>
    </dataValidation>
    <dataValidation type="list" errorStyle="warning" showInputMessage="1" showErrorMessage="1" errorTitle="SmartDox" error="The value you entered for the dropdown is not valid." sqref="AO208" xr:uid="{5680E116-9240-423B-A953-2C17D87293A7}">
      <formula1>SD_D_PL_EntityCompanyOrIndividual_Name</formula1>
    </dataValidation>
    <dataValidation type="list" errorStyle="warning" showInputMessage="1" showErrorMessage="1" errorTitle="SmartDox" error="The value you entered for the dropdown is not valid." sqref="AN208" xr:uid="{0278E769-A2C8-48F9-B080-5BCC8D7A6E17}">
      <formula1>SD_D_PL_DealEntityRole_Name</formula1>
    </dataValidation>
    <dataValidation type="list" errorStyle="warning" showInputMessage="1" showErrorMessage="1" errorTitle="SmartDox" error="The value you entered for the dropdown is not valid." sqref="AU209" xr:uid="{8C6ED450-4DB1-49BA-B467-12823EB6FC10}">
      <formula1>SD_D_PL_State_Name</formula1>
    </dataValidation>
    <dataValidation type="list" errorStyle="warning" showInputMessage="1" showErrorMessage="1" errorTitle="SmartDox" error="The value you entered for the dropdown is not valid." sqref="AO209" xr:uid="{47D7BB4E-84D5-41FC-B28C-3BEC3BB45C21}">
      <formula1>SD_D_PL_EntityCompanyOrIndividual_Name</formula1>
    </dataValidation>
    <dataValidation type="list" errorStyle="warning" showInputMessage="1" showErrorMessage="1" errorTitle="SmartDox" error="The value you entered for the dropdown is not valid." sqref="AN209" xr:uid="{4BB9C27A-1E20-47EF-BF70-2131C4A76642}">
      <formula1>SD_D_PL_DealEntityRole_Name</formula1>
    </dataValidation>
    <dataValidation type="list" errorStyle="warning" showInputMessage="1" showErrorMessage="1" errorTitle="SmartDox" error="The value you entered for the dropdown is not valid." sqref="O201" xr:uid="{2C314E8C-A8F9-4974-A576-7BDC1B7E8DA0}">
      <formula1>SD_D_PL_State_Name</formula1>
    </dataValidation>
    <dataValidation type="list" errorStyle="warning" showInputMessage="1" showErrorMessage="1" errorTitle="SmartDox" error="The value you entered for the dropdown is not valid." sqref="I201" xr:uid="{211E6625-313D-4790-9B70-C2B85467F470}">
      <formula1>SD_D_PL_EntityCompanyOrIndividual_Name</formula1>
    </dataValidation>
    <dataValidation type="list" errorStyle="warning" showInputMessage="1" showErrorMessage="1" errorTitle="SmartDox" error="The value you entered for the dropdown is not valid." sqref="H201" xr:uid="{847005CC-8905-479B-AC1E-BE44BF26FBC5}">
      <formula1>SD_D_PL_DealEntityRole_Name</formula1>
    </dataValidation>
    <dataValidation type="list" errorStyle="warning" showInputMessage="1" showErrorMessage="1" errorTitle="SmartDox" error="The value you entered for the dropdown is not valid." sqref="O210" xr:uid="{C7F4F865-CF2D-4CBC-9D8C-5F2C565F2C71}">
      <formula1>SD_D_PL_State_Name</formula1>
    </dataValidation>
    <dataValidation type="list" errorStyle="warning" showInputMessage="1" showErrorMessage="1" errorTitle="SmartDox" error="The value you entered for the dropdown is not valid." sqref="I210" xr:uid="{5339E7DD-2DC6-44E5-B109-DD2FD53D7B9A}">
      <formula1>SD_D_PL_EntityCompanyOrIndividual_Name</formula1>
    </dataValidation>
    <dataValidation type="list" errorStyle="warning" showInputMessage="1" showErrorMessage="1" errorTitle="SmartDox" error="The value you entered for the dropdown is not valid." sqref="H210" xr:uid="{F5D701C0-25D2-4D3C-886F-977EFD9885F2}">
      <formula1>SD_D_PL_DealEntityRole_Name</formula1>
    </dataValidation>
    <dataValidation type="list" errorStyle="warning" showInputMessage="1" showErrorMessage="1" errorTitle="SmartDox" error="The value you entered for the dropdown is not valid." sqref="O212" xr:uid="{DB81D03E-5947-4009-9790-856D2433EC46}">
      <formula1>SD_D_PL_State_Name</formula1>
    </dataValidation>
    <dataValidation type="list" errorStyle="warning" showInputMessage="1" showErrorMessage="1" errorTitle="SmartDox" error="The value you entered for the dropdown is not valid." sqref="I212" xr:uid="{870A4E5D-6748-4B67-B63E-2B9375FD8617}">
      <formula1>SD_D_PL_EntityCompanyOrIndividual_Name</formula1>
    </dataValidation>
    <dataValidation type="list" errorStyle="warning" showInputMessage="1" showErrorMessage="1" errorTitle="SmartDox" error="The value you entered for the dropdown is not valid." sqref="H212" xr:uid="{F9A067C9-A078-4299-AB3A-4F1943D6384D}">
      <formula1>SD_D_PL_DealEntityRole_Name</formula1>
    </dataValidation>
    <dataValidation type="list" errorStyle="warning" showInputMessage="1" showErrorMessage="1" errorTitle="SmartDox" error="The value you entered for the dropdown is not valid." sqref="O213" xr:uid="{854963A7-6F08-4660-9708-45D0A66199A2}">
      <formula1>SD_D_PL_State_Name</formula1>
    </dataValidation>
    <dataValidation type="list" errorStyle="warning" showInputMessage="1" showErrorMessage="1" errorTitle="SmartDox" error="The value you entered for the dropdown is not valid." sqref="I213" xr:uid="{5A351F68-400C-4BB3-A24D-C1C1D8612C32}">
      <formula1>SD_D_PL_EntityCompanyOrIndividual_Name</formula1>
    </dataValidation>
    <dataValidation type="list" errorStyle="warning" showInputMessage="1" showErrorMessage="1" errorTitle="SmartDox" error="The value you entered for the dropdown is not valid." sqref="H213" xr:uid="{BAF1382F-B275-452A-97E0-F8B6132B289D}">
      <formula1>SD_D_PL_DealEntityRole_Name</formula1>
    </dataValidation>
    <dataValidation type="list" errorStyle="warning" showInputMessage="1" showErrorMessage="1" errorTitle="SmartDox" error="The value you entered for the dropdown is not valid." sqref="O214" xr:uid="{46C4E6D0-8A20-4D43-A07C-2854FE8782A0}">
      <formula1>SD_D_PL_State_Name</formula1>
    </dataValidation>
    <dataValidation type="list" errorStyle="warning" showInputMessage="1" showErrorMessage="1" errorTitle="SmartDox" error="The value you entered for the dropdown is not valid." sqref="I214" xr:uid="{4E0DB093-6177-4D68-B2DF-BA90C4EFE158}">
      <formula1>SD_D_PL_EntityCompanyOrIndividual_Name</formula1>
    </dataValidation>
    <dataValidation type="list" errorStyle="warning" showInputMessage="1" showErrorMessage="1" errorTitle="SmartDox" error="The value you entered for the dropdown is not valid." sqref="H214" xr:uid="{9EC50708-5553-4FB0-A8A2-5B96CCEE8A88}">
      <formula1>SD_D_PL_DealEntityRole_Name</formula1>
    </dataValidation>
    <dataValidation type="list" errorStyle="warning" showInputMessage="1" showErrorMessage="1" errorTitle="SmartDox" error="The value you entered for the dropdown is not valid." sqref="O215" xr:uid="{BAE3D44D-3B22-45DF-81F0-4CBDFBD808BF}">
      <formula1>SD_D_PL_State_Name</formula1>
    </dataValidation>
    <dataValidation type="list" errorStyle="warning" showInputMessage="1" showErrorMessage="1" errorTitle="SmartDox" error="The value you entered for the dropdown is not valid." sqref="I215" xr:uid="{6F890EBB-8032-486D-B5C6-E099888C3D16}">
      <formula1>SD_D_PL_EntityCompanyOrIndividual_Name</formula1>
    </dataValidation>
    <dataValidation type="list" errorStyle="warning" showInputMessage="1" showErrorMessage="1" errorTitle="SmartDox" error="The value you entered for the dropdown is not valid." sqref="H215" xr:uid="{66F63745-8121-43C9-A4B6-5361E04FD761}">
      <formula1>SD_D_PL_DealEntityRole_Name</formula1>
    </dataValidation>
    <dataValidation type="list" errorStyle="warning" showInputMessage="1" showErrorMessage="1" errorTitle="SmartDox" error="The value you entered for the dropdown is not valid." sqref="O216" xr:uid="{6BF6B20C-6BAE-47F6-8C0A-C0201E9B90D3}">
      <formula1>SD_D_PL_State_Name</formula1>
    </dataValidation>
    <dataValidation type="list" errorStyle="warning" showInputMessage="1" showErrorMessage="1" errorTitle="SmartDox" error="The value you entered for the dropdown is not valid." sqref="I216" xr:uid="{84698A39-2A83-45F3-942D-448A73E9C9CA}">
      <formula1>SD_D_PL_EntityCompanyOrIndividual_Name</formula1>
    </dataValidation>
    <dataValidation type="list" errorStyle="warning" showInputMessage="1" showErrorMessage="1" errorTitle="SmartDox" error="The value you entered for the dropdown is not valid." sqref="H216" xr:uid="{324DA625-D5C6-4AD4-ABC6-9ABD57659870}">
      <formula1>SD_D_PL_DealEntityRole_Name</formula1>
    </dataValidation>
    <dataValidation type="list" errorStyle="warning" showInputMessage="1" showErrorMessage="1" errorTitle="SmartDox" error="The value you entered for the dropdown is not valid." sqref="O217" xr:uid="{F565DCD8-F887-4ED1-8660-6E5977D19F6E}">
      <formula1>SD_D_PL_State_Name</formula1>
    </dataValidation>
    <dataValidation type="list" errorStyle="warning" showInputMessage="1" showErrorMessage="1" errorTitle="SmartDox" error="The value you entered for the dropdown is not valid." sqref="I217" xr:uid="{FB7A3523-CAE7-4736-83A1-E8A1BE76A460}">
      <formula1>SD_D_PL_EntityCompanyOrIndividual_Name</formula1>
    </dataValidation>
    <dataValidation type="list" errorStyle="warning" showInputMessage="1" showErrorMessage="1" errorTitle="SmartDox" error="The value you entered for the dropdown is not valid." sqref="H217" xr:uid="{6E631114-10E7-4B85-A9F0-8BC0361E6D54}">
      <formula1>SD_D_PL_DealEntityRole_Name</formula1>
    </dataValidation>
    <dataValidation type="list" errorStyle="warning" showInputMessage="1" showErrorMessage="1" errorTitle="SmartDox" error="The value you entered for the dropdown is not valid." sqref="O218" xr:uid="{43134960-0892-46B8-89C2-2B7FFD4E2306}">
      <formula1>SD_D_PL_State_Name</formula1>
    </dataValidation>
    <dataValidation type="list" errorStyle="warning" showInputMessage="1" showErrorMessage="1" errorTitle="SmartDox" error="The value you entered for the dropdown is not valid." sqref="I218" xr:uid="{15F8865F-855C-40D2-AE89-D486B0A6E804}">
      <formula1>SD_D_PL_EntityCompanyOrIndividual_Name</formula1>
    </dataValidation>
    <dataValidation type="list" errorStyle="warning" showInputMessage="1" showErrorMessage="1" errorTitle="SmartDox" error="The value you entered for the dropdown is not valid." sqref="H218" xr:uid="{79A7CCBB-8827-4BC1-9628-BF47EA3200D7}">
      <formula1>SD_D_PL_DealEntityRole_Name</formula1>
    </dataValidation>
    <dataValidation type="list" errorStyle="warning" showInputMessage="1" showErrorMessage="1" errorTitle="SmartDox" error="The value you entered for the dropdown is not valid." sqref="O219" xr:uid="{4F1CA975-44A2-4832-B40C-470F73490692}">
      <formula1>SD_D_PL_State_Name</formula1>
    </dataValidation>
    <dataValidation type="list" errorStyle="warning" showInputMessage="1" showErrorMessage="1" errorTitle="SmartDox" error="The value you entered for the dropdown is not valid." sqref="I219" xr:uid="{467AD0F1-D7B4-4BD8-9094-D756677F0C99}">
      <formula1>SD_D_PL_EntityCompanyOrIndividual_Name</formula1>
    </dataValidation>
    <dataValidation type="list" errorStyle="warning" showInputMessage="1" showErrorMessage="1" errorTitle="SmartDox" error="The value you entered for the dropdown is not valid." sqref="H219" xr:uid="{6E0304D6-EC38-4BF3-A243-33CF60D96816}">
      <formula1>SD_D_PL_DealEntityRole_Name</formula1>
    </dataValidation>
    <dataValidation type="list" errorStyle="warning" showInputMessage="1" showErrorMessage="1" errorTitle="SmartDox" error="The value you entered for the dropdown is not valid." sqref="O220" xr:uid="{E0D65104-2C5C-4FB1-8B9E-D2FC0A4D5F3B}">
      <formula1>SD_D_PL_State_Name</formula1>
    </dataValidation>
    <dataValidation type="list" errorStyle="warning" showInputMessage="1" showErrorMessage="1" errorTitle="SmartDox" error="The value you entered for the dropdown is not valid." sqref="I220" xr:uid="{560186F0-2D8A-4788-B712-59B8605E303E}">
      <formula1>SD_D_PL_EntityCompanyOrIndividual_Name</formula1>
    </dataValidation>
    <dataValidation type="list" errorStyle="warning" showInputMessage="1" showErrorMessage="1" errorTitle="SmartDox" error="The value you entered for the dropdown is not valid." sqref="H220" xr:uid="{8DEF7584-52DC-40C1-95FA-84F3F3399A19}">
      <formula1>SD_D_PL_DealEntityRole_Name</formula1>
    </dataValidation>
    <dataValidation type="list" errorStyle="warning" showInputMessage="1" showErrorMessage="1" errorTitle="SmartDox" error="The value you entered for the dropdown is not valid." sqref="O202" xr:uid="{A20425C0-DE89-4F3E-BF43-611D0110AE94}">
      <formula1>SD_D_PL_State_Name</formula1>
    </dataValidation>
    <dataValidation type="list" errorStyle="warning" showInputMessage="1" showErrorMessage="1" errorTitle="SmartDox" error="The value you entered for the dropdown is not valid." sqref="I202" xr:uid="{4399E12F-6087-4577-B5BB-6D3BE9356FCD}">
      <formula1>SD_D_PL_EntityCompanyOrIndividual_Name</formula1>
    </dataValidation>
    <dataValidation type="list" errorStyle="warning" showInputMessage="1" showErrorMessage="1" errorTitle="SmartDox" error="The value you entered for the dropdown is not valid." sqref="H202" xr:uid="{B9670012-325C-4C88-9030-E9A7210BC4D2}">
      <formula1>SD_D_PL_DealEntityRole_Name</formula1>
    </dataValidation>
    <dataValidation type="list" errorStyle="warning" showInputMessage="1" showErrorMessage="1" errorTitle="SmartDox" error="The value you entered for the dropdown is not valid." sqref="O221" xr:uid="{36EAE5AC-3ECF-4355-8349-A810129F6F7B}">
      <formula1>SD_D_PL_State_Name</formula1>
    </dataValidation>
    <dataValidation type="list" errorStyle="warning" showInputMessage="1" showErrorMessage="1" errorTitle="SmartDox" error="The value you entered for the dropdown is not valid." sqref="I221" xr:uid="{4682799F-62B3-4357-BC0C-59E1993DD5CF}">
      <formula1>SD_D_PL_EntityCompanyOrIndividual_Name</formula1>
    </dataValidation>
    <dataValidation type="list" errorStyle="warning" showInputMessage="1" showErrorMessage="1" errorTitle="SmartDox" error="The value you entered for the dropdown is not valid." sqref="H221" xr:uid="{57CAA2B1-B917-444F-823A-0C7EC9A575AE}">
      <formula1>SD_D_PL_DealEntityRole_Name</formula1>
    </dataValidation>
    <dataValidation type="list" errorStyle="warning" showInputMessage="1" showErrorMessage="1" errorTitle="SmartDox" error="The value you entered for the dropdown is not valid." sqref="H759" xr:uid="{45D972EA-7817-4DF5-A3A0-54691BF52A1E}">
      <formula1>SD_D_PL_State_Name</formula1>
    </dataValidation>
    <dataValidation type="list" errorStyle="warning" showInputMessage="1" showErrorMessage="1" errorTitle="SmartDox" error="The value you entered for the dropdown is not valid." sqref="H754" xr:uid="{DB8D853A-081D-4C5C-8F31-96FE1C03C5BC}">
      <formula1>SD_D_PL_EntityCompanyOrIndividual_Name</formula1>
    </dataValidation>
    <dataValidation type="list" errorStyle="warning" showInputMessage="1" showErrorMessage="1" errorTitle="SmartDox" error="The value you entered for the dropdown is not valid." sqref="H753" xr:uid="{3DB06BA7-16AE-4E79-A989-F81BDB603A8E}">
      <formula1>SD_D_PL_DealEntityRole_Name</formula1>
    </dataValidation>
    <dataValidation type="list" errorStyle="warning" showInputMessage="1" showErrorMessage="1" errorTitle="SmartDox" error="The value you entered for the dropdown is not valid." sqref="I759" xr:uid="{F006EC30-97DA-47A4-928A-56566C65698A}">
      <formula1>SD_D_PL_State_Name</formula1>
    </dataValidation>
    <dataValidation type="list" errorStyle="warning" showInputMessage="1" showErrorMessage="1" errorTitle="SmartDox" error="The value you entered for the dropdown is not valid." sqref="I754" xr:uid="{0E3C745A-DEB6-4916-AEAC-E870482E4B39}">
      <formula1>SD_D_PL_EntityCompanyOrIndividual_Name</formula1>
    </dataValidation>
    <dataValidation type="list" errorStyle="warning" showInputMessage="1" showErrorMessage="1" errorTitle="SmartDox" error="The value you entered for the dropdown is not valid." sqref="I753" xr:uid="{FB7CBB4F-7E00-445E-8CBA-ACFC357698B3}">
      <formula1>SD_D_PL_DealEntityRole_Name</formula1>
    </dataValidation>
    <dataValidation type="list" errorStyle="warning" showInputMessage="1" showErrorMessage="1" errorTitle="SmartDox" error="The value you entered for the dropdown is not valid." sqref="H788" xr:uid="{86E74E86-5B71-4CF6-BA25-E4DE6B621D86}">
      <formula1>SD_D_PL_State_Name</formula1>
    </dataValidation>
    <dataValidation type="list" errorStyle="warning" showInputMessage="1" showErrorMessage="1" errorTitle="SmartDox" error="The value you entered for the dropdown is not valid." sqref="H783" xr:uid="{A73FD6AB-6B80-48AC-9024-A380439178E2}">
      <formula1>SD_D_PL_EntityCompanyOrIndividual_Name</formula1>
    </dataValidation>
    <dataValidation type="list" errorStyle="warning" showInputMessage="1" showErrorMessage="1" errorTitle="SmartDox" error="The value you entered for the dropdown is not valid." sqref="H782" xr:uid="{05A15704-2347-42F8-8086-06DD1235110D}">
      <formula1>SD_D_PL_DealEntityRole_Name</formula1>
    </dataValidation>
    <dataValidation type="list" errorStyle="warning" showInputMessage="1" showErrorMessage="1" errorTitle="SmartDox" error="The value you entered for the dropdown is not valid." sqref="I788" xr:uid="{BFD21143-E244-4737-BEF1-B7B0AE0A4121}">
      <formula1>SD_D_PL_State_Name</formula1>
    </dataValidation>
    <dataValidation type="list" errorStyle="warning" showInputMessage="1" showErrorMessage="1" errorTitle="SmartDox" error="The value you entered for the dropdown is not valid." sqref="I783" xr:uid="{59E1E339-7FB7-4C35-BDFD-AEA106703E4F}">
      <formula1>SD_D_PL_EntityCompanyOrIndividual_Name</formula1>
    </dataValidation>
    <dataValidation type="list" errorStyle="warning" showInputMessage="1" showErrorMessage="1" errorTitle="SmartDox" error="The value you entered for the dropdown is not valid." sqref="I782" xr:uid="{93810155-EC79-4C76-B6CD-E4A9C1BB4FF8}">
      <formula1>SD_D_PL_DealEntityRole_Name</formula1>
    </dataValidation>
    <dataValidation type="list" errorStyle="warning" showInputMessage="1" showErrorMessage="1" errorTitle="SmartDox" error="The value you entered for the dropdown is not valid." sqref="O203" xr:uid="{9395DCAF-2FF4-413E-A1C2-4205BB893D5C}">
      <formula1>SD_D_PL_State_Name</formula1>
    </dataValidation>
    <dataValidation type="list" errorStyle="warning" showInputMessage="1" showErrorMessage="1" errorTitle="SmartDox" error="The value you entered for the dropdown is not valid." sqref="I203" xr:uid="{658B052C-C7E9-4604-A7BF-46845E0B9774}">
      <formula1>SD_D_PL_EntityCompanyOrIndividual_Name</formula1>
    </dataValidation>
    <dataValidation type="list" errorStyle="warning" showInputMessage="1" showErrorMessage="1" errorTitle="SmartDox" error="The value you entered for the dropdown is not valid." sqref="H203" xr:uid="{D742FD51-5B67-4734-800B-F4612D318B7D}">
      <formula1>SD_D_PL_DealEntityRole_Name</formula1>
    </dataValidation>
    <dataValidation type="list" errorStyle="warning" showInputMessage="1" showErrorMessage="1" errorTitle="SmartDox" error="The value you entered for the dropdown is not valid." sqref="O204" xr:uid="{9EFE5165-F8DA-4305-9F11-26CE4CDCC027}">
      <formula1>SD_D_PL_State_Name</formula1>
    </dataValidation>
    <dataValidation type="list" errorStyle="warning" showInputMessage="1" showErrorMessage="1" errorTitle="SmartDox" error="The value you entered for the dropdown is not valid." sqref="I204" xr:uid="{98C57AF4-AF0F-4F72-B44B-92893713BBEB}">
      <formula1>SD_D_PL_EntityCompanyOrIndividual_Name</formula1>
    </dataValidation>
    <dataValidation type="list" errorStyle="warning" showInputMessage="1" showErrorMessage="1" errorTitle="SmartDox" error="The value you entered for the dropdown is not valid." sqref="H204" xr:uid="{B9732F15-6162-4765-9F1B-6AC66DB07CDE}">
      <formula1>SD_D_PL_DealEntityRole_Name</formula1>
    </dataValidation>
    <dataValidation type="list" errorStyle="warning" showInputMessage="1" showErrorMessage="1" errorTitle="SmartDox" error="The value you entered for the dropdown is not valid." sqref="O205" xr:uid="{DBCD249D-D1C1-4307-8BD7-EF4E8C79199E}">
      <formula1>SD_D_PL_State_Name</formula1>
    </dataValidation>
    <dataValidation type="list" errorStyle="warning" showInputMessage="1" showErrorMessage="1" errorTitle="SmartDox" error="The value you entered for the dropdown is not valid." sqref="I205" xr:uid="{E6E8F1D7-5467-482A-ACB3-A3C2011A17AE}">
      <formula1>SD_D_PL_EntityCompanyOrIndividual_Name</formula1>
    </dataValidation>
    <dataValidation type="list" errorStyle="warning" showInputMessage="1" showErrorMessage="1" errorTitle="SmartDox" error="The value you entered for the dropdown is not valid." sqref="H205" xr:uid="{0C9BE7F8-4466-45CD-85FD-4F0F424FB0F6}">
      <formula1>SD_D_PL_DealEntityRole_Name</formula1>
    </dataValidation>
    <dataValidation type="list" errorStyle="warning" showInputMessage="1" showErrorMessage="1" errorTitle="SmartDox" error="The value you entered for the dropdown is not valid." sqref="O206" xr:uid="{A89AE6F7-0E25-4EDF-85A2-0DDAB6EFB802}">
      <formula1>SD_D_PL_State_Name</formula1>
    </dataValidation>
    <dataValidation type="list" errorStyle="warning" showInputMessage="1" showErrorMessage="1" errorTitle="SmartDox" error="The value you entered for the dropdown is not valid." sqref="I206" xr:uid="{E10069C6-DF65-4851-AA60-22BF4C1DB8DD}">
      <formula1>SD_D_PL_EntityCompanyOrIndividual_Name</formula1>
    </dataValidation>
    <dataValidation type="list" errorStyle="warning" showInputMessage="1" showErrorMessage="1" errorTitle="SmartDox" error="The value you entered for the dropdown is not valid." sqref="H206" xr:uid="{37DF24B4-0D54-4BF7-A2B5-43D9F2E986F0}">
      <formula1>SD_D_PL_DealEntityRole_Name</formula1>
    </dataValidation>
    <dataValidation type="list" errorStyle="warning" showInputMessage="1" showErrorMessage="1" errorTitle="SmartDox" error="The value you entered for the dropdown is not valid." sqref="O207" xr:uid="{4B99EE7F-C8D6-4394-8E95-337D1A25D683}">
      <formula1>SD_D_PL_State_Name</formula1>
    </dataValidation>
    <dataValidation type="list" errorStyle="warning" showInputMessage="1" showErrorMessage="1" errorTitle="SmartDox" error="The value you entered for the dropdown is not valid." sqref="I207" xr:uid="{064DE97A-F633-4DBA-8600-DD25B39D1236}">
      <formula1>SD_D_PL_EntityCompanyOrIndividual_Name</formula1>
    </dataValidation>
    <dataValidation type="list" errorStyle="warning" showInputMessage="1" showErrorMessage="1" errorTitle="SmartDox" error="The value you entered for the dropdown is not valid." sqref="H207" xr:uid="{64E37F11-9318-448C-918A-D3B6B8E8D5B9}">
      <formula1>SD_D_PL_DealEntityRole_Name</formula1>
    </dataValidation>
    <dataValidation type="list" errorStyle="warning" showInputMessage="1" showErrorMessage="1" errorTitle="SmartDox" error="The value you entered for the dropdown is not valid." sqref="O208" xr:uid="{872E39F6-4581-4809-B1F3-838834F018FA}">
      <formula1>SD_D_PL_State_Name</formula1>
    </dataValidation>
    <dataValidation type="list" errorStyle="warning" showInputMessage="1" showErrorMessage="1" errorTitle="SmartDox" error="The value you entered for the dropdown is not valid." sqref="I208" xr:uid="{095DC99A-0FEA-4705-932D-DEEB0972716E}">
      <formula1>SD_D_PL_EntityCompanyOrIndividual_Name</formula1>
    </dataValidation>
    <dataValidation type="list" errorStyle="warning" showInputMessage="1" showErrorMessage="1" errorTitle="SmartDox" error="The value you entered for the dropdown is not valid." sqref="H208" xr:uid="{2992B251-5FCD-4526-99C8-6B740FA68101}">
      <formula1>SD_D_PL_DealEntityRole_Name</formula1>
    </dataValidation>
    <dataValidation type="list" errorStyle="warning" showInputMessage="1" showErrorMessage="1" errorTitle="SmartDox" error="The value you entered for the dropdown is not valid." sqref="O209" xr:uid="{4B9AC07F-1ECB-4841-A341-2987BC2E8A5F}">
      <formula1>SD_D_PL_State_Name</formula1>
    </dataValidation>
    <dataValidation type="list" errorStyle="warning" showInputMessage="1" showErrorMessage="1" errorTitle="SmartDox" error="The value you entered for the dropdown is not valid." sqref="I209" xr:uid="{CAA7A53D-FB21-43B8-85C4-0C04918982AE}">
      <formula1>SD_D_PL_EntityCompanyOrIndividual_Name</formula1>
    </dataValidation>
    <dataValidation type="list" errorStyle="warning" showInputMessage="1" showErrorMessage="1" errorTitle="SmartDox" error="The value you entered for the dropdown is not valid." sqref="H209" xr:uid="{026EDAD8-1154-40A3-B071-AE073FB77C82}">
      <formula1>SD_D_PL_DealEntityRole_Name</formula1>
    </dataValidation>
    <dataValidation type="list" errorStyle="warning" showInputMessage="1" showErrorMessage="1" errorTitle="SmartDox" error="The value you entered for the dropdown is not valid." sqref="BX54" xr:uid="{00713523-7283-4CC0-B570-F84C357F31C3}">
      <formula1>SD_D_PL_UDF_125_Name</formula1>
    </dataValidation>
  </dataValidations>
  <pageMargins left="0.7" right="0.7" top="0.75" bottom="0.75" header="0.3" footer="0.3"/>
  <pageSetup orientation="portrait" r:id="rId1"/>
  <legacy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wst01_1_GeneralData">
    <tabColor theme="6" tint="0.79998168889431442"/>
    <pageSetUpPr autoPageBreaks="0"/>
  </sheetPr>
  <dimension ref="A1:EF687"/>
  <sheetViews>
    <sheetView zoomScale="85" zoomScaleNormal="85" workbookViewId="0"/>
  </sheetViews>
  <sheetFormatPr defaultColWidth="0" defaultRowHeight="15" zeroHeight="1"/>
  <cols>
    <col min="1" max="1" width="3" style="9" customWidth="1"/>
    <col min="2" max="2" width="62" style="10" customWidth="1"/>
    <col min="3" max="3" width="25.6640625" style="33" customWidth="1"/>
    <col min="4" max="4" width="21" style="9" customWidth="1"/>
    <col min="5" max="5" width="21" style="10" customWidth="1"/>
    <col min="6" max="52" width="21" style="9" customWidth="1"/>
    <col min="53" max="57" width="9" style="9" customWidth="1"/>
    <col min="58" max="16384" width="9" style="9" hidden="1"/>
  </cols>
  <sheetData>
    <row r="1" spans="1:136" s="11" customFormat="1" ht="26.25">
      <c r="A1" s="61" t="s">
        <v>1353</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c r="DW1" s="630"/>
      <c r="DX1" s="630"/>
      <c r="DY1" s="630"/>
      <c r="DZ1" s="630"/>
      <c r="EA1" s="630"/>
      <c r="EB1" s="630"/>
      <c r="EC1" s="630"/>
      <c r="ED1" s="630"/>
      <c r="EE1" s="630"/>
      <c r="EF1" s="630"/>
    </row>
    <row r="2" spans="1:136" s="11" customFormat="1" ht="21">
      <c r="A2" s="668" t="str">
        <f>IF(rng01_ProjectName="","[Project Name]", rng01_ProjectName)</f>
        <v>[Project Name]</v>
      </c>
      <c r="B2" s="664"/>
      <c r="C2" s="664"/>
      <c r="D2" s="665"/>
      <c r="E2" s="666" t="s">
        <v>245</v>
      </c>
      <c r="F2" s="667">
        <f>tbl00ModelProgress[[#Totals],[Date of Progress /
Last Edit]]</f>
        <v>0</v>
      </c>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row>
    <row r="3" spans="1:136" ht="12.75" customHeight="1"/>
    <row r="4" spans="1:136" ht="22.5" customHeight="1">
      <c r="D4" s="142"/>
      <c r="E4" s="143"/>
    </row>
    <row r="5" spans="1:136" ht="22.5" customHeight="1">
      <c r="D5" s="142"/>
      <c r="E5" s="144"/>
      <c r="F5" s="142"/>
    </row>
    <row r="6" spans="1:136" ht="12.75" customHeight="1">
      <c r="D6" s="142"/>
      <c r="E6" s="145"/>
    </row>
    <row r="7" spans="1:136" ht="14.25" customHeight="1" thickBot="1">
      <c r="A7" s="1886"/>
    </row>
    <row r="8" spans="1:136" ht="21.75" thickBot="1">
      <c r="B8" s="473" t="s">
        <v>1354</v>
      </c>
      <c r="C8" s="20"/>
      <c r="D8" s="21"/>
      <c r="E8" s="474"/>
      <c r="F8" s="475"/>
      <c r="G8" s="475"/>
      <c r="H8" s="475"/>
      <c r="I8" s="475"/>
      <c r="J8" s="475"/>
      <c r="K8" s="475"/>
      <c r="L8" s="475"/>
      <c r="M8" s="475"/>
      <c r="N8" s="475"/>
      <c r="O8" s="475"/>
      <c r="P8" s="475"/>
      <c r="Q8" s="475"/>
      <c r="R8" s="475"/>
      <c r="S8" s="475"/>
      <c r="T8" s="475"/>
      <c r="U8" s="475"/>
      <c r="V8" s="616"/>
    </row>
    <row r="9" spans="1:136" ht="15.75" thickBot="1"/>
    <row r="10" spans="1:136" ht="19.5" thickBot="1">
      <c r="B10" s="34" t="s">
        <v>36</v>
      </c>
      <c r="C10" s="1887"/>
      <c r="D10" s="1887"/>
      <c r="E10" s="1888"/>
      <c r="F10" s="10"/>
      <c r="H10" s="34" t="s">
        <v>881</v>
      </c>
      <c r="I10" s="1887"/>
      <c r="J10" s="1887"/>
      <c r="K10" s="1887"/>
      <c r="L10" s="1888"/>
    </row>
    <row r="11" spans="1:136" ht="15.75">
      <c r="B11" s="1889" t="s">
        <v>37</v>
      </c>
      <c r="C11" s="2173"/>
      <c r="D11" s="2174"/>
      <c r="E11" s="2160"/>
      <c r="F11" s="10"/>
      <c r="H11" s="1890" t="s">
        <v>883</v>
      </c>
      <c r="I11" s="151"/>
      <c r="J11" s="1891"/>
      <c r="K11" s="2159"/>
      <c r="L11" s="2160"/>
    </row>
    <row r="12" spans="1:136" ht="15.75">
      <c r="B12" s="1889" t="s">
        <v>851</v>
      </c>
      <c r="C12" s="2175"/>
      <c r="D12" s="2176"/>
      <c r="E12" s="2162"/>
      <c r="F12" s="10"/>
      <c r="H12" s="1890" t="s">
        <v>884</v>
      </c>
      <c r="I12" s="8"/>
      <c r="J12" s="147"/>
      <c r="K12" s="2161"/>
      <c r="L12" s="2162"/>
    </row>
    <row r="13" spans="1:136" ht="15.75">
      <c r="B13" s="1889" t="s">
        <v>852</v>
      </c>
      <c r="C13" s="2175"/>
      <c r="D13" s="2176"/>
      <c r="E13" s="2162"/>
      <c r="H13" s="1890" t="s">
        <v>886</v>
      </c>
      <c r="I13" s="8"/>
      <c r="J13" s="8"/>
      <c r="K13" s="2165"/>
      <c r="L13" s="2166"/>
    </row>
    <row r="14" spans="1:136" ht="15.75">
      <c r="B14" s="1889" t="s">
        <v>592</v>
      </c>
      <c r="C14" s="2186" t="s">
        <v>686</v>
      </c>
      <c r="D14" s="2187"/>
      <c r="E14" s="2188"/>
      <c r="H14" s="1892" t="s">
        <v>889</v>
      </c>
      <c r="K14" s="2157"/>
      <c r="L14" s="2158"/>
    </row>
    <row r="15" spans="1:136" ht="15.75">
      <c r="B15" s="1889" t="s">
        <v>2450</v>
      </c>
      <c r="C15" s="2179"/>
      <c r="D15" s="2180"/>
      <c r="E15" s="2181"/>
      <c r="H15" s="1890" t="s">
        <v>891</v>
      </c>
      <c r="I15" s="8"/>
      <c r="J15" s="8"/>
      <c r="K15" s="2163"/>
      <c r="L15" s="2164"/>
    </row>
    <row r="16" spans="1:136" ht="15.75">
      <c r="B16" s="1889" t="s">
        <v>343</v>
      </c>
      <c r="C16" s="2175"/>
      <c r="D16" s="2176"/>
      <c r="E16" s="2162"/>
      <c r="F16" s="150"/>
      <c r="H16" s="1890" t="s">
        <v>892</v>
      </c>
      <c r="I16" s="8"/>
      <c r="J16" s="8"/>
      <c r="K16" s="2163"/>
      <c r="L16" s="2164"/>
    </row>
    <row r="17" spans="2:12" ht="15.75">
      <c r="B17" s="1889" t="s">
        <v>42</v>
      </c>
      <c r="C17" s="2182"/>
      <c r="D17" s="2177"/>
      <c r="E17" s="2178"/>
      <c r="F17" s="150"/>
      <c r="H17" s="1890" t="s">
        <v>893</v>
      </c>
      <c r="I17" s="8"/>
      <c r="J17" s="8"/>
      <c r="K17" s="2167"/>
      <c r="L17" s="2168"/>
    </row>
    <row r="18" spans="2:12" ht="16.5" thickBot="1">
      <c r="B18" s="1889" t="s">
        <v>45</v>
      </c>
      <c r="C18" s="2155"/>
      <c r="D18" s="2177"/>
      <c r="E18" s="2178"/>
      <c r="H18" s="148" t="s">
        <v>895</v>
      </c>
      <c r="I18" s="149"/>
      <c r="J18" s="149"/>
      <c r="K18" s="2227"/>
      <c r="L18" s="2228"/>
    </row>
    <row r="19" spans="2:12" ht="15.75">
      <c r="B19" s="1889" t="s">
        <v>46</v>
      </c>
      <c r="C19" s="2175"/>
      <c r="D19" s="2176"/>
      <c r="E19" s="2162"/>
    </row>
    <row r="20" spans="2:12" ht="15.75">
      <c r="B20" s="1889" t="s">
        <v>2444</v>
      </c>
      <c r="C20" s="2175"/>
      <c r="D20" s="2176"/>
      <c r="E20" s="2162"/>
    </row>
    <row r="21" spans="2:12" ht="16.5" thickBot="1">
      <c r="B21" s="1889" t="s">
        <v>47</v>
      </c>
      <c r="C21" s="2183"/>
      <c r="D21" s="2184"/>
      <c r="E21" s="2185"/>
    </row>
    <row r="22" spans="2:12" ht="19.5" thickBot="1">
      <c r="B22" s="1889" t="s">
        <v>51</v>
      </c>
      <c r="C22" s="2182"/>
      <c r="D22" s="2177"/>
      <c r="E22" s="2178"/>
      <c r="H22" s="34" t="s">
        <v>896</v>
      </c>
      <c r="I22" s="1887"/>
      <c r="J22" s="1887"/>
      <c r="K22" s="1887"/>
      <c r="L22" s="1888"/>
    </row>
    <row r="23" spans="2:12" ht="15.75">
      <c r="B23" s="1889" t="s">
        <v>855</v>
      </c>
      <c r="C23" s="2175"/>
      <c r="D23" s="2176"/>
      <c r="E23" s="2162"/>
      <c r="H23" s="1890" t="s">
        <v>897</v>
      </c>
      <c r="I23" s="151"/>
      <c r="J23" s="1891"/>
      <c r="K23" s="2169"/>
      <c r="L23" s="2170"/>
    </row>
    <row r="24" spans="2:12" ht="15.75">
      <c r="B24" s="1889" t="s">
        <v>2481</v>
      </c>
      <c r="C24" s="2403"/>
      <c r="D24" s="2404"/>
      <c r="E24" s="2405"/>
      <c r="H24" s="1890" t="s">
        <v>898</v>
      </c>
      <c r="I24" s="151"/>
      <c r="J24" s="1891"/>
      <c r="K24" s="2236"/>
      <c r="L24" s="2237"/>
    </row>
    <row r="25" spans="2:12" ht="16.5" thickBot="1">
      <c r="B25" s="1889" t="s">
        <v>856</v>
      </c>
      <c r="C25" s="2243">
        <v>45951</v>
      </c>
      <c r="D25" s="2244"/>
      <c r="E25" s="2245"/>
      <c r="F25" s="10"/>
      <c r="H25" s="148" t="s">
        <v>49</v>
      </c>
      <c r="I25" s="149"/>
      <c r="J25" s="1894"/>
      <c r="K25" s="2238"/>
      <c r="L25" s="2239"/>
    </row>
    <row r="26" spans="2:12" ht="16.5" thickBot="1">
      <c r="B26" s="1893" t="s">
        <v>857</v>
      </c>
      <c r="C26" s="2240" t="s">
        <v>2582</v>
      </c>
      <c r="D26" s="2241"/>
      <c r="E26" s="2242"/>
      <c r="F26" s="10"/>
      <c r="H26" s="151"/>
      <c r="I26" s="8"/>
      <c r="J26" s="8"/>
      <c r="K26" s="1995"/>
      <c r="L26" s="1995"/>
    </row>
    <row r="27" spans="2:12" ht="16.5" thickBot="1">
      <c r="B27" s="1849"/>
      <c r="C27" s="1895"/>
      <c r="D27" s="1895"/>
      <c r="E27" s="1895"/>
      <c r="F27" s="10"/>
    </row>
    <row r="28" spans="2:12" ht="19.5" thickBot="1">
      <c r="C28" s="1896"/>
      <c r="H28" s="34" t="s">
        <v>899</v>
      </c>
      <c r="I28" s="1887"/>
      <c r="J28" s="1887"/>
      <c r="K28" s="1887"/>
      <c r="L28" s="1888"/>
    </row>
    <row r="29" spans="2:12" ht="19.5" thickBot="1">
      <c r="B29" s="34" t="s">
        <v>858</v>
      </c>
      <c r="C29" s="1887"/>
      <c r="D29" s="1887"/>
      <c r="E29" s="1888"/>
      <c r="H29" s="1890" t="s">
        <v>900</v>
      </c>
      <c r="I29" s="151"/>
      <c r="J29" s="151"/>
      <c r="K29" s="2159"/>
      <c r="L29" s="2160"/>
    </row>
    <row r="30" spans="2:12" ht="15.75">
      <c r="B30" s="1890" t="s">
        <v>859</v>
      </c>
      <c r="C30" s="2251"/>
      <c r="D30" s="2251"/>
      <c r="E30" s="2252"/>
      <c r="H30" s="1890" t="s">
        <v>97</v>
      </c>
      <c r="I30" s="8"/>
      <c r="J30" s="8"/>
      <c r="K30" s="2171"/>
      <c r="L30" s="2172"/>
    </row>
    <row r="31" spans="2:12" ht="15.75">
      <c r="B31" s="1890" t="s">
        <v>860</v>
      </c>
      <c r="C31" s="2233"/>
      <c r="D31" s="2234"/>
      <c r="E31" s="2235"/>
      <c r="H31" s="1890" t="s">
        <v>852</v>
      </c>
      <c r="I31" s="8"/>
      <c r="J31" s="8"/>
      <c r="K31" s="2171"/>
      <c r="L31" s="2172"/>
    </row>
    <row r="32" spans="2:12" ht="15.75">
      <c r="B32" s="1890" t="s">
        <v>109</v>
      </c>
      <c r="C32" s="2161"/>
      <c r="D32" s="2176"/>
      <c r="E32" s="2162"/>
      <c r="H32" s="1890" t="s">
        <v>592</v>
      </c>
      <c r="I32" s="8"/>
      <c r="J32" s="8"/>
      <c r="K32" s="2171"/>
      <c r="L32" s="2172"/>
    </row>
    <row r="33" spans="2:12" ht="15.75">
      <c r="B33" s="1890" t="s">
        <v>861</v>
      </c>
      <c r="C33" s="2161"/>
      <c r="D33" s="2176"/>
      <c r="E33" s="2162"/>
      <c r="H33" s="1890" t="s">
        <v>41</v>
      </c>
      <c r="I33" s="8"/>
      <c r="J33" s="8"/>
      <c r="K33" s="2253"/>
      <c r="L33" s="2181"/>
    </row>
    <row r="34" spans="2:12" ht="15.75">
      <c r="B34" s="1890" t="s">
        <v>862</v>
      </c>
      <c r="C34" s="2161"/>
      <c r="D34" s="2176"/>
      <c r="E34" s="2162"/>
      <c r="H34" s="1890" t="s">
        <v>905</v>
      </c>
      <c r="I34" s="8"/>
      <c r="J34" s="8"/>
      <c r="K34" s="2229"/>
      <c r="L34" s="2230"/>
    </row>
    <row r="35" spans="2:12" ht="15.75">
      <c r="B35" s="1890" t="s">
        <v>863</v>
      </c>
      <c r="C35" s="2161"/>
      <c r="D35" s="2176"/>
      <c r="E35" s="2162"/>
      <c r="H35" s="1890" t="s">
        <v>906</v>
      </c>
      <c r="I35" s="8"/>
      <c r="J35" s="8"/>
      <c r="K35" s="2231"/>
      <c r="L35" s="2232"/>
    </row>
    <row r="36" spans="2:12" ht="15.75">
      <c r="B36" s="1890" t="s">
        <v>864</v>
      </c>
      <c r="C36" s="2161"/>
      <c r="D36" s="2176"/>
      <c r="E36" s="2162"/>
      <c r="H36" s="1890" t="s">
        <v>907</v>
      </c>
      <c r="I36" s="8"/>
      <c r="J36" s="8"/>
      <c r="K36" s="2161"/>
      <c r="L36" s="2162"/>
    </row>
    <row r="37" spans="2:12" ht="15.75">
      <c r="B37" s="1890" t="s">
        <v>865</v>
      </c>
      <c r="C37" s="2161"/>
      <c r="D37" s="2176"/>
      <c r="E37" s="2162"/>
      <c r="H37" s="1890" t="s">
        <v>908</v>
      </c>
      <c r="I37" s="8"/>
      <c r="J37" s="8"/>
      <c r="K37" s="2161"/>
      <c r="L37" s="2162"/>
    </row>
    <row r="38" spans="2:12" ht="15.75">
      <c r="B38" s="1890" t="s">
        <v>866</v>
      </c>
      <c r="C38" s="2161"/>
      <c r="D38" s="2176"/>
      <c r="E38" s="2162"/>
      <c r="H38" s="1890" t="s">
        <v>909</v>
      </c>
      <c r="I38" s="8"/>
      <c r="J38" s="8"/>
      <c r="K38" s="2161"/>
      <c r="L38" s="2162"/>
    </row>
    <row r="39" spans="2:12" ht="15.75">
      <c r="B39" s="1890" t="s">
        <v>868</v>
      </c>
      <c r="C39" s="2161"/>
      <c r="D39" s="2176"/>
      <c r="E39" s="2162"/>
      <c r="H39" s="1890" t="s">
        <v>910</v>
      </c>
      <c r="I39" s="8"/>
      <c r="J39" s="8"/>
      <c r="K39" s="2161"/>
      <c r="L39" s="2162"/>
    </row>
    <row r="40" spans="2:12" ht="15.75">
      <c r="B40" s="1890" t="s">
        <v>870</v>
      </c>
      <c r="C40" s="2248">
        <f>SUM(C58:C59)</f>
        <v>0</v>
      </c>
      <c r="D40" s="2249"/>
      <c r="E40" s="2250"/>
      <c r="H40" s="1890" t="s">
        <v>911</v>
      </c>
      <c r="I40" s="8"/>
      <c r="J40" s="8"/>
      <c r="K40" s="2161"/>
      <c r="L40" s="2162"/>
    </row>
    <row r="41" spans="2:12" ht="15.75">
      <c r="B41" s="1890" t="s">
        <v>871</v>
      </c>
      <c r="C41" s="2161"/>
      <c r="D41" s="2176"/>
      <c r="E41" s="2162"/>
      <c r="H41" s="1890" t="s">
        <v>110</v>
      </c>
      <c r="I41" s="8"/>
      <c r="J41" s="8"/>
      <c r="K41" s="2161"/>
      <c r="L41" s="2162"/>
    </row>
    <row r="42" spans="2:12" ht="16.5" thickBot="1">
      <c r="B42" s="1890" t="s">
        <v>872</v>
      </c>
      <c r="C42" s="2161"/>
      <c r="D42" s="2176"/>
      <c r="E42" s="2162"/>
      <c r="F42" s="10"/>
      <c r="H42" s="148" t="s">
        <v>913</v>
      </c>
      <c r="I42" s="149"/>
      <c r="J42" s="149"/>
      <c r="K42" s="2227"/>
      <c r="L42" s="2228"/>
    </row>
    <row r="43" spans="2:12" ht="15.75">
      <c r="B43" s="1890" t="s">
        <v>873</v>
      </c>
      <c r="C43" s="2217"/>
      <c r="D43" s="2217"/>
      <c r="E43" s="2218"/>
      <c r="F43" s="10"/>
      <c r="H43" s="151"/>
      <c r="I43" s="8"/>
      <c r="J43" s="8"/>
      <c r="K43" s="1853"/>
      <c r="L43" s="1853"/>
    </row>
    <row r="44" spans="2:12" ht="16.5" thickBot="1">
      <c r="B44" s="148" t="s">
        <v>2448</v>
      </c>
      <c r="C44" s="2219">
        <f>IF(ISBLANK(rng02_TotalUnit), "", rng02_TotalUnit)</f>
        <v>0</v>
      </c>
      <c r="D44" s="2220"/>
      <c r="E44" s="2221"/>
      <c r="F44" s="10"/>
      <c r="H44" s="151"/>
      <c r="I44" s="8"/>
      <c r="J44" s="8"/>
      <c r="K44" s="1853"/>
      <c r="L44" s="1853"/>
    </row>
    <row r="45" spans="2:12" ht="16.5" thickBot="1">
      <c r="B45" s="151"/>
      <c r="C45" s="1897"/>
      <c r="D45" s="1897"/>
      <c r="E45" s="1897"/>
    </row>
    <row r="46" spans="2:12" ht="19.5" thickBot="1">
      <c r="B46" s="9"/>
      <c r="C46" s="9"/>
      <c r="E46" s="9"/>
      <c r="H46" s="34" t="str">
        <f>IF(K16="Tax Exempt","Tax Exempt Bond Financing: General 50% Financing to Basis Test","Tax Exempt Financing - Not Applicable")</f>
        <v>Tax Exempt Financing - Not Applicable</v>
      </c>
      <c r="I46" s="1887"/>
      <c r="J46" s="1887"/>
      <c r="K46" s="1887"/>
      <c r="L46" s="1888"/>
    </row>
    <row r="47" spans="2:12" ht="19.5" thickBot="1">
      <c r="B47" s="34" t="s">
        <v>874</v>
      </c>
      <c r="C47" s="1887"/>
      <c r="D47" s="1887"/>
      <c r="E47" s="1888"/>
      <c r="F47" s="738"/>
      <c r="H47" s="1890" t="s">
        <v>916</v>
      </c>
      <c r="I47" s="151"/>
      <c r="J47" s="1891"/>
      <c r="K47" s="2204">
        <f>'02_3_SOURCES'!F44</f>
        <v>0</v>
      </c>
      <c r="L47" s="2205"/>
    </row>
    <row r="48" spans="2:12" ht="15.75">
      <c r="B48" s="146" t="s">
        <v>875</v>
      </c>
      <c r="C48" s="2159"/>
      <c r="D48" s="2174"/>
      <c r="E48" s="2160"/>
      <c r="H48" s="707" t="str">
        <f>'02_4_USES'!N5</f>
        <v>Aggregate Basis plus Land</v>
      </c>
      <c r="I48" s="296"/>
      <c r="J48" s="297"/>
      <c r="K48" s="2206">
        <f>'02_4_USES'!N90</f>
        <v>0</v>
      </c>
      <c r="L48" s="2207"/>
    </row>
    <row r="49" spans="2:22" ht="16.5" thickBot="1">
      <c r="B49" s="1890" t="s">
        <v>876</v>
      </c>
      <c r="C49" s="2161"/>
      <c r="D49" s="2176"/>
      <c r="E49" s="2162"/>
      <c r="H49" s="148" t="s">
        <v>918</v>
      </c>
      <c r="I49" s="1898"/>
      <c r="J49" s="1898"/>
      <c r="K49" s="2246" t="str">
        <f>IF(K16="Tax Exempt",IF(K48=0,0,K47/K48),"Not Applicable")</f>
        <v>Not Applicable</v>
      </c>
      <c r="L49" s="2247"/>
    </row>
    <row r="50" spans="2:22" ht="16.5" thickBot="1">
      <c r="B50" s="1890" t="s">
        <v>877</v>
      </c>
      <c r="C50" s="2161"/>
      <c r="D50" s="2176"/>
      <c r="E50" s="2162"/>
      <c r="H50" s="1899" t="s">
        <v>1355</v>
      </c>
      <c r="I50" s="705"/>
      <c r="J50" s="705"/>
      <c r="K50" s="705"/>
      <c r="L50" s="706"/>
    </row>
    <row r="51" spans="2:22" ht="15.75">
      <c r="B51" s="1890" t="s">
        <v>878</v>
      </c>
      <c r="C51" s="2161"/>
      <c r="D51" s="2176"/>
      <c r="E51" s="2162"/>
    </row>
    <row r="52" spans="2:22" ht="16.5" thickBot="1">
      <c r="B52" s="148" t="s">
        <v>879</v>
      </c>
      <c r="C52" s="2214"/>
      <c r="D52" s="2215"/>
      <c r="E52" s="2216"/>
    </row>
    <row r="53" spans="2:22">
      <c r="B53" s="9"/>
      <c r="C53" s="9"/>
      <c r="E53" s="9"/>
    </row>
    <row r="54" spans="2:22" ht="15.75" thickBot="1">
      <c r="B54" s="9"/>
      <c r="C54" s="9"/>
      <c r="E54" s="9"/>
    </row>
    <row r="55" spans="2:22" ht="21.75" thickBot="1">
      <c r="B55" s="473" t="s">
        <v>1356</v>
      </c>
      <c r="C55" s="20"/>
      <c r="D55" s="21"/>
      <c r="E55" s="474"/>
      <c r="F55" s="475"/>
      <c r="G55" s="475"/>
      <c r="H55" s="475"/>
      <c r="I55" s="475"/>
      <c r="J55" s="475"/>
      <c r="K55" s="475"/>
      <c r="L55" s="475"/>
      <c r="M55" s="475"/>
      <c r="N55" s="475"/>
      <c r="O55" s="475"/>
      <c r="P55" s="475"/>
      <c r="Q55" s="475"/>
      <c r="R55" s="475"/>
      <c r="S55" s="475"/>
      <c r="T55" s="475"/>
      <c r="U55" s="475"/>
      <c r="V55" s="616"/>
    </row>
    <row r="56" spans="2:22" ht="16.5" thickBot="1">
      <c r="B56" s="159"/>
      <c r="C56" s="160"/>
      <c r="D56" s="11"/>
      <c r="E56" s="159"/>
      <c r="F56" s="11"/>
      <c r="G56" s="11"/>
      <c r="H56" s="11"/>
      <c r="I56" s="151"/>
      <c r="J56" s="160"/>
      <c r="L56" s="11"/>
      <c r="M56" s="159"/>
      <c r="N56" s="11"/>
      <c r="O56" s="11"/>
      <c r="P56" s="11"/>
    </row>
    <row r="57" spans="2:22" ht="57" customHeight="1" thickBot="1">
      <c r="B57" s="1900" t="s">
        <v>928</v>
      </c>
      <c r="C57" s="36" t="s">
        <v>870</v>
      </c>
      <c r="D57" s="36" t="s">
        <v>923</v>
      </c>
      <c r="E57" s="36" t="s">
        <v>112</v>
      </c>
      <c r="F57" s="2208" t="s">
        <v>929</v>
      </c>
      <c r="G57" s="2209"/>
      <c r="H57" s="1996" t="s">
        <v>130</v>
      </c>
      <c r="I57" s="1901" t="s">
        <v>930</v>
      </c>
      <c r="K57" s="2222" t="s">
        <v>2453</v>
      </c>
      <c r="L57" s="2223"/>
    </row>
    <row r="58" spans="2:22" ht="15.75">
      <c r="B58" s="161" t="s">
        <v>931</v>
      </c>
      <c r="C58" s="1386"/>
      <c r="D58" s="68"/>
      <c r="E58" s="1386"/>
      <c r="F58" s="2212"/>
      <c r="G58" s="2213"/>
      <c r="H58" s="1997"/>
      <c r="I58" s="1511"/>
      <c r="K58" s="161" t="s">
        <v>2452</v>
      </c>
      <c r="L58" s="1511"/>
    </row>
    <row r="59" spans="2:22" ht="16.5" thickBot="1">
      <c r="B59" s="1902" t="s">
        <v>931</v>
      </c>
      <c r="C59" s="68"/>
      <c r="D59" s="68"/>
      <c r="E59" s="68"/>
      <c r="F59" s="2210"/>
      <c r="G59" s="2211"/>
      <c r="H59" s="1882"/>
      <c r="I59" s="1998"/>
      <c r="K59" s="1903" t="s">
        <v>2451</v>
      </c>
      <c r="L59" s="70"/>
      <c r="M59" s="9" t="s">
        <v>2457</v>
      </c>
    </row>
    <row r="60" spans="2:22" ht="15.75">
      <c r="B60" s="1902" t="s">
        <v>199</v>
      </c>
      <c r="C60" s="68"/>
      <c r="D60" s="68"/>
      <c r="E60" s="68"/>
      <c r="F60" s="2210"/>
      <c r="G60" s="2211"/>
      <c r="H60" s="1882"/>
      <c r="I60" s="1998"/>
    </row>
    <row r="61" spans="2:22" ht="15.75">
      <c r="B61" s="1902" t="s">
        <v>932</v>
      </c>
      <c r="C61" s="68"/>
      <c r="D61" s="68"/>
      <c r="E61" s="68"/>
      <c r="F61" s="2210"/>
      <c r="G61" s="2211"/>
      <c r="H61" s="1882"/>
      <c r="I61" s="1998"/>
    </row>
    <row r="62" spans="2:22" ht="16.5" thickBot="1">
      <c r="B62" s="1903" t="s">
        <v>96</v>
      </c>
      <c r="C62" s="1388"/>
      <c r="D62" s="1388"/>
      <c r="E62" s="1388"/>
      <c r="F62" s="2224"/>
      <c r="G62" s="2225"/>
      <c r="H62" s="1883"/>
      <c r="I62" s="70"/>
    </row>
    <row r="63" spans="2:22" ht="16.5" thickBot="1">
      <c r="B63" s="1904" t="s">
        <v>1357</v>
      </c>
      <c r="C63" s="1905">
        <f>SUM(C58:C62)</f>
        <v>0</v>
      </c>
      <c r="D63" s="8"/>
      <c r="E63" s="151"/>
      <c r="F63" s="8"/>
      <c r="G63" s="8"/>
    </row>
    <row r="64" spans="2:22" ht="16.5" thickBot="1">
      <c r="B64" s="195" t="s">
        <v>2431</v>
      </c>
      <c r="C64" s="1906">
        <f>rng02_TotalUnit</f>
        <v>0</v>
      </c>
      <c r="E64" s="9"/>
    </row>
    <row r="65" spans="2:16" ht="15.75" thickBot="1">
      <c r="B65" s="9"/>
      <c r="C65" s="9"/>
      <c r="E65" s="9"/>
    </row>
    <row r="66" spans="2:16" ht="15.75">
      <c r="B66" s="146" t="s">
        <v>936</v>
      </c>
      <c r="C66" s="1907">
        <f>SUM(I58:I59)</f>
        <v>0</v>
      </c>
      <c r="D66" s="8"/>
      <c r="E66" s="146" t="s">
        <v>941</v>
      </c>
      <c r="F66" s="1908"/>
      <c r="G66" s="163">
        <f>SUM(rng02_Summary_Res_Config_NRSFLIHTC_TOTAL, rng02_Summary_Res_Config_NRSFMkt_TOTAL)</f>
        <v>0</v>
      </c>
      <c r="L66" s="8"/>
    </row>
    <row r="67" spans="2:16" ht="15.75">
      <c r="B67" s="1890" t="s">
        <v>937</v>
      </c>
      <c r="C67" s="1909">
        <f>I60</f>
        <v>0</v>
      </c>
      <c r="D67" s="8"/>
      <c r="E67" s="1890" t="s">
        <v>942</v>
      </c>
      <c r="G67" s="1910">
        <f>SUMPRODUCT('02_1_INCOME'!E48:E59,'02_1_INCOME'!F48:F59)</f>
        <v>0</v>
      </c>
      <c r="L67" s="8"/>
    </row>
    <row r="68" spans="2:16" ht="15.75">
      <c r="B68" s="1890" t="s">
        <v>938</v>
      </c>
      <c r="C68" s="1909">
        <f>I61</f>
        <v>0</v>
      </c>
      <c r="D68" s="8"/>
      <c r="E68" s="1890" t="s">
        <v>943</v>
      </c>
      <c r="G68" s="1911">
        <f>SUM(G66:G67)</f>
        <v>0</v>
      </c>
      <c r="L68" s="8"/>
      <c r="P68" s="8"/>
    </row>
    <row r="69" spans="2:16" ht="16.5" thickBot="1">
      <c r="B69" s="1890" t="s">
        <v>939</v>
      </c>
      <c r="C69" s="70"/>
      <c r="D69" s="8"/>
      <c r="E69" s="1890" t="s">
        <v>944</v>
      </c>
      <c r="G69" s="1912" t="e">
        <f>G66/G68</f>
        <v>#DIV/0!</v>
      </c>
      <c r="L69" s="8"/>
      <c r="P69" s="8"/>
    </row>
    <row r="70" spans="2:16" ht="16.5" thickBot="1">
      <c r="B70" s="148" t="s">
        <v>940</v>
      </c>
      <c r="C70" s="1913">
        <f>SUM(C66:C69)+I62</f>
        <v>0</v>
      </c>
      <c r="D70" s="8"/>
      <c r="E70" s="148" t="s">
        <v>945</v>
      </c>
      <c r="F70" s="158"/>
      <c r="G70" s="1914" t="e">
        <f>G67/G68</f>
        <v>#DIV/0!</v>
      </c>
      <c r="L70" s="8"/>
      <c r="P70" s="8"/>
    </row>
    <row r="71" spans="2:16" ht="15.75">
      <c r="L71" s="8"/>
      <c r="P71" s="8"/>
    </row>
    <row r="72" spans="2:16" ht="18.75">
      <c r="B72" s="134" t="s">
        <v>946</v>
      </c>
      <c r="L72" s="8"/>
      <c r="P72" s="8"/>
    </row>
    <row r="73" spans="2:16" ht="16.5" thickBot="1">
      <c r="C73" s="10"/>
      <c r="D73" s="10"/>
      <c r="F73" s="10"/>
      <c r="G73" s="10"/>
      <c r="L73" s="8"/>
      <c r="P73" s="8"/>
    </row>
    <row r="74" spans="2:16" ht="38.25" thickBot="1">
      <c r="B74" s="37" t="s">
        <v>948</v>
      </c>
      <c r="C74" s="1915"/>
      <c r="D74" s="10"/>
      <c r="E74" s="37" t="s">
        <v>125</v>
      </c>
      <c r="F74" s="1916"/>
      <c r="G74" s="1917" t="s">
        <v>962</v>
      </c>
      <c r="I74" s="37" t="s">
        <v>969</v>
      </c>
      <c r="J74" s="35"/>
      <c r="K74" s="36" t="s">
        <v>971</v>
      </c>
      <c r="L74" s="36" t="s">
        <v>972</v>
      </c>
      <c r="M74" s="54" t="s">
        <v>111</v>
      </c>
      <c r="N74" s="2196" t="s">
        <v>973</v>
      </c>
      <c r="O74" s="2197"/>
    </row>
    <row r="75" spans="2:16" ht="15.75">
      <c r="B75" s="161" t="s">
        <v>950</v>
      </c>
      <c r="C75" s="1387"/>
      <c r="D75" s="10"/>
      <c r="E75" s="2025"/>
      <c r="F75" s="2026"/>
      <c r="G75" s="857"/>
      <c r="I75" s="152" t="s">
        <v>974</v>
      </c>
      <c r="K75" s="1386"/>
      <c r="L75" s="1386"/>
      <c r="M75" s="1387"/>
      <c r="N75" s="2202"/>
      <c r="O75" s="2203"/>
    </row>
    <row r="76" spans="2:16" ht="15.75">
      <c r="B76" s="1902" t="s">
        <v>952</v>
      </c>
      <c r="C76" s="67"/>
      <c r="D76" s="10"/>
      <c r="E76" s="2023"/>
      <c r="F76" s="2024"/>
      <c r="G76" s="858"/>
      <c r="I76" s="152" t="s">
        <v>975</v>
      </c>
      <c r="K76" s="68"/>
      <c r="L76" s="68"/>
      <c r="M76" s="1387"/>
      <c r="N76" s="2155"/>
      <c r="O76" s="2156"/>
    </row>
    <row r="77" spans="2:16" ht="15.75">
      <c r="B77" s="1902" t="s">
        <v>953</v>
      </c>
      <c r="C77" s="67"/>
      <c r="D77" s="10"/>
      <c r="E77" s="2023"/>
      <c r="F77" s="2024"/>
      <c r="G77" s="858"/>
      <c r="I77" s="152" t="s">
        <v>977</v>
      </c>
      <c r="K77" s="68"/>
      <c r="L77" s="68"/>
      <c r="M77" s="1387"/>
      <c r="N77" s="2155"/>
      <c r="O77" s="2156"/>
    </row>
    <row r="78" spans="2:16" ht="15.75">
      <c r="B78" s="1902" t="s">
        <v>954</v>
      </c>
      <c r="C78" s="67"/>
      <c r="D78" s="10"/>
      <c r="E78" s="2023"/>
      <c r="F78" s="2024"/>
      <c r="G78" s="858"/>
      <c r="I78" s="152" t="s">
        <v>979</v>
      </c>
      <c r="K78" s="68"/>
      <c r="L78" s="68"/>
      <c r="M78" s="1387"/>
      <c r="N78" s="2155"/>
      <c r="O78" s="2156"/>
    </row>
    <row r="79" spans="2:16" ht="15.75">
      <c r="B79" s="1902" t="s">
        <v>956</v>
      </c>
      <c r="C79" s="67"/>
      <c r="D79" s="10"/>
      <c r="E79" s="2023"/>
      <c r="F79" s="2024"/>
      <c r="G79" s="858"/>
      <c r="I79" s="152" t="s">
        <v>982</v>
      </c>
      <c r="K79" s="68"/>
      <c r="L79" s="68"/>
      <c r="M79" s="1387"/>
      <c r="N79" s="2155"/>
      <c r="O79" s="2156"/>
    </row>
    <row r="80" spans="2:16" ht="15.75">
      <c r="B80" s="1902" t="s">
        <v>958</v>
      </c>
      <c r="C80" s="67"/>
      <c r="D80" s="10"/>
      <c r="E80" s="2023"/>
      <c r="F80" s="2024"/>
      <c r="G80" s="858"/>
      <c r="I80" s="152" t="s">
        <v>984</v>
      </c>
      <c r="K80" s="68"/>
      <c r="L80" s="68"/>
      <c r="M80" s="1387"/>
      <c r="N80" s="2155"/>
      <c r="O80" s="2156"/>
    </row>
    <row r="81" spans="1:22" ht="15.75">
      <c r="B81" s="1902" t="s">
        <v>959</v>
      </c>
      <c r="C81" s="67"/>
      <c r="D81" s="10"/>
      <c r="E81" s="2023"/>
      <c r="F81" s="2024"/>
      <c r="G81" s="858"/>
      <c r="I81" s="152" t="s">
        <v>197</v>
      </c>
      <c r="K81" s="68"/>
      <c r="L81" s="68"/>
      <c r="M81" s="67"/>
      <c r="N81" s="2155"/>
      <c r="O81" s="2156"/>
    </row>
    <row r="82" spans="1:22" ht="16.5" thickBot="1">
      <c r="B82" s="1902" t="s">
        <v>960</v>
      </c>
      <c r="C82" s="67"/>
      <c r="D82" s="10"/>
      <c r="E82" s="2027"/>
      <c r="F82" s="2028"/>
      <c r="G82" s="859"/>
      <c r="I82" s="162" t="s">
        <v>985</v>
      </c>
      <c r="J82" s="158"/>
      <c r="K82" s="1388"/>
      <c r="L82" s="1388"/>
      <c r="M82" s="69"/>
      <c r="N82" s="2200"/>
      <c r="O82" s="2201"/>
    </row>
    <row r="83" spans="1:22" ht="15.75">
      <c r="B83" s="488" t="s">
        <v>961</v>
      </c>
      <c r="C83" s="67"/>
      <c r="D83" s="10"/>
      <c r="E83" s="9"/>
      <c r="F83" s="11"/>
      <c r="G83" s="11"/>
      <c r="K83" s="8"/>
      <c r="O83" s="8"/>
    </row>
    <row r="84" spans="1:22" ht="16.5" thickBot="1">
      <c r="B84" s="1234" t="s">
        <v>961</v>
      </c>
      <c r="C84" s="69"/>
      <c r="D84" s="10"/>
      <c r="E84" s="9"/>
      <c r="F84" s="11"/>
      <c r="G84" s="11"/>
      <c r="K84" s="8"/>
      <c r="O84" s="8"/>
    </row>
    <row r="85" spans="1:22" ht="15.75">
      <c r="G85" s="11"/>
      <c r="H85" s="11"/>
      <c r="L85" s="8"/>
      <c r="P85" s="8"/>
    </row>
    <row r="86" spans="1:22" ht="15.75" thickBot="1">
      <c r="B86" s="9"/>
      <c r="C86" s="9"/>
    </row>
    <row r="87" spans="1:22" ht="21.75" thickBot="1">
      <c r="B87" s="473" t="s">
        <v>1358</v>
      </c>
      <c r="C87" s="20"/>
      <c r="D87" s="21"/>
      <c r="E87" s="474"/>
      <c r="F87" s="475"/>
      <c r="G87" s="475"/>
      <c r="H87" s="475"/>
      <c r="I87" s="475"/>
      <c r="J87" s="475"/>
      <c r="K87" s="475"/>
      <c r="L87" s="475"/>
      <c r="M87" s="475"/>
      <c r="N87" s="475"/>
      <c r="O87" s="475"/>
      <c r="P87" s="475"/>
      <c r="Q87" s="475"/>
      <c r="R87" s="475"/>
      <c r="S87" s="475"/>
      <c r="T87" s="475"/>
      <c r="U87" s="475"/>
      <c r="V87" s="616"/>
    </row>
    <row r="88" spans="1:22" ht="15.75" thickBot="1">
      <c r="B88" s="9"/>
      <c r="C88" s="9"/>
    </row>
    <row r="89" spans="1:22" ht="32.25" thickBot="1">
      <c r="B89" s="1918" t="s">
        <v>989</v>
      </c>
      <c r="C89" s="1140" t="s">
        <v>1359</v>
      </c>
      <c r="D89" s="1919" t="s">
        <v>991</v>
      </c>
      <c r="E89" s="1919" t="s">
        <v>992</v>
      </c>
    </row>
    <row r="90" spans="1:22" ht="15.75">
      <c r="A90" s="1921" t="str">
        <f>"Month 1"</f>
        <v>Month 1</v>
      </c>
      <c r="B90" s="1902" t="s">
        <v>993</v>
      </c>
      <c r="C90" s="1390"/>
      <c r="D90" s="1389"/>
      <c r="E90" s="1920" t="e">
        <f t="shared" ref="E90:E103" si="0">D90/$D$104</f>
        <v>#DIV/0!</v>
      </c>
    </row>
    <row r="91" spans="1:22" ht="15.75">
      <c r="A91" s="1921" t="str">
        <f t="shared" ref="A91:A102" si="1">"Month "&amp;ROUND((C92-$C$91)/30+1,0)</f>
        <v>Month 1</v>
      </c>
      <c r="B91" s="1902" t="s">
        <v>994</v>
      </c>
      <c r="C91" s="1390"/>
      <c r="D91" s="1389"/>
      <c r="E91" s="1920" t="e">
        <f t="shared" si="0"/>
        <v>#DIV/0!</v>
      </c>
    </row>
    <row r="92" spans="1:22" ht="15.75">
      <c r="A92" s="1921" t="str">
        <f t="shared" si="1"/>
        <v>Month 1</v>
      </c>
      <c r="B92" s="488" t="s">
        <v>995</v>
      </c>
      <c r="C92" s="1390"/>
      <c r="D92" s="1389"/>
      <c r="E92" s="1920" t="e">
        <f t="shared" si="0"/>
        <v>#DIV/0!</v>
      </c>
    </row>
    <row r="93" spans="1:22" ht="15.75">
      <c r="A93" s="1921" t="str">
        <f t="shared" si="1"/>
        <v>Month 1</v>
      </c>
      <c r="B93" s="488" t="s">
        <v>995</v>
      </c>
      <c r="C93" s="1390"/>
      <c r="D93" s="1389"/>
      <c r="E93" s="1920" t="e">
        <f t="shared" si="0"/>
        <v>#DIV/0!</v>
      </c>
    </row>
    <row r="94" spans="1:22" ht="15.75">
      <c r="A94" s="1921" t="str">
        <f t="shared" si="1"/>
        <v>Month 1</v>
      </c>
      <c r="B94" s="488" t="s">
        <v>995</v>
      </c>
      <c r="C94" s="1390"/>
      <c r="D94" s="1389"/>
      <c r="E94" s="1920" t="e">
        <f t="shared" si="0"/>
        <v>#DIV/0!</v>
      </c>
    </row>
    <row r="95" spans="1:22" ht="15.75">
      <c r="A95" s="1921" t="str">
        <f t="shared" si="1"/>
        <v>Month 1</v>
      </c>
      <c r="B95" s="1902" t="s">
        <v>996</v>
      </c>
      <c r="C95" s="1390"/>
      <c r="D95" s="1389"/>
      <c r="E95" s="1920" t="e">
        <f t="shared" si="0"/>
        <v>#DIV/0!</v>
      </c>
    </row>
    <row r="96" spans="1:22" ht="15.75">
      <c r="A96" s="1921" t="str">
        <f t="shared" si="1"/>
        <v>Month 1</v>
      </c>
      <c r="B96" s="488" t="s">
        <v>995</v>
      </c>
      <c r="C96" s="1390"/>
      <c r="D96" s="1389"/>
      <c r="E96" s="1920" t="e">
        <f t="shared" si="0"/>
        <v>#DIV/0!</v>
      </c>
    </row>
    <row r="97" spans="1:50" ht="15.75">
      <c r="A97" s="1921" t="str">
        <f t="shared" si="1"/>
        <v>Month 1</v>
      </c>
      <c r="B97" s="488" t="s">
        <v>995</v>
      </c>
      <c r="C97" s="1390"/>
      <c r="D97" s="1389"/>
      <c r="E97" s="1920" t="e">
        <f t="shared" si="0"/>
        <v>#DIV/0!</v>
      </c>
    </row>
    <row r="98" spans="1:50" ht="15.75">
      <c r="A98" s="1921" t="str">
        <f t="shared" si="1"/>
        <v>Month 1</v>
      </c>
      <c r="B98" s="1902" t="s">
        <v>998</v>
      </c>
      <c r="C98" s="1390"/>
      <c r="D98" s="1389"/>
      <c r="E98" s="1920" t="e">
        <f t="shared" si="0"/>
        <v>#DIV/0!</v>
      </c>
      <c r="F98" s="1922" t="s">
        <v>2462</v>
      </c>
    </row>
    <row r="99" spans="1:50" ht="15.75">
      <c r="A99" s="1921" t="str">
        <f t="shared" si="1"/>
        <v>Month 1</v>
      </c>
      <c r="B99" s="488" t="s">
        <v>995</v>
      </c>
      <c r="C99" s="1390"/>
      <c r="D99" s="1389"/>
      <c r="E99" s="1920" t="e">
        <f t="shared" si="0"/>
        <v>#DIV/0!</v>
      </c>
    </row>
    <row r="100" spans="1:50" ht="15.75">
      <c r="A100" s="1921" t="str">
        <f t="shared" si="1"/>
        <v>Month 1</v>
      </c>
      <c r="B100" s="488" t="s">
        <v>995</v>
      </c>
      <c r="C100" s="1390"/>
      <c r="D100" s="1389"/>
      <c r="E100" s="1920" t="e">
        <f t="shared" si="0"/>
        <v>#DIV/0!</v>
      </c>
    </row>
    <row r="101" spans="1:50" ht="15.75">
      <c r="A101" s="1921" t="str">
        <f t="shared" si="1"/>
        <v>Month 1</v>
      </c>
      <c r="B101" s="1902" t="s">
        <v>999</v>
      </c>
      <c r="C101" s="1391"/>
      <c r="D101" s="1389"/>
      <c r="E101" s="1920" t="e">
        <f t="shared" si="0"/>
        <v>#DIV/0!</v>
      </c>
      <c r="F101" s="1922" t="s">
        <v>2426</v>
      </c>
      <c r="G101" s="10"/>
      <c r="H101" s="10"/>
      <c r="I101" s="10"/>
    </row>
    <row r="102" spans="1:50" ht="15.75">
      <c r="A102" s="1921" t="str">
        <f t="shared" si="1"/>
        <v>Month 1</v>
      </c>
      <c r="B102" s="1902" t="s">
        <v>1000</v>
      </c>
      <c r="C102" s="1390"/>
      <c r="D102" s="1389"/>
      <c r="E102" s="1920" t="e">
        <f t="shared" si="0"/>
        <v>#DIV/0!</v>
      </c>
    </row>
    <row r="103" spans="1:50" ht="16.5" thickBot="1">
      <c r="B103" s="488" t="s">
        <v>995</v>
      </c>
      <c r="C103" s="1391"/>
      <c r="D103" s="1389"/>
      <c r="E103" s="1920" t="e">
        <f t="shared" si="0"/>
        <v>#DIV/0!</v>
      </c>
    </row>
    <row r="104" spans="1:50" ht="16.5" thickBot="1">
      <c r="B104" s="1923" t="s">
        <v>1002</v>
      </c>
      <c r="C104" s="1924"/>
      <c r="D104" s="1925">
        <f>SUM(D90:D103)</f>
        <v>0</v>
      </c>
      <c r="E104" s="1926" t="e">
        <f>SUM(E90:E103)</f>
        <v>#DIV/0!</v>
      </c>
    </row>
    <row r="105" spans="1:50" ht="15.75">
      <c r="B105" s="8"/>
      <c r="C105" s="1927"/>
      <c r="D105" s="1928" t="str">
        <f>IF(ROUNDDOWN(D104-'02_5_LIHTC Proceeds'!$D$24+'02_5_LIHTC Proceeds'!$C$24,0)&lt;&gt;0, "Amount doesn't tie with LIHTC Proceeds calculation. The difference is " &amp; TEXT(ROUNDDOWN(D104-'02_5_LIHTC Proceeds'!$D$24-'02_5_LIHTC Proceeds'!$C$24,0),"$0,00")&amp;".", "Amount ties with LIHTC Proceeds calculation.")</f>
        <v>Amount ties with LIHTC Proceeds calculation.</v>
      </c>
    </row>
    <row r="106" spans="1:50" ht="15.75" thickBot="1">
      <c r="B106" s="9"/>
      <c r="C106" s="9"/>
      <c r="E106" s="9"/>
    </row>
    <row r="107" spans="1:50" ht="21.75" thickBot="1">
      <c r="B107" s="473" t="s">
        <v>1360</v>
      </c>
      <c r="C107" s="20"/>
      <c r="D107" s="21"/>
      <c r="E107" s="474"/>
      <c r="F107" s="475"/>
      <c r="G107" s="475"/>
      <c r="H107" s="475"/>
      <c r="I107" s="475"/>
      <c r="J107" s="475"/>
      <c r="K107" s="475"/>
      <c r="L107" s="475"/>
      <c r="M107" s="475"/>
      <c r="N107" s="475"/>
      <c r="O107" s="475"/>
      <c r="P107" s="475"/>
      <c r="Q107" s="475"/>
      <c r="R107" s="475"/>
      <c r="S107" s="475"/>
      <c r="T107" s="475"/>
      <c r="U107" s="475"/>
      <c r="V107" s="616"/>
    </row>
    <row r="108" spans="1:50">
      <c r="B108" s="9"/>
      <c r="C108" s="9"/>
    </row>
    <row r="109" spans="1:50" ht="15.75" thickBot="1">
      <c r="B109" s="9"/>
      <c r="C109" s="9"/>
    </row>
    <row r="110" spans="1:50" ht="19.5" thickBot="1">
      <c r="B110" s="34" t="s">
        <v>1361</v>
      </c>
      <c r="C110" s="1887"/>
      <c r="D110" s="1888"/>
      <c r="E110" s="1929"/>
      <c r="F110" s="1929"/>
    </row>
    <row r="111" spans="1:50" ht="16.5" thickBot="1">
      <c r="B111" s="1930" t="s">
        <v>1362</v>
      </c>
      <c r="C111" s="153"/>
      <c r="D111" s="1931">
        <f>YEAR(C101)+1</f>
        <v>1901</v>
      </c>
      <c r="E111" s="11"/>
      <c r="F111" s="1932"/>
      <c r="G111" s="1933"/>
      <c r="H111" s="1934"/>
      <c r="I111" s="1935" t="s">
        <v>1363</v>
      </c>
      <c r="J111" s="1936" t="s">
        <v>1364</v>
      </c>
      <c r="K111" s="1935" t="s">
        <v>1365</v>
      </c>
      <c r="L111" s="1936" t="s">
        <v>1366</v>
      </c>
      <c r="M111" s="1937" t="s">
        <v>1367</v>
      </c>
      <c r="N111" s="1936" t="s">
        <v>1368</v>
      </c>
      <c r="O111" s="1936" t="s">
        <v>1369</v>
      </c>
      <c r="P111" s="1936" t="s">
        <v>1370</v>
      </c>
      <c r="Q111" s="1936" t="s">
        <v>1371</v>
      </c>
      <c r="R111" s="1936" t="s">
        <v>1372</v>
      </c>
      <c r="S111" s="1936" t="s">
        <v>1373</v>
      </c>
      <c r="T111" s="1936" t="s">
        <v>1374</v>
      </c>
      <c r="U111" s="1936" t="s">
        <v>1375</v>
      </c>
      <c r="V111" s="1936" t="s">
        <v>1376</v>
      </c>
      <c r="W111" s="1936" t="s">
        <v>1377</v>
      </c>
      <c r="X111" s="1936" t="s">
        <v>1378</v>
      </c>
      <c r="Y111" s="1936" t="s">
        <v>1379</v>
      </c>
      <c r="Z111" s="1936" t="s">
        <v>1380</v>
      </c>
      <c r="AA111" s="1936" t="s">
        <v>1381</v>
      </c>
      <c r="AB111" s="1936" t="s">
        <v>1382</v>
      </c>
      <c r="AC111" s="1936" t="s">
        <v>1383</v>
      </c>
      <c r="AD111" s="1936" t="s">
        <v>1384</v>
      </c>
      <c r="AE111" s="1936" t="s">
        <v>1385</v>
      </c>
      <c r="AF111" s="1936" t="s">
        <v>1386</v>
      </c>
      <c r="AG111" s="1936" t="s">
        <v>1387</v>
      </c>
      <c r="AH111" s="1936" t="s">
        <v>1388</v>
      </c>
      <c r="AI111" s="1936" t="s">
        <v>1389</v>
      </c>
      <c r="AJ111" s="1936" t="s">
        <v>1390</v>
      </c>
      <c r="AK111" s="1936" t="s">
        <v>1391</v>
      </c>
      <c r="AL111" s="1936" t="s">
        <v>1392</v>
      </c>
      <c r="AM111" s="1936" t="s">
        <v>1393</v>
      </c>
      <c r="AN111" s="1936" t="s">
        <v>1394</v>
      </c>
      <c r="AO111" s="1936" t="s">
        <v>1395</v>
      </c>
      <c r="AP111" s="1936" t="s">
        <v>1396</v>
      </c>
      <c r="AQ111" s="1936" t="s">
        <v>1397</v>
      </c>
      <c r="AR111" s="1936" t="s">
        <v>1398</v>
      </c>
      <c r="AS111" s="1936" t="s">
        <v>1399</v>
      </c>
      <c r="AT111" s="1936" t="s">
        <v>1400</v>
      </c>
      <c r="AU111" s="1936" t="s">
        <v>1401</v>
      </c>
      <c r="AV111" s="1936" t="s">
        <v>1402</v>
      </c>
      <c r="AW111" s="1936" t="s">
        <v>1403</v>
      </c>
      <c r="AX111" s="1938" t="s">
        <v>1404</v>
      </c>
    </row>
    <row r="112" spans="1:50" ht="16.5" thickBot="1">
      <c r="B112" s="1892"/>
      <c r="C112" s="154"/>
      <c r="D112" s="1939"/>
      <c r="E112" s="9"/>
      <c r="F112" s="1940" t="s">
        <v>1405</v>
      </c>
      <c r="G112" s="1941"/>
      <c r="H112" s="1942"/>
      <c r="I112" s="1943">
        <f>'01_1_General Data'!D111</f>
        <v>1901</v>
      </c>
      <c r="J112" s="1944">
        <f>I112+1</f>
        <v>1902</v>
      </c>
      <c r="K112" s="1943">
        <f t="shared" ref="K112:AX112" si="2">J112+1</f>
        <v>1903</v>
      </c>
      <c r="L112" s="1944">
        <f t="shared" si="2"/>
        <v>1904</v>
      </c>
      <c r="M112" s="1945">
        <f t="shared" si="2"/>
        <v>1905</v>
      </c>
      <c r="N112" s="1944">
        <f t="shared" si="2"/>
        <v>1906</v>
      </c>
      <c r="O112" s="1944">
        <f t="shared" si="2"/>
        <v>1907</v>
      </c>
      <c r="P112" s="1944">
        <f t="shared" si="2"/>
        <v>1908</v>
      </c>
      <c r="Q112" s="1944">
        <f t="shared" si="2"/>
        <v>1909</v>
      </c>
      <c r="R112" s="1944">
        <f t="shared" si="2"/>
        <v>1910</v>
      </c>
      <c r="S112" s="1944">
        <f t="shared" si="2"/>
        <v>1911</v>
      </c>
      <c r="T112" s="1944">
        <f t="shared" si="2"/>
        <v>1912</v>
      </c>
      <c r="U112" s="1944">
        <f t="shared" si="2"/>
        <v>1913</v>
      </c>
      <c r="V112" s="1944">
        <f t="shared" si="2"/>
        <v>1914</v>
      </c>
      <c r="W112" s="1944">
        <f t="shared" si="2"/>
        <v>1915</v>
      </c>
      <c r="X112" s="1944">
        <f t="shared" si="2"/>
        <v>1916</v>
      </c>
      <c r="Y112" s="1944">
        <f t="shared" si="2"/>
        <v>1917</v>
      </c>
      <c r="Z112" s="1944">
        <f t="shared" si="2"/>
        <v>1918</v>
      </c>
      <c r="AA112" s="1944">
        <f t="shared" si="2"/>
        <v>1919</v>
      </c>
      <c r="AB112" s="1944">
        <f t="shared" si="2"/>
        <v>1920</v>
      </c>
      <c r="AC112" s="1944">
        <f t="shared" si="2"/>
        <v>1921</v>
      </c>
      <c r="AD112" s="1944">
        <f t="shared" si="2"/>
        <v>1922</v>
      </c>
      <c r="AE112" s="1944">
        <f t="shared" si="2"/>
        <v>1923</v>
      </c>
      <c r="AF112" s="1944">
        <f t="shared" si="2"/>
        <v>1924</v>
      </c>
      <c r="AG112" s="1944">
        <f t="shared" si="2"/>
        <v>1925</v>
      </c>
      <c r="AH112" s="1944">
        <f t="shared" si="2"/>
        <v>1926</v>
      </c>
      <c r="AI112" s="1944">
        <f t="shared" si="2"/>
        <v>1927</v>
      </c>
      <c r="AJ112" s="1944">
        <f t="shared" si="2"/>
        <v>1928</v>
      </c>
      <c r="AK112" s="1944">
        <f t="shared" si="2"/>
        <v>1929</v>
      </c>
      <c r="AL112" s="1944">
        <f t="shared" si="2"/>
        <v>1930</v>
      </c>
      <c r="AM112" s="1944">
        <f t="shared" si="2"/>
        <v>1931</v>
      </c>
      <c r="AN112" s="1944">
        <f t="shared" si="2"/>
        <v>1932</v>
      </c>
      <c r="AO112" s="1944">
        <f t="shared" si="2"/>
        <v>1933</v>
      </c>
      <c r="AP112" s="1944">
        <f t="shared" si="2"/>
        <v>1934</v>
      </c>
      <c r="AQ112" s="1944">
        <f t="shared" si="2"/>
        <v>1935</v>
      </c>
      <c r="AR112" s="1944">
        <f t="shared" si="2"/>
        <v>1936</v>
      </c>
      <c r="AS112" s="1944">
        <f t="shared" si="2"/>
        <v>1937</v>
      </c>
      <c r="AT112" s="1944">
        <f t="shared" si="2"/>
        <v>1938</v>
      </c>
      <c r="AU112" s="1944">
        <f t="shared" si="2"/>
        <v>1939</v>
      </c>
      <c r="AV112" s="1944">
        <f t="shared" si="2"/>
        <v>1940</v>
      </c>
      <c r="AW112" s="1944">
        <f t="shared" si="2"/>
        <v>1941</v>
      </c>
      <c r="AX112" s="1946">
        <f t="shared" si="2"/>
        <v>1942</v>
      </c>
    </row>
    <row r="113" spans="2:50" ht="15.75">
      <c r="B113" s="1947" t="s">
        <v>1406</v>
      </c>
      <c r="C113" s="155"/>
      <c r="D113" s="1392"/>
      <c r="E113" s="9"/>
      <c r="F113" s="1948" t="str">
        <f t="shared" ref="F113:F119" si="3">B113</f>
        <v>Rental Income Trending Rate:</v>
      </c>
      <c r="G113" s="8"/>
      <c r="H113" s="156"/>
      <c r="I113" s="1949">
        <f t="shared" ref="I113:R119" si="4">$D113</f>
        <v>0</v>
      </c>
      <c r="J113" s="1950">
        <f t="shared" si="4"/>
        <v>0</v>
      </c>
      <c r="K113" s="1949">
        <f t="shared" si="4"/>
        <v>0</v>
      </c>
      <c r="L113" s="1950">
        <f t="shared" si="4"/>
        <v>0</v>
      </c>
      <c r="M113" s="1949">
        <f t="shared" si="4"/>
        <v>0</v>
      </c>
      <c r="N113" s="1951">
        <f t="shared" si="4"/>
        <v>0</v>
      </c>
      <c r="O113" s="1949">
        <f t="shared" si="4"/>
        <v>0</v>
      </c>
      <c r="P113" s="1951">
        <f t="shared" si="4"/>
        <v>0</v>
      </c>
      <c r="Q113" s="1949">
        <f t="shared" si="4"/>
        <v>0</v>
      </c>
      <c r="R113" s="1951">
        <f t="shared" si="4"/>
        <v>0</v>
      </c>
      <c r="S113" s="1949">
        <f t="shared" ref="S113:AB119" si="5">$D113</f>
        <v>0</v>
      </c>
      <c r="T113" s="1951">
        <f t="shared" si="5"/>
        <v>0</v>
      </c>
      <c r="U113" s="1949">
        <f t="shared" si="5"/>
        <v>0</v>
      </c>
      <c r="V113" s="1951">
        <f t="shared" si="5"/>
        <v>0</v>
      </c>
      <c r="W113" s="1949">
        <f t="shared" si="5"/>
        <v>0</v>
      </c>
      <c r="X113" s="1951">
        <f t="shared" si="5"/>
        <v>0</v>
      </c>
      <c r="Y113" s="1949">
        <f t="shared" si="5"/>
        <v>0</v>
      </c>
      <c r="Z113" s="1951">
        <f t="shared" si="5"/>
        <v>0</v>
      </c>
      <c r="AA113" s="1949">
        <f t="shared" si="5"/>
        <v>0</v>
      </c>
      <c r="AB113" s="1951">
        <f t="shared" si="5"/>
        <v>0</v>
      </c>
      <c r="AC113" s="1949">
        <f t="shared" ref="AC113:AL119" si="6">$D113</f>
        <v>0</v>
      </c>
      <c r="AD113" s="1951">
        <f t="shared" si="6"/>
        <v>0</v>
      </c>
      <c r="AE113" s="1949">
        <f t="shared" si="6"/>
        <v>0</v>
      </c>
      <c r="AF113" s="1951">
        <f t="shared" si="6"/>
        <v>0</v>
      </c>
      <c r="AG113" s="1949">
        <f t="shared" si="6"/>
        <v>0</v>
      </c>
      <c r="AH113" s="1951">
        <f t="shared" si="6"/>
        <v>0</v>
      </c>
      <c r="AI113" s="1949">
        <f t="shared" si="6"/>
        <v>0</v>
      </c>
      <c r="AJ113" s="1951">
        <f t="shared" si="6"/>
        <v>0</v>
      </c>
      <c r="AK113" s="1949">
        <f t="shared" si="6"/>
        <v>0</v>
      </c>
      <c r="AL113" s="1951">
        <f t="shared" si="6"/>
        <v>0</v>
      </c>
      <c r="AM113" s="1949">
        <f t="shared" ref="AM113:AV119" si="7">$D113</f>
        <v>0</v>
      </c>
      <c r="AN113" s="1951">
        <f t="shared" si="7"/>
        <v>0</v>
      </c>
      <c r="AO113" s="1949">
        <f t="shared" si="7"/>
        <v>0</v>
      </c>
      <c r="AP113" s="1951">
        <f t="shared" si="7"/>
        <v>0</v>
      </c>
      <c r="AQ113" s="1949">
        <f t="shared" si="7"/>
        <v>0</v>
      </c>
      <c r="AR113" s="1951">
        <f t="shared" si="7"/>
        <v>0</v>
      </c>
      <c r="AS113" s="1949">
        <f t="shared" si="7"/>
        <v>0</v>
      </c>
      <c r="AT113" s="1951">
        <f t="shared" si="7"/>
        <v>0</v>
      </c>
      <c r="AU113" s="1949">
        <f t="shared" si="7"/>
        <v>0</v>
      </c>
      <c r="AV113" s="1951">
        <f t="shared" si="7"/>
        <v>0</v>
      </c>
      <c r="AW113" s="1949">
        <f t="shared" ref="AW113:AX119" si="8">$D113</f>
        <v>0</v>
      </c>
      <c r="AX113" s="1952">
        <f t="shared" si="8"/>
        <v>0</v>
      </c>
    </row>
    <row r="114" spans="2:50" ht="15.75">
      <c r="B114" s="1892" t="s">
        <v>1407</v>
      </c>
      <c r="C114" s="9"/>
      <c r="D114" s="1392"/>
      <c r="E114" s="9"/>
      <c r="F114" s="1948" t="str">
        <f t="shared" si="3"/>
        <v>Commercial Income Trending Rate:</v>
      </c>
      <c r="G114" s="8"/>
      <c r="H114" s="156"/>
      <c r="I114" s="1949">
        <f t="shared" si="4"/>
        <v>0</v>
      </c>
      <c r="J114" s="1950">
        <f t="shared" si="4"/>
        <v>0</v>
      </c>
      <c r="K114" s="1949">
        <f t="shared" si="4"/>
        <v>0</v>
      </c>
      <c r="L114" s="1950">
        <f t="shared" si="4"/>
        <v>0</v>
      </c>
      <c r="M114" s="1949">
        <f t="shared" si="4"/>
        <v>0</v>
      </c>
      <c r="N114" s="1950">
        <f t="shared" si="4"/>
        <v>0</v>
      </c>
      <c r="O114" s="1949">
        <f t="shared" si="4"/>
        <v>0</v>
      </c>
      <c r="P114" s="1950">
        <f t="shared" si="4"/>
        <v>0</v>
      </c>
      <c r="Q114" s="1949">
        <f t="shared" si="4"/>
        <v>0</v>
      </c>
      <c r="R114" s="1950">
        <f t="shared" si="4"/>
        <v>0</v>
      </c>
      <c r="S114" s="1949">
        <f t="shared" si="5"/>
        <v>0</v>
      </c>
      <c r="T114" s="1950">
        <f t="shared" si="5"/>
        <v>0</v>
      </c>
      <c r="U114" s="1949">
        <f t="shared" si="5"/>
        <v>0</v>
      </c>
      <c r="V114" s="1950">
        <f t="shared" si="5"/>
        <v>0</v>
      </c>
      <c r="W114" s="1949">
        <f t="shared" si="5"/>
        <v>0</v>
      </c>
      <c r="X114" s="1950">
        <f t="shared" si="5"/>
        <v>0</v>
      </c>
      <c r="Y114" s="1949">
        <f t="shared" si="5"/>
        <v>0</v>
      </c>
      <c r="Z114" s="1950">
        <f t="shared" si="5"/>
        <v>0</v>
      </c>
      <c r="AA114" s="1949">
        <f t="shared" si="5"/>
        <v>0</v>
      </c>
      <c r="AB114" s="1950">
        <f t="shared" si="5"/>
        <v>0</v>
      </c>
      <c r="AC114" s="1949">
        <f t="shared" si="6"/>
        <v>0</v>
      </c>
      <c r="AD114" s="1950">
        <f t="shared" si="6"/>
        <v>0</v>
      </c>
      <c r="AE114" s="1949">
        <f t="shared" si="6"/>
        <v>0</v>
      </c>
      <c r="AF114" s="1950">
        <f t="shared" si="6"/>
        <v>0</v>
      </c>
      <c r="AG114" s="1949">
        <f t="shared" si="6"/>
        <v>0</v>
      </c>
      <c r="AH114" s="1950">
        <f t="shared" si="6"/>
        <v>0</v>
      </c>
      <c r="AI114" s="1949">
        <f t="shared" si="6"/>
        <v>0</v>
      </c>
      <c r="AJ114" s="1950">
        <f t="shared" si="6"/>
        <v>0</v>
      </c>
      <c r="AK114" s="1949">
        <f t="shared" si="6"/>
        <v>0</v>
      </c>
      <c r="AL114" s="1950">
        <f t="shared" si="6"/>
        <v>0</v>
      </c>
      <c r="AM114" s="1949">
        <f t="shared" si="7"/>
        <v>0</v>
      </c>
      <c r="AN114" s="1950">
        <f t="shared" si="7"/>
        <v>0</v>
      </c>
      <c r="AO114" s="1949">
        <f t="shared" si="7"/>
        <v>0</v>
      </c>
      <c r="AP114" s="1950">
        <f t="shared" si="7"/>
        <v>0</v>
      </c>
      <c r="AQ114" s="1949">
        <f t="shared" si="7"/>
        <v>0</v>
      </c>
      <c r="AR114" s="1950">
        <f t="shared" si="7"/>
        <v>0</v>
      </c>
      <c r="AS114" s="1949">
        <f t="shared" si="7"/>
        <v>0</v>
      </c>
      <c r="AT114" s="1950">
        <f t="shared" si="7"/>
        <v>0</v>
      </c>
      <c r="AU114" s="1949">
        <f t="shared" si="7"/>
        <v>0</v>
      </c>
      <c r="AV114" s="1950">
        <f t="shared" si="7"/>
        <v>0</v>
      </c>
      <c r="AW114" s="1949">
        <f t="shared" si="8"/>
        <v>0</v>
      </c>
      <c r="AX114" s="1953">
        <f t="shared" si="8"/>
        <v>0</v>
      </c>
    </row>
    <row r="115" spans="2:50" ht="15.75">
      <c r="B115" s="1892" t="s">
        <v>1408</v>
      </c>
      <c r="C115" s="9"/>
      <c r="D115" s="1392"/>
      <c r="E115" s="9"/>
      <c r="F115" s="1948" t="str">
        <f t="shared" si="3"/>
        <v>Other Income Trending Rate:</v>
      </c>
      <c r="G115" s="8"/>
      <c r="H115" s="156"/>
      <c r="I115" s="1949">
        <f t="shared" si="4"/>
        <v>0</v>
      </c>
      <c r="J115" s="1950">
        <f t="shared" si="4"/>
        <v>0</v>
      </c>
      <c r="K115" s="1949">
        <f t="shared" si="4"/>
        <v>0</v>
      </c>
      <c r="L115" s="1950">
        <f t="shared" si="4"/>
        <v>0</v>
      </c>
      <c r="M115" s="1949">
        <f t="shared" si="4"/>
        <v>0</v>
      </c>
      <c r="N115" s="1950">
        <f t="shared" si="4"/>
        <v>0</v>
      </c>
      <c r="O115" s="1949">
        <f t="shared" si="4"/>
        <v>0</v>
      </c>
      <c r="P115" s="1950">
        <f t="shared" si="4"/>
        <v>0</v>
      </c>
      <c r="Q115" s="1949">
        <f t="shared" si="4"/>
        <v>0</v>
      </c>
      <c r="R115" s="1950">
        <f t="shared" si="4"/>
        <v>0</v>
      </c>
      <c r="S115" s="1949">
        <f t="shared" si="5"/>
        <v>0</v>
      </c>
      <c r="T115" s="1950">
        <f t="shared" si="5"/>
        <v>0</v>
      </c>
      <c r="U115" s="1949">
        <f t="shared" si="5"/>
        <v>0</v>
      </c>
      <c r="V115" s="1950">
        <f t="shared" si="5"/>
        <v>0</v>
      </c>
      <c r="W115" s="1949">
        <f t="shared" si="5"/>
        <v>0</v>
      </c>
      <c r="X115" s="1950">
        <f t="shared" si="5"/>
        <v>0</v>
      </c>
      <c r="Y115" s="1949">
        <f t="shared" si="5"/>
        <v>0</v>
      </c>
      <c r="Z115" s="1950">
        <f t="shared" si="5"/>
        <v>0</v>
      </c>
      <c r="AA115" s="1949">
        <f t="shared" si="5"/>
        <v>0</v>
      </c>
      <c r="AB115" s="1950">
        <f t="shared" si="5"/>
        <v>0</v>
      </c>
      <c r="AC115" s="1949">
        <f t="shared" si="6"/>
        <v>0</v>
      </c>
      <c r="AD115" s="1950">
        <f t="shared" si="6"/>
        <v>0</v>
      </c>
      <c r="AE115" s="1949">
        <f t="shared" si="6"/>
        <v>0</v>
      </c>
      <c r="AF115" s="1950">
        <f t="shared" si="6"/>
        <v>0</v>
      </c>
      <c r="AG115" s="1949">
        <f t="shared" si="6"/>
        <v>0</v>
      </c>
      <c r="AH115" s="1950">
        <f t="shared" si="6"/>
        <v>0</v>
      </c>
      <c r="AI115" s="1949">
        <f t="shared" si="6"/>
        <v>0</v>
      </c>
      <c r="AJ115" s="1950">
        <f t="shared" si="6"/>
        <v>0</v>
      </c>
      <c r="AK115" s="1949">
        <f t="shared" si="6"/>
        <v>0</v>
      </c>
      <c r="AL115" s="1950">
        <f t="shared" si="6"/>
        <v>0</v>
      </c>
      <c r="AM115" s="1949">
        <f t="shared" si="7"/>
        <v>0</v>
      </c>
      <c r="AN115" s="1950">
        <f t="shared" si="7"/>
        <v>0</v>
      </c>
      <c r="AO115" s="1949">
        <f t="shared" si="7"/>
        <v>0</v>
      </c>
      <c r="AP115" s="1950">
        <f t="shared" si="7"/>
        <v>0</v>
      </c>
      <c r="AQ115" s="1949">
        <f t="shared" si="7"/>
        <v>0</v>
      </c>
      <c r="AR115" s="1950">
        <f t="shared" si="7"/>
        <v>0</v>
      </c>
      <c r="AS115" s="1949">
        <f t="shared" si="7"/>
        <v>0</v>
      </c>
      <c r="AT115" s="1950">
        <f t="shared" si="7"/>
        <v>0</v>
      </c>
      <c r="AU115" s="1949">
        <f t="shared" si="7"/>
        <v>0</v>
      </c>
      <c r="AV115" s="1950">
        <f t="shared" si="7"/>
        <v>0</v>
      </c>
      <c r="AW115" s="1949">
        <f t="shared" si="8"/>
        <v>0</v>
      </c>
      <c r="AX115" s="1953">
        <f t="shared" si="8"/>
        <v>0</v>
      </c>
    </row>
    <row r="116" spans="2:50" ht="15.75" hidden="1">
      <c r="B116" s="1892" t="s">
        <v>1409</v>
      </c>
      <c r="C116" s="9"/>
      <c r="D116" s="1392"/>
      <c r="E116" s="9"/>
      <c r="F116" s="1948" t="str">
        <f t="shared" si="3"/>
        <v>Nursing Home / Assisted Living Income Trending Rate:</v>
      </c>
      <c r="G116" s="8"/>
      <c r="H116" s="156"/>
      <c r="I116" s="1949">
        <f t="shared" si="4"/>
        <v>0</v>
      </c>
      <c r="J116" s="1950">
        <f t="shared" si="4"/>
        <v>0</v>
      </c>
      <c r="K116" s="1949">
        <f t="shared" si="4"/>
        <v>0</v>
      </c>
      <c r="L116" s="1950">
        <f t="shared" si="4"/>
        <v>0</v>
      </c>
      <c r="M116" s="1949">
        <f t="shared" si="4"/>
        <v>0</v>
      </c>
      <c r="N116" s="1950">
        <f t="shared" si="4"/>
        <v>0</v>
      </c>
      <c r="O116" s="1949">
        <f t="shared" si="4"/>
        <v>0</v>
      </c>
      <c r="P116" s="1950">
        <f t="shared" si="4"/>
        <v>0</v>
      </c>
      <c r="Q116" s="1949">
        <f t="shared" si="4"/>
        <v>0</v>
      </c>
      <c r="R116" s="1950">
        <f t="shared" si="4"/>
        <v>0</v>
      </c>
      <c r="S116" s="1949">
        <f t="shared" si="5"/>
        <v>0</v>
      </c>
      <c r="T116" s="1950">
        <f t="shared" si="5"/>
        <v>0</v>
      </c>
      <c r="U116" s="1949">
        <f t="shared" si="5"/>
        <v>0</v>
      </c>
      <c r="V116" s="1950">
        <f t="shared" si="5"/>
        <v>0</v>
      </c>
      <c r="W116" s="1949">
        <f t="shared" si="5"/>
        <v>0</v>
      </c>
      <c r="X116" s="1950">
        <f t="shared" si="5"/>
        <v>0</v>
      </c>
      <c r="Y116" s="1949">
        <f t="shared" si="5"/>
        <v>0</v>
      </c>
      <c r="Z116" s="1950">
        <f t="shared" si="5"/>
        <v>0</v>
      </c>
      <c r="AA116" s="1949">
        <f t="shared" si="5"/>
        <v>0</v>
      </c>
      <c r="AB116" s="1950">
        <f t="shared" si="5"/>
        <v>0</v>
      </c>
      <c r="AC116" s="1949">
        <f t="shared" si="6"/>
        <v>0</v>
      </c>
      <c r="AD116" s="1950">
        <f t="shared" si="6"/>
        <v>0</v>
      </c>
      <c r="AE116" s="1949">
        <f t="shared" si="6"/>
        <v>0</v>
      </c>
      <c r="AF116" s="1950">
        <f t="shared" si="6"/>
        <v>0</v>
      </c>
      <c r="AG116" s="1949">
        <f t="shared" si="6"/>
        <v>0</v>
      </c>
      <c r="AH116" s="1950">
        <f t="shared" si="6"/>
        <v>0</v>
      </c>
      <c r="AI116" s="1949">
        <f t="shared" si="6"/>
        <v>0</v>
      </c>
      <c r="AJ116" s="1950">
        <f t="shared" si="6"/>
        <v>0</v>
      </c>
      <c r="AK116" s="1949">
        <f t="shared" si="6"/>
        <v>0</v>
      </c>
      <c r="AL116" s="1950">
        <f t="shared" si="6"/>
        <v>0</v>
      </c>
      <c r="AM116" s="1949">
        <f t="shared" si="7"/>
        <v>0</v>
      </c>
      <c r="AN116" s="1950">
        <f t="shared" si="7"/>
        <v>0</v>
      </c>
      <c r="AO116" s="1949">
        <f t="shared" si="7"/>
        <v>0</v>
      </c>
      <c r="AP116" s="1950">
        <f t="shared" si="7"/>
        <v>0</v>
      </c>
      <c r="AQ116" s="1949">
        <f t="shared" si="7"/>
        <v>0</v>
      </c>
      <c r="AR116" s="1950">
        <f t="shared" si="7"/>
        <v>0</v>
      </c>
      <c r="AS116" s="1949">
        <f t="shared" si="7"/>
        <v>0</v>
      </c>
      <c r="AT116" s="1950">
        <f t="shared" si="7"/>
        <v>0</v>
      </c>
      <c r="AU116" s="1949">
        <f t="shared" si="7"/>
        <v>0</v>
      </c>
      <c r="AV116" s="1950">
        <f t="shared" si="7"/>
        <v>0</v>
      </c>
      <c r="AW116" s="1949">
        <f t="shared" si="8"/>
        <v>0</v>
      </c>
      <c r="AX116" s="1953">
        <f t="shared" si="8"/>
        <v>0</v>
      </c>
    </row>
    <row r="117" spans="2:50" ht="15.75">
      <c r="B117" s="1892" t="s">
        <v>1410</v>
      </c>
      <c r="C117" s="9"/>
      <c r="D117" s="1392"/>
      <c r="E117" s="9"/>
      <c r="F117" s="1948" t="str">
        <f t="shared" si="3"/>
        <v>Real Estate Tax Trending Rate:</v>
      </c>
      <c r="G117" s="8"/>
      <c r="H117" s="156"/>
      <c r="I117" s="1949">
        <f t="shared" si="4"/>
        <v>0</v>
      </c>
      <c r="J117" s="1950">
        <f t="shared" si="4"/>
        <v>0</v>
      </c>
      <c r="K117" s="1949">
        <f t="shared" si="4"/>
        <v>0</v>
      </c>
      <c r="L117" s="1950">
        <f t="shared" si="4"/>
        <v>0</v>
      </c>
      <c r="M117" s="1949">
        <f t="shared" si="4"/>
        <v>0</v>
      </c>
      <c r="N117" s="1950">
        <f t="shared" si="4"/>
        <v>0</v>
      </c>
      <c r="O117" s="1949">
        <f t="shared" si="4"/>
        <v>0</v>
      </c>
      <c r="P117" s="1950">
        <f t="shared" si="4"/>
        <v>0</v>
      </c>
      <c r="Q117" s="1949">
        <f t="shared" si="4"/>
        <v>0</v>
      </c>
      <c r="R117" s="1950">
        <f t="shared" si="4"/>
        <v>0</v>
      </c>
      <c r="S117" s="1949">
        <f t="shared" si="5"/>
        <v>0</v>
      </c>
      <c r="T117" s="1950">
        <f t="shared" si="5"/>
        <v>0</v>
      </c>
      <c r="U117" s="1949">
        <f t="shared" si="5"/>
        <v>0</v>
      </c>
      <c r="V117" s="1950">
        <f t="shared" si="5"/>
        <v>0</v>
      </c>
      <c r="W117" s="1949">
        <f t="shared" si="5"/>
        <v>0</v>
      </c>
      <c r="X117" s="1950">
        <f t="shared" si="5"/>
        <v>0</v>
      </c>
      <c r="Y117" s="1949">
        <f t="shared" si="5"/>
        <v>0</v>
      </c>
      <c r="Z117" s="1950">
        <f t="shared" si="5"/>
        <v>0</v>
      </c>
      <c r="AA117" s="1949">
        <f t="shared" si="5"/>
        <v>0</v>
      </c>
      <c r="AB117" s="1950">
        <f t="shared" si="5"/>
        <v>0</v>
      </c>
      <c r="AC117" s="1949">
        <f t="shared" si="6"/>
        <v>0</v>
      </c>
      <c r="AD117" s="1950">
        <f t="shared" si="6"/>
        <v>0</v>
      </c>
      <c r="AE117" s="1949">
        <f t="shared" si="6"/>
        <v>0</v>
      </c>
      <c r="AF117" s="1950">
        <f t="shared" si="6"/>
        <v>0</v>
      </c>
      <c r="AG117" s="1949">
        <f t="shared" si="6"/>
        <v>0</v>
      </c>
      <c r="AH117" s="1950">
        <f t="shared" si="6"/>
        <v>0</v>
      </c>
      <c r="AI117" s="1949">
        <f t="shared" si="6"/>
        <v>0</v>
      </c>
      <c r="AJ117" s="1950">
        <f t="shared" si="6"/>
        <v>0</v>
      </c>
      <c r="AK117" s="1949">
        <f t="shared" si="6"/>
        <v>0</v>
      </c>
      <c r="AL117" s="1950">
        <f t="shared" si="6"/>
        <v>0</v>
      </c>
      <c r="AM117" s="1949">
        <f t="shared" si="7"/>
        <v>0</v>
      </c>
      <c r="AN117" s="1950">
        <f t="shared" si="7"/>
        <v>0</v>
      </c>
      <c r="AO117" s="1949">
        <f t="shared" si="7"/>
        <v>0</v>
      </c>
      <c r="AP117" s="1950">
        <f t="shared" si="7"/>
        <v>0</v>
      </c>
      <c r="AQ117" s="1949">
        <f t="shared" si="7"/>
        <v>0</v>
      </c>
      <c r="AR117" s="1950">
        <f t="shared" si="7"/>
        <v>0</v>
      </c>
      <c r="AS117" s="1949">
        <f t="shared" si="7"/>
        <v>0</v>
      </c>
      <c r="AT117" s="1950">
        <f t="shared" si="7"/>
        <v>0</v>
      </c>
      <c r="AU117" s="1949">
        <f t="shared" si="7"/>
        <v>0</v>
      </c>
      <c r="AV117" s="1950">
        <f t="shared" si="7"/>
        <v>0</v>
      </c>
      <c r="AW117" s="1949">
        <f t="shared" si="8"/>
        <v>0</v>
      </c>
      <c r="AX117" s="1953">
        <f t="shared" si="8"/>
        <v>0</v>
      </c>
    </row>
    <row r="118" spans="2:50" ht="15.75">
      <c r="B118" s="1892" t="s">
        <v>1411</v>
      </c>
      <c r="C118" s="9"/>
      <c r="D118" s="1392"/>
      <c r="E118" s="9"/>
      <c r="F118" s="1948" t="str">
        <f t="shared" si="3"/>
        <v>Property &amp; Liability Insurance Trending Rate:</v>
      </c>
      <c r="G118" s="8"/>
      <c r="H118" s="156"/>
      <c r="I118" s="1949">
        <f t="shared" si="4"/>
        <v>0</v>
      </c>
      <c r="J118" s="1950">
        <f t="shared" si="4"/>
        <v>0</v>
      </c>
      <c r="K118" s="1949">
        <f t="shared" si="4"/>
        <v>0</v>
      </c>
      <c r="L118" s="1950">
        <f t="shared" si="4"/>
        <v>0</v>
      </c>
      <c r="M118" s="1949">
        <f t="shared" si="4"/>
        <v>0</v>
      </c>
      <c r="N118" s="1950">
        <f t="shared" si="4"/>
        <v>0</v>
      </c>
      <c r="O118" s="1949">
        <f t="shared" si="4"/>
        <v>0</v>
      </c>
      <c r="P118" s="1950">
        <f t="shared" si="4"/>
        <v>0</v>
      </c>
      <c r="Q118" s="1949">
        <f t="shared" si="4"/>
        <v>0</v>
      </c>
      <c r="R118" s="1950">
        <f t="shared" si="4"/>
        <v>0</v>
      </c>
      <c r="S118" s="1949">
        <f t="shared" si="5"/>
        <v>0</v>
      </c>
      <c r="T118" s="1950">
        <f t="shared" si="5"/>
        <v>0</v>
      </c>
      <c r="U118" s="1949">
        <f t="shared" si="5"/>
        <v>0</v>
      </c>
      <c r="V118" s="1950">
        <f t="shared" si="5"/>
        <v>0</v>
      </c>
      <c r="W118" s="1949">
        <f t="shared" si="5"/>
        <v>0</v>
      </c>
      <c r="X118" s="1950">
        <f t="shared" si="5"/>
        <v>0</v>
      </c>
      <c r="Y118" s="1949">
        <f t="shared" si="5"/>
        <v>0</v>
      </c>
      <c r="Z118" s="1950">
        <f t="shared" si="5"/>
        <v>0</v>
      </c>
      <c r="AA118" s="1949">
        <f t="shared" si="5"/>
        <v>0</v>
      </c>
      <c r="AB118" s="1950">
        <f t="shared" si="5"/>
        <v>0</v>
      </c>
      <c r="AC118" s="1949">
        <f t="shared" si="6"/>
        <v>0</v>
      </c>
      <c r="AD118" s="1950">
        <f t="shared" si="6"/>
        <v>0</v>
      </c>
      <c r="AE118" s="1949">
        <f t="shared" si="6"/>
        <v>0</v>
      </c>
      <c r="AF118" s="1950">
        <f t="shared" si="6"/>
        <v>0</v>
      </c>
      <c r="AG118" s="1949">
        <f t="shared" si="6"/>
        <v>0</v>
      </c>
      <c r="AH118" s="1950">
        <f t="shared" si="6"/>
        <v>0</v>
      </c>
      <c r="AI118" s="1949">
        <f t="shared" si="6"/>
        <v>0</v>
      </c>
      <c r="AJ118" s="1950">
        <f t="shared" si="6"/>
        <v>0</v>
      </c>
      <c r="AK118" s="1949">
        <f t="shared" si="6"/>
        <v>0</v>
      </c>
      <c r="AL118" s="1950">
        <f t="shared" si="6"/>
        <v>0</v>
      </c>
      <c r="AM118" s="1949">
        <f t="shared" si="7"/>
        <v>0</v>
      </c>
      <c r="AN118" s="1950">
        <f t="shared" si="7"/>
        <v>0</v>
      </c>
      <c r="AO118" s="1949">
        <f t="shared" si="7"/>
        <v>0</v>
      </c>
      <c r="AP118" s="1950">
        <f t="shared" si="7"/>
        <v>0</v>
      </c>
      <c r="AQ118" s="1949">
        <f t="shared" si="7"/>
        <v>0</v>
      </c>
      <c r="AR118" s="1950">
        <f t="shared" si="7"/>
        <v>0</v>
      </c>
      <c r="AS118" s="1949">
        <f t="shared" si="7"/>
        <v>0</v>
      </c>
      <c r="AT118" s="1950">
        <f t="shared" si="7"/>
        <v>0</v>
      </c>
      <c r="AU118" s="1949">
        <f t="shared" si="7"/>
        <v>0</v>
      </c>
      <c r="AV118" s="1950">
        <f t="shared" si="7"/>
        <v>0</v>
      </c>
      <c r="AW118" s="1949">
        <f t="shared" si="8"/>
        <v>0</v>
      </c>
      <c r="AX118" s="1953">
        <f t="shared" si="8"/>
        <v>0</v>
      </c>
    </row>
    <row r="119" spans="2:50" ht="16.5" thickBot="1">
      <c r="B119" s="1954" t="s">
        <v>1412</v>
      </c>
      <c r="C119" s="153"/>
      <c r="D119" s="1392"/>
      <c r="E119" s="9"/>
      <c r="F119" s="1955" t="str">
        <f t="shared" si="3"/>
        <v>Operating Expense Trending Rate:</v>
      </c>
      <c r="G119" s="149"/>
      <c r="H119" s="157"/>
      <c r="I119" s="1956">
        <f t="shared" si="4"/>
        <v>0</v>
      </c>
      <c r="J119" s="1957">
        <f t="shared" si="4"/>
        <v>0</v>
      </c>
      <c r="K119" s="1956">
        <f t="shared" si="4"/>
        <v>0</v>
      </c>
      <c r="L119" s="1957">
        <f t="shared" si="4"/>
        <v>0</v>
      </c>
      <c r="M119" s="1956">
        <f t="shared" si="4"/>
        <v>0</v>
      </c>
      <c r="N119" s="1957">
        <f t="shared" si="4"/>
        <v>0</v>
      </c>
      <c r="O119" s="1956">
        <f t="shared" si="4"/>
        <v>0</v>
      </c>
      <c r="P119" s="1957">
        <f t="shared" si="4"/>
        <v>0</v>
      </c>
      <c r="Q119" s="1956">
        <f t="shared" si="4"/>
        <v>0</v>
      </c>
      <c r="R119" s="1957">
        <f t="shared" si="4"/>
        <v>0</v>
      </c>
      <c r="S119" s="1956">
        <f t="shared" si="5"/>
        <v>0</v>
      </c>
      <c r="T119" s="1957">
        <f t="shared" si="5"/>
        <v>0</v>
      </c>
      <c r="U119" s="1956">
        <f t="shared" si="5"/>
        <v>0</v>
      </c>
      <c r="V119" s="1957">
        <f t="shared" si="5"/>
        <v>0</v>
      </c>
      <c r="W119" s="1956">
        <f t="shared" si="5"/>
        <v>0</v>
      </c>
      <c r="X119" s="1957">
        <f t="shared" si="5"/>
        <v>0</v>
      </c>
      <c r="Y119" s="1956">
        <f t="shared" si="5"/>
        <v>0</v>
      </c>
      <c r="Z119" s="1957">
        <f t="shared" si="5"/>
        <v>0</v>
      </c>
      <c r="AA119" s="1956">
        <f t="shared" si="5"/>
        <v>0</v>
      </c>
      <c r="AB119" s="1957">
        <f t="shared" si="5"/>
        <v>0</v>
      </c>
      <c r="AC119" s="1956">
        <f t="shared" si="6"/>
        <v>0</v>
      </c>
      <c r="AD119" s="1957">
        <f t="shared" si="6"/>
        <v>0</v>
      </c>
      <c r="AE119" s="1956">
        <f t="shared" si="6"/>
        <v>0</v>
      </c>
      <c r="AF119" s="1957">
        <f t="shared" si="6"/>
        <v>0</v>
      </c>
      <c r="AG119" s="1956">
        <f t="shared" si="6"/>
        <v>0</v>
      </c>
      <c r="AH119" s="1957">
        <f t="shared" si="6"/>
        <v>0</v>
      </c>
      <c r="AI119" s="1956">
        <f t="shared" si="6"/>
        <v>0</v>
      </c>
      <c r="AJ119" s="1957">
        <f t="shared" si="6"/>
        <v>0</v>
      </c>
      <c r="AK119" s="1956">
        <f t="shared" si="6"/>
        <v>0</v>
      </c>
      <c r="AL119" s="1957">
        <f t="shared" si="6"/>
        <v>0</v>
      </c>
      <c r="AM119" s="1956">
        <f t="shared" si="7"/>
        <v>0</v>
      </c>
      <c r="AN119" s="1957">
        <f t="shared" si="7"/>
        <v>0</v>
      </c>
      <c r="AO119" s="1956">
        <f t="shared" si="7"/>
        <v>0</v>
      </c>
      <c r="AP119" s="1957">
        <f t="shared" si="7"/>
        <v>0</v>
      </c>
      <c r="AQ119" s="1956">
        <f t="shared" si="7"/>
        <v>0</v>
      </c>
      <c r="AR119" s="1957">
        <f t="shared" si="7"/>
        <v>0</v>
      </c>
      <c r="AS119" s="1956">
        <f t="shared" si="7"/>
        <v>0</v>
      </c>
      <c r="AT119" s="1957">
        <f t="shared" si="7"/>
        <v>0</v>
      </c>
      <c r="AU119" s="1956">
        <f t="shared" si="7"/>
        <v>0</v>
      </c>
      <c r="AV119" s="1957">
        <f t="shared" si="7"/>
        <v>0</v>
      </c>
      <c r="AW119" s="1956">
        <f t="shared" si="8"/>
        <v>0</v>
      </c>
      <c r="AX119" s="1958">
        <f t="shared" si="8"/>
        <v>0</v>
      </c>
    </row>
    <row r="120" spans="2:50" ht="16.5" thickBot="1">
      <c r="B120" s="1959" t="s">
        <v>1413</v>
      </c>
      <c r="C120" s="158"/>
      <c r="D120" s="1393"/>
      <c r="E120" s="9"/>
    </row>
    <row r="121" spans="2:50" ht="15.75" thickBot="1">
      <c r="B121" s="9"/>
      <c r="C121" s="9"/>
      <c r="E121" s="9"/>
    </row>
    <row r="122" spans="2:50" ht="19.5" thickBot="1">
      <c r="B122" s="34" t="s">
        <v>1414</v>
      </c>
      <c r="C122" s="1887"/>
      <c r="D122" s="1888"/>
      <c r="E122" s="9"/>
    </row>
    <row r="123" spans="2:50" ht="15.75">
      <c r="B123" s="1892" t="s">
        <v>1071</v>
      </c>
      <c r="D123" s="1394"/>
      <c r="E123" s="9"/>
    </row>
    <row r="124" spans="2:50" ht="15.75">
      <c r="B124" s="1892" t="s">
        <v>1072</v>
      </c>
      <c r="D124" s="1395"/>
      <c r="E124" s="9"/>
    </row>
    <row r="125" spans="2:50" ht="15.75">
      <c r="B125" s="1892" t="s">
        <v>1415</v>
      </c>
      <c r="D125" s="1395"/>
      <c r="E125" s="9"/>
    </row>
    <row r="126" spans="2:50" ht="15.75" hidden="1">
      <c r="B126" s="1892" t="s">
        <v>1416</v>
      </c>
      <c r="D126" s="1395"/>
      <c r="E126" s="9"/>
    </row>
    <row r="127" spans="2:50" ht="16.5" thickBot="1">
      <c r="B127" s="1959" t="s">
        <v>1417</v>
      </c>
      <c r="C127" s="1960"/>
      <c r="D127" s="1999"/>
      <c r="E127" s="9"/>
    </row>
    <row r="128" spans="2:50" ht="15.75" thickBot="1">
      <c r="E128" s="9"/>
      <c r="F128" s="1961"/>
      <c r="G128" s="1962"/>
    </row>
    <row r="129" spans="2:22" ht="19.5" thickBot="1">
      <c r="B129" s="34" t="s">
        <v>80</v>
      </c>
      <c r="C129" s="35"/>
      <c r="D129" s="1915"/>
      <c r="E129" s="1961"/>
      <c r="F129" s="1962"/>
    </row>
    <row r="130" spans="2:22" ht="15.75">
      <c r="B130" s="1892" t="s">
        <v>1418</v>
      </c>
      <c r="C130" s="9"/>
      <c r="D130" s="1395"/>
      <c r="E130" s="9"/>
    </row>
    <row r="131" spans="2:22" ht="16.5" thickBot="1">
      <c r="B131" s="1959" t="s">
        <v>1419</v>
      </c>
      <c r="C131" s="158"/>
      <c r="D131" s="1396"/>
      <c r="E131" s="9"/>
    </row>
    <row r="132" spans="2:22" ht="15.75">
      <c r="B132" s="534"/>
      <c r="C132" s="9"/>
      <c r="D132" s="2066"/>
      <c r="E132" s="9"/>
    </row>
    <row r="133" spans="2:22" ht="15.75" thickBot="1">
      <c r="B133" s="9"/>
      <c r="C133" s="9"/>
      <c r="E133" s="9"/>
    </row>
    <row r="134" spans="2:22" ht="21.75" thickBot="1">
      <c r="B134" s="473" t="s">
        <v>1420</v>
      </c>
      <c r="C134" s="20"/>
      <c r="D134" s="21"/>
      <c r="E134" s="474"/>
      <c r="F134" s="475"/>
      <c r="G134" s="475"/>
      <c r="H134" s="475"/>
      <c r="I134" s="475"/>
      <c r="J134" s="475"/>
      <c r="K134" s="475"/>
      <c r="L134" s="475"/>
      <c r="M134" s="475"/>
      <c r="N134" s="475"/>
      <c r="O134" s="475"/>
      <c r="P134" s="475"/>
      <c r="Q134" s="475"/>
      <c r="R134" s="475"/>
      <c r="S134" s="475"/>
      <c r="T134" s="475"/>
      <c r="U134" s="475"/>
      <c r="V134" s="616"/>
    </row>
    <row r="135" spans="2:22" ht="15.75" thickBot="1">
      <c r="B135" s="9"/>
      <c r="C135" s="9"/>
    </row>
    <row r="136" spans="2:22" ht="19.5" thickBot="1">
      <c r="B136" s="1963" t="s">
        <v>1421</v>
      </c>
      <c r="C136" s="1964">
        <f>C98</f>
        <v>0</v>
      </c>
      <c r="E136" s="1965" t="s">
        <v>1422</v>
      </c>
    </row>
    <row r="137" spans="2:22">
      <c r="B137" s="9"/>
      <c r="C137" s="9"/>
      <c r="E137" s="1965" t="s">
        <v>1423</v>
      </c>
    </row>
    <row r="138" spans="2:22" ht="16.5" thickBot="1">
      <c r="B138" s="8"/>
      <c r="C138" s="1966"/>
      <c r="D138" s="1966"/>
      <c r="E138" s="1966"/>
      <c r="F138" s="1967"/>
      <c r="G138" s="1968"/>
      <c r="H138" s="1968"/>
      <c r="I138" s="1969"/>
      <c r="J138" s="1967"/>
      <c r="K138" s="1968"/>
      <c r="L138" s="1968"/>
      <c r="M138" s="1969"/>
    </row>
    <row r="139" spans="2:22" ht="19.5" thickBot="1">
      <c r="B139" s="1970">
        <f>YEAR(C136)</f>
        <v>1900</v>
      </c>
      <c r="C139" s="1971" t="s">
        <v>1424</v>
      </c>
      <c r="D139" s="1972" t="s">
        <v>1425</v>
      </c>
      <c r="E139" s="1972" t="s">
        <v>1426</v>
      </c>
      <c r="F139" s="1972" t="s">
        <v>1427</v>
      </c>
      <c r="G139" s="1972" t="s">
        <v>1428</v>
      </c>
      <c r="H139" s="1972" t="s">
        <v>1429</v>
      </c>
      <c r="I139" s="1972" t="s">
        <v>1430</v>
      </c>
      <c r="J139" s="1972" t="s">
        <v>1431</v>
      </c>
      <c r="K139" s="1972" t="s">
        <v>1432</v>
      </c>
      <c r="L139" s="1972" t="s">
        <v>1433</v>
      </c>
      <c r="M139" s="1972" t="s">
        <v>1434</v>
      </c>
      <c r="N139" s="1973" t="s">
        <v>1435</v>
      </c>
      <c r="O139" s="8"/>
    </row>
    <row r="140" spans="2:22" ht="15.75">
      <c r="B140" s="1974" t="s">
        <v>1436</v>
      </c>
      <c r="C140" s="2012"/>
      <c r="D140" s="2013">
        <v>0</v>
      </c>
      <c r="E140" s="2013">
        <v>0</v>
      </c>
      <c r="F140" s="2013">
        <v>0</v>
      </c>
      <c r="G140" s="2013">
        <v>0</v>
      </c>
      <c r="H140" s="2013">
        <v>0</v>
      </c>
      <c r="I140" s="2013">
        <v>0</v>
      </c>
      <c r="J140" s="2013">
        <v>0</v>
      </c>
      <c r="K140" s="2013">
        <v>0</v>
      </c>
      <c r="L140" s="2013">
        <v>0</v>
      </c>
      <c r="M140" s="2013">
        <v>0</v>
      </c>
      <c r="N140" s="1585"/>
      <c r="O140" s="1383"/>
    </row>
    <row r="141" spans="2:22" ht="16.5" thickBot="1">
      <c r="B141" s="1975" t="s">
        <v>1437</v>
      </c>
      <c r="C141" s="2013"/>
      <c r="D141" s="2013">
        <v>0</v>
      </c>
      <c r="E141" s="2013">
        <v>0</v>
      </c>
      <c r="F141" s="2013">
        <v>0</v>
      </c>
      <c r="G141" s="2013">
        <v>0</v>
      </c>
      <c r="H141" s="2013">
        <v>0</v>
      </c>
      <c r="I141" s="2013">
        <v>0</v>
      </c>
      <c r="J141" s="2013">
        <v>0</v>
      </c>
      <c r="K141" s="2013">
        <v>0</v>
      </c>
      <c r="L141" s="2013">
        <v>0</v>
      </c>
      <c r="M141" s="2013">
        <v>0</v>
      </c>
      <c r="N141" s="1586"/>
      <c r="O141" s="1384" t="s">
        <v>1438</v>
      </c>
    </row>
    <row r="142" spans="2:22" ht="16.5" thickBot="1">
      <c r="B142" s="1976" t="s">
        <v>1439</v>
      </c>
      <c r="C142" s="1977" t="e">
        <f t="shared" ref="C142:N142" si="9">C140/rng02_TotalUnits_LIHTC</f>
        <v>#DIV/0!</v>
      </c>
      <c r="D142" s="1977" t="e">
        <f t="shared" si="9"/>
        <v>#DIV/0!</v>
      </c>
      <c r="E142" s="1977" t="e">
        <f t="shared" si="9"/>
        <v>#DIV/0!</v>
      </c>
      <c r="F142" s="1977" t="e">
        <f t="shared" si="9"/>
        <v>#DIV/0!</v>
      </c>
      <c r="G142" s="1977" t="e">
        <f t="shared" si="9"/>
        <v>#DIV/0!</v>
      </c>
      <c r="H142" s="1977" t="e">
        <f t="shared" si="9"/>
        <v>#DIV/0!</v>
      </c>
      <c r="I142" s="1977" t="e">
        <f t="shared" si="9"/>
        <v>#DIV/0!</v>
      </c>
      <c r="J142" s="1977" t="e">
        <f t="shared" si="9"/>
        <v>#DIV/0!</v>
      </c>
      <c r="K142" s="1977" t="e">
        <f t="shared" si="9"/>
        <v>#DIV/0!</v>
      </c>
      <c r="L142" s="1977" t="e">
        <f t="shared" si="9"/>
        <v>#DIV/0!</v>
      </c>
      <c r="M142" s="1977" t="e">
        <f t="shared" si="9"/>
        <v>#DIV/0!</v>
      </c>
      <c r="N142" s="1978" t="e">
        <f t="shared" si="9"/>
        <v>#DIV/0!</v>
      </c>
      <c r="O142" s="1979" t="e">
        <f>AVERAGE(C142:N142)</f>
        <v>#DIV/0!</v>
      </c>
    </row>
    <row r="143" spans="2:22" ht="16.5" thickBot="1">
      <c r="B143" s="1976" t="s">
        <v>1440</v>
      </c>
      <c r="C143" s="1977">
        <f t="shared" ref="C143:N143" si="10">IF(C141&gt;0,C141/rng02_TotalUnits_Market,0)</f>
        <v>0</v>
      </c>
      <c r="D143" s="1977">
        <f t="shared" si="10"/>
        <v>0</v>
      </c>
      <c r="E143" s="1977">
        <f t="shared" si="10"/>
        <v>0</v>
      </c>
      <c r="F143" s="1977">
        <f t="shared" si="10"/>
        <v>0</v>
      </c>
      <c r="G143" s="1977">
        <f t="shared" si="10"/>
        <v>0</v>
      </c>
      <c r="H143" s="1977">
        <f t="shared" si="10"/>
        <v>0</v>
      </c>
      <c r="I143" s="1977">
        <f t="shared" si="10"/>
        <v>0</v>
      </c>
      <c r="J143" s="1977">
        <f t="shared" si="10"/>
        <v>0</v>
      </c>
      <c r="K143" s="1977">
        <f t="shared" si="10"/>
        <v>0</v>
      </c>
      <c r="L143" s="1977">
        <f t="shared" si="10"/>
        <v>0</v>
      </c>
      <c r="M143" s="1977">
        <f t="shared" si="10"/>
        <v>0</v>
      </c>
      <c r="N143" s="1978">
        <f t="shared" si="10"/>
        <v>0</v>
      </c>
      <c r="O143" s="1979">
        <f>AVERAGE(C143:N143)</f>
        <v>0</v>
      </c>
    </row>
    <row r="144" spans="2:22" ht="16.5" thickBot="1">
      <c r="B144" s="1975" t="s">
        <v>1441</v>
      </c>
      <c r="C144" s="860"/>
      <c r="D144" s="860"/>
      <c r="E144" s="860"/>
      <c r="F144" s="860"/>
      <c r="G144" s="860"/>
      <c r="H144" s="860"/>
      <c r="I144" s="860"/>
      <c r="J144" s="860"/>
      <c r="K144" s="860"/>
      <c r="L144" s="860"/>
      <c r="M144" s="860"/>
      <c r="N144" s="860"/>
      <c r="O144" s="1979" t="e">
        <f>AVERAGE(C144:N144)</f>
        <v>#DIV/0!</v>
      </c>
    </row>
    <row r="145" spans="2:15" ht="16.5" thickBot="1">
      <c r="B145" s="1980" t="s">
        <v>1442</v>
      </c>
      <c r="C145" s="1148"/>
      <c r="D145" s="1148"/>
      <c r="E145" s="1148"/>
      <c r="F145" s="1148"/>
      <c r="G145" s="1148"/>
      <c r="H145" s="1148"/>
      <c r="I145" s="1148"/>
      <c r="J145" s="1148"/>
      <c r="K145" s="1148"/>
      <c r="L145" s="1148"/>
      <c r="M145" s="1148"/>
      <c r="N145" s="1385"/>
      <c r="O145" s="1979" t="e">
        <f>AVERAGE(C145:N145)</f>
        <v>#DIV/0!</v>
      </c>
    </row>
    <row r="146" spans="2:15" ht="16.5" thickBot="1">
      <c r="B146" s="1981"/>
      <c r="C146" s="486"/>
      <c r="D146" s="486"/>
      <c r="E146" s="486"/>
      <c r="F146" s="486"/>
      <c r="G146" s="486"/>
      <c r="H146" s="486"/>
      <c r="I146" s="486"/>
      <c r="J146" s="486"/>
      <c r="K146" s="486"/>
      <c r="L146" s="486"/>
      <c r="M146" s="486"/>
      <c r="N146" s="486"/>
      <c r="O146" s="1966"/>
    </row>
    <row r="147" spans="2:15" ht="19.5" thickBot="1">
      <c r="B147" s="1970">
        <f>B139+1</f>
        <v>1901</v>
      </c>
      <c r="C147" s="1971" t="str">
        <f>TEXT(MONTH(A103), "mmmm")</f>
        <v>January</v>
      </c>
      <c r="D147" s="1972" t="s">
        <v>1425</v>
      </c>
      <c r="E147" s="1972" t="s">
        <v>1426</v>
      </c>
      <c r="F147" s="1972" t="s">
        <v>1427</v>
      </c>
      <c r="G147" s="1972" t="s">
        <v>1428</v>
      </c>
      <c r="H147" s="1972" t="s">
        <v>1429</v>
      </c>
      <c r="I147" s="1972" t="s">
        <v>1430</v>
      </c>
      <c r="J147" s="1972" t="s">
        <v>1431</v>
      </c>
      <c r="K147" s="1972" t="s">
        <v>1432</v>
      </c>
      <c r="L147" s="1972" t="s">
        <v>1433</v>
      </c>
      <c r="M147" s="1972" t="s">
        <v>1434</v>
      </c>
      <c r="N147" s="1973" t="s">
        <v>1435</v>
      </c>
    </row>
    <row r="148" spans="2:15" ht="15.75">
      <c r="B148" s="1974" t="s">
        <v>1436</v>
      </c>
      <c r="C148" s="1397"/>
      <c r="D148" s="1397"/>
      <c r="E148" s="1397"/>
      <c r="F148" s="1397"/>
      <c r="G148" s="1397"/>
      <c r="H148" s="1397"/>
      <c r="I148" s="1397"/>
      <c r="J148" s="1397"/>
      <c r="K148" s="1397"/>
      <c r="L148" s="1397"/>
      <c r="M148" s="1397"/>
      <c r="N148" s="1397"/>
      <c r="O148" s="1383"/>
    </row>
    <row r="149" spans="2:15" ht="16.5" thickBot="1">
      <c r="B149" s="1975" t="s">
        <v>1437</v>
      </c>
      <c r="C149" s="1398"/>
      <c r="D149" s="1398"/>
      <c r="E149" s="1398"/>
      <c r="F149" s="1398"/>
      <c r="G149" s="1398"/>
      <c r="H149" s="1398"/>
      <c r="I149" s="1398"/>
      <c r="J149" s="1398"/>
      <c r="K149" s="1398"/>
      <c r="L149" s="1398"/>
      <c r="M149" s="1398"/>
      <c r="N149" s="1398"/>
      <c r="O149" s="1384" t="s">
        <v>1438</v>
      </c>
    </row>
    <row r="150" spans="2:15" ht="16.5" thickBot="1">
      <c r="B150" s="1976" t="s">
        <v>1439</v>
      </c>
      <c r="C150" s="1977" t="e">
        <f t="shared" ref="C150:N150" si="11">C148/rng02_TotalUnits_LIHTC</f>
        <v>#DIV/0!</v>
      </c>
      <c r="D150" s="1977" t="e">
        <f t="shared" si="11"/>
        <v>#DIV/0!</v>
      </c>
      <c r="E150" s="1977" t="e">
        <f t="shared" si="11"/>
        <v>#DIV/0!</v>
      </c>
      <c r="F150" s="1977" t="e">
        <f t="shared" si="11"/>
        <v>#DIV/0!</v>
      </c>
      <c r="G150" s="1977" t="e">
        <f t="shared" si="11"/>
        <v>#DIV/0!</v>
      </c>
      <c r="H150" s="1977" t="e">
        <f t="shared" si="11"/>
        <v>#DIV/0!</v>
      </c>
      <c r="I150" s="1977" t="e">
        <f t="shared" si="11"/>
        <v>#DIV/0!</v>
      </c>
      <c r="J150" s="1977" t="e">
        <f t="shared" si="11"/>
        <v>#DIV/0!</v>
      </c>
      <c r="K150" s="1977" t="e">
        <f t="shared" si="11"/>
        <v>#DIV/0!</v>
      </c>
      <c r="L150" s="1977" t="e">
        <f t="shared" si="11"/>
        <v>#DIV/0!</v>
      </c>
      <c r="M150" s="1977" t="e">
        <f t="shared" si="11"/>
        <v>#DIV/0!</v>
      </c>
      <c r="N150" s="1978" t="e">
        <f t="shared" si="11"/>
        <v>#DIV/0!</v>
      </c>
      <c r="O150" s="1979" t="e">
        <f>AVERAGE(C150:N150)</f>
        <v>#DIV/0!</v>
      </c>
    </row>
    <row r="151" spans="2:15" ht="16.5" thickBot="1">
      <c r="B151" s="1976" t="s">
        <v>1440</v>
      </c>
      <c r="C151" s="1977">
        <f t="shared" ref="C151:N151" si="12">IF(C149&gt;0,C149/rng02_TotalUnits_Market,0)</f>
        <v>0</v>
      </c>
      <c r="D151" s="1977">
        <f t="shared" si="12"/>
        <v>0</v>
      </c>
      <c r="E151" s="1977">
        <f t="shared" si="12"/>
        <v>0</v>
      </c>
      <c r="F151" s="1977">
        <f t="shared" si="12"/>
        <v>0</v>
      </c>
      <c r="G151" s="1977">
        <f t="shared" si="12"/>
        <v>0</v>
      </c>
      <c r="H151" s="1977">
        <f t="shared" si="12"/>
        <v>0</v>
      </c>
      <c r="I151" s="1977">
        <f t="shared" si="12"/>
        <v>0</v>
      </c>
      <c r="J151" s="1977">
        <f t="shared" si="12"/>
        <v>0</v>
      </c>
      <c r="K151" s="1977">
        <f t="shared" si="12"/>
        <v>0</v>
      </c>
      <c r="L151" s="1977">
        <f t="shared" si="12"/>
        <v>0</v>
      </c>
      <c r="M151" s="1977">
        <f t="shared" si="12"/>
        <v>0</v>
      </c>
      <c r="N151" s="1978">
        <f t="shared" si="12"/>
        <v>0</v>
      </c>
      <c r="O151" s="1979">
        <f>AVERAGE(C151:N151)</f>
        <v>0</v>
      </c>
    </row>
    <row r="152" spans="2:15" ht="16.5" thickBot="1">
      <c r="B152" s="1975" t="s">
        <v>1441</v>
      </c>
      <c r="C152" s="860"/>
      <c r="D152" s="860"/>
      <c r="E152" s="860"/>
      <c r="F152" s="860"/>
      <c r="G152" s="860"/>
      <c r="H152" s="860"/>
      <c r="I152" s="860"/>
      <c r="J152" s="860"/>
      <c r="K152" s="860"/>
      <c r="L152" s="860"/>
      <c r="M152" s="860"/>
      <c r="N152" s="860"/>
      <c r="O152" s="1979" t="e">
        <f>AVERAGE(C152:N152)</f>
        <v>#DIV/0!</v>
      </c>
    </row>
    <row r="153" spans="2:15" ht="16.5" thickBot="1">
      <c r="B153" s="1980" t="s">
        <v>1442</v>
      </c>
      <c r="C153" s="1148"/>
      <c r="D153" s="1148"/>
      <c r="E153" s="1148"/>
      <c r="F153" s="1148"/>
      <c r="G153" s="1148"/>
      <c r="H153" s="1148"/>
      <c r="I153" s="1148"/>
      <c r="J153" s="1148"/>
      <c r="K153" s="1148"/>
      <c r="L153" s="1148"/>
      <c r="M153" s="1148"/>
      <c r="N153" s="1385"/>
      <c r="O153" s="1979" t="e">
        <f>AVERAGE(C153:N153)</f>
        <v>#DIV/0!</v>
      </c>
    </row>
    <row r="154" spans="2:15" ht="16.5" thickBot="1">
      <c r="B154" s="1981"/>
      <c r="C154" s="486"/>
      <c r="D154" s="486"/>
      <c r="E154" s="486"/>
      <c r="F154" s="486"/>
      <c r="G154" s="486"/>
      <c r="H154" s="486"/>
      <c r="I154" s="486"/>
      <c r="J154" s="486"/>
      <c r="K154" s="486"/>
      <c r="L154" s="486"/>
      <c r="M154" s="486"/>
      <c r="N154" s="486"/>
      <c r="O154" s="1966"/>
    </row>
    <row r="155" spans="2:15" ht="19.5" thickBot="1">
      <c r="B155" s="1970">
        <f>B147+1</f>
        <v>1902</v>
      </c>
      <c r="C155" s="1971" t="str">
        <f>TEXT(MONTH(A313), "mmmm")</f>
        <v>January</v>
      </c>
      <c r="D155" s="1972" t="s">
        <v>1425</v>
      </c>
      <c r="E155" s="1972" t="s">
        <v>1426</v>
      </c>
      <c r="F155" s="1972" t="s">
        <v>1427</v>
      </c>
      <c r="G155" s="1972" t="s">
        <v>1428</v>
      </c>
      <c r="H155" s="1972" t="s">
        <v>1429</v>
      </c>
      <c r="I155" s="1972" t="s">
        <v>1430</v>
      </c>
      <c r="J155" s="1972" t="s">
        <v>1431</v>
      </c>
      <c r="K155" s="1972" t="s">
        <v>1432</v>
      </c>
      <c r="L155" s="1972" t="s">
        <v>1433</v>
      </c>
      <c r="M155" s="1972" t="s">
        <v>1434</v>
      </c>
      <c r="N155" s="1973" t="s">
        <v>1435</v>
      </c>
    </row>
    <row r="156" spans="2:15" ht="15.75">
      <c r="B156" s="1974" t="s">
        <v>1436</v>
      </c>
      <c r="C156" s="1397"/>
      <c r="D156" s="1397"/>
      <c r="E156" s="1397"/>
      <c r="F156" s="1397"/>
      <c r="G156" s="1397"/>
      <c r="H156" s="1397"/>
      <c r="I156" s="1397"/>
      <c r="J156" s="1397"/>
      <c r="K156" s="1397"/>
      <c r="L156" s="1397"/>
      <c r="M156" s="1397"/>
      <c r="N156" s="1397"/>
      <c r="O156" s="1383"/>
    </row>
    <row r="157" spans="2:15" ht="16.5" thickBot="1">
      <c r="B157" s="1975" t="s">
        <v>1437</v>
      </c>
      <c r="C157" s="1398"/>
      <c r="D157" s="1398"/>
      <c r="E157" s="1398"/>
      <c r="F157" s="1398"/>
      <c r="G157" s="1398"/>
      <c r="H157" s="1398"/>
      <c r="I157" s="1398"/>
      <c r="J157" s="1398"/>
      <c r="K157" s="1398"/>
      <c r="L157" s="1398"/>
      <c r="M157" s="1398"/>
      <c r="N157" s="1398"/>
      <c r="O157" s="1384" t="s">
        <v>1438</v>
      </c>
    </row>
    <row r="158" spans="2:15" ht="16.5" thickBot="1">
      <c r="B158" s="1976" t="s">
        <v>1439</v>
      </c>
      <c r="C158" s="1977" t="e">
        <f>C156/rng02_TotalUnits_LIHTC</f>
        <v>#DIV/0!</v>
      </c>
      <c r="D158" s="1977" t="e">
        <f t="shared" ref="D158:N158" si="13">D156/rng02_TotalUnits_LIHTC</f>
        <v>#DIV/0!</v>
      </c>
      <c r="E158" s="1977" t="e">
        <f t="shared" si="13"/>
        <v>#DIV/0!</v>
      </c>
      <c r="F158" s="1977" t="e">
        <f t="shared" si="13"/>
        <v>#DIV/0!</v>
      </c>
      <c r="G158" s="1977" t="e">
        <f t="shared" si="13"/>
        <v>#DIV/0!</v>
      </c>
      <c r="H158" s="1977" t="e">
        <f t="shared" si="13"/>
        <v>#DIV/0!</v>
      </c>
      <c r="I158" s="1977" t="e">
        <f t="shared" si="13"/>
        <v>#DIV/0!</v>
      </c>
      <c r="J158" s="1977" t="e">
        <f t="shared" si="13"/>
        <v>#DIV/0!</v>
      </c>
      <c r="K158" s="1977" t="e">
        <f t="shared" si="13"/>
        <v>#DIV/0!</v>
      </c>
      <c r="L158" s="1977" t="e">
        <f t="shared" si="13"/>
        <v>#DIV/0!</v>
      </c>
      <c r="M158" s="1977" t="e">
        <f t="shared" si="13"/>
        <v>#DIV/0!</v>
      </c>
      <c r="N158" s="1978" t="e">
        <f t="shared" si="13"/>
        <v>#DIV/0!</v>
      </c>
      <c r="O158" s="1979" t="e">
        <f>AVERAGE(C158:N158)</f>
        <v>#DIV/0!</v>
      </c>
    </row>
    <row r="159" spans="2:15" ht="16.5" thickBot="1">
      <c r="B159" s="1976" t="s">
        <v>1440</v>
      </c>
      <c r="C159" s="1977">
        <f>IF(C157&gt;0,C157/rng02_TotalUnits_Market,0)</f>
        <v>0</v>
      </c>
      <c r="D159" s="1977">
        <f t="shared" ref="D159:N159" si="14">IF(D157&gt;0,D157/rng02_TotalUnits_Market,0)</f>
        <v>0</v>
      </c>
      <c r="E159" s="1977">
        <f t="shared" si="14"/>
        <v>0</v>
      </c>
      <c r="F159" s="1977">
        <f t="shared" si="14"/>
        <v>0</v>
      </c>
      <c r="G159" s="1977">
        <f t="shared" si="14"/>
        <v>0</v>
      </c>
      <c r="H159" s="1977">
        <f t="shared" si="14"/>
        <v>0</v>
      </c>
      <c r="I159" s="1977">
        <f t="shared" si="14"/>
        <v>0</v>
      </c>
      <c r="J159" s="1977">
        <f t="shared" si="14"/>
        <v>0</v>
      </c>
      <c r="K159" s="1977">
        <f t="shared" si="14"/>
        <v>0</v>
      </c>
      <c r="L159" s="1977">
        <f t="shared" si="14"/>
        <v>0</v>
      </c>
      <c r="M159" s="1977">
        <f t="shared" si="14"/>
        <v>0</v>
      </c>
      <c r="N159" s="1978">
        <f t="shared" si="14"/>
        <v>0</v>
      </c>
      <c r="O159" s="1979">
        <f>AVERAGE(C159:N159)</f>
        <v>0</v>
      </c>
    </row>
    <row r="160" spans="2:15" ht="16.5" thickBot="1">
      <c r="B160" s="1975" t="s">
        <v>1441</v>
      </c>
      <c r="C160" s="860"/>
      <c r="D160" s="860"/>
      <c r="E160" s="860"/>
      <c r="F160" s="860"/>
      <c r="G160" s="860"/>
      <c r="H160" s="860"/>
      <c r="I160" s="860"/>
      <c r="J160" s="860"/>
      <c r="K160" s="860"/>
      <c r="L160" s="860"/>
      <c r="M160" s="860"/>
      <c r="N160" s="860"/>
      <c r="O160" s="1979" t="e">
        <f>AVERAGE(C160:N160)</f>
        <v>#DIV/0!</v>
      </c>
    </row>
    <row r="161" spans="2:22" ht="16.5" thickBot="1">
      <c r="B161" s="1980" t="s">
        <v>1442</v>
      </c>
      <c r="C161" s="1148"/>
      <c r="D161" s="1148"/>
      <c r="E161" s="1148"/>
      <c r="F161" s="1148"/>
      <c r="G161" s="1148"/>
      <c r="H161" s="1148"/>
      <c r="I161" s="1148"/>
      <c r="J161" s="1148"/>
      <c r="K161" s="1148"/>
      <c r="L161" s="1148"/>
      <c r="M161" s="1148"/>
      <c r="N161" s="1385"/>
      <c r="O161" s="1979" t="e">
        <f>AVERAGE(C161:N161)</f>
        <v>#DIV/0!</v>
      </c>
    </row>
    <row r="162" spans="2:22" ht="16.5" thickBot="1">
      <c r="B162" s="1966"/>
      <c r="C162" s="1966"/>
      <c r="D162" s="1969"/>
      <c r="E162" s="1967"/>
      <c r="F162" s="1968"/>
      <c r="G162" s="1968"/>
      <c r="H162" s="1969"/>
      <c r="I162" s="1967"/>
      <c r="J162" s="1968"/>
      <c r="K162" s="1968"/>
      <c r="L162" s="1969"/>
    </row>
    <row r="163" spans="2:22" ht="21.75" thickBot="1">
      <c r="B163" s="473" t="s">
        <v>1443</v>
      </c>
      <c r="C163" s="20"/>
      <c r="D163" s="21"/>
      <c r="E163" s="474"/>
      <c r="F163" s="475"/>
      <c r="G163" s="475"/>
      <c r="H163" s="475"/>
      <c r="I163" s="475"/>
      <c r="J163" s="475"/>
      <c r="K163" s="475"/>
      <c r="L163" s="475"/>
      <c r="M163" s="475"/>
      <c r="N163" s="475"/>
      <c r="O163" s="475"/>
      <c r="P163" s="475"/>
      <c r="Q163" s="475"/>
      <c r="R163" s="475"/>
      <c r="S163" s="475"/>
      <c r="T163" s="475"/>
      <c r="U163" s="475"/>
      <c r="V163" s="616"/>
    </row>
    <row r="164" spans="2:22">
      <c r="B164" s="9"/>
      <c r="C164" s="9"/>
    </row>
    <row r="165" spans="2:22" ht="18.75">
      <c r="B165" s="9"/>
      <c r="C165" s="2226" t="s">
        <v>2449</v>
      </c>
      <c r="D165" s="2226"/>
      <c r="E165" s="2226"/>
      <c r="F165" s="2226"/>
      <c r="G165" s="2226"/>
      <c r="H165" s="2226"/>
      <c r="I165" s="2226"/>
      <c r="J165" s="2226"/>
      <c r="K165" s="2226"/>
    </row>
    <row r="166" spans="2:22" ht="15.75" thickBot="1">
      <c r="B166" s="9"/>
      <c r="C166" s="9"/>
    </row>
    <row r="167" spans="2:22" ht="19.5" thickBot="1">
      <c r="B167" s="9"/>
      <c r="C167" s="1982" t="s">
        <v>632</v>
      </c>
      <c r="D167" s="2152"/>
      <c r="E167" s="2153"/>
      <c r="F167" s="2154"/>
      <c r="H167" s="1982" t="s">
        <v>1020</v>
      </c>
      <c r="I167" s="2152"/>
      <c r="J167" s="2153"/>
      <c r="K167" s="2154"/>
    </row>
    <row r="168" spans="2:22" ht="15.75">
      <c r="B168" s="9"/>
      <c r="C168" s="152" t="s">
        <v>1444</v>
      </c>
      <c r="D168" s="2146"/>
      <c r="E168" s="2147"/>
      <c r="F168" s="2148"/>
      <c r="H168" s="152" t="s">
        <v>1444</v>
      </c>
      <c r="I168" s="2146"/>
      <c r="J168" s="2147"/>
      <c r="K168" s="2148"/>
    </row>
    <row r="169" spans="2:22" ht="15.75">
      <c r="B169" s="9"/>
      <c r="C169" s="152" t="s">
        <v>97</v>
      </c>
      <c r="D169" s="2143"/>
      <c r="E169" s="2144"/>
      <c r="F169" s="2145"/>
      <c r="H169" s="152" t="s">
        <v>97</v>
      </c>
      <c r="I169" s="2143"/>
      <c r="J169" s="2144"/>
      <c r="K169" s="2145"/>
    </row>
    <row r="170" spans="2:22" ht="15.75">
      <c r="B170" s="9"/>
      <c r="C170" s="152" t="s">
        <v>98</v>
      </c>
      <c r="D170" s="2143"/>
      <c r="E170" s="2144"/>
      <c r="F170" s="2145"/>
      <c r="H170" s="152" t="s">
        <v>98</v>
      </c>
      <c r="I170" s="2143"/>
      <c r="J170" s="2144"/>
      <c r="K170" s="2145"/>
    </row>
    <row r="171" spans="2:22" ht="15.75">
      <c r="B171" s="9"/>
      <c r="C171" s="152" t="s">
        <v>1012</v>
      </c>
      <c r="D171" s="2143"/>
      <c r="E171" s="2144"/>
      <c r="F171" s="2145"/>
      <c r="H171" s="152" t="s">
        <v>1012</v>
      </c>
      <c r="I171" s="2143"/>
      <c r="J171" s="2144"/>
      <c r="K171" s="2145"/>
    </row>
    <row r="172" spans="2:22" ht="15.75">
      <c r="B172" s="9"/>
      <c r="C172" s="152" t="s">
        <v>904</v>
      </c>
      <c r="D172" s="2140"/>
      <c r="E172" s="2141"/>
      <c r="F172" s="2142"/>
      <c r="H172" s="152" t="s">
        <v>904</v>
      </c>
      <c r="I172" s="2140"/>
      <c r="J172" s="2141"/>
      <c r="K172" s="2142"/>
    </row>
    <row r="173" spans="2:22" ht="15.75">
      <c r="B173" s="9"/>
      <c r="C173" s="152" t="s">
        <v>1014</v>
      </c>
      <c r="D173" s="2140"/>
      <c r="E173" s="2141"/>
      <c r="F173" s="2142"/>
      <c r="H173" s="152" t="s">
        <v>1014</v>
      </c>
      <c r="I173" s="2140"/>
      <c r="J173" s="2141"/>
      <c r="K173" s="2142"/>
    </row>
    <row r="174" spans="2:22" ht="15.75">
      <c r="B174" s="9"/>
      <c r="C174" s="152" t="s">
        <v>1445</v>
      </c>
      <c r="D174" s="2140"/>
      <c r="E174" s="2141"/>
      <c r="F174" s="2142"/>
      <c r="H174" s="152" t="s">
        <v>1445</v>
      </c>
      <c r="I174" s="2140"/>
      <c r="J174" s="2141"/>
      <c r="K174" s="2142"/>
    </row>
    <row r="175" spans="2:22" ht="16.5" thickBot="1">
      <c r="B175" s="9"/>
      <c r="C175" s="162" t="s">
        <v>1446</v>
      </c>
      <c r="D175" s="2149"/>
      <c r="E175" s="2150"/>
      <c r="F175" s="2151"/>
      <c r="H175" s="162" t="s">
        <v>1446</v>
      </c>
      <c r="I175" s="2149"/>
      <c r="J175" s="2150"/>
      <c r="K175" s="2151"/>
    </row>
    <row r="176" spans="2:22" ht="16.5" thickBot="1">
      <c r="B176" s="9"/>
      <c r="C176" s="8"/>
      <c r="D176" s="1851" t="s">
        <v>8</v>
      </c>
      <c r="E176" s="9"/>
      <c r="H176" s="8"/>
      <c r="I176" s="8"/>
      <c r="J176" s="8"/>
      <c r="K176" s="1851"/>
    </row>
    <row r="177" spans="2:11" ht="19.5" thickBot="1">
      <c r="B177" s="9"/>
      <c r="C177" s="1982" t="s">
        <v>1018</v>
      </c>
      <c r="D177" s="2152"/>
      <c r="E177" s="2153"/>
      <c r="F177" s="2154"/>
      <c r="H177" s="1982" t="s">
        <v>1021</v>
      </c>
      <c r="I177" s="2152"/>
      <c r="J177" s="2153"/>
      <c r="K177" s="2154"/>
    </row>
    <row r="178" spans="2:11" ht="15.75">
      <c r="B178" s="9"/>
      <c r="C178" s="152" t="s">
        <v>1444</v>
      </c>
      <c r="D178" s="2146"/>
      <c r="E178" s="2147"/>
      <c r="F178" s="2148"/>
      <c r="H178" s="152" t="s">
        <v>1444</v>
      </c>
      <c r="I178" s="2146"/>
      <c r="J178" s="2147"/>
      <c r="K178" s="2148"/>
    </row>
    <row r="179" spans="2:11" ht="15.75">
      <c r="B179" s="9"/>
      <c r="C179" s="152" t="s">
        <v>97</v>
      </c>
      <c r="D179" s="2143"/>
      <c r="E179" s="2144"/>
      <c r="F179" s="2145"/>
      <c r="H179" s="152" t="s">
        <v>97</v>
      </c>
      <c r="I179" s="2143"/>
      <c r="J179" s="2144"/>
      <c r="K179" s="2145"/>
    </row>
    <row r="180" spans="2:11" ht="15.75">
      <c r="B180" s="9"/>
      <c r="C180" s="152" t="s">
        <v>98</v>
      </c>
      <c r="D180" s="2143"/>
      <c r="E180" s="2144"/>
      <c r="F180" s="2145"/>
      <c r="H180" s="152" t="s">
        <v>98</v>
      </c>
      <c r="I180" s="2143"/>
      <c r="J180" s="2144"/>
      <c r="K180" s="2145"/>
    </row>
    <row r="181" spans="2:11" ht="15.75">
      <c r="B181" s="9"/>
      <c r="C181" s="152" t="s">
        <v>1012</v>
      </c>
      <c r="D181" s="2143"/>
      <c r="E181" s="2144"/>
      <c r="F181" s="2145"/>
      <c r="H181" s="152" t="s">
        <v>1012</v>
      </c>
      <c r="I181" s="2143"/>
      <c r="J181" s="2144"/>
      <c r="K181" s="2145"/>
    </row>
    <row r="182" spans="2:11" ht="15.75">
      <c r="B182" s="9"/>
      <c r="C182" s="152" t="s">
        <v>904</v>
      </c>
      <c r="D182" s="2140"/>
      <c r="E182" s="2141"/>
      <c r="F182" s="2142"/>
      <c r="H182" s="152" t="s">
        <v>904</v>
      </c>
      <c r="I182" s="2191"/>
      <c r="J182" s="2191"/>
      <c r="K182" s="2192"/>
    </row>
    <row r="183" spans="2:11" ht="15.75">
      <c r="B183" s="9"/>
      <c r="C183" s="152" t="s">
        <v>1014</v>
      </c>
      <c r="D183" s="2140"/>
      <c r="E183" s="2141"/>
      <c r="F183" s="2142"/>
      <c r="H183" s="152" t="s">
        <v>1014</v>
      </c>
      <c r="I183" s="2191"/>
      <c r="J183" s="2191"/>
      <c r="K183" s="2192"/>
    </row>
    <row r="184" spans="2:11" ht="15.75">
      <c r="B184" s="9"/>
      <c r="C184" s="152" t="s">
        <v>1445</v>
      </c>
      <c r="D184" s="2140"/>
      <c r="E184" s="2141"/>
      <c r="F184" s="2142"/>
      <c r="H184" s="152" t="s">
        <v>1445</v>
      </c>
      <c r="I184" s="2191"/>
      <c r="J184" s="2191"/>
      <c r="K184" s="2192"/>
    </row>
    <row r="185" spans="2:11" ht="16.5" thickBot="1">
      <c r="B185" s="9"/>
      <c r="C185" s="162" t="s">
        <v>1446</v>
      </c>
      <c r="D185" s="2149"/>
      <c r="E185" s="2150"/>
      <c r="F185" s="2151"/>
      <c r="H185" s="162" t="s">
        <v>1446</v>
      </c>
      <c r="I185" s="2194"/>
      <c r="J185" s="2194"/>
      <c r="K185" s="2195"/>
    </row>
    <row r="186" spans="2:11" ht="16.5" thickBot="1">
      <c r="B186" s="9"/>
      <c r="C186" s="8"/>
      <c r="D186" s="1851" t="s">
        <v>8</v>
      </c>
      <c r="E186" s="9"/>
      <c r="H186" s="8"/>
      <c r="I186" s="1851" t="s">
        <v>8</v>
      </c>
    </row>
    <row r="187" spans="2:11" ht="19.5" thickBot="1">
      <c r="B187" s="9"/>
      <c r="C187" s="1982" t="s">
        <v>1019</v>
      </c>
      <c r="D187" s="2152"/>
      <c r="E187" s="2153"/>
      <c r="F187" s="2154"/>
      <c r="H187" s="1982" t="s">
        <v>1022</v>
      </c>
      <c r="I187" s="2152"/>
      <c r="J187" s="2153"/>
      <c r="K187" s="2154"/>
    </row>
    <row r="188" spans="2:11" ht="15.75">
      <c r="B188" s="9"/>
      <c r="C188" s="152" t="s">
        <v>1444</v>
      </c>
      <c r="D188" s="2146"/>
      <c r="E188" s="2147"/>
      <c r="F188" s="2148"/>
      <c r="H188" s="152" t="s">
        <v>1444</v>
      </c>
      <c r="I188" s="2198"/>
      <c r="J188" s="2198"/>
      <c r="K188" s="2199"/>
    </row>
    <row r="189" spans="2:11" ht="15.75">
      <c r="B189" s="9"/>
      <c r="C189" s="152" t="s">
        <v>97</v>
      </c>
      <c r="D189" s="2143"/>
      <c r="E189" s="2144"/>
      <c r="F189" s="2145"/>
      <c r="H189" s="152" t="s">
        <v>97</v>
      </c>
      <c r="I189" s="2189"/>
      <c r="J189" s="2189"/>
      <c r="K189" s="2190"/>
    </row>
    <row r="190" spans="2:11" ht="15.75">
      <c r="B190" s="9"/>
      <c r="C190" s="152" t="s">
        <v>98</v>
      </c>
      <c r="D190" s="2143"/>
      <c r="E190" s="2144"/>
      <c r="F190" s="2145"/>
      <c r="H190" s="152" t="s">
        <v>98</v>
      </c>
      <c r="I190" s="2189"/>
      <c r="J190" s="2189"/>
      <c r="K190" s="2190"/>
    </row>
    <row r="191" spans="2:11" ht="15.75">
      <c r="B191" s="9"/>
      <c r="C191" s="152" t="s">
        <v>1012</v>
      </c>
      <c r="D191" s="2143"/>
      <c r="E191" s="2144"/>
      <c r="F191" s="2145"/>
      <c r="H191" s="152" t="s">
        <v>1012</v>
      </c>
      <c r="I191" s="2189"/>
      <c r="J191" s="2189"/>
      <c r="K191" s="2190"/>
    </row>
    <row r="192" spans="2:11" ht="15.75">
      <c r="B192" s="9"/>
      <c r="C192" s="152" t="s">
        <v>904</v>
      </c>
      <c r="D192" s="2140"/>
      <c r="E192" s="2141"/>
      <c r="F192" s="2142"/>
      <c r="H192" s="152" t="s">
        <v>904</v>
      </c>
      <c r="I192" s="2191"/>
      <c r="J192" s="2191"/>
      <c r="K192" s="2192"/>
    </row>
    <row r="193" spans="2:11" ht="15.75">
      <c r="B193" s="9"/>
      <c r="C193" s="152" t="s">
        <v>1014</v>
      </c>
      <c r="D193" s="2140"/>
      <c r="E193" s="2141"/>
      <c r="F193" s="2142"/>
      <c r="H193" s="152" t="s">
        <v>1014</v>
      </c>
      <c r="I193" s="2191"/>
      <c r="J193" s="2191"/>
      <c r="K193" s="2192"/>
    </row>
    <row r="194" spans="2:11" ht="15.75">
      <c r="B194" s="9"/>
      <c r="C194" s="152" t="s">
        <v>1445</v>
      </c>
      <c r="D194" s="2140"/>
      <c r="E194" s="2141"/>
      <c r="F194" s="2142"/>
      <c r="H194" s="152" t="s">
        <v>1445</v>
      </c>
      <c r="I194" s="2191"/>
      <c r="J194" s="2191"/>
      <c r="K194" s="2192"/>
    </row>
    <row r="195" spans="2:11" ht="16.5" thickBot="1">
      <c r="B195" s="9"/>
      <c r="C195" s="162" t="s">
        <v>1446</v>
      </c>
      <c r="D195" s="2149"/>
      <c r="E195" s="2150"/>
      <c r="F195" s="2151"/>
      <c r="H195" s="162" t="s">
        <v>1446</v>
      </c>
      <c r="I195" s="2194"/>
      <c r="J195" s="2194"/>
      <c r="K195" s="2195"/>
    </row>
    <row r="196" spans="2:11" ht="16.5" thickBot="1">
      <c r="B196" s="9"/>
      <c r="C196" s="8"/>
      <c r="D196" s="1851" t="s">
        <v>8</v>
      </c>
      <c r="E196" s="9"/>
      <c r="H196" s="8"/>
      <c r="I196" s="1851" t="s">
        <v>8</v>
      </c>
    </row>
    <row r="197" spans="2:11" ht="19.5" thickBot="1">
      <c r="B197" s="9"/>
      <c r="C197" s="1982" t="s">
        <v>653</v>
      </c>
      <c r="D197" s="2152"/>
      <c r="E197" s="2153"/>
      <c r="F197" s="2154"/>
      <c r="H197" s="1982" t="s">
        <v>635</v>
      </c>
      <c r="I197" s="2152"/>
      <c r="J197" s="2153"/>
      <c r="K197" s="2154"/>
    </row>
    <row r="198" spans="2:11" ht="15.75">
      <c r="B198" s="9"/>
      <c r="C198" s="152" t="s">
        <v>1444</v>
      </c>
      <c r="D198" s="2146"/>
      <c r="E198" s="2147"/>
      <c r="F198" s="2148"/>
      <c r="H198" s="152" t="s">
        <v>1444</v>
      </c>
      <c r="I198" s="2146"/>
      <c r="J198" s="2147"/>
      <c r="K198" s="2148"/>
    </row>
    <row r="199" spans="2:11" ht="15.75">
      <c r="B199" s="9"/>
      <c r="C199" s="152" t="s">
        <v>97</v>
      </c>
      <c r="D199" s="2143"/>
      <c r="E199" s="2144"/>
      <c r="F199" s="2145"/>
      <c r="H199" s="152" t="s">
        <v>97</v>
      </c>
      <c r="I199" s="2143"/>
      <c r="J199" s="2144"/>
      <c r="K199" s="2145"/>
    </row>
    <row r="200" spans="2:11" ht="15.75">
      <c r="B200" s="9"/>
      <c r="C200" s="152" t="s">
        <v>98</v>
      </c>
      <c r="D200" s="2143"/>
      <c r="E200" s="2144"/>
      <c r="F200" s="2145"/>
      <c r="H200" s="152" t="s">
        <v>98</v>
      </c>
      <c r="I200" s="2143"/>
      <c r="J200" s="2144"/>
      <c r="K200" s="2145"/>
    </row>
    <row r="201" spans="2:11" ht="15.75">
      <c r="B201" s="9"/>
      <c r="C201" s="152" t="s">
        <v>1012</v>
      </c>
      <c r="D201" s="2143"/>
      <c r="E201" s="2144"/>
      <c r="F201" s="2145"/>
      <c r="H201" s="152" t="s">
        <v>1012</v>
      </c>
      <c r="I201" s="2143"/>
      <c r="J201" s="2144"/>
      <c r="K201" s="2145"/>
    </row>
    <row r="202" spans="2:11" ht="15.75">
      <c r="B202" s="9"/>
      <c r="C202" s="152" t="s">
        <v>904</v>
      </c>
      <c r="D202" s="2140"/>
      <c r="E202" s="2141"/>
      <c r="F202" s="2142"/>
      <c r="H202" s="152" t="s">
        <v>904</v>
      </c>
      <c r="I202" s="2140"/>
      <c r="J202" s="2141"/>
      <c r="K202" s="2142"/>
    </row>
    <row r="203" spans="2:11" ht="15.75">
      <c r="B203" s="9"/>
      <c r="C203" s="152" t="s">
        <v>1014</v>
      </c>
      <c r="D203" s="2140"/>
      <c r="E203" s="2141"/>
      <c r="F203" s="2142"/>
      <c r="H203" s="152" t="s">
        <v>1014</v>
      </c>
      <c r="I203" s="2140"/>
      <c r="J203" s="2141"/>
      <c r="K203" s="2142"/>
    </row>
    <row r="204" spans="2:11" ht="15.75">
      <c r="B204" s="9"/>
      <c r="C204" s="152" t="s">
        <v>1445</v>
      </c>
      <c r="D204" s="2140"/>
      <c r="E204" s="2141"/>
      <c r="F204" s="2142"/>
      <c r="H204" s="152" t="s">
        <v>1445</v>
      </c>
      <c r="I204" s="2140"/>
      <c r="J204" s="2141"/>
      <c r="K204" s="2142"/>
    </row>
    <row r="205" spans="2:11" ht="16.5" thickBot="1">
      <c r="B205" s="9"/>
      <c r="C205" s="162" t="s">
        <v>1446</v>
      </c>
      <c r="D205" s="2149"/>
      <c r="E205" s="2150"/>
      <c r="F205" s="2151"/>
      <c r="H205" s="162" t="s">
        <v>1446</v>
      </c>
      <c r="I205" s="2149"/>
      <c r="J205" s="2150"/>
      <c r="K205" s="2151"/>
    </row>
    <row r="206" spans="2:11" ht="16.5" thickBot="1">
      <c r="B206" s="9"/>
      <c r="C206" s="8"/>
      <c r="D206" s="1851" t="s">
        <v>8</v>
      </c>
      <c r="E206" s="9"/>
      <c r="H206" s="8"/>
      <c r="I206" s="1851" t="s">
        <v>8</v>
      </c>
    </row>
    <row r="207" spans="2:11" ht="19.5" thickBot="1">
      <c r="B207" s="9"/>
      <c r="C207" s="1982" t="s">
        <v>1447</v>
      </c>
      <c r="D207" s="2152"/>
      <c r="E207" s="2153"/>
      <c r="F207" s="2154"/>
      <c r="H207" s="1982" t="s">
        <v>1447</v>
      </c>
      <c r="I207" s="2152"/>
      <c r="J207" s="2153"/>
      <c r="K207" s="2154"/>
    </row>
    <row r="208" spans="2:11" ht="15.75">
      <c r="B208" s="9"/>
      <c r="C208" s="152" t="s">
        <v>1444</v>
      </c>
      <c r="D208" s="2146"/>
      <c r="E208" s="2147"/>
      <c r="F208" s="2148"/>
      <c r="H208" s="152" t="s">
        <v>1444</v>
      </c>
      <c r="I208" s="2198"/>
      <c r="J208" s="2198"/>
      <c r="K208" s="2199"/>
    </row>
    <row r="209" spans="2:22" ht="15.75">
      <c r="B209" s="9"/>
      <c r="C209" s="152" t="s">
        <v>97</v>
      </c>
      <c r="D209" s="2143"/>
      <c r="E209" s="2144"/>
      <c r="F209" s="2145"/>
      <c r="H209" s="152" t="s">
        <v>97</v>
      </c>
      <c r="I209" s="2189"/>
      <c r="J209" s="2189"/>
      <c r="K209" s="2190"/>
    </row>
    <row r="210" spans="2:22" ht="15.75">
      <c r="B210" s="9"/>
      <c r="C210" s="152" t="s">
        <v>98</v>
      </c>
      <c r="D210" s="2143"/>
      <c r="E210" s="2144"/>
      <c r="F210" s="2145"/>
      <c r="H210" s="152" t="s">
        <v>98</v>
      </c>
      <c r="I210" s="2189"/>
      <c r="J210" s="2189"/>
      <c r="K210" s="2190"/>
    </row>
    <row r="211" spans="2:22" ht="15.75">
      <c r="B211" s="9"/>
      <c r="C211" s="152" t="s">
        <v>1012</v>
      </c>
      <c r="D211" s="2143"/>
      <c r="E211" s="2144"/>
      <c r="F211" s="2145"/>
      <c r="H211" s="152" t="s">
        <v>1012</v>
      </c>
      <c r="I211" s="2189"/>
      <c r="J211" s="2189"/>
      <c r="K211" s="2190"/>
    </row>
    <row r="212" spans="2:22" ht="15.75">
      <c r="B212" s="9"/>
      <c r="C212" s="152" t="s">
        <v>904</v>
      </c>
      <c r="D212" s="2140"/>
      <c r="E212" s="2141"/>
      <c r="F212" s="2142"/>
      <c r="H212" s="152" t="s">
        <v>904</v>
      </c>
      <c r="I212" s="2191"/>
      <c r="J212" s="2191"/>
      <c r="K212" s="2192"/>
    </row>
    <row r="213" spans="2:22" ht="15.75">
      <c r="B213" s="9"/>
      <c r="C213" s="152" t="s">
        <v>1014</v>
      </c>
      <c r="D213" s="2140"/>
      <c r="E213" s="2141"/>
      <c r="F213" s="2142"/>
      <c r="H213" s="152" t="s">
        <v>1014</v>
      </c>
      <c r="I213" s="2191"/>
      <c r="J213" s="2191"/>
      <c r="K213" s="2192"/>
    </row>
    <row r="214" spans="2:22" ht="15.75">
      <c r="B214" s="9"/>
      <c r="C214" s="152" t="s">
        <v>1445</v>
      </c>
      <c r="D214" s="2140"/>
      <c r="E214" s="2141"/>
      <c r="F214" s="2142"/>
      <c r="H214" s="152" t="s">
        <v>1445</v>
      </c>
      <c r="I214" s="2191"/>
      <c r="J214" s="2191"/>
      <c r="K214" s="2192"/>
    </row>
    <row r="215" spans="2:22" ht="16.5" thickBot="1">
      <c r="B215" s="9"/>
      <c r="C215" s="162" t="s">
        <v>1446</v>
      </c>
      <c r="D215" s="2149"/>
      <c r="E215" s="2150"/>
      <c r="F215" s="2151"/>
      <c r="H215" s="162" t="s">
        <v>1446</v>
      </c>
      <c r="I215" s="2193"/>
      <c r="J215" s="2194"/>
      <c r="K215" s="2195"/>
    </row>
    <row r="216" spans="2:22">
      <c r="B216" s="9"/>
      <c r="C216" s="9"/>
    </row>
    <row r="217" spans="2:22" ht="15.75" thickBot="1">
      <c r="B217" s="9"/>
      <c r="C217" s="9"/>
    </row>
    <row r="218" spans="2:22" ht="21.75" thickBot="1">
      <c r="B218" s="473" t="s">
        <v>1323</v>
      </c>
      <c r="C218" s="20"/>
      <c r="D218" s="21"/>
      <c r="E218" s="474"/>
      <c r="F218" s="475"/>
      <c r="G218" s="475"/>
      <c r="H218" s="475"/>
      <c r="I218" s="475"/>
      <c r="J218" s="475"/>
      <c r="K218" s="475"/>
      <c r="L218" s="475"/>
      <c r="M218" s="475"/>
      <c r="N218" s="475"/>
      <c r="O218" s="475"/>
      <c r="P218" s="475"/>
      <c r="Q218" s="475"/>
      <c r="R218" s="475"/>
      <c r="S218" s="475"/>
      <c r="T218" s="475"/>
      <c r="U218" s="475"/>
      <c r="V218" s="616"/>
    </row>
    <row r="219" spans="2:22" ht="15.75" thickBot="1">
      <c r="B219" s="9"/>
      <c r="C219" s="9"/>
    </row>
    <row r="220" spans="2:22" ht="16.5" thickBot="1">
      <c r="B220" s="351" t="s">
        <v>1448</v>
      </c>
      <c r="C220" s="1004">
        <v>20</v>
      </c>
      <c r="D220" s="1983"/>
      <c r="E220" s="1983"/>
      <c r="F220" s="1983"/>
      <c r="G220" s="1983"/>
    </row>
    <row r="221" spans="2:22" ht="15.75">
      <c r="B221" s="351"/>
      <c r="C221" s="1983"/>
      <c r="D221" s="1983"/>
      <c r="E221" s="1983"/>
      <c r="F221" s="1983"/>
      <c r="G221" s="1983"/>
    </row>
    <row r="222" spans="2:22" ht="15.75">
      <c r="B222" s="351"/>
      <c r="C222" s="1983"/>
      <c r="D222" s="1983"/>
      <c r="E222" s="1983"/>
      <c r="F222" s="1983"/>
      <c r="G222" s="1983"/>
    </row>
    <row r="223" spans="2:22" ht="31.5">
      <c r="B223" s="1984" t="s">
        <v>97</v>
      </c>
      <c r="C223" s="1985" t="s">
        <v>1025</v>
      </c>
      <c r="D223" s="1985" t="s">
        <v>1026</v>
      </c>
      <c r="E223" s="1985" t="s">
        <v>98</v>
      </c>
      <c r="F223" s="1985" t="s">
        <v>41</v>
      </c>
      <c r="G223" s="1985" t="s">
        <v>343</v>
      </c>
      <c r="H223" s="1985" t="s">
        <v>1027</v>
      </c>
      <c r="I223" s="1986" t="s">
        <v>1028</v>
      </c>
    </row>
    <row r="224" spans="2:22" ht="15.75">
      <c r="B224" s="2004" t="str">
        <f>IF(rng01_Address1="","",rng01_Address1)</f>
        <v/>
      </c>
      <c r="C224" s="1065"/>
      <c r="D224" s="1065"/>
      <c r="E224" s="2005" t="str">
        <f>IF(rng01_City1="","",rng01_City1)</f>
        <v/>
      </c>
      <c r="F224" s="2006" t="str">
        <f>IF(rng01_Zip1="","",rng01_Zip1)</f>
        <v/>
      </c>
      <c r="G224" s="1066"/>
      <c r="H224" s="1067"/>
      <c r="I224" s="1987" t="e">
        <f>VLOOKUP(_xlfn.CONCAT(VLOOKUP('00_5_LIHTC Data'!$B$10,'00_4_Reference Tables'!$C$7:$AO$45, 32, FALSE),G224),'00_4_Reference Tables'!$F$79:$H$322,3,FALSE)</f>
        <v>#N/A</v>
      </c>
    </row>
    <row r="225" spans="2:9" ht="15.75">
      <c r="B225" s="1065"/>
      <c r="C225" s="1065"/>
      <c r="D225" s="1065"/>
      <c r="E225" s="1067"/>
      <c r="F225" s="2007"/>
      <c r="G225" s="1066"/>
      <c r="H225" s="1067"/>
      <c r="I225" s="1987" t="e">
        <f>VLOOKUP(_xlfn.CONCAT(VLOOKUP(E225,'00_4_Reference Tables'!$C$7:$AH$45, 32,FALSE),G225),'00_4_Reference Tables'!$F$79:$H$322,3,FALSE)</f>
        <v>#N/A</v>
      </c>
    </row>
    <row r="226" spans="2:9" ht="15.75">
      <c r="B226" s="1065"/>
      <c r="C226" s="1065"/>
      <c r="D226" s="1065"/>
      <c r="E226" s="1067"/>
      <c r="F226" s="2007"/>
      <c r="G226" s="1066"/>
      <c r="H226" s="1067"/>
      <c r="I226" s="1987" t="e">
        <f>VLOOKUP(_xlfn.CONCAT(VLOOKUP(E226,'00_4_Reference Tables'!$C$7:$AH$45, 32,FALSE),G226),'00_4_Reference Tables'!$F$79:$H$322,3,FALSE)</f>
        <v>#N/A</v>
      </c>
    </row>
    <row r="227" spans="2:9" ht="15.75">
      <c r="B227" s="1065"/>
      <c r="C227" s="1065"/>
      <c r="D227" s="1065"/>
      <c r="E227" s="1067"/>
      <c r="F227" s="2007"/>
      <c r="G227" s="1066"/>
      <c r="H227" s="1067"/>
      <c r="I227" s="1987" t="e">
        <f>VLOOKUP(_xlfn.CONCAT(VLOOKUP(E227,'00_4_Reference Tables'!$C$7:$AH$45, 32,FALSE),G227),'00_4_Reference Tables'!$F$79:$H$322,3,FALSE)</f>
        <v>#N/A</v>
      </c>
    </row>
    <row r="228" spans="2:9" ht="15.75">
      <c r="B228" s="1065"/>
      <c r="C228" s="1065"/>
      <c r="D228" s="1065"/>
      <c r="E228" s="1067"/>
      <c r="F228" s="2007"/>
      <c r="G228" s="1066"/>
      <c r="H228" s="1067"/>
      <c r="I228" s="1987" t="e">
        <f>VLOOKUP(_xlfn.CONCAT(VLOOKUP(E228,'00_4_Reference Tables'!$C$7:$AH$45, 32,FALSE),G228),'00_4_Reference Tables'!$F$79:$H$322,3,FALSE)</f>
        <v>#N/A</v>
      </c>
    </row>
    <row r="229" spans="2:9" ht="15.75">
      <c r="B229" s="1065"/>
      <c r="C229" s="1065"/>
      <c r="D229" s="1065"/>
      <c r="E229" s="1067"/>
      <c r="F229" s="2007"/>
      <c r="G229" s="1066"/>
      <c r="H229" s="1067"/>
      <c r="I229" s="1987" t="e">
        <f>VLOOKUP(_xlfn.CONCAT(VLOOKUP(E229,'00_4_Reference Tables'!$C$7:$AH$45, 32,FALSE),G229),'00_4_Reference Tables'!$F$79:$H$322,3,FALSE)</f>
        <v>#N/A</v>
      </c>
    </row>
    <row r="230" spans="2:9" ht="15.75">
      <c r="B230" s="1065"/>
      <c r="C230" s="1065"/>
      <c r="D230" s="1065"/>
      <c r="E230" s="1067"/>
      <c r="F230" s="2007"/>
      <c r="G230" s="1066"/>
      <c r="H230" s="1067"/>
      <c r="I230" s="1987" t="e">
        <f>VLOOKUP(_xlfn.CONCAT(VLOOKUP(E230,'00_4_Reference Tables'!$C$7:$AH$45, 32,FALSE),G230),'00_4_Reference Tables'!$F$79:$H$322,3,FALSE)</f>
        <v>#N/A</v>
      </c>
    </row>
    <row r="231" spans="2:9" ht="15.75">
      <c r="B231" s="1065"/>
      <c r="C231" s="1065"/>
      <c r="D231" s="1065"/>
      <c r="E231" s="1067"/>
      <c r="F231" s="2007"/>
      <c r="G231" s="1066"/>
      <c r="H231" s="1067"/>
      <c r="I231" s="1987" t="e">
        <f>VLOOKUP(_xlfn.CONCAT(VLOOKUP(E231,'00_4_Reference Tables'!$C$7:$AH$45, 32,FALSE),G231),'00_4_Reference Tables'!$F$79:$H$322,3,FALSE)</f>
        <v>#N/A</v>
      </c>
    </row>
    <row r="232" spans="2:9" ht="15.75">
      <c r="B232" s="1065"/>
      <c r="C232" s="1065"/>
      <c r="D232" s="1065"/>
      <c r="E232" s="1067"/>
      <c r="F232" s="2007"/>
      <c r="G232" s="1066"/>
      <c r="H232" s="1067"/>
      <c r="I232" s="1987" t="e">
        <f>VLOOKUP(_xlfn.CONCAT(VLOOKUP(E232,'00_4_Reference Tables'!$C$7:$AH$45, 32,FALSE),G232),'00_4_Reference Tables'!$F$79:$H$322,3,FALSE)</f>
        <v>#N/A</v>
      </c>
    </row>
    <row r="233" spans="2:9" ht="15.75">
      <c r="B233" s="1065"/>
      <c r="C233" s="1065"/>
      <c r="D233" s="1065"/>
      <c r="E233" s="1067"/>
      <c r="F233" s="2007"/>
      <c r="G233" s="1066"/>
      <c r="H233" s="1067"/>
      <c r="I233" s="1987" t="e">
        <f>VLOOKUP(_xlfn.CONCAT(VLOOKUP(E233,'00_4_Reference Tables'!$C$7:$AH$45, 32,FALSE),G233),'00_4_Reference Tables'!$F$79:$H$322,3,FALSE)</f>
        <v>#N/A</v>
      </c>
    </row>
    <row r="234" spans="2:9" ht="15.75">
      <c r="B234" s="1065"/>
      <c r="C234" s="1065"/>
      <c r="D234" s="1065"/>
      <c r="E234" s="1067"/>
      <c r="F234" s="2007"/>
      <c r="G234" s="1066"/>
      <c r="H234" s="1067"/>
      <c r="I234" s="1987" t="e">
        <f>VLOOKUP(_xlfn.CONCAT(VLOOKUP(E234,'00_4_Reference Tables'!$C$7:$AH$45, 32,FALSE),G234),'00_4_Reference Tables'!$F$79:$H$322,3,FALSE)</f>
        <v>#N/A</v>
      </c>
    </row>
    <row r="235" spans="2:9" ht="15.75">
      <c r="B235" s="1065"/>
      <c r="C235" s="1065"/>
      <c r="D235" s="1065"/>
      <c r="E235" s="1067"/>
      <c r="F235" s="2007"/>
      <c r="G235" s="1066"/>
      <c r="H235" s="1067"/>
      <c r="I235" s="1987" t="e">
        <f>VLOOKUP(_xlfn.CONCAT(VLOOKUP(E235,'00_4_Reference Tables'!$C$7:$AH$45, 32,FALSE),G235),'00_4_Reference Tables'!$F$79:$H$322,3,FALSE)</f>
        <v>#N/A</v>
      </c>
    </row>
    <row r="236" spans="2:9" ht="15.75">
      <c r="B236" s="1065"/>
      <c r="C236" s="1065"/>
      <c r="D236" s="1065"/>
      <c r="E236" s="1067"/>
      <c r="F236" s="2007"/>
      <c r="G236" s="1066"/>
      <c r="H236" s="1067"/>
      <c r="I236" s="1987" t="e">
        <f>VLOOKUP(_xlfn.CONCAT(VLOOKUP(E236,'00_4_Reference Tables'!$C$7:$AH$45, 32,FALSE),G236),'00_4_Reference Tables'!$F$79:$H$322,3,FALSE)</f>
        <v>#N/A</v>
      </c>
    </row>
    <row r="237" spans="2:9" ht="15.75">
      <c r="B237" s="1065"/>
      <c r="C237" s="1065"/>
      <c r="D237" s="1065"/>
      <c r="E237" s="1067"/>
      <c r="F237" s="2007"/>
      <c r="G237" s="1066"/>
      <c r="H237" s="1067"/>
      <c r="I237" s="1987" t="e">
        <f>VLOOKUP(_xlfn.CONCAT(VLOOKUP(E237,'00_4_Reference Tables'!$C$7:$AH$45, 32,FALSE),G237),'00_4_Reference Tables'!$F$79:$H$322,3,FALSE)</f>
        <v>#N/A</v>
      </c>
    </row>
    <row r="238" spans="2:9" ht="15.75">
      <c r="B238" s="1065"/>
      <c r="C238" s="1065"/>
      <c r="D238" s="1065"/>
      <c r="E238" s="1067"/>
      <c r="F238" s="2007"/>
      <c r="G238" s="1066"/>
      <c r="H238" s="1067"/>
      <c r="I238" s="1987" t="e">
        <f>VLOOKUP(_xlfn.CONCAT(VLOOKUP(E238,'00_4_Reference Tables'!$C$7:$AH$45, 32,FALSE),G238),'00_4_Reference Tables'!$F$79:$H$322,3,FALSE)</f>
        <v>#N/A</v>
      </c>
    </row>
    <row r="239" spans="2:9" ht="15.75">
      <c r="B239" s="1065"/>
      <c r="C239" s="1065"/>
      <c r="D239" s="1065"/>
      <c r="E239" s="1067"/>
      <c r="F239" s="2007"/>
      <c r="G239" s="1066"/>
      <c r="H239" s="1067"/>
      <c r="I239" s="1987" t="e">
        <f>VLOOKUP(_xlfn.CONCAT(VLOOKUP(E239,'00_4_Reference Tables'!$C$7:$AH$45, 32,FALSE),G239),'00_4_Reference Tables'!$F$79:$H$322,3,FALSE)</f>
        <v>#N/A</v>
      </c>
    </row>
    <row r="240" spans="2:9" ht="15.75">
      <c r="B240" s="1065"/>
      <c r="C240" s="1065"/>
      <c r="D240" s="1065"/>
      <c r="E240" s="1067"/>
      <c r="F240" s="2007"/>
      <c r="G240" s="1066"/>
      <c r="H240" s="1067"/>
      <c r="I240" s="1987" t="e">
        <f>VLOOKUP(_xlfn.CONCAT(VLOOKUP(E240,'00_4_Reference Tables'!$C$7:$AH$45, 32,FALSE),G240),'00_4_Reference Tables'!$F$79:$H$322,3,FALSE)</f>
        <v>#N/A</v>
      </c>
    </row>
    <row r="241" spans="2:9" ht="15.75">
      <c r="B241" s="1065"/>
      <c r="C241" s="1065"/>
      <c r="D241" s="1065"/>
      <c r="E241" s="1067"/>
      <c r="F241" s="2007"/>
      <c r="G241" s="1066"/>
      <c r="H241" s="1067"/>
      <c r="I241" s="1987" t="e">
        <f>VLOOKUP(_xlfn.CONCAT(VLOOKUP(E241,'00_4_Reference Tables'!$C$7:$AH$45, 32,FALSE),G241),'00_4_Reference Tables'!$F$79:$H$322,3,FALSE)</f>
        <v>#N/A</v>
      </c>
    </row>
    <row r="242" spans="2:9" ht="15.75">
      <c r="B242" s="1065"/>
      <c r="C242" s="1065"/>
      <c r="D242" s="1065"/>
      <c r="E242" s="1067"/>
      <c r="F242" s="2007"/>
      <c r="G242" s="1066"/>
      <c r="H242" s="1067"/>
      <c r="I242" s="1987" t="e">
        <f>VLOOKUP(_xlfn.CONCAT(VLOOKUP(E242,'00_4_Reference Tables'!$C$7:$AH$45, 32,FALSE),G242),'00_4_Reference Tables'!$F$79:$H$322,3,FALSE)</f>
        <v>#N/A</v>
      </c>
    </row>
    <row r="243" spans="2:9" ht="15.75">
      <c r="B243" s="1065"/>
      <c r="C243" s="1065"/>
      <c r="D243" s="1065"/>
      <c r="E243" s="1067"/>
      <c r="F243" s="2007"/>
      <c r="G243" s="1066"/>
      <c r="H243" s="1067"/>
      <c r="I243" s="1987" t="e">
        <f>VLOOKUP(_xlfn.CONCAT(VLOOKUP(E243,'00_4_Reference Tables'!$C$7:$AH$45, 32,FALSE),G243),'00_4_Reference Tables'!$F$79:$H$322,3,FALSE)</f>
        <v>#N/A</v>
      </c>
    </row>
    <row r="244" spans="2:9" ht="15.75" hidden="1">
      <c r="B244" s="1065"/>
      <c r="C244" s="1065"/>
      <c r="D244" s="1065"/>
      <c r="E244" s="1067"/>
      <c r="F244" s="2007"/>
      <c r="G244" s="1066"/>
      <c r="H244" s="1067"/>
      <c r="I244" s="1987" t="e">
        <f>VLOOKUP(_xlfn.CONCAT(VLOOKUP(E244,'00_4_Reference Tables'!$C$7:$AH$45, 32,FALSE),G244),'00_4_Reference Tables'!$F$79:$H$322,3,FALSE)</f>
        <v>#N/A</v>
      </c>
    </row>
    <row r="245" spans="2:9" ht="15.75" hidden="1">
      <c r="B245" s="1065"/>
      <c r="C245" s="1065"/>
      <c r="D245" s="1065"/>
      <c r="E245" s="1067"/>
      <c r="F245" s="2007"/>
      <c r="G245" s="1066"/>
      <c r="H245" s="1067"/>
      <c r="I245" s="1987" t="e">
        <f>VLOOKUP(_xlfn.CONCAT(VLOOKUP(E245,'00_4_Reference Tables'!$C$7:$AH$45, 32,FALSE),G245),'00_4_Reference Tables'!$F$79:$H$322,3,FALSE)</f>
        <v>#N/A</v>
      </c>
    </row>
    <row r="246" spans="2:9" ht="15.75" hidden="1">
      <c r="B246" s="1065"/>
      <c r="C246" s="1065"/>
      <c r="D246" s="1065"/>
      <c r="E246" s="1067"/>
      <c r="F246" s="2007"/>
      <c r="G246" s="1066"/>
      <c r="H246" s="1067"/>
      <c r="I246" s="1987" t="e">
        <f>VLOOKUP(_xlfn.CONCAT(VLOOKUP(E246,'00_4_Reference Tables'!$C$7:$AH$45, 32,FALSE),G246),'00_4_Reference Tables'!$F$79:$H$322,3,FALSE)</f>
        <v>#N/A</v>
      </c>
    </row>
    <row r="247" spans="2:9" ht="15.75" hidden="1">
      <c r="B247" s="1065"/>
      <c r="C247" s="1065"/>
      <c r="D247" s="1065"/>
      <c r="E247" s="1067"/>
      <c r="F247" s="2007"/>
      <c r="G247" s="1066"/>
      <c r="H247" s="1067"/>
      <c r="I247" s="1987" t="e">
        <f>VLOOKUP(_xlfn.CONCAT(VLOOKUP(E247,'00_4_Reference Tables'!$C$7:$AH$45, 32,FALSE),G247),'00_4_Reference Tables'!$F$79:$H$322,3,FALSE)</f>
        <v>#N/A</v>
      </c>
    </row>
    <row r="248" spans="2:9" ht="15.75" hidden="1">
      <c r="B248" s="1065"/>
      <c r="C248" s="1065"/>
      <c r="D248" s="1065"/>
      <c r="E248" s="1067"/>
      <c r="F248" s="2007"/>
      <c r="G248" s="1066"/>
      <c r="H248" s="1067"/>
      <c r="I248" s="1987" t="e">
        <f>VLOOKUP(_xlfn.CONCAT(VLOOKUP(E248,'00_4_Reference Tables'!$C$7:$AH$45, 32,FALSE),G248),'00_4_Reference Tables'!$F$79:$H$322,3,FALSE)</f>
        <v>#N/A</v>
      </c>
    </row>
    <row r="249" spans="2:9" ht="15.75" hidden="1">
      <c r="B249" s="1065"/>
      <c r="C249" s="1065"/>
      <c r="D249" s="1065"/>
      <c r="E249" s="1067"/>
      <c r="F249" s="2007"/>
      <c r="G249" s="1066"/>
      <c r="H249" s="1067"/>
      <c r="I249" s="1987" t="e">
        <f>VLOOKUP(_xlfn.CONCAT(VLOOKUP(E249,'00_4_Reference Tables'!$C$7:$AH$45, 32,FALSE),G249),'00_4_Reference Tables'!$F$79:$H$322,3,FALSE)</f>
        <v>#N/A</v>
      </c>
    </row>
    <row r="250" spans="2:9" ht="15.75" hidden="1">
      <c r="B250" s="1065"/>
      <c r="C250" s="1065"/>
      <c r="D250" s="1065"/>
      <c r="E250" s="1067"/>
      <c r="F250" s="2007"/>
      <c r="G250" s="1066"/>
      <c r="H250" s="1067"/>
      <c r="I250" s="1987" t="e">
        <f>VLOOKUP(_xlfn.CONCAT(VLOOKUP(E250,'00_4_Reference Tables'!$C$7:$AH$45, 32,FALSE),G250),'00_4_Reference Tables'!$F$79:$H$322,3,FALSE)</f>
        <v>#N/A</v>
      </c>
    </row>
    <row r="251" spans="2:9" ht="15.75" hidden="1">
      <c r="B251" s="1065"/>
      <c r="C251" s="1065"/>
      <c r="D251" s="1065"/>
      <c r="E251" s="1067"/>
      <c r="F251" s="2007"/>
      <c r="G251" s="1066"/>
      <c r="H251" s="1067"/>
      <c r="I251" s="1987" t="e">
        <f>VLOOKUP(_xlfn.CONCAT(VLOOKUP(E251,'00_4_Reference Tables'!$C$7:$AH$45, 32,FALSE),G251),'00_4_Reference Tables'!$F$79:$H$322,3,FALSE)</f>
        <v>#N/A</v>
      </c>
    </row>
    <row r="252" spans="2:9" ht="15.75" hidden="1">
      <c r="B252" s="1065"/>
      <c r="C252" s="1065"/>
      <c r="D252" s="1065"/>
      <c r="E252" s="1067"/>
      <c r="F252" s="2007"/>
      <c r="G252" s="1066"/>
      <c r="H252" s="1067"/>
      <c r="I252" s="1987" t="e">
        <f>VLOOKUP(_xlfn.CONCAT(VLOOKUP(E252,'00_4_Reference Tables'!$C$7:$AH$45, 32,FALSE),G252),'00_4_Reference Tables'!$F$79:$H$322,3,FALSE)</f>
        <v>#N/A</v>
      </c>
    </row>
    <row r="253" spans="2:9" ht="15.75" hidden="1">
      <c r="B253" s="1065"/>
      <c r="C253" s="1065"/>
      <c r="D253" s="1065"/>
      <c r="E253" s="1067"/>
      <c r="F253" s="2007"/>
      <c r="G253" s="1066"/>
      <c r="H253" s="1067"/>
      <c r="I253" s="1987" t="e">
        <f>VLOOKUP(_xlfn.CONCAT(VLOOKUP(E253,'00_4_Reference Tables'!$C$7:$AH$45, 32,FALSE),G253),'00_4_Reference Tables'!$F$79:$H$322,3,FALSE)</f>
        <v>#N/A</v>
      </c>
    </row>
    <row r="254" spans="2:9" ht="15.75" hidden="1">
      <c r="B254" s="1065"/>
      <c r="C254" s="1065"/>
      <c r="D254" s="1065"/>
      <c r="E254" s="1067"/>
      <c r="F254" s="2007"/>
      <c r="G254" s="1066"/>
      <c r="H254" s="1067"/>
      <c r="I254" s="1987" t="e">
        <f>VLOOKUP(_xlfn.CONCAT(VLOOKUP(E254,'00_4_Reference Tables'!$C$7:$AH$45, 32,FALSE),G254),'00_4_Reference Tables'!$F$79:$H$322,3,FALSE)</f>
        <v>#N/A</v>
      </c>
    </row>
    <row r="255" spans="2:9" ht="15.75" hidden="1">
      <c r="B255" s="1065"/>
      <c r="C255" s="1065"/>
      <c r="D255" s="1065"/>
      <c r="E255" s="1067"/>
      <c r="F255" s="2007"/>
      <c r="G255" s="1066"/>
      <c r="H255" s="1067"/>
      <c r="I255" s="1987" t="e">
        <f>VLOOKUP(_xlfn.CONCAT(VLOOKUP(E255,'00_4_Reference Tables'!$C$7:$AH$45, 32,FALSE),G255),'00_4_Reference Tables'!$F$79:$H$322,3,FALSE)</f>
        <v>#N/A</v>
      </c>
    </row>
    <row r="256" spans="2:9" ht="15.75" hidden="1">
      <c r="B256" s="1065"/>
      <c r="C256" s="1065"/>
      <c r="D256" s="1065"/>
      <c r="E256" s="1067"/>
      <c r="F256" s="2007"/>
      <c r="G256" s="1066"/>
      <c r="H256" s="1067"/>
      <c r="I256" s="1987" t="e">
        <f>VLOOKUP(_xlfn.CONCAT(VLOOKUP(E256,'00_4_Reference Tables'!$C$7:$AH$45, 32,FALSE),G256),'00_4_Reference Tables'!$F$79:$H$322,3,FALSE)</f>
        <v>#N/A</v>
      </c>
    </row>
    <row r="257" spans="2:9" ht="15.75" hidden="1">
      <c r="B257" s="1065"/>
      <c r="C257" s="1065"/>
      <c r="D257" s="1065"/>
      <c r="E257" s="1067"/>
      <c r="F257" s="2007"/>
      <c r="G257" s="1066"/>
      <c r="H257" s="1067"/>
      <c r="I257" s="1987" t="e">
        <f>VLOOKUP(_xlfn.CONCAT(VLOOKUP(E257,'00_4_Reference Tables'!$C$7:$AH$45, 32,FALSE),G257),'00_4_Reference Tables'!$F$79:$H$322,3,FALSE)</f>
        <v>#N/A</v>
      </c>
    </row>
    <row r="258" spans="2:9" ht="15.75" hidden="1">
      <c r="B258" s="1065"/>
      <c r="C258" s="1065"/>
      <c r="D258" s="1065"/>
      <c r="E258" s="1067"/>
      <c r="F258" s="2007"/>
      <c r="G258" s="1066"/>
      <c r="H258" s="1067"/>
      <c r="I258" s="1987" t="e">
        <f>VLOOKUP(_xlfn.CONCAT(VLOOKUP(E258,'00_4_Reference Tables'!$C$7:$AH$45, 32,FALSE),G258),'00_4_Reference Tables'!$F$79:$H$322,3,FALSE)</f>
        <v>#N/A</v>
      </c>
    </row>
    <row r="259" spans="2:9" ht="15.75" hidden="1">
      <c r="B259" s="1065"/>
      <c r="C259" s="1065"/>
      <c r="D259" s="1065"/>
      <c r="E259" s="1067"/>
      <c r="F259" s="2007"/>
      <c r="G259" s="1066"/>
      <c r="H259" s="1067"/>
      <c r="I259" s="1987" t="e">
        <f>VLOOKUP(_xlfn.CONCAT(VLOOKUP(E259,'00_4_Reference Tables'!$C$7:$AH$45, 32,FALSE),G259),'00_4_Reference Tables'!$F$79:$H$322,3,FALSE)</f>
        <v>#N/A</v>
      </c>
    </row>
    <row r="260" spans="2:9" ht="15.75" hidden="1">
      <c r="B260" s="1065"/>
      <c r="C260" s="1065"/>
      <c r="D260" s="1065"/>
      <c r="E260" s="1067"/>
      <c r="F260" s="2007"/>
      <c r="G260" s="1066"/>
      <c r="H260" s="1067"/>
      <c r="I260" s="1987" t="e">
        <f>VLOOKUP(_xlfn.CONCAT(VLOOKUP(E260,'00_4_Reference Tables'!$C$7:$AH$45, 32,FALSE),G260),'00_4_Reference Tables'!$F$79:$H$322,3,FALSE)</f>
        <v>#N/A</v>
      </c>
    </row>
    <row r="261" spans="2:9" ht="15.75" hidden="1">
      <c r="B261" s="1065"/>
      <c r="C261" s="1065"/>
      <c r="D261" s="1065"/>
      <c r="E261" s="1067"/>
      <c r="F261" s="2007"/>
      <c r="G261" s="1066"/>
      <c r="H261" s="1067"/>
      <c r="I261" s="1987" t="e">
        <f>VLOOKUP(_xlfn.CONCAT(VLOOKUP(E261,'00_4_Reference Tables'!$C$7:$AH$45, 32,FALSE),G261),'00_4_Reference Tables'!$F$79:$H$322,3,FALSE)</f>
        <v>#N/A</v>
      </c>
    </row>
    <row r="262" spans="2:9" ht="15.75" hidden="1">
      <c r="B262" s="1065"/>
      <c r="C262" s="1065"/>
      <c r="D262" s="1065"/>
      <c r="E262" s="1067"/>
      <c r="F262" s="2007"/>
      <c r="G262" s="1066"/>
      <c r="H262" s="1067"/>
      <c r="I262" s="1987" t="e">
        <f>VLOOKUP(_xlfn.CONCAT(VLOOKUP(E262,'00_4_Reference Tables'!$C$7:$AH$45, 32,FALSE),G262),'00_4_Reference Tables'!$F$79:$H$322,3,FALSE)</f>
        <v>#N/A</v>
      </c>
    </row>
    <row r="263" spans="2:9" ht="15.75" hidden="1">
      <c r="B263" s="1065"/>
      <c r="C263" s="1065"/>
      <c r="D263" s="1065"/>
      <c r="E263" s="1067"/>
      <c r="F263" s="2007"/>
      <c r="G263" s="1066"/>
      <c r="H263" s="1067"/>
      <c r="I263" s="1987" t="e">
        <f>VLOOKUP(_xlfn.CONCAT(VLOOKUP(E263,'00_4_Reference Tables'!$C$7:$AH$45, 32,FALSE),G263),'00_4_Reference Tables'!$F$79:$H$322,3,FALSE)</f>
        <v>#N/A</v>
      </c>
    </row>
    <row r="264" spans="2:9" ht="15.75" hidden="1">
      <c r="B264" s="1065"/>
      <c r="C264" s="1065"/>
      <c r="D264" s="1065"/>
      <c r="E264" s="1067"/>
      <c r="F264" s="2007"/>
      <c r="G264" s="1066"/>
      <c r="H264" s="1067"/>
      <c r="I264" s="1987" t="e">
        <f>VLOOKUP(_xlfn.CONCAT(VLOOKUP(E264,'00_4_Reference Tables'!$C$7:$AH$45, 32,FALSE),G264),'00_4_Reference Tables'!$F$79:$H$322,3,FALSE)</f>
        <v>#N/A</v>
      </c>
    </row>
    <row r="265" spans="2:9" ht="15.75" hidden="1">
      <c r="B265" s="1065"/>
      <c r="C265" s="1065"/>
      <c r="D265" s="1065"/>
      <c r="E265" s="1067"/>
      <c r="F265" s="2007"/>
      <c r="G265" s="1066"/>
      <c r="H265" s="1067"/>
      <c r="I265" s="1987" t="e">
        <f>VLOOKUP(_xlfn.CONCAT(VLOOKUP(E265,'00_4_Reference Tables'!$C$7:$AH$45, 32,FALSE),G265),'00_4_Reference Tables'!$F$79:$H$322,3,FALSE)</f>
        <v>#N/A</v>
      </c>
    </row>
    <row r="266" spans="2:9" ht="15.75" hidden="1">
      <c r="B266" s="1065"/>
      <c r="C266" s="1065"/>
      <c r="D266" s="1065"/>
      <c r="E266" s="1067"/>
      <c r="F266" s="2007"/>
      <c r="G266" s="1066"/>
      <c r="H266" s="1067"/>
      <c r="I266" s="1987" t="e">
        <f>VLOOKUP(_xlfn.CONCAT(VLOOKUP(E266,'00_4_Reference Tables'!$C$7:$AH$45, 32,FALSE),G266),'00_4_Reference Tables'!$F$79:$H$322,3,FALSE)</f>
        <v>#N/A</v>
      </c>
    </row>
    <row r="267" spans="2:9" ht="15.75" hidden="1">
      <c r="B267" s="1065"/>
      <c r="C267" s="1065"/>
      <c r="D267" s="1065"/>
      <c r="E267" s="1067"/>
      <c r="F267" s="2007"/>
      <c r="G267" s="1066"/>
      <c r="H267" s="1067"/>
      <c r="I267" s="1987" t="e">
        <f>VLOOKUP(_xlfn.CONCAT(VLOOKUP(E267,'00_4_Reference Tables'!$C$7:$AH$45, 32,FALSE),G267),'00_4_Reference Tables'!$F$79:$H$322,3,FALSE)</f>
        <v>#N/A</v>
      </c>
    </row>
    <row r="268" spans="2:9" ht="15.75" hidden="1">
      <c r="B268" s="1065"/>
      <c r="C268" s="1065"/>
      <c r="D268" s="1065"/>
      <c r="E268" s="1067"/>
      <c r="F268" s="2007"/>
      <c r="G268" s="1066"/>
      <c r="H268" s="1067"/>
      <c r="I268" s="1987" t="e">
        <f>VLOOKUP(_xlfn.CONCAT(VLOOKUP(E268,'00_4_Reference Tables'!$C$7:$AH$45, 32,FALSE),G268),'00_4_Reference Tables'!$F$79:$H$322,3,FALSE)</f>
        <v>#N/A</v>
      </c>
    </row>
    <row r="269" spans="2:9" ht="15.75" hidden="1">
      <c r="B269" s="1065"/>
      <c r="C269" s="1065"/>
      <c r="D269" s="1065"/>
      <c r="E269" s="1067"/>
      <c r="F269" s="2007"/>
      <c r="G269" s="1066"/>
      <c r="H269" s="1067"/>
      <c r="I269" s="1987" t="e">
        <f>VLOOKUP(_xlfn.CONCAT(VLOOKUP(E269,'00_4_Reference Tables'!$C$7:$AH$45, 32,FALSE),G269),'00_4_Reference Tables'!$F$79:$H$322,3,FALSE)</f>
        <v>#N/A</v>
      </c>
    </row>
    <row r="270" spans="2:9" ht="15.75" hidden="1">
      <c r="B270" s="1065"/>
      <c r="C270" s="1065"/>
      <c r="D270" s="1065"/>
      <c r="E270" s="1067"/>
      <c r="F270" s="2007"/>
      <c r="G270" s="1066"/>
      <c r="H270" s="1067"/>
      <c r="I270" s="1987" t="e">
        <f>VLOOKUP(_xlfn.CONCAT(VLOOKUP(E270,'00_4_Reference Tables'!$C$7:$AH$45, 32,FALSE),G270),'00_4_Reference Tables'!$F$79:$H$322,3,FALSE)</f>
        <v>#N/A</v>
      </c>
    </row>
    <row r="271" spans="2:9" ht="15.75" hidden="1">
      <c r="B271" s="1065"/>
      <c r="C271" s="1065"/>
      <c r="D271" s="1065"/>
      <c r="E271" s="1067"/>
      <c r="F271" s="2007"/>
      <c r="G271" s="1066"/>
      <c r="H271" s="1067"/>
      <c r="I271" s="1987" t="e">
        <f>VLOOKUP(_xlfn.CONCAT(VLOOKUP(E271,'00_4_Reference Tables'!$C$7:$AH$45, 32,FALSE),G271),'00_4_Reference Tables'!$F$79:$H$322,3,FALSE)</f>
        <v>#N/A</v>
      </c>
    </row>
    <row r="272" spans="2:9" ht="15.75" hidden="1">
      <c r="B272" s="1065"/>
      <c r="C272" s="1065"/>
      <c r="D272" s="1065"/>
      <c r="E272" s="1067"/>
      <c r="F272" s="2007"/>
      <c r="G272" s="1066"/>
      <c r="H272" s="1067"/>
      <c r="I272" s="1987" t="e">
        <f>VLOOKUP(_xlfn.CONCAT(VLOOKUP(E272,'00_4_Reference Tables'!$C$7:$AH$45, 32,FALSE),G272),'00_4_Reference Tables'!$F$79:$H$322,3,FALSE)</f>
        <v>#N/A</v>
      </c>
    </row>
    <row r="273" spans="2:9" ht="15.75" hidden="1">
      <c r="B273" s="1065"/>
      <c r="C273" s="1065"/>
      <c r="D273" s="1065"/>
      <c r="E273" s="1067"/>
      <c r="F273" s="2007"/>
      <c r="G273" s="1066"/>
      <c r="H273" s="1067"/>
      <c r="I273" s="1987" t="e">
        <f>VLOOKUP(_xlfn.CONCAT(VLOOKUP(E273,'00_4_Reference Tables'!$C$7:$AH$45, 32,FALSE),G273),'00_4_Reference Tables'!$F$79:$H$322,3,FALSE)</f>
        <v>#N/A</v>
      </c>
    </row>
    <row r="274" spans="2:9" ht="15.75" hidden="1">
      <c r="B274" s="1065"/>
      <c r="C274" s="1065"/>
      <c r="D274" s="1065"/>
      <c r="E274" s="1067"/>
      <c r="F274" s="2007"/>
      <c r="G274" s="1066"/>
      <c r="H274" s="1067"/>
      <c r="I274" s="1987" t="e">
        <f>VLOOKUP(_xlfn.CONCAT(VLOOKUP(E274,'00_4_Reference Tables'!$C$7:$AH$45, 32,FALSE),G274),'00_4_Reference Tables'!$F$79:$H$322,3,FALSE)</f>
        <v>#N/A</v>
      </c>
    </row>
    <row r="275" spans="2:9" ht="15.75" hidden="1">
      <c r="B275" s="1065"/>
      <c r="C275" s="1065"/>
      <c r="D275" s="1065"/>
      <c r="E275" s="1067"/>
      <c r="F275" s="2007"/>
      <c r="G275" s="1066"/>
      <c r="H275" s="1067"/>
      <c r="I275" s="1987" t="e">
        <f>VLOOKUP(_xlfn.CONCAT(VLOOKUP(E275,'00_4_Reference Tables'!$C$7:$AH$45, 32,FALSE),G275),'00_4_Reference Tables'!$F$79:$H$322,3,FALSE)</f>
        <v>#N/A</v>
      </c>
    </row>
    <row r="276" spans="2:9" ht="15.75" hidden="1">
      <c r="B276" s="1065"/>
      <c r="C276" s="1065"/>
      <c r="D276" s="1065"/>
      <c r="E276" s="1067"/>
      <c r="F276" s="2007"/>
      <c r="G276" s="1066"/>
      <c r="H276" s="1067"/>
      <c r="I276" s="1987" t="e">
        <f>VLOOKUP(_xlfn.CONCAT(VLOOKUP(E276,'00_4_Reference Tables'!$C$7:$AH$45, 32,FALSE),G276),'00_4_Reference Tables'!$F$79:$H$322,3,FALSE)</f>
        <v>#N/A</v>
      </c>
    </row>
    <row r="277" spans="2:9" ht="15.75" hidden="1">
      <c r="B277" s="1065"/>
      <c r="C277" s="1065"/>
      <c r="D277" s="1065"/>
      <c r="E277" s="1067"/>
      <c r="F277" s="2007"/>
      <c r="G277" s="1066"/>
      <c r="H277" s="1067"/>
      <c r="I277" s="1987" t="e">
        <f>VLOOKUP(_xlfn.CONCAT(VLOOKUP(E277,'00_4_Reference Tables'!$C$7:$AH$45, 32,FALSE),G277),'00_4_Reference Tables'!$F$79:$H$322,3,FALSE)</f>
        <v>#N/A</v>
      </c>
    </row>
    <row r="278" spans="2:9" ht="15.75" hidden="1">
      <c r="B278" s="1065"/>
      <c r="C278" s="1065"/>
      <c r="D278" s="1065"/>
      <c r="E278" s="1067"/>
      <c r="F278" s="2007"/>
      <c r="G278" s="1066"/>
      <c r="H278" s="1067"/>
      <c r="I278" s="1987" t="e">
        <f>VLOOKUP(_xlfn.CONCAT(VLOOKUP(E278,'00_4_Reference Tables'!$C$7:$AH$45, 32,FALSE),G278),'00_4_Reference Tables'!$F$79:$H$322,3,FALSE)</f>
        <v>#N/A</v>
      </c>
    </row>
    <row r="279" spans="2:9" ht="15.75" hidden="1">
      <c r="B279" s="1065"/>
      <c r="C279" s="1065"/>
      <c r="D279" s="1065"/>
      <c r="E279" s="1067"/>
      <c r="F279" s="2007"/>
      <c r="G279" s="1066"/>
      <c r="H279" s="1067"/>
      <c r="I279" s="1987" t="e">
        <f>VLOOKUP(_xlfn.CONCAT(VLOOKUP(E279,'00_4_Reference Tables'!$C$7:$AH$45, 32,FALSE),G279),'00_4_Reference Tables'!$F$79:$H$322,3,FALSE)</f>
        <v>#N/A</v>
      </c>
    </row>
    <row r="280" spans="2:9" ht="15.75" hidden="1">
      <c r="B280" s="1065"/>
      <c r="C280" s="1065"/>
      <c r="D280" s="1065"/>
      <c r="E280" s="1067"/>
      <c r="F280" s="2007"/>
      <c r="G280" s="1066"/>
      <c r="H280" s="1067"/>
      <c r="I280" s="1987" t="e">
        <f>VLOOKUP(_xlfn.CONCAT(VLOOKUP(E280,'00_4_Reference Tables'!$C$7:$AH$45, 32,FALSE),G280),'00_4_Reference Tables'!$F$79:$H$322,3,FALSE)</f>
        <v>#N/A</v>
      </c>
    </row>
    <row r="281" spans="2:9" ht="15.75" hidden="1">
      <c r="B281" s="1065"/>
      <c r="C281" s="1065"/>
      <c r="D281" s="1065"/>
      <c r="E281" s="1067"/>
      <c r="F281" s="2007"/>
      <c r="G281" s="1066"/>
      <c r="H281" s="1067"/>
      <c r="I281" s="1987" t="e">
        <f>VLOOKUP(_xlfn.CONCAT(VLOOKUP(E281,'00_4_Reference Tables'!$C$7:$AH$45, 32,FALSE),G281),'00_4_Reference Tables'!$F$79:$H$322,3,FALSE)</f>
        <v>#N/A</v>
      </c>
    </row>
    <row r="282" spans="2:9" ht="15.75" hidden="1">
      <c r="B282" s="1065"/>
      <c r="C282" s="1065"/>
      <c r="D282" s="1065"/>
      <c r="E282" s="1067"/>
      <c r="F282" s="2007"/>
      <c r="G282" s="1066"/>
      <c r="H282" s="1067"/>
      <c r="I282" s="1987" t="e">
        <f>VLOOKUP(_xlfn.CONCAT(VLOOKUP(E282,'00_4_Reference Tables'!$C$7:$AH$45, 32,FALSE),G282),'00_4_Reference Tables'!$F$79:$H$322,3,FALSE)</f>
        <v>#N/A</v>
      </c>
    </row>
    <row r="283" spans="2:9" ht="15.75" hidden="1">
      <c r="B283" s="1065"/>
      <c r="C283" s="1065"/>
      <c r="D283" s="1065"/>
      <c r="E283" s="1067"/>
      <c r="F283" s="2007"/>
      <c r="G283" s="1066"/>
      <c r="H283" s="1067"/>
      <c r="I283" s="1987" t="e">
        <f>VLOOKUP(_xlfn.CONCAT(VLOOKUP(E283,'00_4_Reference Tables'!$C$7:$AH$45, 32,FALSE),G283),'00_4_Reference Tables'!$F$79:$H$322,3,FALSE)</f>
        <v>#N/A</v>
      </c>
    </row>
    <row r="284" spans="2:9" ht="15.75" hidden="1">
      <c r="B284" s="1065"/>
      <c r="C284" s="1065"/>
      <c r="D284" s="1065"/>
      <c r="E284" s="1067"/>
      <c r="F284" s="2007"/>
      <c r="G284" s="1066"/>
      <c r="H284" s="1067"/>
      <c r="I284" s="1987" t="e">
        <f>VLOOKUP(_xlfn.CONCAT(VLOOKUP(E284,'00_4_Reference Tables'!$C$7:$AH$45, 32,FALSE),G284),'00_4_Reference Tables'!$F$79:$H$322,3,FALSE)</f>
        <v>#N/A</v>
      </c>
    </row>
    <row r="285" spans="2:9" ht="15.75" hidden="1">
      <c r="B285" s="1065"/>
      <c r="C285" s="1065"/>
      <c r="D285" s="1065"/>
      <c r="E285" s="1067"/>
      <c r="F285" s="2007"/>
      <c r="G285" s="1066"/>
      <c r="H285" s="1067"/>
      <c r="I285" s="1987" t="e">
        <f>VLOOKUP(_xlfn.CONCAT(VLOOKUP(E285,'00_4_Reference Tables'!$C$7:$AH$45, 32,FALSE),G285),'00_4_Reference Tables'!$F$79:$H$322,3,FALSE)</f>
        <v>#N/A</v>
      </c>
    </row>
    <row r="286" spans="2:9" ht="15.75" hidden="1">
      <c r="B286" s="1065"/>
      <c r="C286" s="1065"/>
      <c r="D286" s="1065"/>
      <c r="E286" s="1067"/>
      <c r="F286" s="2007"/>
      <c r="G286" s="1066"/>
      <c r="H286" s="1067"/>
      <c r="I286" s="1987" t="e">
        <f>VLOOKUP(_xlfn.CONCAT(VLOOKUP(E286,'00_4_Reference Tables'!$C$7:$AH$45, 32,FALSE),G286),'00_4_Reference Tables'!$F$79:$H$322,3,FALSE)</f>
        <v>#N/A</v>
      </c>
    </row>
    <row r="287" spans="2:9" ht="15.75" hidden="1">
      <c r="B287" s="1065"/>
      <c r="C287" s="1065"/>
      <c r="D287" s="1065"/>
      <c r="E287" s="1067"/>
      <c r="F287" s="2007"/>
      <c r="G287" s="1066"/>
      <c r="H287" s="1067"/>
      <c r="I287" s="1987" t="e">
        <f>VLOOKUP(_xlfn.CONCAT(VLOOKUP(E287,'00_4_Reference Tables'!$C$7:$AH$45, 32,FALSE),G287),'00_4_Reference Tables'!$F$79:$H$322,3,FALSE)</f>
        <v>#N/A</v>
      </c>
    </row>
    <row r="288" spans="2:9" ht="15.75" hidden="1">
      <c r="B288" s="1065"/>
      <c r="C288" s="1065"/>
      <c r="D288" s="1065"/>
      <c r="E288" s="1067"/>
      <c r="F288" s="2007"/>
      <c r="G288" s="1066"/>
      <c r="H288" s="1067"/>
      <c r="I288" s="1987" t="e">
        <f>VLOOKUP(_xlfn.CONCAT(VLOOKUP(E288,'00_4_Reference Tables'!$C$7:$AH$45, 32,FALSE),G288),'00_4_Reference Tables'!$F$79:$H$322,3,FALSE)</f>
        <v>#N/A</v>
      </c>
    </row>
    <row r="289" spans="2:9" ht="15.75" hidden="1">
      <c r="B289" s="1065"/>
      <c r="C289" s="1065"/>
      <c r="D289" s="1065"/>
      <c r="E289" s="1067"/>
      <c r="F289" s="2007"/>
      <c r="G289" s="1066"/>
      <c r="H289" s="1067"/>
      <c r="I289" s="1987" t="e">
        <f>VLOOKUP(_xlfn.CONCAT(VLOOKUP(E289,'00_4_Reference Tables'!$C$7:$AH$45, 32,FALSE),G289),'00_4_Reference Tables'!$F$79:$H$322,3,FALSE)</f>
        <v>#N/A</v>
      </c>
    </row>
    <row r="290" spans="2:9" ht="15.75" hidden="1">
      <c r="B290" s="1065"/>
      <c r="C290" s="1065"/>
      <c r="D290" s="1065"/>
      <c r="E290" s="1067"/>
      <c r="F290" s="2007"/>
      <c r="G290" s="1066"/>
      <c r="H290" s="1067"/>
      <c r="I290" s="1987" t="e">
        <f>VLOOKUP(_xlfn.CONCAT(VLOOKUP(E290,'00_4_Reference Tables'!$C$7:$AH$45, 32,FALSE),G290),'00_4_Reference Tables'!$F$79:$H$322,3,FALSE)</f>
        <v>#N/A</v>
      </c>
    </row>
    <row r="291" spans="2:9" ht="15.75" hidden="1">
      <c r="B291" s="1065"/>
      <c r="C291" s="1065"/>
      <c r="D291" s="1065"/>
      <c r="E291" s="1067"/>
      <c r="F291" s="2007"/>
      <c r="G291" s="1066"/>
      <c r="H291" s="1067"/>
      <c r="I291" s="1987" t="e">
        <f>VLOOKUP(_xlfn.CONCAT(VLOOKUP(E291,'00_4_Reference Tables'!$C$7:$AH$45, 32,FALSE),G291),'00_4_Reference Tables'!$F$79:$H$322,3,FALSE)</f>
        <v>#N/A</v>
      </c>
    </row>
    <row r="292" spans="2:9" ht="15.75" hidden="1">
      <c r="B292" s="1065"/>
      <c r="C292" s="1065"/>
      <c r="D292" s="1065"/>
      <c r="E292" s="1067"/>
      <c r="F292" s="2007"/>
      <c r="G292" s="1066"/>
      <c r="H292" s="1067"/>
      <c r="I292" s="1987" t="e">
        <f>VLOOKUP(_xlfn.CONCAT(VLOOKUP(E292,'00_4_Reference Tables'!$C$7:$AH$45, 32,FALSE),G292),'00_4_Reference Tables'!$F$79:$H$322,3,FALSE)</f>
        <v>#N/A</v>
      </c>
    </row>
    <row r="293" spans="2:9" ht="15.75" hidden="1">
      <c r="B293" s="1065"/>
      <c r="C293" s="1065"/>
      <c r="D293" s="1065"/>
      <c r="E293" s="1067"/>
      <c r="F293" s="2007"/>
      <c r="G293" s="1066"/>
      <c r="H293" s="1067"/>
      <c r="I293" s="1987" t="e">
        <f>VLOOKUP(_xlfn.CONCAT(VLOOKUP(E293,'00_4_Reference Tables'!$C$7:$AH$45, 32,FALSE),G293),'00_4_Reference Tables'!$F$79:$H$322,3,FALSE)</f>
        <v>#N/A</v>
      </c>
    </row>
    <row r="294" spans="2:9" ht="15.75" hidden="1">
      <c r="B294" s="1065"/>
      <c r="C294" s="1065"/>
      <c r="D294" s="1065"/>
      <c r="E294" s="1067"/>
      <c r="F294" s="2007"/>
      <c r="G294" s="1066"/>
      <c r="H294" s="1067"/>
      <c r="I294" s="1987" t="e">
        <f>VLOOKUP(_xlfn.CONCAT(VLOOKUP(E294,'00_4_Reference Tables'!$C$7:$AH$45, 32,FALSE),G294),'00_4_Reference Tables'!$F$79:$H$322,3,FALSE)</f>
        <v>#N/A</v>
      </c>
    </row>
    <row r="295" spans="2:9" ht="15.75" hidden="1">
      <c r="B295" s="1065"/>
      <c r="C295" s="1065"/>
      <c r="D295" s="1065"/>
      <c r="E295" s="1067"/>
      <c r="F295" s="2007"/>
      <c r="G295" s="1066"/>
      <c r="H295" s="1067"/>
      <c r="I295" s="1987" t="e">
        <f>VLOOKUP(_xlfn.CONCAT(VLOOKUP(E295,'00_4_Reference Tables'!$C$7:$AH$45, 32,FALSE),G295),'00_4_Reference Tables'!$F$79:$H$322,3,FALSE)</f>
        <v>#N/A</v>
      </c>
    </row>
    <row r="296" spans="2:9" ht="15.75" hidden="1">
      <c r="B296" s="1065"/>
      <c r="C296" s="1065"/>
      <c r="D296" s="1065"/>
      <c r="E296" s="1067"/>
      <c r="F296" s="2007"/>
      <c r="G296" s="1066"/>
      <c r="H296" s="1067"/>
      <c r="I296" s="1987" t="e">
        <f>VLOOKUP(_xlfn.CONCAT(VLOOKUP(E296,'00_4_Reference Tables'!$C$7:$AH$45, 32,FALSE),G296),'00_4_Reference Tables'!$F$79:$H$322,3,FALSE)</f>
        <v>#N/A</v>
      </c>
    </row>
    <row r="297" spans="2:9" ht="15.75" hidden="1">
      <c r="B297" s="1065"/>
      <c r="C297" s="1065"/>
      <c r="D297" s="1065"/>
      <c r="E297" s="1067"/>
      <c r="F297" s="2007"/>
      <c r="G297" s="1066"/>
      <c r="H297" s="1067"/>
      <c r="I297" s="1987" t="e">
        <f>VLOOKUP(_xlfn.CONCAT(VLOOKUP(E297,'00_4_Reference Tables'!$C$7:$AH$45, 32,FALSE),G297),'00_4_Reference Tables'!$F$79:$H$322,3,FALSE)</f>
        <v>#N/A</v>
      </c>
    </row>
    <row r="298" spans="2:9" ht="15.75" hidden="1">
      <c r="B298" s="1065"/>
      <c r="C298" s="1065"/>
      <c r="D298" s="1065"/>
      <c r="E298" s="1067"/>
      <c r="F298" s="2007"/>
      <c r="G298" s="1066"/>
      <c r="H298" s="1067"/>
      <c r="I298" s="1987" t="e">
        <f>VLOOKUP(_xlfn.CONCAT(VLOOKUP(E298,'00_4_Reference Tables'!$C$7:$AH$45, 32,FALSE),G298),'00_4_Reference Tables'!$F$79:$H$322,3,FALSE)</f>
        <v>#N/A</v>
      </c>
    </row>
    <row r="299" spans="2:9" ht="15.75" hidden="1">
      <c r="B299" s="1065"/>
      <c r="C299" s="1065"/>
      <c r="D299" s="1065"/>
      <c r="E299" s="1067"/>
      <c r="F299" s="2007"/>
      <c r="G299" s="1066"/>
      <c r="H299" s="1067"/>
      <c r="I299" s="1987" t="e">
        <f>VLOOKUP(_xlfn.CONCAT(VLOOKUP(E299,'00_4_Reference Tables'!$C$7:$AH$45, 32,FALSE),G299),'00_4_Reference Tables'!$F$79:$H$322,3,FALSE)</f>
        <v>#N/A</v>
      </c>
    </row>
    <row r="300" spans="2:9" ht="15.75" hidden="1">
      <c r="B300" s="1065"/>
      <c r="C300" s="1065"/>
      <c r="D300" s="1065"/>
      <c r="E300" s="1067"/>
      <c r="F300" s="2007"/>
      <c r="G300" s="1066"/>
      <c r="H300" s="1067"/>
      <c r="I300" s="1987" t="e">
        <f>VLOOKUP(_xlfn.CONCAT(VLOOKUP(E300,'00_4_Reference Tables'!$C$7:$AH$45, 32,FALSE),G300),'00_4_Reference Tables'!$F$79:$H$322,3,FALSE)</f>
        <v>#N/A</v>
      </c>
    </row>
    <row r="301" spans="2:9" ht="15.75" hidden="1">
      <c r="B301" s="1065"/>
      <c r="C301" s="1065"/>
      <c r="D301" s="1065"/>
      <c r="E301" s="1067"/>
      <c r="F301" s="2007"/>
      <c r="G301" s="1066"/>
      <c r="H301" s="1067"/>
      <c r="I301" s="1987" t="e">
        <f>VLOOKUP(_xlfn.CONCAT(VLOOKUP(E301,'00_4_Reference Tables'!$C$7:$AH$45, 32,FALSE),G301),'00_4_Reference Tables'!$F$79:$H$322,3,FALSE)</f>
        <v>#N/A</v>
      </c>
    </row>
    <row r="302" spans="2:9" ht="15.75" hidden="1">
      <c r="B302" s="1065"/>
      <c r="C302" s="1065"/>
      <c r="D302" s="1065"/>
      <c r="E302" s="1067"/>
      <c r="F302" s="2007"/>
      <c r="G302" s="1066"/>
      <c r="H302" s="1067"/>
      <c r="I302" s="1987" t="e">
        <f>VLOOKUP(_xlfn.CONCAT(VLOOKUP(E302,'00_4_Reference Tables'!$C$7:$AH$45, 32,FALSE),G302),'00_4_Reference Tables'!$F$79:$H$322,3,FALSE)</f>
        <v>#N/A</v>
      </c>
    </row>
    <row r="303" spans="2:9" ht="15.75" hidden="1">
      <c r="B303" s="1065"/>
      <c r="C303" s="1065"/>
      <c r="D303" s="1065"/>
      <c r="E303" s="1067"/>
      <c r="F303" s="2007"/>
      <c r="G303" s="1066"/>
      <c r="H303" s="1067"/>
      <c r="I303" s="1987" t="e">
        <f>VLOOKUP(_xlfn.CONCAT(VLOOKUP(E303,'00_4_Reference Tables'!$C$7:$AH$45, 32,FALSE),G303),'00_4_Reference Tables'!$F$79:$H$322,3,FALSE)</f>
        <v>#N/A</v>
      </c>
    </row>
    <row r="304" spans="2:9" ht="15.75">
      <c r="B304" s="1988" t="s">
        <v>1030</v>
      </c>
      <c r="C304" s="1989">
        <f>SUM(C224:C303)</f>
        <v>0</v>
      </c>
      <c r="D304" s="1989">
        <f>SUM(D224:D303)</f>
        <v>0</v>
      </c>
      <c r="E304" s="1990"/>
      <c r="F304" s="1990"/>
      <c r="G304" s="1990"/>
      <c r="H304" s="1990"/>
      <c r="I304" s="1991"/>
    </row>
    <row r="305" spans="2:9">
      <c r="B305" s="9"/>
      <c r="C305" s="9"/>
    </row>
    <row r="306" spans="2:9">
      <c r="B306" s="9"/>
      <c r="C306" s="9"/>
    </row>
    <row r="307" spans="2:9" ht="15.75">
      <c r="B307" s="351" t="s">
        <v>1449</v>
      </c>
      <c r="C307" s="9"/>
    </row>
    <row r="308" spans="2:9" ht="18.75">
      <c r="B308" s="1992" t="s">
        <v>59</v>
      </c>
      <c r="C308" s="1993" t="s">
        <v>1450</v>
      </c>
      <c r="D308" s="1993" t="s">
        <v>1451</v>
      </c>
      <c r="E308" s="1993" t="s">
        <v>885</v>
      </c>
      <c r="F308" s="1993" t="s">
        <v>1452</v>
      </c>
    </row>
    <row r="309" spans="2:9" ht="15.75">
      <c r="B309" s="1399"/>
      <c r="C309" s="99"/>
      <c r="D309" s="99"/>
      <c r="E309" s="1587"/>
      <c r="F309" s="1400"/>
    </row>
    <row r="310" spans="2:9" ht="15.75">
      <c r="B310" s="1399"/>
      <c r="C310" s="99"/>
      <c r="D310" s="99"/>
      <c r="E310" s="1587"/>
      <c r="F310" s="1400"/>
    </row>
    <row r="311" spans="2:9" ht="15.75">
      <c r="B311" s="1399"/>
      <c r="C311" s="99"/>
      <c r="D311" s="99"/>
      <c r="E311" s="1587"/>
      <c r="F311" s="1400"/>
    </row>
    <row r="312" spans="2:9" ht="15.75">
      <c r="B312" s="1399"/>
      <c r="C312" s="99"/>
      <c r="D312" s="99"/>
      <c r="E312" s="1587"/>
      <c r="F312" s="1400"/>
    </row>
    <row r="313" spans="2:9" ht="15.75">
      <c r="B313" s="1399"/>
      <c r="C313" s="99"/>
      <c r="D313" s="99"/>
      <c r="E313" s="1587"/>
      <c r="F313" s="1400"/>
    </row>
    <row r="314" spans="2:9" ht="15.75">
      <c r="B314" s="1399"/>
      <c r="C314" s="99"/>
      <c r="D314" s="99"/>
      <c r="E314" s="1587"/>
      <c r="F314" s="1400"/>
    </row>
    <row r="315" spans="2:9" ht="15.75">
      <c r="B315" s="1399"/>
      <c r="C315" s="99"/>
      <c r="D315" s="99"/>
      <c r="E315" s="1587"/>
      <c r="F315" s="1400"/>
    </row>
    <row r="316" spans="2:9" ht="15.75">
      <c r="B316" s="1399"/>
      <c r="C316" s="99"/>
      <c r="D316" s="99"/>
      <c r="E316" s="1587"/>
      <c r="F316" s="1400"/>
    </row>
    <row r="317" spans="2:9" ht="15.75">
      <c r="B317" s="360" t="s">
        <v>1030</v>
      </c>
      <c r="C317" s="1994">
        <f>SUM(C309:C316)</f>
        <v>0</v>
      </c>
      <c r="D317" s="1994">
        <f>SUM(D309:D316)</f>
        <v>0</v>
      </c>
      <c r="E317" s="1994"/>
      <c r="F317" s="1994"/>
    </row>
    <row r="318" spans="2:9">
      <c r="B318" s="9"/>
      <c r="C318" s="9"/>
    </row>
    <row r="319" spans="2:9" ht="15.75">
      <c r="B319" s="1966"/>
      <c r="C319" s="1966"/>
      <c r="D319" s="1969"/>
      <c r="E319" s="1967"/>
      <c r="F319" s="1968"/>
      <c r="G319" s="1968"/>
      <c r="H319" s="1969"/>
      <c r="I319" s="1967"/>
    </row>
    <row r="320" spans="2:9">
      <c r="B320" s="9"/>
      <c r="C320" s="9"/>
      <c r="E320" s="9"/>
    </row>
    <row r="321" spans="2:5">
      <c r="B321" s="9"/>
      <c r="C321" s="9"/>
      <c r="E321" s="9"/>
    </row>
    <row r="322" spans="2:5">
      <c r="B322" s="9"/>
      <c r="C322" s="9"/>
      <c r="E322" s="9"/>
    </row>
    <row r="323" spans="2:5">
      <c r="B323" s="9"/>
      <c r="C323" s="9"/>
      <c r="E323" s="9"/>
    </row>
    <row r="324" spans="2:5">
      <c r="B324" s="9"/>
      <c r="C324" s="9"/>
      <c r="E324" s="9"/>
    </row>
    <row r="325" spans="2:5">
      <c r="B325" s="9"/>
      <c r="C325" s="9"/>
      <c r="E325" s="9"/>
    </row>
    <row r="326" spans="2:5">
      <c r="B326" s="9"/>
      <c r="C326" s="9"/>
      <c r="E326" s="9"/>
    </row>
    <row r="327" spans="2:5">
      <c r="B327" s="9"/>
      <c r="C327" s="9"/>
      <c r="E327" s="9"/>
    </row>
    <row r="328" spans="2:5">
      <c r="B328" s="9"/>
      <c r="C328" s="9"/>
      <c r="E328" s="9"/>
    </row>
    <row r="329" spans="2:5">
      <c r="B329" s="9"/>
      <c r="C329" s="9"/>
      <c r="E329" s="9"/>
    </row>
    <row r="330" spans="2:5">
      <c r="B330" s="9"/>
      <c r="C330" s="9"/>
      <c r="E330" s="9"/>
    </row>
    <row r="331" spans="2:5">
      <c r="B331" s="9"/>
      <c r="C331" s="9"/>
      <c r="E331" s="9"/>
    </row>
    <row r="332" spans="2:5">
      <c r="B332" s="9"/>
      <c r="C332" s="9"/>
      <c r="E332" s="9"/>
    </row>
    <row r="333" spans="2:5">
      <c r="B333" s="11"/>
      <c r="C333" s="11"/>
      <c r="D333" s="11"/>
      <c r="E333" s="11"/>
    </row>
    <row r="334" spans="2:5">
      <c r="B334" s="11"/>
      <c r="C334" s="11"/>
      <c r="D334" s="11"/>
      <c r="E334" s="11"/>
    </row>
    <row r="335" spans="2:5"/>
    <row r="336" spans="2:5"/>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9"/>
    <row r="620"/>
    <row r="621"/>
    <row r="622"/>
    <row r="623"/>
    <row r="624"/>
    <row r="625"/>
    <row r="626"/>
    <row r="627"/>
    <row r="628"/>
    <row r="629"/>
    <row r="630"/>
    <row r="631"/>
    <row r="632"/>
    <row r="633"/>
    <row r="635"/>
    <row r="637"/>
    <row r="640"/>
    <row r="641"/>
    <row r="642"/>
    <row r="643"/>
    <row r="644"/>
    <row r="645"/>
    <row r="646"/>
    <row r="647"/>
    <row r="648"/>
    <row r="649"/>
    <row r="650"/>
    <row r="651"/>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sheetData>
  <sheetProtection algorithmName="SHA-512" hashValue="os6j6iAfaVbg3FEYxP7KhWj+DN/x1IVxDDNgt5iHp2H8e0VQUpOod5qSwJEeHrkscXJ1NvzQi1+8fyCsTMWXpw==" saltValue="cM/aiS5PM9iarnSawnaq2Q==" spinCount="100000" sheet="1" objects="1" scenarios="1" formatCells="0" formatColumns="0" formatRows="0"/>
  <mergeCells count="171">
    <mergeCell ref="D187:F187"/>
    <mergeCell ref="D177:F177"/>
    <mergeCell ref="D167:F167"/>
    <mergeCell ref="C24:E24"/>
    <mergeCell ref="K24:L24"/>
    <mergeCell ref="K25:L25"/>
    <mergeCell ref="C23:E23"/>
    <mergeCell ref="K18:L18"/>
    <mergeCell ref="C22:E22"/>
    <mergeCell ref="C26:E26"/>
    <mergeCell ref="C25:E25"/>
    <mergeCell ref="K49:L49"/>
    <mergeCell ref="C33:E33"/>
    <mergeCell ref="C40:E40"/>
    <mergeCell ref="C30:E30"/>
    <mergeCell ref="C41:E41"/>
    <mergeCell ref="C42:E42"/>
    <mergeCell ref="K32:L32"/>
    <mergeCell ref="K33:L33"/>
    <mergeCell ref="K36:L36"/>
    <mergeCell ref="K37:L37"/>
    <mergeCell ref="K38:L38"/>
    <mergeCell ref="K39:L39"/>
    <mergeCell ref="K40:L40"/>
    <mergeCell ref="K41:L41"/>
    <mergeCell ref="K42:L42"/>
    <mergeCell ref="C39:E39"/>
    <mergeCell ref="K34:L34"/>
    <mergeCell ref="K35:L35"/>
    <mergeCell ref="C32:E32"/>
    <mergeCell ref="C31:E31"/>
    <mergeCell ref="C34:E34"/>
    <mergeCell ref="C35:E35"/>
    <mergeCell ref="C36:E36"/>
    <mergeCell ref="C37:E37"/>
    <mergeCell ref="C38:E38"/>
    <mergeCell ref="I185:K185"/>
    <mergeCell ref="I178:K178"/>
    <mergeCell ref="I179:K179"/>
    <mergeCell ref="I180:K180"/>
    <mergeCell ref="I181:K181"/>
    <mergeCell ref="I182:K182"/>
    <mergeCell ref="I183:K183"/>
    <mergeCell ref="I184:K184"/>
    <mergeCell ref="C43:E43"/>
    <mergeCell ref="C44:E44"/>
    <mergeCell ref="K57:L57"/>
    <mergeCell ref="D171:F171"/>
    <mergeCell ref="D170:F170"/>
    <mergeCell ref="D169:F169"/>
    <mergeCell ref="D168:F168"/>
    <mergeCell ref="F61:G61"/>
    <mergeCell ref="F62:G62"/>
    <mergeCell ref="C165:K165"/>
    <mergeCell ref="I187:K187"/>
    <mergeCell ref="K47:L47"/>
    <mergeCell ref="K48:L48"/>
    <mergeCell ref="F57:G57"/>
    <mergeCell ref="C48:E48"/>
    <mergeCell ref="C49:E49"/>
    <mergeCell ref="C50:E50"/>
    <mergeCell ref="F60:G60"/>
    <mergeCell ref="F59:G59"/>
    <mergeCell ref="F58:G58"/>
    <mergeCell ref="C51:E51"/>
    <mergeCell ref="C52:E52"/>
    <mergeCell ref="D185:F185"/>
    <mergeCell ref="D184:F184"/>
    <mergeCell ref="D183:F183"/>
    <mergeCell ref="D182:F182"/>
    <mergeCell ref="D181:F181"/>
    <mergeCell ref="D180:F180"/>
    <mergeCell ref="D179:F179"/>
    <mergeCell ref="D178:F178"/>
    <mergeCell ref="D175:F175"/>
    <mergeCell ref="D174:F174"/>
    <mergeCell ref="D173:F173"/>
    <mergeCell ref="D172:F172"/>
    <mergeCell ref="I195:K195"/>
    <mergeCell ref="I197:K197"/>
    <mergeCell ref="I198:K198"/>
    <mergeCell ref="I199:K199"/>
    <mergeCell ref="I200:K200"/>
    <mergeCell ref="I209:K209"/>
    <mergeCell ref="I210:K210"/>
    <mergeCell ref="I201:K201"/>
    <mergeCell ref="I202:K202"/>
    <mergeCell ref="I211:K211"/>
    <mergeCell ref="I212:K212"/>
    <mergeCell ref="I213:K213"/>
    <mergeCell ref="I214:K214"/>
    <mergeCell ref="I215:K215"/>
    <mergeCell ref="N74:O74"/>
    <mergeCell ref="I203:K203"/>
    <mergeCell ref="I204:K204"/>
    <mergeCell ref="I205:K205"/>
    <mergeCell ref="I207:K207"/>
    <mergeCell ref="I188:K188"/>
    <mergeCell ref="I208:K208"/>
    <mergeCell ref="I189:K189"/>
    <mergeCell ref="I190:K190"/>
    <mergeCell ref="I191:K191"/>
    <mergeCell ref="I192:K192"/>
    <mergeCell ref="I193:K193"/>
    <mergeCell ref="I194:K194"/>
    <mergeCell ref="N82:O82"/>
    <mergeCell ref="N75:O75"/>
    <mergeCell ref="N76:O76"/>
    <mergeCell ref="N77:O77"/>
    <mergeCell ref="N78:O78"/>
    <mergeCell ref="N79:O79"/>
    <mergeCell ref="C11:E11"/>
    <mergeCell ref="C12:E12"/>
    <mergeCell ref="C13:E13"/>
    <mergeCell ref="C18:E18"/>
    <mergeCell ref="C19:E19"/>
    <mergeCell ref="C15:E15"/>
    <mergeCell ref="C16:E16"/>
    <mergeCell ref="C17:E17"/>
    <mergeCell ref="C21:E21"/>
    <mergeCell ref="C20:E20"/>
    <mergeCell ref="C14:E14"/>
    <mergeCell ref="K14:L14"/>
    <mergeCell ref="K11:L11"/>
    <mergeCell ref="K12:L12"/>
    <mergeCell ref="K15:L15"/>
    <mergeCell ref="K16:L16"/>
    <mergeCell ref="K13:L13"/>
    <mergeCell ref="K17:L17"/>
    <mergeCell ref="K23:L23"/>
    <mergeCell ref="K31:L31"/>
    <mergeCell ref="K29:L29"/>
    <mergeCell ref="K30:L30"/>
    <mergeCell ref="N80:O80"/>
    <mergeCell ref="N81:O81"/>
    <mergeCell ref="I177:K177"/>
    <mergeCell ref="I167:K167"/>
    <mergeCell ref="I168:K168"/>
    <mergeCell ref="I169:K169"/>
    <mergeCell ref="I170:K170"/>
    <mergeCell ref="I171:K171"/>
    <mergeCell ref="I172:K172"/>
    <mergeCell ref="I173:K173"/>
    <mergeCell ref="I174:K174"/>
    <mergeCell ref="I175:K175"/>
    <mergeCell ref="D215:F215"/>
    <mergeCell ref="D214:F214"/>
    <mergeCell ref="D213:F213"/>
    <mergeCell ref="D212:F212"/>
    <mergeCell ref="D211:F211"/>
    <mergeCell ref="D210:F210"/>
    <mergeCell ref="D209:F209"/>
    <mergeCell ref="D208:F208"/>
    <mergeCell ref="D205:F205"/>
    <mergeCell ref="D207:F207"/>
    <mergeCell ref="D193:F193"/>
    <mergeCell ref="D192:F192"/>
    <mergeCell ref="D191:F191"/>
    <mergeCell ref="D190:F190"/>
    <mergeCell ref="D189:F189"/>
    <mergeCell ref="D188:F188"/>
    <mergeCell ref="D204:F204"/>
    <mergeCell ref="D203:F203"/>
    <mergeCell ref="D202:F202"/>
    <mergeCell ref="D201:F201"/>
    <mergeCell ref="D200:F200"/>
    <mergeCell ref="D199:F199"/>
    <mergeCell ref="D198:F198"/>
    <mergeCell ref="D195:F195"/>
    <mergeCell ref="D194:F194"/>
    <mergeCell ref="D197:F197"/>
  </mergeCells>
  <phoneticPr fontId="58" type="noConversion"/>
  <conditionalFormatting sqref="C142:N143 C150:N151 C158:N159">
    <cfRule type="cellIs" dxfId="14" priority="13" operator="greaterThan">
      <formula>1</formula>
    </cfRule>
  </conditionalFormatting>
  <conditionalFormatting sqref="C48:E48">
    <cfRule type="expression" dxfId="13" priority="5">
      <formula>AND($C$18="New Construction", OR($C$48="Preservation", $C$48="Refinancing"))</formula>
    </cfRule>
  </conditionalFormatting>
  <conditionalFormatting sqref="C140:N141">
    <cfRule type="expression" dxfId="12" priority="114">
      <formula>MONTH(DATEVALUE(C$139&amp;" 1"))&lt;MONTH($C$136)</formula>
    </cfRule>
  </conditionalFormatting>
  <dataValidations xWindow="671" yWindow="753" count="26">
    <dataValidation type="list" allowBlank="1" showInputMessage="1" showErrorMessage="1" sqref="C32" xr:uid="{E90E2FD6-7176-4811-B841-080FF712E9E5}">
      <formula1>INDIRECT("tbl01_ZoningStatus[Zoning Status]")</formula1>
    </dataValidation>
    <dataValidation type="list" allowBlank="1" showInputMessage="1" showErrorMessage="1" sqref="C39" xr:uid="{B727417C-DDFC-40B1-866C-6B1CC78FF44D}">
      <formula1>INDIRECT("tbl01_ProjectType[Project Type]")</formula1>
    </dataValidation>
    <dataValidation type="list" allowBlank="1" showInputMessage="1" showErrorMessage="1" sqref="K41" xr:uid="{872598A0-E272-4DC3-B662-C329FED59017}">
      <formula1>INDIRECT("tbl01_BorrowEntity[Borrowing Entity]")</formula1>
    </dataValidation>
    <dataValidation type="list" allowBlank="1" showInputMessage="1" showErrorMessage="1" sqref="C51" xr:uid="{00000000-0002-0000-0800-000004000000}">
      <formula1>INDIRECT("tbl01_OtherAssistance[Other Assistance Type]")</formula1>
    </dataValidation>
    <dataValidation type="list" allowBlank="1" showInputMessage="1" showErrorMessage="1" sqref="C48" xr:uid="{00000000-0002-0000-0800-000005000000}">
      <formula1>INDIRECT("tbl01_ProgramType[Program Type]")</formula1>
    </dataValidation>
    <dataValidation type="list" allowBlank="1" showInputMessage="1" showErrorMessage="1" sqref="C13 E224:E303" xr:uid="{00000000-0002-0000-0800-000006000000}">
      <formula1>City</formula1>
    </dataValidation>
    <dataValidation type="list" allowBlank="1" showInputMessage="1" showErrorMessage="1" sqref="C52" xr:uid="{00000000-0002-0000-0800-000007000000}">
      <formula1>INDIRECT("tbl01_SetAside[Low Income Set Aside]")</formula1>
    </dataValidation>
    <dataValidation type="list" allowBlank="1" showInputMessage="1" showErrorMessage="1" sqref="K16:L16" xr:uid="{50173C8C-BEDB-4783-B6E7-19E40752B2AE}">
      <formula1>"Taxable, Tax Exempt"</formula1>
    </dataValidation>
    <dataValidation type="list" allowBlank="1" showInputMessage="1" showErrorMessage="1" sqref="C49:C50 K40 K75:L82 C75:C84 K23:L23 K11:K12 H224:H303 C42 C34:C37 K42" xr:uid="{00000000-0002-0000-0800-000009000000}">
      <formula1>"Yes, No"</formula1>
    </dataValidation>
    <dataValidation type="list" allowBlank="1" showInputMessage="1" showErrorMessage="1" sqref="D111" xr:uid="{00000000-0002-0000-0800-00000A000000}">
      <formula1>Years</formula1>
    </dataValidation>
    <dataValidation type="list" allowBlank="1" showInputMessage="1" showErrorMessage="1" sqref="E58:E62 E65" xr:uid="{00000000-0002-0000-0800-00000B000000}">
      <formula1>INDIRECT("tbl01_StructuralSystem[Structural System]")</formula1>
    </dataValidation>
    <dataValidation type="list" allowBlank="1" showInputMessage="1" showErrorMessage="1" sqref="M75:M82" xr:uid="{00000000-0002-0000-0800-00000C000000}">
      <formula1>INDIRECT("tbl01_EnergyType[Energy Type]")</formula1>
    </dataValidation>
    <dataValidation type="list" allowBlank="1" showInputMessage="1" showErrorMessage="1" sqref="N75:N82" xr:uid="{00000000-0002-0000-0800-00000E000000}">
      <formula1>INDIRECT("tbl01_HeatSystem[Heat System]")</formula1>
    </dataValidation>
    <dataValidation type="list" allowBlank="1" showInputMessage="1" showErrorMessage="1" sqref="B309:B316" xr:uid="{00000000-0002-0000-0800-00000F000000}">
      <formula1>INDIRECT("tbl01_ExistingDebt[Existing Debt]")</formula1>
    </dataValidation>
    <dataValidation type="list" allowBlank="1" showInputMessage="1" showErrorMessage="1" sqref="C18:E18" xr:uid="{00000000-0002-0000-0800-000010000000}">
      <formula1>INDIRECT("tbl01_ConstructionType[New/Rehab]")</formula1>
    </dataValidation>
    <dataValidation type="list" allowBlank="1" showInputMessage="1" showErrorMessage="1" sqref="C19:E19" xr:uid="{00000000-0002-0000-0800-000011000000}">
      <formula1>INDIRECT("tbl01_TenancyType[Tenancy Type]")</formula1>
    </dataValidation>
    <dataValidation type="list" allowBlank="1" showInputMessage="1" showErrorMessage="1" sqref="H58:H62" xr:uid="{00000000-0002-0000-0800-000014000000}">
      <formula1>INDIRECT("tbl01_BuildingType[Building Type]")</formula1>
    </dataValidation>
    <dataValidation type="list" allowBlank="1" showInputMessage="1" showErrorMessage="1" sqref="C21:E21" xr:uid="{57B46D00-8BD8-4CF1-8F2A-6C0AE7651A23}">
      <formula1>INDIRECT("tbl01_CreditType[Credit Type]")</formula1>
    </dataValidation>
    <dataValidation type="list" allowBlank="1" showInputMessage="1" showErrorMessage="1" sqref="C17:E17" xr:uid="{AF16F13D-3EAA-4659-BEDB-ABA98F8A98FF}">
      <formula1>INDIRECT("tbl01_PropertyType[Property Type]")</formula1>
    </dataValidation>
    <dataValidation type="list" allowBlank="1" showInputMessage="1" showErrorMessage="1" sqref="C22:E22" xr:uid="{E0DB9055-57F7-49F8-8453-4092509A5C7E}">
      <formula1>INDIRECT("tbl01_ConstructionTypeScore[Construction Type Details]")</formula1>
    </dataValidation>
    <dataValidation type="list" allowBlank="1" showInputMessage="1" showErrorMessage="1" sqref="C20:E20" xr:uid="{C5A2F679-E8DD-4BF1-A193-B608744DA326}">
      <formula1>Tenant_Status</formula1>
    </dataValidation>
    <dataValidation type="textLength" operator="equal" allowBlank="1" showInputMessage="1" showErrorMessage="1" errorTitle="Five Digit Zip Code Expected" error="Enter the zip code as a five digit number." promptTitle="Five Digit Zip Code Expected" prompt="Enter the zip code as a five digit number." sqref="K33:L33 C15:E15" xr:uid="{181EE548-186C-4B7D-957A-2F74E98B1A33}">
      <formula1>5</formula1>
    </dataValidation>
    <dataValidation type="textLength" operator="equal" allowBlank="1" showInputMessage="1" showErrorMessage="1" errorTitle="Ten Digit Number Expected" error="Phone numbers must be entered as ten digit numbers; formatting will be automatically applied after an acceptable value has been input." promptTitle="Ten Digit Number Expected" prompt="Phone numbers must be entered as ten digit numbers; formatting will be automatically applied after an acceptable value has been input." sqref="K34:L34 I212:K214 I172:K174 I182:K184 I192:K194 I202:K204 D214:F214 D213:F213 D212:F212 D204:F204 D203:F203 D202:F202 D194:F194 D193:F193 D192:F192 D184:F184 D183:F183 D182:F182 D174:F174 D173:F173 D172:F172" xr:uid="{B4BCF7E2-01F5-4D08-8D9B-608BFAD90E51}">
      <formula1>10</formula1>
    </dataValidation>
    <dataValidation type="whole" operator="greaterThan" allowBlank="1" showInputMessage="1" showErrorMessage="1" errorTitle="Whole Number Expected" error="If there are zero adaptable units, leave this field blank." promptTitle="Adaptable Units" prompt="Enter the number of adaptable units in the deal. If zero, leave blank." sqref="L58" xr:uid="{7B76B0BB-4DAF-47DA-B09D-AEC26A062761}">
      <formula1>0</formula1>
    </dataValidation>
    <dataValidation type="whole" operator="greaterThan" allowBlank="1" showInputMessage="1" showErrorMessage="1" errorTitle="Whole Number Expected" error="If there are zero accessible units, leave this field blank." promptTitle="Accessible Units" prompt="Enter the number of Accessible Units. If zero, leave blank. " sqref="L59" xr:uid="{3EAB69B8-5F03-4B9C-86EF-D60C7C8DFEBF}">
      <formula1>0</formula1>
    </dataValidation>
    <dataValidation type="list" allowBlank="1" showInputMessage="1" showErrorMessage="1" sqref="F75:F82 E75:E82" xr:uid="{00000000-0002-0000-0800-00000D000000}">
      <formula1>INDIRECT("tbl01_ProjectAmenities[Project Amenities]")</formula1>
    </dataValidation>
  </dataValidations>
  <pageMargins left="0.7" right="0.7" top="0.75" bottom="0.75" header="0.3" footer="0.3"/>
  <pageSetup scale="40" fitToWidth="0" fitToHeight="5" orientation="landscape" r:id="rId1"/>
  <headerFooter alignWithMargins="0">
    <oddFooter>&amp;L&amp;A&amp;C&amp;P of &amp;N</oddFooter>
  </headerFooter>
  <rowBreaks count="3" manualBreakCount="3">
    <brk id="86" max="14" man="1"/>
    <brk id="162" max="14" man="1"/>
    <brk id="217" max="14" man="1"/>
  </rowBreaks>
  <drawing r:id="rId2"/>
  <legacyDrawing r:id="rId3"/>
  <extLst>
    <ext xmlns:x14="http://schemas.microsoft.com/office/spreadsheetml/2009/9/main" uri="{CCE6A557-97BC-4b89-ADB6-D9C93CAAB3DF}">
      <x14:dataValidations xmlns:xm="http://schemas.microsoft.com/office/excel/2006/main" xWindow="671" yWindow="753" count="1">
        <x14:dataValidation type="list" allowBlank="1" showInputMessage="1" showErrorMessage="1" xr:uid="{49FAFF0D-9B8E-418B-9762-717961BA5361}">
          <x14:formula1>
            <xm:f>'00_3_Drop Down'!$AJ$12:$AJ$27</xm:f>
          </x14:formula1>
          <xm:sqref>C24:E24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st02_1_Income">
    <tabColor theme="5" tint="-0.249977111117893"/>
    <pageSetUpPr autoPageBreaks="0"/>
  </sheetPr>
  <dimension ref="A1:EG115"/>
  <sheetViews>
    <sheetView zoomScale="85" zoomScaleNormal="85" workbookViewId="0"/>
  </sheetViews>
  <sheetFormatPr defaultColWidth="9" defaultRowHeight="12.75"/>
  <cols>
    <col min="1" max="1" width="4.5" style="11" customWidth="1"/>
    <col min="2" max="2" width="23" style="11" customWidth="1"/>
    <col min="3" max="3" width="19.5" style="11" customWidth="1"/>
    <col min="4" max="4" width="21" style="11" customWidth="1"/>
    <col min="5" max="5" width="22" style="11" customWidth="1"/>
    <col min="6" max="6" width="21.5" style="11" customWidth="1"/>
    <col min="7" max="7" width="20" style="11" bestFit="1" customWidth="1"/>
    <col min="8" max="8" width="20.5" style="11" customWidth="1"/>
    <col min="9" max="9" width="21" style="11" customWidth="1"/>
    <col min="10" max="10" width="22.5" style="11" customWidth="1"/>
    <col min="11" max="12" width="21" style="11" customWidth="1"/>
    <col min="13" max="13" width="18" style="11" customWidth="1"/>
    <col min="14" max="14" width="23.5" style="11" customWidth="1"/>
    <col min="15" max="15" width="19.5" style="11" customWidth="1"/>
    <col min="16" max="16" width="21.5" style="11" customWidth="1"/>
    <col min="17" max="17" width="20.5" style="11" customWidth="1"/>
    <col min="18" max="19" width="20" style="11" customWidth="1"/>
    <col min="20" max="21" width="15.5" style="11" customWidth="1"/>
    <col min="22" max="22" width="23" style="11" bestFit="1" customWidth="1"/>
    <col min="23" max="30" width="11" style="11" customWidth="1"/>
    <col min="31" max="32" width="9" style="11" bestFit="1" customWidth="1"/>
    <col min="33" max="34" width="9" style="11" customWidth="1"/>
    <col min="35" max="42" width="10" style="11" customWidth="1"/>
    <col min="43" max="43" width="10.5" style="11" customWidth="1"/>
    <col min="44" max="52" width="10" style="11" customWidth="1"/>
    <col min="53" max="53" width="11" style="11" customWidth="1"/>
    <col min="54" max="62" width="10" style="11" customWidth="1"/>
    <col min="63" max="63" width="11.5" style="11" customWidth="1"/>
    <col min="64" max="72" width="10" style="11" customWidth="1"/>
    <col min="73" max="73" width="12" style="11" customWidth="1"/>
    <col min="74" max="81" width="10" style="11" customWidth="1"/>
    <col min="82" max="82" width="9.5" style="11" customWidth="1"/>
    <col min="83" max="83" width="10.5" style="11" bestFit="1" customWidth="1"/>
    <col min="84" max="92" width="10" style="11" customWidth="1"/>
    <col min="93" max="93" width="10.5" style="11" customWidth="1"/>
    <col min="94" max="103" width="10" style="11" customWidth="1"/>
    <col min="104" max="137" width="9" style="11" customWidth="1"/>
    <col min="138" max="16384" width="9" style="11"/>
  </cols>
  <sheetData>
    <row r="1" spans="1:137" ht="26.25">
      <c r="A1" s="61" t="str">
        <f>"Residential and Commercial Rent Summary"</f>
        <v>Residential and Commercial Rent Summary</v>
      </c>
      <c r="B1" s="60"/>
      <c r="C1" s="60"/>
      <c r="D1" s="60"/>
      <c r="E1" s="60"/>
      <c r="F1" s="60"/>
      <c r="G1" s="60"/>
      <c r="H1" s="60"/>
      <c r="I1" s="60"/>
      <c r="J1" s="60"/>
      <c r="K1" s="60"/>
      <c r="L1" s="60"/>
      <c r="M1" s="1159"/>
      <c r="N1" s="1159"/>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row>
    <row r="2" spans="1:137" ht="22.5" customHeight="1">
      <c r="A2" s="668" t="str">
        <f>IF(rng01_ProjectName="","[Project Name]", rng01_ProjectName)</f>
        <v>[Project Name]</v>
      </c>
      <c r="B2" s="664"/>
      <c r="C2" s="664"/>
      <c r="D2" s="664"/>
      <c r="E2" s="664"/>
      <c r="F2" s="665"/>
      <c r="G2" s="665"/>
      <c r="H2" s="666" t="s">
        <v>245</v>
      </c>
      <c r="I2" s="667">
        <f>tbl00ModelProgress[[#Totals],[Date of Progress /
Last Edit]]</f>
        <v>0</v>
      </c>
      <c r="J2" s="664"/>
      <c r="K2" s="664"/>
      <c r="L2" s="664"/>
      <c r="M2" s="665"/>
      <c r="N2" s="665"/>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row>
    <row r="3" spans="1:137" s="9" customFormat="1" ht="19.5" thickBot="1">
      <c r="B3" s="10"/>
      <c r="C3" s="33"/>
      <c r="D3" s="145"/>
      <c r="E3" s="145"/>
    </row>
    <row r="4" spans="1:137" s="9" customFormat="1" ht="19.5" thickBot="1">
      <c r="B4" s="351" t="s">
        <v>2297</v>
      </c>
      <c r="D4" s="1672">
        <v>10</v>
      </c>
      <c r="E4" s="145"/>
    </row>
    <row r="5" spans="1:137" s="9" customFormat="1" ht="19.5" thickBot="1">
      <c r="B5" s="10"/>
      <c r="C5" s="33"/>
      <c r="D5" s="142"/>
      <c r="E5" s="145"/>
    </row>
    <row r="6" spans="1:137" ht="19.5" customHeight="1" thickTop="1">
      <c r="B6" s="12" t="s">
        <v>1046</v>
      </c>
      <c r="C6" s="38"/>
      <c r="D6" s="39"/>
      <c r="E6" s="38"/>
      <c r="F6" s="14"/>
      <c r="G6" s="14"/>
      <c r="H6" s="39"/>
      <c r="I6" s="39"/>
      <c r="J6" s="39"/>
      <c r="K6" s="39"/>
      <c r="L6" s="40"/>
      <c r="M6" s="2267" t="s">
        <v>1047</v>
      </c>
      <c r="N6" s="2267" t="s">
        <v>1048</v>
      </c>
      <c r="O6" s="40" t="s">
        <v>1049</v>
      </c>
      <c r="P6" s="40"/>
      <c r="Q6" s="40"/>
      <c r="R6" s="40"/>
      <c r="S6" s="40"/>
      <c r="T6" s="40"/>
      <c r="U6" s="41"/>
      <c r="V6" s="41"/>
      <c r="W6" s="1105"/>
      <c r="AC6" s="11" t="s">
        <v>1453</v>
      </c>
      <c r="AK6" s="159" t="s">
        <v>1465</v>
      </c>
      <c r="AN6" s="160" t="s">
        <v>1466</v>
      </c>
      <c r="AO6" s="160" t="s">
        <v>1466</v>
      </c>
      <c r="AP6" s="160" t="s">
        <v>1466</v>
      </c>
      <c r="AT6" s="159" t="s">
        <v>1467</v>
      </c>
      <c r="AW6" s="160" t="s">
        <v>1466</v>
      </c>
      <c r="AX6" s="160" t="s">
        <v>1466</v>
      </c>
      <c r="AY6" s="160" t="s">
        <v>1466</v>
      </c>
      <c r="BC6" s="159" t="s">
        <v>1468</v>
      </c>
      <c r="BF6" s="160" t="s">
        <v>1466</v>
      </c>
      <c r="BG6" s="160" t="s">
        <v>1466</v>
      </c>
      <c r="BH6" s="160" t="s">
        <v>1466</v>
      </c>
      <c r="BL6" s="159" t="s">
        <v>1469</v>
      </c>
      <c r="BO6" s="160" t="s">
        <v>1466</v>
      </c>
      <c r="BP6" s="160" t="s">
        <v>1466</v>
      </c>
      <c r="BQ6" s="160" t="s">
        <v>1466</v>
      </c>
      <c r="BU6" s="159" t="s">
        <v>1470</v>
      </c>
      <c r="BX6" s="160" t="s">
        <v>1466</v>
      </c>
      <c r="BY6" s="160" t="s">
        <v>1466</v>
      </c>
      <c r="BZ6" s="160" t="s">
        <v>1466</v>
      </c>
      <c r="CD6" s="159" t="s">
        <v>1471</v>
      </c>
      <c r="CG6" s="160" t="s">
        <v>1466</v>
      </c>
      <c r="CH6" s="160" t="s">
        <v>1466</v>
      </c>
      <c r="CI6" s="160" t="s">
        <v>1466</v>
      </c>
      <c r="CM6" s="159" t="s">
        <v>1472</v>
      </c>
      <c r="CP6" s="160" t="s">
        <v>1466</v>
      </c>
      <c r="CQ6" s="160" t="s">
        <v>1466</v>
      </c>
      <c r="CR6" s="160" t="s">
        <v>1466</v>
      </c>
    </row>
    <row r="7" spans="1:137" ht="51.75" customHeight="1" thickBot="1">
      <c r="B7" s="661" t="s">
        <v>1050</v>
      </c>
      <c r="C7" s="661" t="s">
        <v>1051</v>
      </c>
      <c r="D7" s="661" t="s">
        <v>114</v>
      </c>
      <c r="E7" s="661" t="s">
        <v>51</v>
      </c>
      <c r="F7" s="661" t="s">
        <v>54</v>
      </c>
      <c r="G7" s="662" t="s">
        <v>2479</v>
      </c>
      <c r="H7" s="662" t="s">
        <v>1053</v>
      </c>
      <c r="I7" s="662" t="s">
        <v>1064</v>
      </c>
      <c r="J7" s="662" t="s">
        <v>1054</v>
      </c>
      <c r="K7" s="662" t="s">
        <v>1055</v>
      </c>
      <c r="L7" s="661" t="s">
        <v>1056</v>
      </c>
      <c r="M7" s="2268"/>
      <c r="N7" s="2268"/>
      <c r="O7" s="669" t="s">
        <v>1057</v>
      </c>
      <c r="P7" s="661" t="s">
        <v>1058</v>
      </c>
      <c r="Q7" s="661" t="s">
        <v>1059</v>
      </c>
      <c r="R7" s="661" t="s">
        <v>1060</v>
      </c>
      <c r="S7" s="661" t="s">
        <v>1061</v>
      </c>
      <c r="T7" s="661" t="s">
        <v>1062</v>
      </c>
      <c r="U7" s="1581" t="s">
        <v>1063</v>
      </c>
      <c r="V7" s="669" t="s">
        <v>943</v>
      </c>
      <c r="W7" s="1523" t="s">
        <v>1454</v>
      </c>
      <c r="X7" s="164" t="s">
        <v>1455</v>
      </c>
      <c r="Y7" s="164" t="s">
        <v>1456</v>
      </c>
      <c r="Z7" s="164" t="s">
        <v>1457</v>
      </c>
      <c r="AA7" s="164" t="s">
        <v>1458</v>
      </c>
      <c r="AB7" s="164" t="s">
        <v>1459</v>
      </c>
      <c r="AC7" s="165" t="s">
        <v>1460</v>
      </c>
      <c r="AD7" s="166" t="s">
        <v>1461</v>
      </c>
      <c r="AE7" s="166" t="s">
        <v>1462</v>
      </c>
      <c r="AF7" s="166" t="s">
        <v>1463</v>
      </c>
      <c r="AG7" s="166" t="s">
        <v>1464</v>
      </c>
      <c r="AK7" s="170" t="s">
        <v>1473</v>
      </c>
      <c r="AL7" s="170" t="s">
        <v>1474</v>
      </c>
      <c r="AM7" s="170" t="s">
        <v>1475</v>
      </c>
      <c r="AN7" s="166" t="s">
        <v>1476</v>
      </c>
      <c r="AO7" s="172" t="s">
        <v>1477</v>
      </c>
      <c r="AP7" s="172" t="s">
        <v>1478</v>
      </c>
      <c r="AQ7" s="172">
        <v>0.5</v>
      </c>
      <c r="AR7" s="172">
        <v>0.6</v>
      </c>
      <c r="AS7" s="173"/>
      <c r="AT7" s="170" t="s">
        <v>1473</v>
      </c>
      <c r="AU7" s="170" t="s">
        <v>1474</v>
      </c>
      <c r="AV7" s="170" t="s">
        <v>1475</v>
      </c>
      <c r="AW7" s="166" t="s">
        <v>1476</v>
      </c>
      <c r="AX7" s="172" t="s">
        <v>1477</v>
      </c>
      <c r="AY7" s="172" t="s">
        <v>1478</v>
      </c>
      <c r="AZ7" s="172">
        <v>0.5</v>
      </c>
      <c r="BA7" s="172">
        <v>0.6</v>
      </c>
      <c r="BB7" s="173"/>
      <c r="BC7" s="170" t="s">
        <v>1473</v>
      </c>
      <c r="BD7" s="170" t="s">
        <v>1474</v>
      </c>
      <c r="BE7" s="170" t="s">
        <v>1475</v>
      </c>
      <c r="BF7" s="166" t="s">
        <v>1476</v>
      </c>
      <c r="BG7" s="172" t="s">
        <v>1477</v>
      </c>
      <c r="BH7" s="172" t="s">
        <v>1478</v>
      </c>
      <c r="BI7" s="172">
        <v>0.5</v>
      </c>
      <c r="BJ7" s="172">
        <v>0.6</v>
      </c>
      <c r="BK7" s="173"/>
      <c r="BL7" s="170" t="s">
        <v>1473</v>
      </c>
      <c r="BM7" s="170" t="s">
        <v>1474</v>
      </c>
      <c r="BN7" s="170" t="s">
        <v>1475</v>
      </c>
      <c r="BO7" s="166" t="s">
        <v>1476</v>
      </c>
      <c r="BP7" s="172" t="s">
        <v>1477</v>
      </c>
      <c r="BQ7" s="172" t="s">
        <v>1478</v>
      </c>
      <c r="BR7" s="172">
        <v>0.5</v>
      </c>
      <c r="BS7" s="172">
        <v>0.6</v>
      </c>
      <c r="BT7" s="173"/>
      <c r="BU7" s="170" t="s">
        <v>1473</v>
      </c>
      <c r="BV7" s="170" t="s">
        <v>1474</v>
      </c>
      <c r="BW7" s="170" t="s">
        <v>1475</v>
      </c>
      <c r="BX7" s="166" t="s">
        <v>1476</v>
      </c>
      <c r="BY7" s="172" t="s">
        <v>1477</v>
      </c>
      <c r="BZ7" s="172" t="s">
        <v>1478</v>
      </c>
      <c r="CA7" s="172">
        <v>0.5</v>
      </c>
      <c r="CB7" s="172">
        <v>0.6</v>
      </c>
      <c r="CC7" s="173"/>
      <c r="CD7" s="170" t="s">
        <v>1473</v>
      </c>
      <c r="CE7" s="170" t="s">
        <v>1474</v>
      </c>
      <c r="CF7" s="170" t="s">
        <v>1475</v>
      </c>
      <c r="CG7" s="166" t="s">
        <v>1476</v>
      </c>
      <c r="CH7" s="172" t="s">
        <v>1477</v>
      </c>
      <c r="CI7" s="172" t="s">
        <v>1478</v>
      </c>
      <c r="CJ7" s="172">
        <v>0.5</v>
      </c>
      <c r="CK7" s="172">
        <v>0.6</v>
      </c>
      <c r="CL7" s="173"/>
      <c r="CM7" s="170" t="s">
        <v>1473</v>
      </c>
      <c r="CN7" s="170" t="s">
        <v>1474</v>
      </c>
      <c r="CO7" s="170" t="s">
        <v>1475</v>
      </c>
      <c r="CP7" s="166" t="s">
        <v>1476</v>
      </c>
      <c r="CQ7" s="172" t="s">
        <v>1477</v>
      </c>
      <c r="CR7" s="172" t="s">
        <v>1478</v>
      </c>
      <c r="CS7" s="172">
        <v>0.5</v>
      </c>
      <c r="CT7" s="172">
        <v>0.6</v>
      </c>
    </row>
    <row r="8" spans="1:137" ht="16.5" thickTop="1">
      <c r="B8" s="68"/>
      <c r="C8" s="68"/>
      <c r="D8" s="1402"/>
      <c r="E8" s="68"/>
      <c r="F8" s="83"/>
      <c r="G8" s="1401"/>
      <c r="H8" s="1401"/>
      <c r="I8" s="1520"/>
      <c r="J8" s="1404"/>
      <c r="K8" s="1404"/>
      <c r="L8" s="167">
        <f t="shared" ref="L8:L37" si="0">_xlfn.IFNA(HLOOKUP(B8,$C$87:$I$99,13,FALSE), 0)</f>
        <v>0</v>
      </c>
      <c r="M8" s="1403"/>
      <c r="N8" s="168">
        <f t="shared" ref="N8:N21" si="1">MAX(0,M8-L8)</f>
        <v>0</v>
      </c>
      <c r="O8" s="84"/>
      <c r="P8" s="167">
        <f t="shared" ref="P8:P21" si="2">MAX(0,O8-L8)</f>
        <v>0</v>
      </c>
      <c r="Q8" s="169">
        <f t="shared" ref="Q8:Q21" si="3">-IF(P8&lt;&gt;0,(N8-P8)/P8,0)</f>
        <v>0</v>
      </c>
      <c r="R8" s="84"/>
      <c r="S8" s="167">
        <f t="shared" ref="S8:S21" si="4">MAX(0,R8-L8)</f>
        <v>0</v>
      </c>
      <c r="T8" s="167">
        <f>IF(OR(D8="80% Non-LIHTC",D8="100%",D8="120%",D8="Over 120%", D8=""), 0, IF(D8="80% LIHTC", VLOOKUP(0.8,'00_5_LIHTC Data'!$C$20:$J$26,MATCH('02_1_INCOME'!B8,'00_5_LIHTC Data'!$D$18:$J$18,0)+1,FALSE), VLOOKUP(VALUE(D8),'00_5_LIHTC Data'!$C$20:$J$26,MATCH('02_1_INCOME'!B8,'00_5_LIHTC Data'!$D$18:$J$18,0)+1,FALSE)))</f>
        <v>0</v>
      </c>
      <c r="U8" s="1582">
        <f t="shared" ref="U8:U21" si="5">-IF(T8&lt;&gt;0,(M8-T8)/T8,0)</f>
        <v>0</v>
      </c>
      <c r="V8" s="1579">
        <f t="shared" ref="V8:V37" si="6">F8*H8</f>
        <v>0</v>
      </c>
      <c r="W8" s="1524">
        <f t="shared" ref="W8:W37" si="7">IF(OR(B8="EFF",B8="SRO"),0.5,B8)</f>
        <v>0</v>
      </c>
      <c r="X8" s="170">
        <f t="shared" ref="X8:X37" si="8">IF(OR(B8="EFF",B8="SRO"),0.5,B8)*F8</f>
        <v>0</v>
      </c>
      <c r="Y8" s="170">
        <f t="shared" ref="Y8:Y37" si="9">IF(AND(D8&lt;&gt;"80% Non-LIHTC",D8&lt;&gt;"100%",D8&lt;&gt;"120%", D8&lt;&gt;"Over 120%", D8&lt;&gt;""),$F8,0)</f>
        <v>0</v>
      </c>
      <c r="Z8" s="170">
        <f t="shared" ref="Z8:Z37" si="10">IF(OR(D8="80% Non-LIHTC",D8="100%",D8="120%",D8="Over 120%",D8=""),$F8,0)</f>
        <v>0</v>
      </c>
      <c r="AA8" s="171">
        <f t="shared" ref="AA8:AA21" si="11">IF(Y8&gt;0,Y8*N8*12,0)</f>
        <v>0</v>
      </c>
      <c r="AB8" s="171">
        <f t="shared" ref="AB8:AB21" si="12">IF(Z8&gt;0,Z8*P8*12,0)</f>
        <v>0</v>
      </c>
      <c r="AC8" s="160">
        <f t="shared" ref="AC8:AC37" si="13">B8</f>
        <v>0</v>
      </c>
      <c r="AD8" s="170">
        <f t="shared" ref="AD8:AD37" si="14">IF(B8="SRO",Y8,0)</f>
        <v>0</v>
      </c>
      <c r="AE8" s="170">
        <f t="shared" ref="AE8:AE37" si="15">IF(B8="EFF",Y8,0)</f>
        <v>0</v>
      </c>
      <c r="AF8" s="170">
        <f t="shared" ref="AF8:AF37" si="16">IF(B8="SRO",Z8,0)</f>
        <v>0</v>
      </c>
      <c r="AG8" s="170">
        <f t="shared" ref="AG8:AG37" si="17">IF(B8="EFF",Z8,0)</f>
        <v>0</v>
      </c>
      <c r="AK8" s="175" t="str">
        <f>IF($B8="SRO",$C8,"")</f>
        <v/>
      </c>
      <c r="AL8" s="175" t="str">
        <f>IF($B8="SRO",$F8,"")</f>
        <v/>
      </c>
      <c r="AM8" s="175" t="str">
        <f t="shared" ref="AM8:AM37" si="18">IF($B8="SRO",$H8,"")</f>
        <v/>
      </c>
      <c r="AN8" s="175" t="str">
        <f t="shared" ref="AN8:AN37" si="19">IF($B8="SRO",$N8,"")</f>
        <v/>
      </c>
      <c r="AO8" s="175" t="str">
        <f t="shared" ref="AO8:AO37" si="20">IF($B8="SRO",$P8,"")</f>
        <v/>
      </c>
      <c r="AP8" s="175" t="str">
        <f t="shared" ref="AP8:AP37" si="21">IF($B8="SRO",$S8,"")</f>
        <v/>
      </c>
      <c r="AQ8" s="175" t="str">
        <f t="shared" ref="AQ8:AQ37" si="22">IF($B8="SRO",$T8,"")</f>
        <v/>
      </c>
      <c r="AR8" s="175" t="str">
        <f t="shared" ref="AR8:AR37" si="23">IF($B8="SRO",$U8,"")</f>
        <v/>
      </c>
      <c r="AT8" s="175" t="str">
        <f>IF($B8="EFF",$C8,"")</f>
        <v/>
      </c>
      <c r="AU8" s="176" t="str">
        <f>IF($B8="EFF",$F8,"")</f>
        <v/>
      </c>
      <c r="AV8" s="175" t="str">
        <f t="shared" ref="AV8:AV37" si="24">IF($B8="EFF",$H8,"")</f>
        <v/>
      </c>
      <c r="AW8" s="171" t="str">
        <f t="shared" ref="AW8:AW37" si="25">IF($B8="EFF",$N8,"")</f>
        <v/>
      </c>
      <c r="AX8" s="171" t="str">
        <f t="shared" ref="AX8:AX37" si="26">IF($B8="EFF",$P8,"")</f>
        <v/>
      </c>
      <c r="AY8" s="171" t="str">
        <f t="shared" ref="AY8:AY37" si="27">IF($B8="EFF",$S8,"")</f>
        <v/>
      </c>
      <c r="AZ8" s="171" t="str">
        <f t="shared" ref="AZ8:AZ37" si="28">IF($B8="EFF",$T8,"")</f>
        <v/>
      </c>
      <c r="BA8" s="171" t="str">
        <f t="shared" ref="BA8:BA37" si="29">IF($B8="EFF",$U8,"")</f>
        <v/>
      </c>
      <c r="BB8" s="173"/>
      <c r="BC8" s="175" t="str">
        <f>IF($B8=1,$C8,"")</f>
        <v/>
      </c>
      <c r="BD8" s="176" t="str">
        <f>IF($B8=1,$F8,"")</f>
        <v/>
      </c>
      <c r="BE8" s="176" t="str">
        <f t="shared" ref="BE8:BE37" si="30">IF($B8=1,$H8,"")</f>
        <v/>
      </c>
      <c r="BF8" s="171" t="str">
        <f t="shared" ref="BF8:BF37" si="31">IF($B8=1,$N8,"")</f>
        <v/>
      </c>
      <c r="BG8" s="171" t="str">
        <f t="shared" ref="BG8:BG37" si="32">IF($B8=1,$P8,"")</f>
        <v/>
      </c>
      <c r="BH8" s="171" t="str">
        <f t="shared" ref="BH8:BH37" si="33">IF($B8=1,$S8,"")</f>
        <v/>
      </c>
      <c r="BI8" s="171" t="str">
        <f t="shared" ref="BI8:BI37" si="34">IF($B8=1,$T8,"")</f>
        <v/>
      </c>
      <c r="BJ8" s="171" t="str">
        <f t="shared" ref="BJ8:BJ37" si="35">IF($B8=1,$U8,"")</f>
        <v/>
      </c>
      <c r="BK8" s="173"/>
      <c r="BL8" s="175" t="str">
        <f>IF($B8=2,$C8,"")</f>
        <v/>
      </c>
      <c r="BM8" s="176" t="str">
        <f>IF($B8=2,$F8,"")</f>
        <v/>
      </c>
      <c r="BN8" s="176" t="str">
        <f t="shared" ref="BN8:BN37" si="36">IF($B8=2,$H8,"")</f>
        <v/>
      </c>
      <c r="BO8" s="171" t="str">
        <f t="shared" ref="BO8:BO37" si="37">IF($B8=2,$N8,"")</f>
        <v/>
      </c>
      <c r="BP8" s="171" t="str">
        <f t="shared" ref="BP8:BP37" si="38">IF($B8=2,$P8,"")</f>
        <v/>
      </c>
      <c r="BQ8" s="171" t="str">
        <f t="shared" ref="BQ8:BQ37" si="39">IF($B8=2,$S8,"")</f>
        <v/>
      </c>
      <c r="BR8" s="171" t="str">
        <f t="shared" ref="BR8:BR37" si="40">IF($B8=2,$T8,"")</f>
        <v/>
      </c>
      <c r="BS8" s="171" t="str">
        <f t="shared" ref="BS8:BS37" si="41">IF($B8=2,$U8,"")</f>
        <v/>
      </c>
      <c r="BT8" s="173"/>
      <c r="BU8" s="175" t="str">
        <f>IF($B8=3,$C8,"")</f>
        <v/>
      </c>
      <c r="BV8" s="176" t="str">
        <f>IF($B8=3,$F8,"")</f>
        <v/>
      </c>
      <c r="BW8" s="176" t="str">
        <f t="shared" ref="BW8:BW37" si="42">IF($B8=3,$H8,"")</f>
        <v/>
      </c>
      <c r="BX8" s="171" t="str">
        <f t="shared" ref="BX8:BX37" si="43">IF($B8=3,$N8,"")</f>
        <v/>
      </c>
      <c r="BY8" s="171" t="str">
        <f t="shared" ref="BY8:BY37" si="44">IF($B8=3,$P8,"")</f>
        <v/>
      </c>
      <c r="BZ8" s="171" t="str">
        <f t="shared" ref="BZ8:BZ37" si="45">IF($B8=3,$S8,"")</f>
        <v/>
      </c>
      <c r="CA8" s="171" t="str">
        <f t="shared" ref="CA8:CA37" si="46">IF($B8=3,$T8,"")</f>
        <v/>
      </c>
      <c r="CB8" s="171" t="str">
        <f t="shared" ref="CB8:CB37" si="47">IF($B8=3,$U8,"")</f>
        <v/>
      </c>
      <c r="CC8" s="173"/>
      <c r="CD8" s="175" t="str">
        <f>IF($B8=4,$C8,"")</f>
        <v/>
      </c>
      <c r="CE8" s="176" t="str">
        <f>IF($B8=4,$F8,"")</f>
        <v/>
      </c>
      <c r="CF8" s="176" t="str">
        <f t="shared" ref="CF8:CF37" si="48">IF($B8=4,$H8,"")</f>
        <v/>
      </c>
      <c r="CG8" s="171" t="str">
        <f t="shared" ref="CG8:CG37" si="49">IF($B8=4,$N8,"")</f>
        <v/>
      </c>
      <c r="CH8" s="171" t="str">
        <f t="shared" ref="CH8:CH37" si="50">IF($B8=4,$P8,"")</f>
        <v/>
      </c>
      <c r="CI8" s="171" t="str">
        <f t="shared" ref="CI8:CI37" si="51">IF($B8=4,$S8,"")</f>
        <v/>
      </c>
      <c r="CJ8" s="171" t="str">
        <f t="shared" ref="CJ8:CJ37" si="52">IF($B8=4,$T8,"")</f>
        <v/>
      </c>
      <c r="CK8" s="171" t="str">
        <f t="shared" ref="CK8:CK37" si="53">IF($B8=4,$U8,"")</f>
        <v/>
      </c>
      <c r="CL8" s="173"/>
      <c r="CM8" s="175" t="str">
        <f>IF($B8=5,$C8,"")</f>
        <v/>
      </c>
      <c r="CN8" s="176" t="str">
        <f>IF($B8=5,$F8,"")</f>
        <v/>
      </c>
      <c r="CO8" s="176" t="str">
        <f t="shared" ref="CO8:CO37" si="54">IF($B8=5,$H8,"")</f>
        <v/>
      </c>
      <c r="CP8" s="171" t="str">
        <f t="shared" ref="CP8:CP37" si="55">IF($B8=5,$N8,"")</f>
        <v/>
      </c>
      <c r="CQ8" s="171" t="str">
        <f t="shared" ref="CQ8:CQ37" si="56">IF($B8=5,$P8,"")</f>
        <v/>
      </c>
      <c r="CR8" s="171" t="str">
        <f t="shared" ref="CR8:CR37" si="57">IF($B8=5,$S8,"")</f>
        <v/>
      </c>
      <c r="CS8" s="171" t="str">
        <f t="shared" ref="CS8:CS37" si="58">IF($B8=5,$T8,"")</f>
        <v/>
      </c>
      <c r="CT8" s="171" t="str">
        <f t="shared" ref="CT8:CT37" si="59">IF($B8=5,$U8,"")</f>
        <v/>
      </c>
    </row>
    <row r="9" spans="1:137" ht="15.75">
      <c r="B9" s="68"/>
      <c r="C9" s="68"/>
      <c r="D9" s="1402"/>
      <c r="E9" s="68"/>
      <c r="F9" s="83"/>
      <c r="G9" s="1401"/>
      <c r="H9" s="1401"/>
      <c r="I9" s="1520"/>
      <c r="J9" s="1404"/>
      <c r="K9" s="1404"/>
      <c r="L9" s="167">
        <f t="shared" si="0"/>
        <v>0</v>
      </c>
      <c r="M9" s="1403"/>
      <c r="N9" s="174">
        <f t="shared" si="1"/>
        <v>0</v>
      </c>
      <c r="O9" s="84"/>
      <c r="P9" s="167">
        <f t="shared" si="2"/>
        <v>0</v>
      </c>
      <c r="Q9" s="169">
        <f t="shared" si="3"/>
        <v>0</v>
      </c>
      <c r="R9" s="84"/>
      <c r="S9" s="167">
        <f t="shared" si="4"/>
        <v>0</v>
      </c>
      <c r="T9" s="167">
        <f>IF(OR(D9="80% Non-LIHTC",D9="100%",D9="120%",D9="Over 120%", D9=""), 0, IF(D9="80% LIHTC", VLOOKUP(0.8,'00_5_LIHTC Data'!$C$20:$J$26,MATCH('02_1_INCOME'!B9,'00_5_LIHTC Data'!$D$18:$J$18,0)+1,FALSE), VLOOKUP(VALUE(D9),'00_5_LIHTC Data'!$C$20:$J$26,MATCH('02_1_INCOME'!B9,'00_5_LIHTC Data'!$D$18:$J$18,0)+1,FALSE)))</f>
        <v>0</v>
      </c>
      <c r="U9" s="1582">
        <f t="shared" si="5"/>
        <v>0</v>
      </c>
      <c r="V9" s="1579">
        <f t="shared" si="6"/>
        <v>0</v>
      </c>
      <c r="W9" s="1524">
        <f t="shared" si="7"/>
        <v>0</v>
      </c>
      <c r="X9" s="170">
        <f t="shared" si="8"/>
        <v>0</v>
      </c>
      <c r="Y9" s="170">
        <f t="shared" si="9"/>
        <v>0</v>
      </c>
      <c r="Z9" s="170">
        <f t="shared" si="10"/>
        <v>0</v>
      </c>
      <c r="AA9" s="171">
        <f t="shared" si="11"/>
        <v>0</v>
      </c>
      <c r="AB9" s="171">
        <f t="shared" si="12"/>
        <v>0</v>
      </c>
      <c r="AC9" s="160">
        <f t="shared" si="13"/>
        <v>0</v>
      </c>
      <c r="AD9" s="170">
        <f t="shared" si="14"/>
        <v>0</v>
      </c>
      <c r="AE9" s="170">
        <f t="shared" si="15"/>
        <v>0</v>
      </c>
      <c r="AF9" s="170">
        <f t="shared" si="16"/>
        <v>0</v>
      </c>
      <c r="AG9" s="170">
        <f t="shared" si="17"/>
        <v>0</v>
      </c>
      <c r="AH9" s="11">
        <v>1</v>
      </c>
      <c r="AK9" s="175" t="str">
        <f t="shared" ref="AK9:AK37" si="60">IF($B9="SRO",$C9,"")</f>
        <v/>
      </c>
      <c r="AL9" s="175" t="str">
        <f t="shared" ref="AL9:AL37" si="61">IF($B9="SRO",$F9,"")</f>
        <v/>
      </c>
      <c r="AM9" s="175" t="str">
        <f t="shared" si="18"/>
        <v/>
      </c>
      <c r="AN9" s="175" t="str">
        <f t="shared" si="19"/>
        <v/>
      </c>
      <c r="AO9" s="175" t="str">
        <f t="shared" si="20"/>
        <v/>
      </c>
      <c r="AP9" s="175" t="str">
        <f t="shared" si="21"/>
        <v/>
      </c>
      <c r="AQ9" s="175" t="str">
        <f t="shared" si="22"/>
        <v/>
      </c>
      <c r="AR9" s="175" t="str">
        <f t="shared" si="23"/>
        <v/>
      </c>
      <c r="AT9" s="175" t="str">
        <f t="shared" ref="AT9:AT37" si="62">IF($B9="EFF",$C9,"")</f>
        <v/>
      </c>
      <c r="AU9" s="176" t="str">
        <f t="shared" ref="AU9:AU37" si="63">IF($B9="EFF",$F9,"")</f>
        <v/>
      </c>
      <c r="AV9" s="175" t="str">
        <f t="shared" si="24"/>
        <v/>
      </c>
      <c r="AW9" s="171" t="str">
        <f t="shared" si="25"/>
        <v/>
      </c>
      <c r="AX9" s="171" t="str">
        <f t="shared" si="26"/>
        <v/>
      </c>
      <c r="AY9" s="171" t="str">
        <f t="shared" si="27"/>
        <v/>
      </c>
      <c r="AZ9" s="171" t="str">
        <f t="shared" si="28"/>
        <v/>
      </c>
      <c r="BA9" s="171" t="str">
        <f t="shared" si="29"/>
        <v/>
      </c>
      <c r="BB9" s="173"/>
      <c r="BC9" s="175" t="str">
        <f t="shared" ref="BC9:BC37" si="64">IF($B9=1,$C9,"")</f>
        <v/>
      </c>
      <c r="BD9" s="176" t="str">
        <f t="shared" ref="BD9:BD37" si="65">IF($B9=1,$F9,"")</f>
        <v/>
      </c>
      <c r="BE9" s="176" t="str">
        <f t="shared" si="30"/>
        <v/>
      </c>
      <c r="BF9" s="171" t="str">
        <f t="shared" si="31"/>
        <v/>
      </c>
      <c r="BG9" s="171" t="str">
        <f t="shared" si="32"/>
        <v/>
      </c>
      <c r="BH9" s="171" t="str">
        <f t="shared" si="33"/>
        <v/>
      </c>
      <c r="BI9" s="171" t="str">
        <f t="shared" si="34"/>
        <v/>
      </c>
      <c r="BJ9" s="171" t="str">
        <f t="shared" si="35"/>
        <v/>
      </c>
      <c r="BK9" s="173"/>
      <c r="BL9" s="175" t="str">
        <f t="shared" ref="BL9:BL37" si="66">IF($B9=2,$C9,"")</f>
        <v/>
      </c>
      <c r="BM9" s="176" t="str">
        <f t="shared" ref="BM9:BM37" si="67">IF($B9=2,$F9,"")</f>
        <v/>
      </c>
      <c r="BN9" s="176" t="str">
        <f t="shared" si="36"/>
        <v/>
      </c>
      <c r="BO9" s="171" t="str">
        <f t="shared" si="37"/>
        <v/>
      </c>
      <c r="BP9" s="171" t="str">
        <f t="shared" si="38"/>
        <v/>
      </c>
      <c r="BQ9" s="171" t="str">
        <f t="shared" si="39"/>
        <v/>
      </c>
      <c r="BR9" s="171" t="str">
        <f t="shared" si="40"/>
        <v/>
      </c>
      <c r="BS9" s="171" t="str">
        <f t="shared" si="41"/>
        <v/>
      </c>
      <c r="BT9" s="173"/>
      <c r="BU9" s="175" t="str">
        <f t="shared" ref="BU9:BU37" si="68">IF($B9=3,$C9,"")</f>
        <v/>
      </c>
      <c r="BV9" s="176" t="str">
        <f t="shared" ref="BV9:BV37" si="69">IF($B9=3,$F9,"")</f>
        <v/>
      </c>
      <c r="BW9" s="176" t="str">
        <f t="shared" si="42"/>
        <v/>
      </c>
      <c r="BX9" s="171" t="str">
        <f t="shared" si="43"/>
        <v/>
      </c>
      <c r="BY9" s="171" t="str">
        <f t="shared" si="44"/>
        <v/>
      </c>
      <c r="BZ9" s="171" t="str">
        <f t="shared" si="45"/>
        <v/>
      </c>
      <c r="CA9" s="171" t="str">
        <f t="shared" si="46"/>
        <v/>
      </c>
      <c r="CB9" s="171" t="str">
        <f t="shared" si="47"/>
        <v/>
      </c>
      <c r="CC9" s="173"/>
      <c r="CD9" s="175" t="str">
        <f t="shared" ref="CD9:CD37" si="70">IF($B9=4,$C9,"")</f>
        <v/>
      </c>
      <c r="CE9" s="176" t="str">
        <f t="shared" ref="CE9:CE37" si="71">IF($B9=4,$F9,"")</f>
        <v/>
      </c>
      <c r="CF9" s="176" t="str">
        <f t="shared" si="48"/>
        <v/>
      </c>
      <c r="CG9" s="171" t="str">
        <f t="shared" si="49"/>
        <v/>
      </c>
      <c r="CH9" s="171" t="str">
        <f t="shared" si="50"/>
        <v/>
      </c>
      <c r="CI9" s="171" t="str">
        <f t="shared" si="51"/>
        <v/>
      </c>
      <c r="CJ9" s="171" t="str">
        <f t="shared" si="52"/>
        <v/>
      </c>
      <c r="CK9" s="171" t="str">
        <f t="shared" si="53"/>
        <v/>
      </c>
      <c r="CL9" s="173"/>
      <c r="CM9" s="175" t="str">
        <f t="shared" ref="CM9:CM37" si="72">IF($B9=5,$C9,"")</f>
        <v/>
      </c>
      <c r="CN9" s="176" t="str">
        <f t="shared" ref="CN9:CN37" si="73">IF($B9=5,$F9,"")</f>
        <v/>
      </c>
      <c r="CO9" s="176" t="str">
        <f t="shared" si="54"/>
        <v/>
      </c>
      <c r="CP9" s="171" t="str">
        <f t="shared" si="55"/>
        <v/>
      </c>
      <c r="CQ9" s="171" t="str">
        <f t="shared" si="56"/>
        <v/>
      </c>
      <c r="CR9" s="171" t="str">
        <f t="shared" si="57"/>
        <v/>
      </c>
      <c r="CS9" s="171" t="str">
        <f t="shared" si="58"/>
        <v/>
      </c>
      <c r="CT9" s="171" t="str">
        <f t="shared" si="59"/>
        <v/>
      </c>
    </row>
    <row r="10" spans="1:137" ht="15.75">
      <c r="B10" s="68"/>
      <c r="C10" s="68"/>
      <c r="D10" s="1402"/>
      <c r="E10" s="68"/>
      <c r="F10" s="83"/>
      <c r="G10" s="1401"/>
      <c r="H10" s="1401"/>
      <c r="I10" s="1520"/>
      <c r="J10" s="1404"/>
      <c r="K10" s="1404"/>
      <c r="L10" s="167">
        <f t="shared" si="0"/>
        <v>0</v>
      </c>
      <c r="M10" s="1403"/>
      <c r="N10" s="174">
        <f t="shared" si="1"/>
        <v>0</v>
      </c>
      <c r="O10" s="84"/>
      <c r="P10" s="167">
        <f t="shared" si="2"/>
        <v>0</v>
      </c>
      <c r="Q10" s="169">
        <f t="shared" si="3"/>
        <v>0</v>
      </c>
      <c r="R10" s="84"/>
      <c r="S10" s="167">
        <f t="shared" si="4"/>
        <v>0</v>
      </c>
      <c r="T10" s="167">
        <f>IF(OR(D10="80% Non-LIHTC",D10="100%",D10="120%",D10="Over 120%", D10=""), 0, IF(D10="80% LIHTC", VLOOKUP(0.8,'00_5_LIHTC Data'!$C$20:$J$26,MATCH('02_1_INCOME'!B10,'00_5_LIHTC Data'!$D$18:$J$18,0)+1,FALSE), VLOOKUP(VALUE(D10),'00_5_LIHTC Data'!$C$20:$J$26,MATCH('02_1_INCOME'!B10,'00_5_LIHTC Data'!$D$18:$J$18,0)+1,FALSE)))</f>
        <v>0</v>
      </c>
      <c r="U10" s="1582">
        <f t="shared" si="5"/>
        <v>0</v>
      </c>
      <c r="V10" s="1579">
        <f t="shared" si="6"/>
        <v>0</v>
      </c>
      <c r="W10" s="1524">
        <f t="shared" si="7"/>
        <v>0</v>
      </c>
      <c r="X10" s="170">
        <f t="shared" si="8"/>
        <v>0</v>
      </c>
      <c r="Y10" s="170">
        <f t="shared" si="9"/>
        <v>0</v>
      </c>
      <c r="Z10" s="170">
        <f t="shared" si="10"/>
        <v>0</v>
      </c>
      <c r="AA10" s="171">
        <f t="shared" si="11"/>
        <v>0</v>
      </c>
      <c r="AB10" s="171">
        <f t="shared" si="12"/>
        <v>0</v>
      </c>
      <c r="AC10" s="160">
        <f t="shared" si="13"/>
        <v>0</v>
      </c>
      <c r="AD10" s="170">
        <f t="shared" si="14"/>
        <v>0</v>
      </c>
      <c r="AE10" s="170">
        <f t="shared" si="15"/>
        <v>0</v>
      </c>
      <c r="AF10" s="170">
        <f t="shared" si="16"/>
        <v>0</v>
      </c>
      <c r="AG10" s="170">
        <f t="shared" si="17"/>
        <v>0</v>
      </c>
      <c r="AH10" s="11">
        <f>AH9+1</f>
        <v>2</v>
      </c>
      <c r="AK10" s="175" t="str">
        <f t="shared" si="60"/>
        <v/>
      </c>
      <c r="AL10" s="175" t="str">
        <f t="shared" si="61"/>
        <v/>
      </c>
      <c r="AM10" s="175" t="str">
        <f t="shared" si="18"/>
        <v/>
      </c>
      <c r="AN10" s="175" t="str">
        <f t="shared" si="19"/>
        <v/>
      </c>
      <c r="AO10" s="175" t="str">
        <f t="shared" si="20"/>
        <v/>
      </c>
      <c r="AP10" s="175" t="str">
        <f t="shared" si="21"/>
        <v/>
      </c>
      <c r="AQ10" s="175" t="str">
        <f t="shared" si="22"/>
        <v/>
      </c>
      <c r="AR10" s="175" t="str">
        <f t="shared" si="23"/>
        <v/>
      </c>
      <c r="AT10" s="175" t="str">
        <f t="shared" si="62"/>
        <v/>
      </c>
      <c r="AU10" s="176" t="str">
        <f t="shared" si="63"/>
        <v/>
      </c>
      <c r="AV10" s="175" t="str">
        <f t="shared" si="24"/>
        <v/>
      </c>
      <c r="AW10" s="171" t="str">
        <f t="shared" si="25"/>
        <v/>
      </c>
      <c r="AX10" s="171" t="str">
        <f t="shared" si="26"/>
        <v/>
      </c>
      <c r="AY10" s="171" t="str">
        <f t="shared" si="27"/>
        <v/>
      </c>
      <c r="AZ10" s="171" t="str">
        <f t="shared" si="28"/>
        <v/>
      </c>
      <c r="BA10" s="171" t="str">
        <f t="shared" si="29"/>
        <v/>
      </c>
      <c r="BB10" s="173"/>
      <c r="BC10" s="175" t="str">
        <f t="shared" si="64"/>
        <v/>
      </c>
      <c r="BD10" s="176" t="str">
        <f t="shared" si="65"/>
        <v/>
      </c>
      <c r="BE10" s="176" t="str">
        <f t="shared" si="30"/>
        <v/>
      </c>
      <c r="BF10" s="171" t="str">
        <f t="shared" si="31"/>
        <v/>
      </c>
      <c r="BG10" s="171" t="str">
        <f t="shared" si="32"/>
        <v/>
      </c>
      <c r="BH10" s="171" t="str">
        <f t="shared" si="33"/>
        <v/>
      </c>
      <c r="BI10" s="171" t="str">
        <f t="shared" si="34"/>
        <v/>
      </c>
      <c r="BJ10" s="171" t="str">
        <f t="shared" si="35"/>
        <v/>
      </c>
      <c r="BK10" s="173"/>
      <c r="BL10" s="175" t="str">
        <f t="shared" si="66"/>
        <v/>
      </c>
      <c r="BM10" s="176" t="str">
        <f t="shared" si="67"/>
        <v/>
      </c>
      <c r="BN10" s="176" t="str">
        <f t="shared" si="36"/>
        <v/>
      </c>
      <c r="BO10" s="171" t="str">
        <f t="shared" si="37"/>
        <v/>
      </c>
      <c r="BP10" s="171" t="str">
        <f t="shared" si="38"/>
        <v/>
      </c>
      <c r="BQ10" s="171" t="str">
        <f t="shared" si="39"/>
        <v/>
      </c>
      <c r="BR10" s="171" t="str">
        <f t="shared" si="40"/>
        <v/>
      </c>
      <c r="BS10" s="171" t="str">
        <f t="shared" si="41"/>
        <v/>
      </c>
      <c r="BT10" s="173"/>
      <c r="BU10" s="175" t="str">
        <f t="shared" si="68"/>
        <v/>
      </c>
      <c r="BV10" s="176" t="str">
        <f t="shared" si="69"/>
        <v/>
      </c>
      <c r="BW10" s="176" t="str">
        <f t="shared" si="42"/>
        <v/>
      </c>
      <c r="BX10" s="171" t="str">
        <f t="shared" si="43"/>
        <v/>
      </c>
      <c r="BY10" s="171" t="str">
        <f t="shared" si="44"/>
        <v/>
      </c>
      <c r="BZ10" s="171" t="str">
        <f t="shared" si="45"/>
        <v/>
      </c>
      <c r="CA10" s="171" t="str">
        <f t="shared" si="46"/>
        <v/>
      </c>
      <c r="CB10" s="171" t="str">
        <f t="shared" si="47"/>
        <v/>
      </c>
      <c r="CC10" s="173"/>
      <c r="CD10" s="175" t="str">
        <f t="shared" si="70"/>
        <v/>
      </c>
      <c r="CE10" s="176" t="str">
        <f t="shared" si="71"/>
        <v/>
      </c>
      <c r="CF10" s="176" t="str">
        <f t="shared" si="48"/>
        <v/>
      </c>
      <c r="CG10" s="171" t="str">
        <f t="shared" si="49"/>
        <v/>
      </c>
      <c r="CH10" s="171" t="str">
        <f t="shared" si="50"/>
        <v/>
      </c>
      <c r="CI10" s="171" t="str">
        <f t="shared" si="51"/>
        <v/>
      </c>
      <c r="CJ10" s="171" t="str">
        <f t="shared" si="52"/>
        <v/>
      </c>
      <c r="CK10" s="171" t="str">
        <f t="shared" si="53"/>
        <v/>
      </c>
      <c r="CL10" s="173"/>
      <c r="CM10" s="175" t="str">
        <f t="shared" si="72"/>
        <v/>
      </c>
      <c r="CN10" s="176" t="str">
        <f t="shared" si="73"/>
        <v/>
      </c>
      <c r="CO10" s="176" t="str">
        <f t="shared" si="54"/>
        <v/>
      </c>
      <c r="CP10" s="171" t="str">
        <f t="shared" si="55"/>
        <v/>
      </c>
      <c r="CQ10" s="171" t="str">
        <f t="shared" si="56"/>
        <v/>
      </c>
      <c r="CR10" s="171" t="str">
        <f t="shared" si="57"/>
        <v/>
      </c>
      <c r="CS10" s="171" t="str">
        <f t="shared" si="58"/>
        <v/>
      </c>
      <c r="CT10" s="171" t="str">
        <f t="shared" si="59"/>
        <v/>
      </c>
    </row>
    <row r="11" spans="1:137" ht="15.75">
      <c r="B11" s="68"/>
      <c r="C11" s="68"/>
      <c r="D11" s="1402"/>
      <c r="E11" s="68"/>
      <c r="F11" s="83"/>
      <c r="G11" s="1401"/>
      <c r="H11" s="1401"/>
      <c r="I11" s="1520"/>
      <c r="J11" s="1404"/>
      <c r="K11" s="1404"/>
      <c r="L11" s="167">
        <f t="shared" si="0"/>
        <v>0</v>
      </c>
      <c r="M11" s="1403"/>
      <c r="N11" s="174">
        <f t="shared" si="1"/>
        <v>0</v>
      </c>
      <c r="O11" s="84"/>
      <c r="P11" s="167">
        <f t="shared" si="2"/>
        <v>0</v>
      </c>
      <c r="Q11" s="169">
        <f t="shared" si="3"/>
        <v>0</v>
      </c>
      <c r="R11" s="84"/>
      <c r="S11" s="167">
        <f t="shared" si="4"/>
        <v>0</v>
      </c>
      <c r="T11" s="167">
        <f>IF(OR(D11="80% Non-LIHTC",D11="100%",D11="120%",D11="Over 120%", D11=""), 0, IF(D11="80% LIHTC", VLOOKUP(0.8,'00_5_LIHTC Data'!$C$20:$J$26,MATCH('02_1_INCOME'!B11,'00_5_LIHTC Data'!$D$18:$J$18,0)+1,FALSE), VLOOKUP(VALUE(D11),'00_5_LIHTC Data'!$C$20:$J$26,MATCH('02_1_INCOME'!B11,'00_5_LIHTC Data'!$D$18:$J$18,0)+1,FALSE)))</f>
        <v>0</v>
      </c>
      <c r="U11" s="1582">
        <f t="shared" si="5"/>
        <v>0</v>
      </c>
      <c r="V11" s="1579">
        <f t="shared" si="6"/>
        <v>0</v>
      </c>
      <c r="W11" s="1524">
        <f t="shared" si="7"/>
        <v>0</v>
      </c>
      <c r="X11" s="170">
        <f t="shared" si="8"/>
        <v>0</v>
      </c>
      <c r="Y11" s="170">
        <f t="shared" si="9"/>
        <v>0</v>
      </c>
      <c r="Z11" s="170">
        <f t="shared" si="10"/>
        <v>0</v>
      </c>
      <c r="AA11" s="171">
        <f t="shared" si="11"/>
        <v>0</v>
      </c>
      <c r="AB11" s="171">
        <f t="shared" si="12"/>
        <v>0</v>
      </c>
      <c r="AC11" s="160">
        <f t="shared" si="13"/>
        <v>0</v>
      </c>
      <c r="AD11" s="170">
        <f t="shared" si="14"/>
        <v>0</v>
      </c>
      <c r="AE11" s="170">
        <f t="shared" si="15"/>
        <v>0</v>
      </c>
      <c r="AF11" s="170">
        <f t="shared" si="16"/>
        <v>0</v>
      </c>
      <c r="AG11" s="170">
        <f t="shared" si="17"/>
        <v>0</v>
      </c>
      <c r="AH11" s="11">
        <f t="shared" ref="AH11:AH38" si="74">AH10+1</f>
        <v>3</v>
      </c>
      <c r="AK11" s="175" t="str">
        <f t="shared" si="60"/>
        <v/>
      </c>
      <c r="AL11" s="175" t="str">
        <f t="shared" si="61"/>
        <v/>
      </c>
      <c r="AM11" s="175" t="str">
        <f t="shared" si="18"/>
        <v/>
      </c>
      <c r="AN11" s="175" t="str">
        <f t="shared" si="19"/>
        <v/>
      </c>
      <c r="AO11" s="175" t="str">
        <f t="shared" si="20"/>
        <v/>
      </c>
      <c r="AP11" s="175" t="str">
        <f t="shared" si="21"/>
        <v/>
      </c>
      <c r="AQ11" s="175" t="str">
        <f t="shared" si="22"/>
        <v/>
      </c>
      <c r="AR11" s="175" t="str">
        <f t="shared" si="23"/>
        <v/>
      </c>
      <c r="AT11" s="175" t="str">
        <f t="shared" si="62"/>
        <v/>
      </c>
      <c r="AU11" s="176" t="str">
        <f t="shared" si="63"/>
        <v/>
      </c>
      <c r="AV11" s="175" t="str">
        <f t="shared" si="24"/>
        <v/>
      </c>
      <c r="AW11" s="171" t="str">
        <f t="shared" si="25"/>
        <v/>
      </c>
      <c r="AX11" s="171" t="str">
        <f t="shared" si="26"/>
        <v/>
      </c>
      <c r="AY11" s="171" t="str">
        <f t="shared" si="27"/>
        <v/>
      </c>
      <c r="AZ11" s="171" t="str">
        <f t="shared" si="28"/>
        <v/>
      </c>
      <c r="BA11" s="171" t="str">
        <f t="shared" si="29"/>
        <v/>
      </c>
      <c r="BB11" s="173"/>
      <c r="BC11" s="175" t="str">
        <f t="shared" si="64"/>
        <v/>
      </c>
      <c r="BD11" s="176" t="str">
        <f t="shared" si="65"/>
        <v/>
      </c>
      <c r="BE11" s="176" t="str">
        <f t="shared" si="30"/>
        <v/>
      </c>
      <c r="BF11" s="171" t="str">
        <f t="shared" si="31"/>
        <v/>
      </c>
      <c r="BG11" s="171" t="str">
        <f t="shared" si="32"/>
        <v/>
      </c>
      <c r="BH11" s="171" t="str">
        <f t="shared" si="33"/>
        <v/>
      </c>
      <c r="BI11" s="171" t="str">
        <f t="shared" si="34"/>
        <v/>
      </c>
      <c r="BJ11" s="171" t="str">
        <f t="shared" si="35"/>
        <v/>
      </c>
      <c r="BK11" s="173"/>
      <c r="BL11" s="175" t="str">
        <f t="shared" si="66"/>
        <v/>
      </c>
      <c r="BM11" s="176" t="str">
        <f t="shared" si="67"/>
        <v/>
      </c>
      <c r="BN11" s="176" t="str">
        <f t="shared" si="36"/>
        <v/>
      </c>
      <c r="BO11" s="171" t="str">
        <f t="shared" si="37"/>
        <v/>
      </c>
      <c r="BP11" s="171" t="str">
        <f t="shared" si="38"/>
        <v/>
      </c>
      <c r="BQ11" s="171" t="str">
        <f t="shared" si="39"/>
        <v/>
      </c>
      <c r="BR11" s="171" t="str">
        <f t="shared" si="40"/>
        <v/>
      </c>
      <c r="BS11" s="171" t="str">
        <f t="shared" si="41"/>
        <v/>
      </c>
      <c r="BT11" s="173"/>
      <c r="BU11" s="175" t="str">
        <f t="shared" si="68"/>
        <v/>
      </c>
      <c r="BV11" s="176" t="str">
        <f t="shared" si="69"/>
        <v/>
      </c>
      <c r="BW11" s="176" t="str">
        <f t="shared" si="42"/>
        <v/>
      </c>
      <c r="BX11" s="171" t="str">
        <f t="shared" si="43"/>
        <v/>
      </c>
      <c r="BY11" s="171" t="str">
        <f t="shared" si="44"/>
        <v/>
      </c>
      <c r="BZ11" s="171" t="str">
        <f t="shared" si="45"/>
        <v/>
      </c>
      <c r="CA11" s="171" t="str">
        <f t="shared" si="46"/>
        <v/>
      </c>
      <c r="CB11" s="171" t="str">
        <f t="shared" si="47"/>
        <v/>
      </c>
      <c r="CC11" s="173"/>
      <c r="CD11" s="175" t="str">
        <f t="shared" si="70"/>
        <v/>
      </c>
      <c r="CE11" s="176" t="str">
        <f t="shared" si="71"/>
        <v/>
      </c>
      <c r="CF11" s="176" t="str">
        <f t="shared" si="48"/>
        <v/>
      </c>
      <c r="CG11" s="171" t="str">
        <f t="shared" si="49"/>
        <v/>
      </c>
      <c r="CH11" s="171" t="str">
        <f t="shared" si="50"/>
        <v/>
      </c>
      <c r="CI11" s="171" t="str">
        <f t="shared" si="51"/>
        <v/>
      </c>
      <c r="CJ11" s="171" t="str">
        <f t="shared" si="52"/>
        <v/>
      </c>
      <c r="CK11" s="171" t="str">
        <f t="shared" si="53"/>
        <v/>
      </c>
      <c r="CL11" s="173"/>
      <c r="CM11" s="175" t="str">
        <f t="shared" si="72"/>
        <v/>
      </c>
      <c r="CN11" s="176" t="str">
        <f t="shared" si="73"/>
        <v/>
      </c>
      <c r="CO11" s="176" t="str">
        <f t="shared" si="54"/>
        <v/>
      </c>
      <c r="CP11" s="171" t="str">
        <f t="shared" si="55"/>
        <v/>
      </c>
      <c r="CQ11" s="171" t="str">
        <f t="shared" si="56"/>
        <v/>
      </c>
      <c r="CR11" s="171" t="str">
        <f t="shared" si="57"/>
        <v/>
      </c>
      <c r="CS11" s="171" t="str">
        <f t="shared" si="58"/>
        <v/>
      </c>
      <c r="CT11" s="171" t="str">
        <f t="shared" si="59"/>
        <v/>
      </c>
    </row>
    <row r="12" spans="1:137" ht="15.75">
      <c r="B12" s="68"/>
      <c r="C12" s="68"/>
      <c r="D12" s="1402"/>
      <c r="E12" s="68"/>
      <c r="F12" s="83"/>
      <c r="G12" s="1401"/>
      <c r="H12" s="1401"/>
      <c r="I12" s="1520"/>
      <c r="J12" s="1404"/>
      <c r="K12" s="1404"/>
      <c r="L12" s="167">
        <f t="shared" si="0"/>
        <v>0</v>
      </c>
      <c r="M12" s="1403"/>
      <c r="N12" s="174">
        <f t="shared" si="1"/>
        <v>0</v>
      </c>
      <c r="O12" s="84"/>
      <c r="P12" s="167">
        <f t="shared" si="2"/>
        <v>0</v>
      </c>
      <c r="Q12" s="169">
        <f t="shared" si="3"/>
        <v>0</v>
      </c>
      <c r="R12" s="84"/>
      <c r="S12" s="167">
        <f t="shared" si="4"/>
        <v>0</v>
      </c>
      <c r="T12" s="167">
        <f>IF(OR(D12="80% Non-LIHTC",D12="100%",D12="120%",D12="Over 120%", D12=""), 0, IF(D12="80% LIHTC", VLOOKUP(0.8,'00_5_LIHTC Data'!$C$20:$J$26,MATCH('02_1_INCOME'!B12,'00_5_LIHTC Data'!$D$18:$J$18,0)+1,FALSE), VLOOKUP(VALUE(D12),'00_5_LIHTC Data'!$C$20:$J$26,MATCH('02_1_INCOME'!B12,'00_5_LIHTC Data'!$D$18:$J$18,0)+1,FALSE)))</f>
        <v>0</v>
      </c>
      <c r="U12" s="1582">
        <f t="shared" si="5"/>
        <v>0</v>
      </c>
      <c r="V12" s="1579">
        <f t="shared" si="6"/>
        <v>0</v>
      </c>
      <c r="W12" s="1524">
        <f t="shared" si="7"/>
        <v>0</v>
      </c>
      <c r="X12" s="170">
        <f t="shared" si="8"/>
        <v>0</v>
      </c>
      <c r="Y12" s="170">
        <f t="shared" si="9"/>
        <v>0</v>
      </c>
      <c r="Z12" s="170">
        <f t="shared" si="10"/>
        <v>0</v>
      </c>
      <c r="AA12" s="171">
        <f t="shared" si="11"/>
        <v>0</v>
      </c>
      <c r="AB12" s="171">
        <f t="shared" si="12"/>
        <v>0</v>
      </c>
      <c r="AC12" s="160">
        <f t="shared" si="13"/>
        <v>0</v>
      </c>
      <c r="AD12" s="170">
        <f t="shared" si="14"/>
        <v>0</v>
      </c>
      <c r="AE12" s="170">
        <f t="shared" si="15"/>
        <v>0</v>
      </c>
      <c r="AF12" s="170">
        <f t="shared" si="16"/>
        <v>0</v>
      </c>
      <c r="AG12" s="170">
        <f t="shared" si="17"/>
        <v>0</v>
      </c>
      <c r="AH12" s="11">
        <f t="shared" si="74"/>
        <v>4</v>
      </c>
      <c r="AK12" s="175" t="str">
        <f t="shared" si="60"/>
        <v/>
      </c>
      <c r="AL12" s="175" t="str">
        <f t="shared" si="61"/>
        <v/>
      </c>
      <c r="AM12" s="175" t="str">
        <f t="shared" si="18"/>
        <v/>
      </c>
      <c r="AN12" s="175" t="str">
        <f t="shared" si="19"/>
        <v/>
      </c>
      <c r="AO12" s="175" t="str">
        <f t="shared" si="20"/>
        <v/>
      </c>
      <c r="AP12" s="175" t="str">
        <f t="shared" si="21"/>
        <v/>
      </c>
      <c r="AQ12" s="175" t="str">
        <f t="shared" si="22"/>
        <v/>
      </c>
      <c r="AR12" s="175" t="str">
        <f t="shared" si="23"/>
        <v/>
      </c>
      <c r="AT12" s="175" t="str">
        <f t="shared" si="62"/>
        <v/>
      </c>
      <c r="AU12" s="176" t="str">
        <f t="shared" si="63"/>
        <v/>
      </c>
      <c r="AV12" s="175" t="str">
        <f t="shared" si="24"/>
        <v/>
      </c>
      <c r="AW12" s="171" t="str">
        <f t="shared" si="25"/>
        <v/>
      </c>
      <c r="AX12" s="171" t="str">
        <f t="shared" si="26"/>
        <v/>
      </c>
      <c r="AY12" s="171" t="str">
        <f t="shared" si="27"/>
        <v/>
      </c>
      <c r="AZ12" s="171" t="str">
        <f t="shared" si="28"/>
        <v/>
      </c>
      <c r="BA12" s="171" t="str">
        <f t="shared" si="29"/>
        <v/>
      </c>
      <c r="BB12" s="173"/>
      <c r="BC12" s="175" t="str">
        <f t="shared" si="64"/>
        <v/>
      </c>
      <c r="BD12" s="176" t="str">
        <f t="shared" si="65"/>
        <v/>
      </c>
      <c r="BE12" s="176" t="str">
        <f t="shared" si="30"/>
        <v/>
      </c>
      <c r="BF12" s="171" t="str">
        <f t="shared" si="31"/>
        <v/>
      </c>
      <c r="BG12" s="171" t="str">
        <f t="shared" si="32"/>
        <v/>
      </c>
      <c r="BH12" s="171" t="str">
        <f t="shared" si="33"/>
        <v/>
      </c>
      <c r="BI12" s="171" t="str">
        <f t="shared" si="34"/>
        <v/>
      </c>
      <c r="BJ12" s="171" t="str">
        <f t="shared" si="35"/>
        <v/>
      </c>
      <c r="BK12" s="173"/>
      <c r="BL12" s="175" t="str">
        <f t="shared" si="66"/>
        <v/>
      </c>
      <c r="BM12" s="176" t="str">
        <f t="shared" si="67"/>
        <v/>
      </c>
      <c r="BN12" s="176" t="str">
        <f t="shared" si="36"/>
        <v/>
      </c>
      <c r="BO12" s="171" t="str">
        <f t="shared" si="37"/>
        <v/>
      </c>
      <c r="BP12" s="171" t="str">
        <f t="shared" si="38"/>
        <v/>
      </c>
      <c r="BQ12" s="171" t="str">
        <f t="shared" si="39"/>
        <v/>
      </c>
      <c r="BR12" s="171" t="str">
        <f t="shared" si="40"/>
        <v/>
      </c>
      <c r="BS12" s="171" t="str">
        <f t="shared" si="41"/>
        <v/>
      </c>
      <c r="BT12" s="173"/>
      <c r="BU12" s="175" t="str">
        <f t="shared" si="68"/>
        <v/>
      </c>
      <c r="BV12" s="176" t="str">
        <f t="shared" si="69"/>
        <v/>
      </c>
      <c r="BW12" s="176" t="str">
        <f t="shared" si="42"/>
        <v/>
      </c>
      <c r="BX12" s="171" t="str">
        <f t="shared" si="43"/>
        <v/>
      </c>
      <c r="BY12" s="171" t="str">
        <f t="shared" si="44"/>
        <v/>
      </c>
      <c r="BZ12" s="171" t="str">
        <f t="shared" si="45"/>
        <v/>
      </c>
      <c r="CA12" s="171" t="str">
        <f t="shared" si="46"/>
        <v/>
      </c>
      <c r="CB12" s="171" t="str">
        <f t="shared" si="47"/>
        <v/>
      </c>
      <c r="CC12" s="173"/>
      <c r="CD12" s="175" t="str">
        <f t="shared" si="70"/>
        <v/>
      </c>
      <c r="CE12" s="176" t="str">
        <f t="shared" si="71"/>
        <v/>
      </c>
      <c r="CF12" s="176" t="str">
        <f t="shared" si="48"/>
        <v/>
      </c>
      <c r="CG12" s="171" t="str">
        <f t="shared" si="49"/>
        <v/>
      </c>
      <c r="CH12" s="171" t="str">
        <f t="shared" si="50"/>
        <v/>
      </c>
      <c r="CI12" s="171" t="str">
        <f t="shared" si="51"/>
        <v/>
      </c>
      <c r="CJ12" s="171" t="str">
        <f t="shared" si="52"/>
        <v/>
      </c>
      <c r="CK12" s="171" t="str">
        <f t="shared" si="53"/>
        <v/>
      </c>
      <c r="CL12" s="173"/>
      <c r="CM12" s="175" t="str">
        <f t="shared" si="72"/>
        <v/>
      </c>
      <c r="CN12" s="176" t="str">
        <f t="shared" si="73"/>
        <v/>
      </c>
      <c r="CO12" s="176" t="str">
        <f t="shared" si="54"/>
        <v/>
      </c>
      <c r="CP12" s="171" t="str">
        <f t="shared" si="55"/>
        <v/>
      </c>
      <c r="CQ12" s="171" t="str">
        <f t="shared" si="56"/>
        <v/>
      </c>
      <c r="CR12" s="171" t="str">
        <f t="shared" si="57"/>
        <v/>
      </c>
      <c r="CS12" s="171" t="str">
        <f t="shared" si="58"/>
        <v/>
      </c>
      <c r="CT12" s="171" t="str">
        <f t="shared" si="59"/>
        <v/>
      </c>
    </row>
    <row r="13" spans="1:137" ht="15.75">
      <c r="B13" s="68"/>
      <c r="C13" s="68"/>
      <c r="D13" s="1402"/>
      <c r="E13" s="68"/>
      <c r="F13" s="83"/>
      <c r="G13" s="1401"/>
      <c r="H13" s="1401"/>
      <c r="I13" s="1520"/>
      <c r="J13" s="1404"/>
      <c r="K13" s="1404"/>
      <c r="L13" s="167">
        <f t="shared" si="0"/>
        <v>0</v>
      </c>
      <c r="M13" s="1403"/>
      <c r="N13" s="174">
        <f t="shared" si="1"/>
        <v>0</v>
      </c>
      <c r="O13" s="84"/>
      <c r="P13" s="167">
        <f t="shared" si="2"/>
        <v>0</v>
      </c>
      <c r="Q13" s="169">
        <f t="shared" si="3"/>
        <v>0</v>
      </c>
      <c r="R13" s="84"/>
      <c r="S13" s="167">
        <f t="shared" si="4"/>
        <v>0</v>
      </c>
      <c r="T13" s="167">
        <f>IF(OR(D13="80% Non-LIHTC",D13="100%",D13="120%",D13="Over 120%", D13=""), 0, IF(D13="80% LIHTC", VLOOKUP(0.8,'00_5_LIHTC Data'!$C$20:$J$26,MATCH('02_1_INCOME'!B13,'00_5_LIHTC Data'!$D$18:$J$18,0)+1,FALSE), VLOOKUP(VALUE(D13),'00_5_LIHTC Data'!$C$20:$J$26,MATCH('02_1_INCOME'!B13,'00_5_LIHTC Data'!$D$18:$J$18,0)+1,FALSE)))</f>
        <v>0</v>
      </c>
      <c r="U13" s="1582">
        <f t="shared" si="5"/>
        <v>0</v>
      </c>
      <c r="V13" s="1579">
        <f t="shared" si="6"/>
        <v>0</v>
      </c>
      <c r="W13" s="1524">
        <f t="shared" si="7"/>
        <v>0</v>
      </c>
      <c r="X13" s="170">
        <f t="shared" si="8"/>
        <v>0</v>
      </c>
      <c r="Y13" s="170">
        <f t="shared" si="9"/>
        <v>0</v>
      </c>
      <c r="Z13" s="170">
        <f t="shared" si="10"/>
        <v>0</v>
      </c>
      <c r="AA13" s="171">
        <f t="shared" si="11"/>
        <v>0</v>
      </c>
      <c r="AB13" s="171">
        <f t="shared" si="12"/>
        <v>0</v>
      </c>
      <c r="AC13" s="160">
        <f t="shared" si="13"/>
        <v>0</v>
      </c>
      <c r="AD13" s="170">
        <f t="shared" si="14"/>
        <v>0</v>
      </c>
      <c r="AE13" s="170">
        <f t="shared" si="15"/>
        <v>0</v>
      </c>
      <c r="AF13" s="170">
        <f t="shared" si="16"/>
        <v>0</v>
      </c>
      <c r="AG13" s="170">
        <f t="shared" si="17"/>
        <v>0</v>
      </c>
      <c r="AH13" s="11">
        <f t="shared" si="74"/>
        <v>5</v>
      </c>
      <c r="AK13" s="175" t="str">
        <f t="shared" si="60"/>
        <v/>
      </c>
      <c r="AL13" s="175" t="str">
        <f t="shared" si="61"/>
        <v/>
      </c>
      <c r="AM13" s="175" t="str">
        <f t="shared" si="18"/>
        <v/>
      </c>
      <c r="AN13" s="175" t="str">
        <f t="shared" si="19"/>
        <v/>
      </c>
      <c r="AO13" s="175" t="str">
        <f t="shared" si="20"/>
        <v/>
      </c>
      <c r="AP13" s="175" t="str">
        <f t="shared" si="21"/>
        <v/>
      </c>
      <c r="AQ13" s="175" t="str">
        <f t="shared" si="22"/>
        <v/>
      </c>
      <c r="AR13" s="175" t="str">
        <f t="shared" si="23"/>
        <v/>
      </c>
      <c r="AT13" s="175" t="str">
        <f t="shared" si="62"/>
        <v/>
      </c>
      <c r="AU13" s="176" t="str">
        <f t="shared" si="63"/>
        <v/>
      </c>
      <c r="AV13" s="175" t="str">
        <f t="shared" si="24"/>
        <v/>
      </c>
      <c r="AW13" s="171" t="str">
        <f t="shared" si="25"/>
        <v/>
      </c>
      <c r="AX13" s="171" t="str">
        <f t="shared" si="26"/>
        <v/>
      </c>
      <c r="AY13" s="171" t="str">
        <f t="shared" si="27"/>
        <v/>
      </c>
      <c r="AZ13" s="171" t="str">
        <f t="shared" si="28"/>
        <v/>
      </c>
      <c r="BA13" s="171" t="str">
        <f t="shared" si="29"/>
        <v/>
      </c>
      <c r="BB13" s="173"/>
      <c r="BC13" s="175" t="str">
        <f t="shared" si="64"/>
        <v/>
      </c>
      <c r="BD13" s="176" t="str">
        <f t="shared" si="65"/>
        <v/>
      </c>
      <c r="BE13" s="176" t="str">
        <f t="shared" si="30"/>
        <v/>
      </c>
      <c r="BF13" s="171" t="str">
        <f t="shared" si="31"/>
        <v/>
      </c>
      <c r="BG13" s="171" t="str">
        <f t="shared" si="32"/>
        <v/>
      </c>
      <c r="BH13" s="171" t="str">
        <f t="shared" si="33"/>
        <v/>
      </c>
      <c r="BI13" s="171" t="str">
        <f t="shared" si="34"/>
        <v/>
      </c>
      <c r="BJ13" s="171" t="str">
        <f t="shared" si="35"/>
        <v/>
      </c>
      <c r="BK13" s="173"/>
      <c r="BL13" s="175" t="str">
        <f t="shared" si="66"/>
        <v/>
      </c>
      <c r="BM13" s="176" t="str">
        <f t="shared" si="67"/>
        <v/>
      </c>
      <c r="BN13" s="176" t="str">
        <f t="shared" si="36"/>
        <v/>
      </c>
      <c r="BO13" s="171" t="str">
        <f t="shared" si="37"/>
        <v/>
      </c>
      <c r="BP13" s="171" t="str">
        <f t="shared" si="38"/>
        <v/>
      </c>
      <c r="BQ13" s="171" t="str">
        <f t="shared" si="39"/>
        <v/>
      </c>
      <c r="BR13" s="171" t="str">
        <f t="shared" si="40"/>
        <v/>
      </c>
      <c r="BS13" s="171" t="str">
        <f t="shared" si="41"/>
        <v/>
      </c>
      <c r="BT13" s="173"/>
      <c r="BU13" s="175" t="str">
        <f t="shared" si="68"/>
        <v/>
      </c>
      <c r="BV13" s="176" t="str">
        <f t="shared" si="69"/>
        <v/>
      </c>
      <c r="BW13" s="176" t="str">
        <f t="shared" si="42"/>
        <v/>
      </c>
      <c r="BX13" s="171" t="str">
        <f t="shared" si="43"/>
        <v/>
      </c>
      <c r="BY13" s="171" t="str">
        <f t="shared" si="44"/>
        <v/>
      </c>
      <c r="BZ13" s="171" t="str">
        <f t="shared" si="45"/>
        <v/>
      </c>
      <c r="CA13" s="171" t="str">
        <f t="shared" si="46"/>
        <v/>
      </c>
      <c r="CB13" s="171" t="str">
        <f t="shared" si="47"/>
        <v/>
      </c>
      <c r="CC13" s="173"/>
      <c r="CD13" s="175" t="str">
        <f t="shared" si="70"/>
        <v/>
      </c>
      <c r="CE13" s="176" t="str">
        <f t="shared" si="71"/>
        <v/>
      </c>
      <c r="CF13" s="176" t="str">
        <f t="shared" si="48"/>
        <v/>
      </c>
      <c r="CG13" s="171" t="str">
        <f t="shared" si="49"/>
        <v/>
      </c>
      <c r="CH13" s="171" t="str">
        <f t="shared" si="50"/>
        <v/>
      </c>
      <c r="CI13" s="171" t="str">
        <f t="shared" si="51"/>
        <v/>
      </c>
      <c r="CJ13" s="171" t="str">
        <f t="shared" si="52"/>
        <v/>
      </c>
      <c r="CK13" s="171" t="str">
        <f t="shared" si="53"/>
        <v/>
      </c>
      <c r="CL13" s="173"/>
      <c r="CM13" s="175" t="str">
        <f t="shared" si="72"/>
        <v/>
      </c>
      <c r="CN13" s="176" t="str">
        <f t="shared" si="73"/>
        <v/>
      </c>
      <c r="CO13" s="176" t="str">
        <f t="shared" si="54"/>
        <v/>
      </c>
      <c r="CP13" s="171" t="str">
        <f t="shared" si="55"/>
        <v/>
      </c>
      <c r="CQ13" s="171" t="str">
        <f t="shared" si="56"/>
        <v/>
      </c>
      <c r="CR13" s="171" t="str">
        <f t="shared" si="57"/>
        <v/>
      </c>
      <c r="CS13" s="171" t="str">
        <f t="shared" si="58"/>
        <v/>
      </c>
      <c r="CT13" s="171" t="str">
        <f t="shared" si="59"/>
        <v/>
      </c>
    </row>
    <row r="14" spans="1:137" ht="15.75">
      <c r="B14" s="68"/>
      <c r="C14" s="68"/>
      <c r="D14" s="1402"/>
      <c r="E14" s="68"/>
      <c r="F14" s="83"/>
      <c r="G14" s="1401"/>
      <c r="H14" s="1401"/>
      <c r="I14" s="1520"/>
      <c r="J14" s="1404"/>
      <c r="K14" s="1404"/>
      <c r="L14" s="167">
        <f t="shared" si="0"/>
        <v>0</v>
      </c>
      <c r="M14" s="1403"/>
      <c r="N14" s="174">
        <f t="shared" si="1"/>
        <v>0</v>
      </c>
      <c r="O14" s="84"/>
      <c r="P14" s="167">
        <f t="shared" si="2"/>
        <v>0</v>
      </c>
      <c r="Q14" s="169">
        <f t="shared" si="3"/>
        <v>0</v>
      </c>
      <c r="R14" s="84"/>
      <c r="S14" s="167">
        <f t="shared" si="4"/>
        <v>0</v>
      </c>
      <c r="T14" s="167">
        <f>IF(OR(D14="80% Non-LIHTC",D14="100%",D14="120%",D14="Over 120%", D14=""), 0, IF(D14="80% LIHTC", VLOOKUP(0.8,'00_5_LIHTC Data'!$C$20:$J$26,MATCH('02_1_INCOME'!B14,'00_5_LIHTC Data'!$D$18:$J$18,0)+1,FALSE), VLOOKUP(VALUE(D14),'00_5_LIHTC Data'!$C$20:$J$26,MATCH('02_1_INCOME'!B14,'00_5_LIHTC Data'!$D$18:$J$18,0)+1,FALSE)))</f>
        <v>0</v>
      </c>
      <c r="U14" s="1582">
        <f t="shared" si="5"/>
        <v>0</v>
      </c>
      <c r="V14" s="1579">
        <f t="shared" si="6"/>
        <v>0</v>
      </c>
      <c r="W14" s="1524">
        <f t="shared" si="7"/>
        <v>0</v>
      </c>
      <c r="X14" s="170">
        <f t="shared" si="8"/>
        <v>0</v>
      </c>
      <c r="Y14" s="170">
        <f t="shared" si="9"/>
        <v>0</v>
      </c>
      <c r="Z14" s="170">
        <f t="shared" si="10"/>
        <v>0</v>
      </c>
      <c r="AA14" s="171">
        <f t="shared" si="11"/>
        <v>0</v>
      </c>
      <c r="AB14" s="171">
        <f t="shared" si="12"/>
        <v>0</v>
      </c>
      <c r="AC14" s="160">
        <f t="shared" si="13"/>
        <v>0</v>
      </c>
      <c r="AD14" s="170">
        <f t="shared" si="14"/>
        <v>0</v>
      </c>
      <c r="AE14" s="170">
        <f t="shared" si="15"/>
        <v>0</v>
      </c>
      <c r="AF14" s="170">
        <f t="shared" si="16"/>
        <v>0</v>
      </c>
      <c r="AG14" s="170">
        <f t="shared" si="17"/>
        <v>0</v>
      </c>
      <c r="AH14" s="11">
        <f t="shared" si="74"/>
        <v>6</v>
      </c>
      <c r="AK14" s="175" t="str">
        <f t="shared" si="60"/>
        <v/>
      </c>
      <c r="AL14" s="175" t="str">
        <f t="shared" si="61"/>
        <v/>
      </c>
      <c r="AM14" s="175" t="str">
        <f t="shared" si="18"/>
        <v/>
      </c>
      <c r="AN14" s="175" t="str">
        <f t="shared" si="19"/>
        <v/>
      </c>
      <c r="AO14" s="175" t="str">
        <f t="shared" si="20"/>
        <v/>
      </c>
      <c r="AP14" s="175" t="str">
        <f t="shared" si="21"/>
        <v/>
      </c>
      <c r="AQ14" s="175" t="str">
        <f t="shared" si="22"/>
        <v/>
      </c>
      <c r="AR14" s="175" t="str">
        <f t="shared" si="23"/>
        <v/>
      </c>
      <c r="AT14" s="175" t="str">
        <f t="shared" si="62"/>
        <v/>
      </c>
      <c r="AU14" s="176" t="str">
        <f t="shared" si="63"/>
        <v/>
      </c>
      <c r="AV14" s="175" t="str">
        <f t="shared" si="24"/>
        <v/>
      </c>
      <c r="AW14" s="171" t="str">
        <f t="shared" si="25"/>
        <v/>
      </c>
      <c r="AX14" s="171" t="str">
        <f t="shared" si="26"/>
        <v/>
      </c>
      <c r="AY14" s="171" t="str">
        <f t="shared" si="27"/>
        <v/>
      </c>
      <c r="AZ14" s="171" t="str">
        <f t="shared" si="28"/>
        <v/>
      </c>
      <c r="BA14" s="171" t="str">
        <f t="shared" si="29"/>
        <v/>
      </c>
      <c r="BB14" s="173"/>
      <c r="BC14" s="175" t="str">
        <f t="shared" si="64"/>
        <v/>
      </c>
      <c r="BD14" s="176" t="str">
        <f t="shared" si="65"/>
        <v/>
      </c>
      <c r="BE14" s="176" t="str">
        <f t="shared" si="30"/>
        <v/>
      </c>
      <c r="BF14" s="171" t="str">
        <f t="shared" si="31"/>
        <v/>
      </c>
      <c r="BG14" s="171" t="str">
        <f t="shared" si="32"/>
        <v/>
      </c>
      <c r="BH14" s="171" t="str">
        <f t="shared" si="33"/>
        <v/>
      </c>
      <c r="BI14" s="171" t="str">
        <f t="shared" si="34"/>
        <v/>
      </c>
      <c r="BJ14" s="171" t="str">
        <f t="shared" si="35"/>
        <v/>
      </c>
      <c r="BK14" s="173"/>
      <c r="BL14" s="175" t="str">
        <f t="shared" si="66"/>
        <v/>
      </c>
      <c r="BM14" s="176" t="str">
        <f t="shared" si="67"/>
        <v/>
      </c>
      <c r="BN14" s="176" t="str">
        <f t="shared" si="36"/>
        <v/>
      </c>
      <c r="BO14" s="171" t="str">
        <f t="shared" si="37"/>
        <v/>
      </c>
      <c r="BP14" s="171" t="str">
        <f t="shared" si="38"/>
        <v/>
      </c>
      <c r="BQ14" s="171" t="str">
        <f t="shared" si="39"/>
        <v/>
      </c>
      <c r="BR14" s="171" t="str">
        <f t="shared" si="40"/>
        <v/>
      </c>
      <c r="BS14" s="171" t="str">
        <f t="shared" si="41"/>
        <v/>
      </c>
      <c r="BT14" s="173"/>
      <c r="BU14" s="175" t="str">
        <f t="shared" si="68"/>
        <v/>
      </c>
      <c r="BV14" s="176" t="str">
        <f t="shared" si="69"/>
        <v/>
      </c>
      <c r="BW14" s="176" t="str">
        <f t="shared" si="42"/>
        <v/>
      </c>
      <c r="BX14" s="171" t="str">
        <f t="shared" si="43"/>
        <v/>
      </c>
      <c r="BY14" s="171" t="str">
        <f t="shared" si="44"/>
        <v/>
      </c>
      <c r="BZ14" s="171" t="str">
        <f t="shared" si="45"/>
        <v/>
      </c>
      <c r="CA14" s="171" t="str">
        <f t="shared" si="46"/>
        <v/>
      </c>
      <c r="CB14" s="171" t="str">
        <f t="shared" si="47"/>
        <v/>
      </c>
      <c r="CC14" s="173"/>
      <c r="CD14" s="175" t="str">
        <f t="shared" si="70"/>
        <v/>
      </c>
      <c r="CE14" s="176" t="str">
        <f t="shared" si="71"/>
        <v/>
      </c>
      <c r="CF14" s="176" t="str">
        <f t="shared" si="48"/>
        <v/>
      </c>
      <c r="CG14" s="171" t="str">
        <f t="shared" si="49"/>
        <v/>
      </c>
      <c r="CH14" s="171" t="str">
        <f t="shared" si="50"/>
        <v/>
      </c>
      <c r="CI14" s="171" t="str">
        <f t="shared" si="51"/>
        <v/>
      </c>
      <c r="CJ14" s="171" t="str">
        <f t="shared" si="52"/>
        <v/>
      </c>
      <c r="CK14" s="171" t="str">
        <f t="shared" si="53"/>
        <v/>
      </c>
      <c r="CL14" s="173"/>
      <c r="CM14" s="175" t="str">
        <f t="shared" si="72"/>
        <v/>
      </c>
      <c r="CN14" s="176" t="str">
        <f t="shared" si="73"/>
        <v/>
      </c>
      <c r="CO14" s="176" t="str">
        <f t="shared" si="54"/>
        <v/>
      </c>
      <c r="CP14" s="171" t="str">
        <f t="shared" si="55"/>
        <v/>
      </c>
      <c r="CQ14" s="171" t="str">
        <f t="shared" si="56"/>
        <v/>
      </c>
      <c r="CR14" s="171" t="str">
        <f t="shared" si="57"/>
        <v/>
      </c>
      <c r="CS14" s="171" t="str">
        <f t="shared" si="58"/>
        <v/>
      </c>
      <c r="CT14" s="171" t="str">
        <f t="shared" si="59"/>
        <v/>
      </c>
    </row>
    <row r="15" spans="1:137" ht="15.75">
      <c r="B15" s="68"/>
      <c r="C15" s="68"/>
      <c r="D15" s="1402"/>
      <c r="E15" s="68"/>
      <c r="F15" s="83"/>
      <c r="G15" s="1401"/>
      <c r="H15" s="1401"/>
      <c r="I15" s="1520"/>
      <c r="J15" s="1404"/>
      <c r="K15" s="1404"/>
      <c r="L15" s="167">
        <f t="shared" si="0"/>
        <v>0</v>
      </c>
      <c r="M15" s="1403"/>
      <c r="N15" s="174">
        <f t="shared" si="1"/>
        <v>0</v>
      </c>
      <c r="O15" s="84"/>
      <c r="P15" s="167">
        <f t="shared" si="2"/>
        <v>0</v>
      </c>
      <c r="Q15" s="169">
        <f t="shared" si="3"/>
        <v>0</v>
      </c>
      <c r="R15" s="84"/>
      <c r="S15" s="167">
        <f t="shared" si="4"/>
        <v>0</v>
      </c>
      <c r="T15" s="167">
        <f>IF(OR(D15="80% Non-LIHTC",D15="100%",D15="120%",D15="Over 120%", D15=""), 0, IF(D15="80% LIHTC", VLOOKUP(0.8,'00_5_LIHTC Data'!$C$20:$J$26,MATCH('02_1_INCOME'!B15,'00_5_LIHTC Data'!$D$18:$J$18,0)+1,FALSE), VLOOKUP(VALUE(D15),'00_5_LIHTC Data'!$C$20:$J$26,MATCH('02_1_INCOME'!B15,'00_5_LIHTC Data'!$D$18:$J$18,0)+1,FALSE)))</f>
        <v>0</v>
      </c>
      <c r="U15" s="1582">
        <f t="shared" si="5"/>
        <v>0</v>
      </c>
      <c r="V15" s="1579">
        <f t="shared" si="6"/>
        <v>0</v>
      </c>
      <c r="W15" s="1524">
        <f t="shared" si="7"/>
        <v>0</v>
      </c>
      <c r="X15" s="170">
        <f t="shared" si="8"/>
        <v>0</v>
      </c>
      <c r="Y15" s="170">
        <f t="shared" si="9"/>
        <v>0</v>
      </c>
      <c r="Z15" s="170">
        <f t="shared" si="10"/>
        <v>0</v>
      </c>
      <c r="AA15" s="171">
        <f t="shared" si="11"/>
        <v>0</v>
      </c>
      <c r="AB15" s="171">
        <f t="shared" si="12"/>
        <v>0</v>
      </c>
      <c r="AC15" s="160">
        <f t="shared" si="13"/>
        <v>0</v>
      </c>
      <c r="AD15" s="170">
        <f t="shared" si="14"/>
        <v>0</v>
      </c>
      <c r="AE15" s="170">
        <f t="shared" si="15"/>
        <v>0</v>
      </c>
      <c r="AF15" s="170">
        <f t="shared" si="16"/>
        <v>0</v>
      </c>
      <c r="AG15" s="170">
        <f t="shared" si="17"/>
        <v>0</v>
      </c>
      <c r="AH15" s="11">
        <f t="shared" si="74"/>
        <v>7</v>
      </c>
      <c r="AK15" s="175" t="str">
        <f t="shared" si="60"/>
        <v/>
      </c>
      <c r="AL15" s="175" t="str">
        <f t="shared" si="61"/>
        <v/>
      </c>
      <c r="AM15" s="175" t="str">
        <f t="shared" si="18"/>
        <v/>
      </c>
      <c r="AN15" s="175" t="str">
        <f t="shared" si="19"/>
        <v/>
      </c>
      <c r="AO15" s="175" t="str">
        <f t="shared" si="20"/>
        <v/>
      </c>
      <c r="AP15" s="175" t="str">
        <f t="shared" si="21"/>
        <v/>
      </c>
      <c r="AQ15" s="175" t="str">
        <f t="shared" si="22"/>
        <v/>
      </c>
      <c r="AR15" s="175" t="str">
        <f t="shared" si="23"/>
        <v/>
      </c>
      <c r="AT15" s="175" t="str">
        <f t="shared" si="62"/>
        <v/>
      </c>
      <c r="AU15" s="176" t="str">
        <f t="shared" si="63"/>
        <v/>
      </c>
      <c r="AV15" s="175" t="str">
        <f t="shared" si="24"/>
        <v/>
      </c>
      <c r="AW15" s="171" t="str">
        <f t="shared" si="25"/>
        <v/>
      </c>
      <c r="AX15" s="171" t="str">
        <f t="shared" si="26"/>
        <v/>
      </c>
      <c r="AY15" s="171" t="str">
        <f t="shared" si="27"/>
        <v/>
      </c>
      <c r="AZ15" s="171" t="str">
        <f t="shared" si="28"/>
        <v/>
      </c>
      <c r="BA15" s="171" t="str">
        <f t="shared" si="29"/>
        <v/>
      </c>
      <c r="BB15" s="173"/>
      <c r="BC15" s="175" t="str">
        <f t="shared" si="64"/>
        <v/>
      </c>
      <c r="BD15" s="176" t="str">
        <f t="shared" si="65"/>
        <v/>
      </c>
      <c r="BE15" s="176" t="str">
        <f t="shared" si="30"/>
        <v/>
      </c>
      <c r="BF15" s="171" t="str">
        <f t="shared" si="31"/>
        <v/>
      </c>
      <c r="BG15" s="171" t="str">
        <f t="shared" si="32"/>
        <v/>
      </c>
      <c r="BH15" s="171" t="str">
        <f t="shared" si="33"/>
        <v/>
      </c>
      <c r="BI15" s="171" t="str">
        <f t="shared" si="34"/>
        <v/>
      </c>
      <c r="BJ15" s="171" t="str">
        <f t="shared" si="35"/>
        <v/>
      </c>
      <c r="BK15" s="173"/>
      <c r="BL15" s="175" t="str">
        <f t="shared" si="66"/>
        <v/>
      </c>
      <c r="BM15" s="176" t="str">
        <f t="shared" si="67"/>
        <v/>
      </c>
      <c r="BN15" s="176" t="str">
        <f t="shared" si="36"/>
        <v/>
      </c>
      <c r="BO15" s="171" t="str">
        <f t="shared" si="37"/>
        <v/>
      </c>
      <c r="BP15" s="171" t="str">
        <f t="shared" si="38"/>
        <v/>
      </c>
      <c r="BQ15" s="171" t="str">
        <f t="shared" si="39"/>
        <v/>
      </c>
      <c r="BR15" s="171" t="str">
        <f t="shared" si="40"/>
        <v/>
      </c>
      <c r="BS15" s="171" t="str">
        <f t="shared" si="41"/>
        <v/>
      </c>
      <c r="BT15" s="173"/>
      <c r="BU15" s="175" t="str">
        <f t="shared" si="68"/>
        <v/>
      </c>
      <c r="BV15" s="176" t="str">
        <f t="shared" si="69"/>
        <v/>
      </c>
      <c r="BW15" s="176" t="str">
        <f t="shared" si="42"/>
        <v/>
      </c>
      <c r="BX15" s="171" t="str">
        <f t="shared" si="43"/>
        <v/>
      </c>
      <c r="BY15" s="171" t="str">
        <f t="shared" si="44"/>
        <v/>
      </c>
      <c r="BZ15" s="171" t="str">
        <f t="shared" si="45"/>
        <v/>
      </c>
      <c r="CA15" s="171" t="str">
        <f t="shared" si="46"/>
        <v/>
      </c>
      <c r="CB15" s="171" t="str">
        <f t="shared" si="47"/>
        <v/>
      </c>
      <c r="CC15" s="173"/>
      <c r="CD15" s="175" t="str">
        <f t="shared" si="70"/>
        <v/>
      </c>
      <c r="CE15" s="176" t="str">
        <f t="shared" si="71"/>
        <v/>
      </c>
      <c r="CF15" s="176" t="str">
        <f t="shared" si="48"/>
        <v/>
      </c>
      <c r="CG15" s="171" t="str">
        <f t="shared" si="49"/>
        <v/>
      </c>
      <c r="CH15" s="171" t="str">
        <f t="shared" si="50"/>
        <v/>
      </c>
      <c r="CI15" s="171" t="str">
        <f t="shared" si="51"/>
        <v/>
      </c>
      <c r="CJ15" s="171" t="str">
        <f t="shared" si="52"/>
        <v/>
      </c>
      <c r="CK15" s="171" t="str">
        <f t="shared" si="53"/>
        <v/>
      </c>
      <c r="CL15" s="173"/>
      <c r="CM15" s="175" t="str">
        <f t="shared" si="72"/>
        <v/>
      </c>
      <c r="CN15" s="176" t="str">
        <f t="shared" si="73"/>
        <v/>
      </c>
      <c r="CO15" s="176" t="str">
        <f t="shared" si="54"/>
        <v/>
      </c>
      <c r="CP15" s="171" t="str">
        <f t="shared" si="55"/>
        <v/>
      </c>
      <c r="CQ15" s="171" t="str">
        <f t="shared" si="56"/>
        <v/>
      </c>
      <c r="CR15" s="171" t="str">
        <f t="shared" si="57"/>
        <v/>
      </c>
      <c r="CS15" s="171" t="str">
        <f t="shared" si="58"/>
        <v/>
      </c>
      <c r="CT15" s="171" t="str">
        <f t="shared" si="59"/>
        <v/>
      </c>
    </row>
    <row r="16" spans="1:137" ht="15.75">
      <c r="B16" s="68"/>
      <c r="C16" s="68"/>
      <c r="D16" s="1402"/>
      <c r="E16" s="68"/>
      <c r="F16" s="83"/>
      <c r="G16" s="1401"/>
      <c r="H16" s="1401"/>
      <c r="I16" s="1520"/>
      <c r="J16" s="1404"/>
      <c r="K16" s="1404"/>
      <c r="L16" s="167">
        <f t="shared" si="0"/>
        <v>0</v>
      </c>
      <c r="M16" s="1403"/>
      <c r="N16" s="174">
        <f t="shared" si="1"/>
        <v>0</v>
      </c>
      <c r="O16" s="84"/>
      <c r="P16" s="167">
        <f t="shared" si="2"/>
        <v>0</v>
      </c>
      <c r="Q16" s="169">
        <f t="shared" si="3"/>
        <v>0</v>
      </c>
      <c r="R16" s="84"/>
      <c r="S16" s="167">
        <f t="shared" si="4"/>
        <v>0</v>
      </c>
      <c r="T16" s="167">
        <f>IF(OR(D16="80% Non-LIHTC",D16="100%",D16="120%",D16="Over 120%", D16=""), 0, IF(D16="80% LIHTC", VLOOKUP(0.8,'00_5_LIHTC Data'!$C$20:$J$26,MATCH('02_1_INCOME'!B16,'00_5_LIHTC Data'!$D$18:$J$18,0)+1,FALSE), VLOOKUP(VALUE(D16),'00_5_LIHTC Data'!$C$20:$J$26,MATCH('02_1_INCOME'!B16,'00_5_LIHTC Data'!$D$18:$J$18,0)+1,FALSE)))</f>
        <v>0</v>
      </c>
      <c r="U16" s="1582">
        <f t="shared" si="5"/>
        <v>0</v>
      </c>
      <c r="V16" s="1579">
        <f t="shared" si="6"/>
        <v>0</v>
      </c>
      <c r="W16" s="1524">
        <f t="shared" si="7"/>
        <v>0</v>
      </c>
      <c r="X16" s="170">
        <f t="shared" si="8"/>
        <v>0</v>
      </c>
      <c r="Y16" s="170">
        <f t="shared" si="9"/>
        <v>0</v>
      </c>
      <c r="Z16" s="170">
        <f t="shared" si="10"/>
        <v>0</v>
      </c>
      <c r="AA16" s="171">
        <f t="shared" si="11"/>
        <v>0</v>
      </c>
      <c r="AB16" s="171">
        <f t="shared" si="12"/>
        <v>0</v>
      </c>
      <c r="AC16" s="160">
        <f t="shared" si="13"/>
        <v>0</v>
      </c>
      <c r="AD16" s="170">
        <f t="shared" si="14"/>
        <v>0</v>
      </c>
      <c r="AE16" s="170">
        <f t="shared" si="15"/>
        <v>0</v>
      </c>
      <c r="AF16" s="170">
        <f t="shared" si="16"/>
        <v>0</v>
      </c>
      <c r="AG16" s="170">
        <f t="shared" si="17"/>
        <v>0</v>
      </c>
      <c r="AH16" s="11">
        <f t="shared" si="74"/>
        <v>8</v>
      </c>
      <c r="AK16" s="175" t="str">
        <f t="shared" si="60"/>
        <v/>
      </c>
      <c r="AL16" s="175" t="str">
        <f t="shared" si="61"/>
        <v/>
      </c>
      <c r="AM16" s="175" t="str">
        <f t="shared" si="18"/>
        <v/>
      </c>
      <c r="AN16" s="175" t="str">
        <f t="shared" si="19"/>
        <v/>
      </c>
      <c r="AO16" s="175" t="str">
        <f t="shared" si="20"/>
        <v/>
      </c>
      <c r="AP16" s="175" t="str">
        <f t="shared" si="21"/>
        <v/>
      </c>
      <c r="AQ16" s="175" t="str">
        <f t="shared" si="22"/>
        <v/>
      </c>
      <c r="AR16" s="175" t="str">
        <f t="shared" si="23"/>
        <v/>
      </c>
      <c r="AT16" s="175" t="str">
        <f t="shared" si="62"/>
        <v/>
      </c>
      <c r="AU16" s="176" t="str">
        <f t="shared" si="63"/>
        <v/>
      </c>
      <c r="AV16" s="175" t="str">
        <f t="shared" si="24"/>
        <v/>
      </c>
      <c r="AW16" s="171" t="str">
        <f t="shared" si="25"/>
        <v/>
      </c>
      <c r="AX16" s="171" t="str">
        <f t="shared" si="26"/>
        <v/>
      </c>
      <c r="AY16" s="171" t="str">
        <f t="shared" si="27"/>
        <v/>
      </c>
      <c r="AZ16" s="171" t="str">
        <f t="shared" si="28"/>
        <v/>
      </c>
      <c r="BA16" s="171" t="str">
        <f t="shared" si="29"/>
        <v/>
      </c>
      <c r="BB16" s="173"/>
      <c r="BC16" s="175" t="str">
        <f t="shared" si="64"/>
        <v/>
      </c>
      <c r="BD16" s="176" t="str">
        <f t="shared" si="65"/>
        <v/>
      </c>
      <c r="BE16" s="176" t="str">
        <f t="shared" si="30"/>
        <v/>
      </c>
      <c r="BF16" s="171" t="str">
        <f t="shared" si="31"/>
        <v/>
      </c>
      <c r="BG16" s="171" t="str">
        <f t="shared" si="32"/>
        <v/>
      </c>
      <c r="BH16" s="171" t="str">
        <f t="shared" si="33"/>
        <v/>
      </c>
      <c r="BI16" s="171" t="str">
        <f t="shared" si="34"/>
        <v/>
      </c>
      <c r="BJ16" s="171" t="str">
        <f t="shared" si="35"/>
        <v/>
      </c>
      <c r="BK16" s="173"/>
      <c r="BL16" s="175" t="str">
        <f t="shared" si="66"/>
        <v/>
      </c>
      <c r="BM16" s="176" t="str">
        <f t="shared" si="67"/>
        <v/>
      </c>
      <c r="BN16" s="176" t="str">
        <f t="shared" si="36"/>
        <v/>
      </c>
      <c r="BO16" s="171" t="str">
        <f t="shared" si="37"/>
        <v/>
      </c>
      <c r="BP16" s="171" t="str">
        <f t="shared" si="38"/>
        <v/>
      </c>
      <c r="BQ16" s="171" t="str">
        <f t="shared" si="39"/>
        <v/>
      </c>
      <c r="BR16" s="171" t="str">
        <f t="shared" si="40"/>
        <v/>
      </c>
      <c r="BS16" s="171" t="str">
        <f t="shared" si="41"/>
        <v/>
      </c>
      <c r="BT16" s="173"/>
      <c r="BU16" s="175" t="str">
        <f t="shared" si="68"/>
        <v/>
      </c>
      <c r="BV16" s="176" t="str">
        <f t="shared" si="69"/>
        <v/>
      </c>
      <c r="BW16" s="176" t="str">
        <f t="shared" si="42"/>
        <v/>
      </c>
      <c r="BX16" s="171" t="str">
        <f t="shared" si="43"/>
        <v/>
      </c>
      <c r="BY16" s="171" t="str">
        <f t="shared" si="44"/>
        <v/>
      </c>
      <c r="BZ16" s="171" t="str">
        <f t="shared" si="45"/>
        <v/>
      </c>
      <c r="CA16" s="171" t="str">
        <f t="shared" si="46"/>
        <v/>
      </c>
      <c r="CB16" s="171" t="str">
        <f t="shared" si="47"/>
        <v/>
      </c>
      <c r="CC16" s="173"/>
      <c r="CD16" s="175" t="str">
        <f t="shared" si="70"/>
        <v/>
      </c>
      <c r="CE16" s="176" t="str">
        <f t="shared" si="71"/>
        <v/>
      </c>
      <c r="CF16" s="176" t="str">
        <f t="shared" si="48"/>
        <v/>
      </c>
      <c r="CG16" s="171" t="str">
        <f t="shared" si="49"/>
        <v/>
      </c>
      <c r="CH16" s="171" t="str">
        <f t="shared" si="50"/>
        <v/>
      </c>
      <c r="CI16" s="171" t="str">
        <f t="shared" si="51"/>
        <v/>
      </c>
      <c r="CJ16" s="171" t="str">
        <f t="shared" si="52"/>
        <v/>
      </c>
      <c r="CK16" s="171" t="str">
        <f t="shared" si="53"/>
        <v/>
      </c>
      <c r="CL16" s="173"/>
      <c r="CM16" s="175" t="str">
        <f t="shared" si="72"/>
        <v/>
      </c>
      <c r="CN16" s="176" t="str">
        <f t="shared" si="73"/>
        <v/>
      </c>
      <c r="CO16" s="176" t="str">
        <f t="shared" si="54"/>
        <v/>
      </c>
      <c r="CP16" s="171" t="str">
        <f t="shared" si="55"/>
        <v/>
      </c>
      <c r="CQ16" s="171" t="str">
        <f t="shared" si="56"/>
        <v/>
      </c>
      <c r="CR16" s="171" t="str">
        <f t="shared" si="57"/>
        <v/>
      </c>
      <c r="CS16" s="171" t="str">
        <f t="shared" si="58"/>
        <v/>
      </c>
      <c r="CT16" s="171" t="str">
        <f t="shared" si="59"/>
        <v/>
      </c>
    </row>
    <row r="17" spans="2:98" ht="16.5" thickBot="1">
      <c r="B17" s="68"/>
      <c r="C17" s="68"/>
      <c r="D17" s="1402"/>
      <c r="E17" s="68"/>
      <c r="F17" s="83"/>
      <c r="G17" s="1401"/>
      <c r="H17" s="1401"/>
      <c r="I17" s="1520"/>
      <c r="J17" s="1404"/>
      <c r="K17" s="1404"/>
      <c r="L17" s="167">
        <f t="shared" si="0"/>
        <v>0</v>
      </c>
      <c r="M17" s="1403"/>
      <c r="N17" s="174">
        <f t="shared" si="1"/>
        <v>0</v>
      </c>
      <c r="O17" s="84"/>
      <c r="P17" s="167">
        <f t="shared" si="2"/>
        <v>0</v>
      </c>
      <c r="Q17" s="169">
        <f t="shared" si="3"/>
        <v>0</v>
      </c>
      <c r="R17" s="84"/>
      <c r="S17" s="167">
        <f t="shared" si="4"/>
        <v>0</v>
      </c>
      <c r="T17" s="167">
        <f>IF(OR(D17="80% Non-LIHTC",D17="100%",D17="120%",D17="Over 120%", D17=""), 0, IF(D17="80% LIHTC", VLOOKUP(0.8,'00_5_LIHTC Data'!$C$20:$J$26,MATCH('02_1_INCOME'!B17,'00_5_LIHTC Data'!$D$18:$J$18,0)+1,FALSE), VLOOKUP(VALUE(D17),'00_5_LIHTC Data'!$C$20:$J$26,MATCH('02_1_INCOME'!B17,'00_5_LIHTC Data'!$D$18:$J$18,0)+1,FALSE)))</f>
        <v>0</v>
      </c>
      <c r="U17" s="1582">
        <f t="shared" si="5"/>
        <v>0</v>
      </c>
      <c r="V17" s="1579">
        <f t="shared" si="6"/>
        <v>0</v>
      </c>
      <c r="W17" s="1524">
        <f t="shared" si="7"/>
        <v>0</v>
      </c>
      <c r="X17" s="170">
        <f t="shared" si="8"/>
        <v>0</v>
      </c>
      <c r="Y17" s="170">
        <f t="shared" si="9"/>
        <v>0</v>
      </c>
      <c r="Z17" s="170">
        <f t="shared" si="10"/>
        <v>0</v>
      </c>
      <c r="AA17" s="171">
        <f t="shared" si="11"/>
        <v>0</v>
      </c>
      <c r="AB17" s="171">
        <f t="shared" si="12"/>
        <v>0</v>
      </c>
      <c r="AC17" s="160">
        <f t="shared" si="13"/>
        <v>0</v>
      </c>
      <c r="AD17" s="170">
        <f t="shared" si="14"/>
        <v>0</v>
      </c>
      <c r="AE17" s="170">
        <f t="shared" si="15"/>
        <v>0</v>
      </c>
      <c r="AF17" s="170">
        <f t="shared" si="16"/>
        <v>0</v>
      </c>
      <c r="AG17" s="170">
        <f t="shared" si="17"/>
        <v>0</v>
      </c>
      <c r="AH17" s="11">
        <f t="shared" si="74"/>
        <v>9</v>
      </c>
      <c r="AK17" s="175" t="str">
        <f t="shared" si="60"/>
        <v/>
      </c>
      <c r="AL17" s="175" t="str">
        <f t="shared" si="61"/>
        <v/>
      </c>
      <c r="AM17" s="175" t="str">
        <f t="shared" si="18"/>
        <v/>
      </c>
      <c r="AN17" s="175" t="str">
        <f t="shared" si="19"/>
        <v/>
      </c>
      <c r="AO17" s="175" t="str">
        <f t="shared" si="20"/>
        <v/>
      </c>
      <c r="AP17" s="175" t="str">
        <f t="shared" si="21"/>
        <v/>
      </c>
      <c r="AQ17" s="175" t="str">
        <f t="shared" si="22"/>
        <v/>
      </c>
      <c r="AR17" s="175" t="str">
        <f t="shared" si="23"/>
        <v/>
      </c>
      <c r="AT17" s="175" t="str">
        <f t="shared" si="62"/>
        <v/>
      </c>
      <c r="AU17" s="176" t="str">
        <f t="shared" si="63"/>
        <v/>
      </c>
      <c r="AV17" s="175" t="str">
        <f t="shared" si="24"/>
        <v/>
      </c>
      <c r="AW17" s="171" t="str">
        <f t="shared" si="25"/>
        <v/>
      </c>
      <c r="AX17" s="171" t="str">
        <f t="shared" si="26"/>
        <v/>
      </c>
      <c r="AY17" s="171" t="str">
        <f t="shared" si="27"/>
        <v/>
      </c>
      <c r="AZ17" s="171" t="str">
        <f t="shared" si="28"/>
        <v/>
      </c>
      <c r="BA17" s="171" t="str">
        <f t="shared" si="29"/>
        <v/>
      </c>
      <c r="BB17" s="173"/>
      <c r="BC17" s="175" t="str">
        <f t="shared" si="64"/>
        <v/>
      </c>
      <c r="BD17" s="176" t="str">
        <f t="shared" si="65"/>
        <v/>
      </c>
      <c r="BE17" s="176" t="str">
        <f t="shared" si="30"/>
        <v/>
      </c>
      <c r="BF17" s="171" t="str">
        <f t="shared" si="31"/>
        <v/>
      </c>
      <c r="BG17" s="171" t="str">
        <f t="shared" si="32"/>
        <v/>
      </c>
      <c r="BH17" s="171" t="str">
        <f t="shared" si="33"/>
        <v/>
      </c>
      <c r="BI17" s="171" t="str">
        <f t="shared" si="34"/>
        <v/>
      </c>
      <c r="BJ17" s="171" t="str">
        <f t="shared" si="35"/>
        <v/>
      </c>
      <c r="BK17" s="173"/>
      <c r="BL17" s="175" t="str">
        <f t="shared" si="66"/>
        <v/>
      </c>
      <c r="BM17" s="176" t="str">
        <f t="shared" si="67"/>
        <v/>
      </c>
      <c r="BN17" s="176" t="str">
        <f t="shared" si="36"/>
        <v/>
      </c>
      <c r="BO17" s="171" t="str">
        <f t="shared" si="37"/>
        <v/>
      </c>
      <c r="BP17" s="171" t="str">
        <f t="shared" si="38"/>
        <v/>
      </c>
      <c r="BQ17" s="171" t="str">
        <f t="shared" si="39"/>
        <v/>
      </c>
      <c r="BR17" s="171" t="str">
        <f t="shared" si="40"/>
        <v/>
      </c>
      <c r="BS17" s="171" t="str">
        <f t="shared" si="41"/>
        <v/>
      </c>
      <c r="BT17" s="173"/>
      <c r="BU17" s="175" t="str">
        <f t="shared" si="68"/>
        <v/>
      </c>
      <c r="BV17" s="176" t="str">
        <f t="shared" si="69"/>
        <v/>
      </c>
      <c r="BW17" s="176" t="str">
        <f t="shared" si="42"/>
        <v/>
      </c>
      <c r="BX17" s="171" t="str">
        <f t="shared" si="43"/>
        <v/>
      </c>
      <c r="BY17" s="171" t="str">
        <f t="shared" si="44"/>
        <v/>
      </c>
      <c r="BZ17" s="171" t="str">
        <f t="shared" si="45"/>
        <v/>
      </c>
      <c r="CA17" s="171" t="str">
        <f t="shared" si="46"/>
        <v/>
      </c>
      <c r="CB17" s="171" t="str">
        <f t="shared" si="47"/>
        <v/>
      </c>
      <c r="CC17" s="173"/>
      <c r="CD17" s="175" t="str">
        <f t="shared" si="70"/>
        <v/>
      </c>
      <c r="CE17" s="176" t="str">
        <f t="shared" si="71"/>
        <v/>
      </c>
      <c r="CF17" s="176" t="str">
        <f t="shared" si="48"/>
        <v/>
      </c>
      <c r="CG17" s="171" t="str">
        <f t="shared" si="49"/>
        <v/>
      </c>
      <c r="CH17" s="171" t="str">
        <f t="shared" si="50"/>
        <v/>
      </c>
      <c r="CI17" s="171" t="str">
        <f t="shared" si="51"/>
        <v/>
      </c>
      <c r="CJ17" s="171" t="str">
        <f t="shared" si="52"/>
        <v/>
      </c>
      <c r="CK17" s="171" t="str">
        <f t="shared" si="53"/>
        <v/>
      </c>
      <c r="CL17" s="173"/>
      <c r="CM17" s="175" t="str">
        <f t="shared" si="72"/>
        <v/>
      </c>
      <c r="CN17" s="176" t="str">
        <f t="shared" si="73"/>
        <v/>
      </c>
      <c r="CO17" s="176" t="str">
        <f t="shared" si="54"/>
        <v/>
      </c>
      <c r="CP17" s="171" t="str">
        <f t="shared" si="55"/>
        <v/>
      </c>
      <c r="CQ17" s="171" t="str">
        <f t="shared" si="56"/>
        <v/>
      </c>
      <c r="CR17" s="171" t="str">
        <f t="shared" si="57"/>
        <v/>
      </c>
      <c r="CS17" s="171" t="str">
        <f t="shared" si="58"/>
        <v/>
      </c>
      <c r="CT17" s="171" t="str">
        <f t="shared" si="59"/>
        <v/>
      </c>
    </row>
    <row r="18" spans="2:98" ht="15.75" hidden="1">
      <c r="B18" s="68"/>
      <c r="C18" s="68"/>
      <c r="D18" s="1402"/>
      <c r="E18" s="68"/>
      <c r="F18" s="83"/>
      <c r="G18" s="1401"/>
      <c r="H18" s="1401"/>
      <c r="I18" s="1520"/>
      <c r="J18" s="1404"/>
      <c r="K18" s="1404"/>
      <c r="L18" s="167">
        <f t="shared" si="0"/>
        <v>0</v>
      </c>
      <c r="M18" s="1403"/>
      <c r="N18" s="174">
        <f t="shared" si="1"/>
        <v>0</v>
      </c>
      <c r="O18" s="84"/>
      <c r="P18" s="167">
        <f t="shared" si="2"/>
        <v>0</v>
      </c>
      <c r="Q18" s="169">
        <f t="shared" si="3"/>
        <v>0</v>
      </c>
      <c r="R18" s="84"/>
      <c r="S18" s="167">
        <f t="shared" si="4"/>
        <v>0</v>
      </c>
      <c r="T18" s="167">
        <f>IF(OR(D18="80% Non-LIHTC",D18="100%",D18="120%",D18="Over 120%", D18=""), 0, IF(D18="80% LIHTC", VLOOKUP(0.8,'00_5_LIHTC Data'!$C$20:$J$26,MATCH('02_1_INCOME'!B18,'00_5_LIHTC Data'!$D$18:$J$18,0)+1,FALSE), VLOOKUP(VALUE(D18),'00_5_LIHTC Data'!$C$20:$J$26,MATCH('02_1_INCOME'!B18,'00_5_LIHTC Data'!$D$18:$J$18,0)+1,FALSE)))</f>
        <v>0</v>
      </c>
      <c r="U18" s="1582">
        <f t="shared" si="5"/>
        <v>0</v>
      </c>
      <c r="V18" s="1579">
        <f t="shared" si="6"/>
        <v>0</v>
      </c>
      <c r="W18" s="1524">
        <f t="shared" si="7"/>
        <v>0</v>
      </c>
      <c r="X18" s="170">
        <f t="shared" si="8"/>
        <v>0</v>
      </c>
      <c r="Y18" s="170">
        <f t="shared" si="9"/>
        <v>0</v>
      </c>
      <c r="Z18" s="170">
        <f t="shared" si="10"/>
        <v>0</v>
      </c>
      <c r="AA18" s="171">
        <f t="shared" si="11"/>
        <v>0</v>
      </c>
      <c r="AB18" s="171">
        <f t="shared" si="12"/>
        <v>0</v>
      </c>
      <c r="AC18" s="160">
        <f t="shared" si="13"/>
        <v>0</v>
      </c>
      <c r="AD18" s="170">
        <f t="shared" si="14"/>
        <v>0</v>
      </c>
      <c r="AE18" s="170">
        <f t="shared" si="15"/>
        <v>0</v>
      </c>
      <c r="AF18" s="170">
        <f t="shared" si="16"/>
        <v>0</v>
      </c>
      <c r="AG18" s="170">
        <f t="shared" si="17"/>
        <v>0</v>
      </c>
      <c r="AH18" s="11">
        <f t="shared" si="74"/>
        <v>10</v>
      </c>
      <c r="AK18" s="175" t="str">
        <f t="shared" si="60"/>
        <v/>
      </c>
      <c r="AL18" s="175" t="str">
        <f t="shared" si="61"/>
        <v/>
      </c>
      <c r="AM18" s="175" t="str">
        <f t="shared" si="18"/>
        <v/>
      </c>
      <c r="AN18" s="175" t="str">
        <f t="shared" si="19"/>
        <v/>
      </c>
      <c r="AO18" s="175" t="str">
        <f t="shared" si="20"/>
        <v/>
      </c>
      <c r="AP18" s="175" t="str">
        <f t="shared" si="21"/>
        <v/>
      </c>
      <c r="AQ18" s="175" t="str">
        <f t="shared" si="22"/>
        <v/>
      </c>
      <c r="AR18" s="175" t="str">
        <f t="shared" si="23"/>
        <v/>
      </c>
      <c r="AT18" s="175" t="str">
        <f t="shared" si="62"/>
        <v/>
      </c>
      <c r="AU18" s="176" t="str">
        <f t="shared" si="63"/>
        <v/>
      </c>
      <c r="AV18" s="175" t="str">
        <f t="shared" si="24"/>
        <v/>
      </c>
      <c r="AW18" s="171" t="str">
        <f t="shared" si="25"/>
        <v/>
      </c>
      <c r="AX18" s="171" t="str">
        <f t="shared" si="26"/>
        <v/>
      </c>
      <c r="AY18" s="171" t="str">
        <f t="shared" si="27"/>
        <v/>
      </c>
      <c r="AZ18" s="171" t="str">
        <f t="shared" si="28"/>
        <v/>
      </c>
      <c r="BA18" s="171" t="str">
        <f t="shared" si="29"/>
        <v/>
      </c>
      <c r="BB18" s="173"/>
      <c r="BC18" s="175" t="str">
        <f t="shared" si="64"/>
        <v/>
      </c>
      <c r="BD18" s="176" t="str">
        <f t="shared" si="65"/>
        <v/>
      </c>
      <c r="BE18" s="176" t="str">
        <f t="shared" si="30"/>
        <v/>
      </c>
      <c r="BF18" s="171" t="str">
        <f t="shared" si="31"/>
        <v/>
      </c>
      <c r="BG18" s="171" t="str">
        <f t="shared" si="32"/>
        <v/>
      </c>
      <c r="BH18" s="171" t="str">
        <f t="shared" si="33"/>
        <v/>
      </c>
      <c r="BI18" s="171" t="str">
        <f t="shared" si="34"/>
        <v/>
      </c>
      <c r="BJ18" s="171" t="str">
        <f t="shared" si="35"/>
        <v/>
      </c>
      <c r="BK18" s="173"/>
      <c r="BL18" s="175" t="str">
        <f t="shared" si="66"/>
        <v/>
      </c>
      <c r="BM18" s="176" t="str">
        <f t="shared" si="67"/>
        <v/>
      </c>
      <c r="BN18" s="176" t="str">
        <f t="shared" si="36"/>
        <v/>
      </c>
      <c r="BO18" s="171" t="str">
        <f t="shared" si="37"/>
        <v/>
      </c>
      <c r="BP18" s="171" t="str">
        <f t="shared" si="38"/>
        <v/>
      </c>
      <c r="BQ18" s="171" t="str">
        <f t="shared" si="39"/>
        <v/>
      </c>
      <c r="BR18" s="171" t="str">
        <f t="shared" si="40"/>
        <v/>
      </c>
      <c r="BS18" s="171" t="str">
        <f t="shared" si="41"/>
        <v/>
      </c>
      <c r="BT18" s="173"/>
      <c r="BU18" s="175" t="str">
        <f t="shared" si="68"/>
        <v/>
      </c>
      <c r="BV18" s="176" t="str">
        <f t="shared" si="69"/>
        <v/>
      </c>
      <c r="BW18" s="176" t="str">
        <f t="shared" si="42"/>
        <v/>
      </c>
      <c r="BX18" s="171" t="str">
        <f t="shared" si="43"/>
        <v/>
      </c>
      <c r="BY18" s="171" t="str">
        <f t="shared" si="44"/>
        <v/>
      </c>
      <c r="BZ18" s="171" t="str">
        <f t="shared" si="45"/>
        <v/>
      </c>
      <c r="CA18" s="171" t="str">
        <f t="shared" si="46"/>
        <v/>
      </c>
      <c r="CB18" s="171" t="str">
        <f t="shared" si="47"/>
        <v/>
      </c>
      <c r="CC18" s="173"/>
      <c r="CD18" s="175" t="str">
        <f t="shared" si="70"/>
        <v/>
      </c>
      <c r="CE18" s="176" t="str">
        <f t="shared" si="71"/>
        <v/>
      </c>
      <c r="CF18" s="176" t="str">
        <f t="shared" si="48"/>
        <v/>
      </c>
      <c r="CG18" s="171" t="str">
        <f t="shared" si="49"/>
        <v/>
      </c>
      <c r="CH18" s="171" t="str">
        <f t="shared" si="50"/>
        <v/>
      </c>
      <c r="CI18" s="171" t="str">
        <f t="shared" si="51"/>
        <v/>
      </c>
      <c r="CJ18" s="171" t="str">
        <f t="shared" si="52"/>
        <v/>
      </c>
      <c r="CK18" s="171" t="str">
        <f t="shared" si="53"/>
        <v/>
      </c>
      <c r="CL18" s="173"/>
      <c r="CM18" s="175" t="str">
        <f t="shared" si="72"/>
        <v/>
      </c>
      <c r="CN18" s="176" t="str">
        <f t="shared" si="73"/>
        <v/>
      </c>
      <c r="CO18" s="176" t="str">
        <f t="shared" si="54"/>
        <v/>
      </c>
      <c r="CP18" s="171" t="str">
        <f t="shared" si="55"/>
        <v/>
      </c>
      <c r="CQ18" s="171" t="str">
        <f t="shared" si="56"/>
        <v/>
      </c>
      <c r="CR18" s="171" t="str">
        <f t="shared" si="57"/>
        <v/>
      </c>
      <c r="CS18" s="171" t="str">
        <f t="shared" si="58"/>
        <v/>
      </c>
      <c r="CT18" s="171" t="str">
        <f t="shared" si="59"/>
        <v/>
      </c>
    </row>
    <row r="19" spans="2:98" ht="15.75" hidden="1">
      <c r="B19" s="68"/>
      <c r="C19" s="68"/>
      <c r="D19" s="1402"/>
      <c r="E19" s="68"/>
      <c r="F19" s="83"/>
      <c r="G19" s="1401"/>
      <c r="H19" s="1401"/>
      <c r="I19" s="1520"/>
      <c r="J19" s="1404"/>
      <c r="K19" s="1404"/>
      <c r="L19" s="167">
        <f t="shared" si="0"/>
        <v>0</v>
      </c>
      <c r="M19" s="1403"/>
      <c r="N19" s="174">
        <f t="shared" si="1"/>
        <v>0</v>
      </c>
      <c r="O19" s="84"/>
      <c r="P19" s="167">
        <f t="shared" si="2"/>
        <v>0</v>
      </c>
      <c r="Q19" s="169">
        <f t="shared" si="3"/>
        <v>0</v>
      </c>
      <c r="R19" s="84"/>
      <c r="S19" s="167">
        <f t="shared" si="4"/>
        <v>0</v>
      </c>
      <c r="T19" s="167">
        <f>IF(OR(D19="80% Non-LIHTC",D19="100%",D19="120%",D19="Over 120%", D19=""), 0, IF(D19="80% LIHTC", VLOOKUP(0.8,'00_5_LIHTC Data'!$C$20:$J$26,MATCH('02_1_INCOME'!B19,'00_5_LIHTC Data'!$D$18:$J$18,0)+1,FALSE), VLOOKUP(VALUE(D19),'00_5_LIHTC Data'!$C$20:$J$26,MATCH('02_1_INCOME'!B19,'00_5_LIHTC Data'!$D$18:$J$18,0)+1,FALSE)))</f>
        <v>0</v>
      </c>
      <c r="U19" s="1582">
        <f t="shared" si="5"/>
        <v>0</v>
      </c>
      <c r="V19" s="1579">
        <f t="shared" si="6"/>
        <v>0</v>
      </c>
      <c r="W19" s="1524">
        <f t="shared" si="7"/>
        <v>0</v>
      </c>
      <c r="X19" s="170">
        <f t="shared" si="8"/>
        <v>0</v>
      </c>
      <c r="Y19" s="170">
        <f t="shared" si="9"/>
        <v>0</v>
      </c>
      <c r="Z19" s="170">
        <f t="shared" si="10"/>
        <v>0</v>
      </c>
      <c r="AA19" s="171">
        <f t="shared" si="11"/>
        <v>0</v>
      </c>
      <c r="AB19" s="171">
        <f t="shared" si="12"/>
        <v>0</v>
      </c>
      <c r="AC19" s="160">
        <f t="shared" si="13"/>
        <v>0</v>
      </c>
      <c r="AD19" s="170">
        <f t="shared" si="14"/>
        <v>0</v>
      </c>
      <c r="AE19" s="170">
        <f t="shared" si="15"/>
        <v>0</v>
      </c>
      <c r="AF19" s="170">
        <f t="shared" si="16"/>
        <v>0</v>
      </c>
      <c r="AG19" s="170">
        <f t="shared" si="17"/>
        <v>0</v>
      </c>
      <c r="AH19" s="11">
        <f t="shared" si="74"/>
        <v>11</v>
      </c>
      <c r="AK19" s="175" t="str">
        <f t="shared" si="60"/>
        <v/>
      </c>
      <c r="AL19" s="175" t="str">
        <f t="shared" si="61"/>
        <v/>
      </c>
      <c r="AM19" s="175" t="str">
        <f t="shared" si="18"/>
        <v/>
      </c>
      <c r="AN19" s="175" t="str">
        <f t="shared" si="19"/>
        <v/>
      </c>
      <c r="AO19" s="175" t="str">
        <f t="shared" si="20"/>
        <v/>
      </c>
      <c r="AP19" s="175" t="str">
        <f t="shared" si="21"/>
        <v/>
      </c>
      <c r="AQ19" s="175" t="str">
        <f t="shared" si="22"/>
        <v/>
      </c>
      <c r="AR19" s="175" t="str">
        <f t="shared" si="23"/>
        <v/>
      </c>
      <c r="AT19" s="175" t="str">
        <f t="shared" si="62"/>
        <v/>
      </c>
      <c r="AU19" s="176" t="str">
        <f t="shared" si="63"/>
        <v/>
      </c>
      <c r="AV19" s="175" t="str">
        <f t="shared" si="24"/>
        <v/>
      </c>
      <c r="AW19" s="171" t="str">
        <f t="shared" si="25"/>
        <v/>
      </c>
      <c r="AX19" s="171" t="str">
        <f t="shared" si="26"/>
        <v/>
      </c>
      <c r="AY19" s="171" t="str">
        <f t="shared" si="27"/>
        <v/>
      </c>
      <c r="AZ19" s="171" t="str">
        <f t="shared" si="28"/>
        <v/>
      </c>
      <c r="BA19" s="171" t="str">
        <f t="shared" si="29"/>
        <v/>
      </c>
      <c r="BB19" s="173"/>
      <c r="BC19" s="175" t="str">
        <f t="shared" si="64"/>
        <v/>
      </c>
      <c r="BD19" s="176" t="str">
        <f t="shared" si="65"/>
        <v/>
      </c>
      <c r="BE19" s="176" t="str">
        <f t="shared" si="30"/>
        <v/>
      </c>
      <c r="BF19" s="171" t="str">
        <f t="shared" si="31"/>
        <v/>
      </c>
      <c r="BG19" s="171" t="str">
        <f t="shared" si="32"/>
        <v/>
      </c>
      <c r="BH19" s="171" t="str">
        <f t="shared" si="33"/>
        <v/>
      </c>
      <c r="BI19" s="171" t="str">
        <f t="shared" si="34"/>
        <v/>
      </c>
      <c r="BJ19" s="171" t="str">
        <f t="shared" si="35"/>
        <v/>
      </c>
      <c r="BK19" s="173"/>
      <c r="BL19" s="175" t="str">
        <f t="shared" si="66"/>
        <v/>
      </c>
      <c r="BM19" s="176" t="str">
        <f t="shared" si="67"/>
        <v/>
      </c>
      <c r="BN19" s="176" t="str">
        <f t="shared" si="36"/>
        <v/>
      </c>
      <c r="BO19" s="171" t="str">
        <f t="shared" si="37"/>
        <v/>
      </c>
      <c r="BP19" s="171" t="str">
        <f t="shared" si="38"/>
        <v/>
      </c>
      <c r="BQ19" s="171" t="str">
        <f t="shared" si="39"/>
        <v/>
      </c>
      <c r="BR19" s="171" t="str">
        <f t="shared" si="40"/>
        <v/>
      </c>
      <c r="BS19" s="171" t="str">
        <f t="shared" si="41"/>
        <v/>
      </c>
      <c r="BT19" s="173"/>
      <c r="BU19" s="175" t="str">
        <f t="shared" si="68"/>
        <v/>
      </c>
      <c r="BV19" s="176" t="str">
        <f t="shared" si="69"/>
        <v/>
      </c>
      <c r="BW19" s="176" t="str">
        <f t="shared" si="42"/>
        <v/>
      </c>
      <c r="BX19" s="171" t="str">
        <f t="shared" si="43"/>
        <v/>
      </c>
      <c r="BY19" s="171" t="str">
        <f t="shared" si="44"/>
        <v/>
      </c>
      <c r="BZ19" s="171" t="str">
        <f t="shared" si="45"/>
        <v/>
      </c>
      <c r="CA19" s="171" t="str">
        <f t="shared" si="46"/>
        <v/>
      </c>
      <c r="CB19" s="171" t="str">
        <f t="shared" si="47"/>
        <v/>
      </c>
      <c r="CC19" s="173"/>
      <c r="CD19" s="175" t="str">
        <f t="shared" si="70"/>
        <v/>
      </c>
      <c r="CE19" s="176" t="str">
        <f t="shared" si="71"/>
        <v/>
      </c>
      <c r="CF19" s="176" t="str">
        <f t="shared" si="48"/>
        <v/>
      </c>
      <c r="CG19" s="171" t="str">
        <f t="shared" si="49"/>
        <v/>
      </c>
      <c r="CH19" s="171" t="str">
        <f t="shared" si="50"/>
        <v/>
      </c>
      <c r="CI19" s="171" t="str">
        <f t="shared" si="51"/>
        <v/>
      </c>
      <c r="CJ19" s="171" t="str">
        <f t="shared" si="52"/>
        <v/>
      </c>
      <c r="CK19" s="171" t="str">
        <f t="shared" si="53"/>
        <v/>
      </c>
      <c r="CL19" s="173"/>
      <c r="CM19" s="175" t="str">
        <f t="shared" si="72"/>
        <v/>
      </c>
      <c r="CN19" s="176" t="str">
        <f t="shared" si="73"/>
        <v/>
      </c>
      <c r="CO19" s="176" t="str">
        <f t="shared" si="54"/>
        <v/>
      </c>
      <c r="CP19" s="171" t="str">
        <f t="shared" si="55"/>
        <v/>
      </c>
      <c r="CQ19" s="171" t="str">
        <f t="shared" si="56"/>
        <v/>
      </c>
      <c r="CR19" s="171" t="str">
        <f t="shared" si="57"/>
        <v/>
      </c>
      <c r="CS19" s="171" t="str">
        <f t="shared" si="58"/>
        <v/>
      </c>
      <c r="CT19" s="171" t="str">
        <f t="shared" si="59"/>
        <v/>
      </c>
    </row>
    <row r="20" spans="2:98" ht="15.75" hidden="1">
      <c r="B20" s="68"/>
      <c r="C20" s="68"/>
      <c r="D20" s="1402"/>
      <c r="E20" s="68"/>
      <c r="F20" s="83"/>
      <c r="G20" s="1401"/>
      <c r="H20" s="1401"/>
      <c r="I20" s="1520"/>
      <c r="J20" s="1404"/>
      <c r="K20" s="1404"/>
      <c r="L20" s="167">
        <f t="shared" si="0"/>
        <v>0</v>
      </c>
      <c r="M20" s="1403"/>
      <c r="N20" s="174">
        <f t="shared" si="1"/>
        <v>0</v>
      </c>
      <c r="O20" s="84"/>
      <c r="P20" s="167">
        <f t="shared" si="2"/>
        <v>0</v>
      </c>
      <c r="Q20" s="169">
        <f t="shared" si="3"/>
        <v>0</v>
      </c>
      <c r="R20" s="84"/>
      <c r="S20" s="167">
        <f t="shared" si="4"/>
        <v>0</v>
      </c>
      <c r="T20" s="167">
        <f>IF(OR(D20="80% Non-LIHTC",D20="100%",D20="120%",D20="Over 120%", D20=""), 0, IF(D20="80% LIHTC", VLOOKUP(0.8,'00_5_LIHTC Data'!$C$20:$J$26,MATCH('02_1_INCOME'!B20,'00_5_LIHTC Data'!$D$18:$J$18,0)+1,FALSE), VLOOKUP(VALUE(D20),'00_5_LIHTC Data'!$C$20:$J$26,MATCH('02_1_INCOME'!B20,'00_5_LIHTC Data'!$D$18:$J$18,0)+1,FALSE)))</f>
        <v>0</v>
      </c>
      <c r="U20" s="1582">
        <f t="shared" si="5"/>
        <v>0</v>
      </c>
      <c r="V20" s="1579">
        <f t="shared" si="6"/>
        <v>0</v>
      </c>
      <c r="W20" s="1524">
        <f t="shared" si="7"/>
        <v>0</v>
      </c>
      <c r="X20" s="170">
        <f t="shared" si="8"/>
        <v>0</v>
      </c>
      <c r="Y20" s="170">
        <f t="shared" si="9"/>
        <v>0</v>
      </c>
      <c r="Z20" s="170">
        <f t="shared" si="10"/>
        <v>0</v>
      </c>
      <c r="AA20" s="171">
        <f t="shared" si="11"/>
        <v>0</v>
      </c>
      <c r="AB20" s="171">
        <f t="shared" si="12"/>
        <v>0</v>
      </c>
      <c r="AC20" s="160">
        <f t="shared" si="13"/>
        <v>0</v>
      </c>
      <c r="AD20" s="170">
        <f t="shared" si="14"/>
        <v>0</v>
      </c>
      <c r="AE20" s="170">
        <f t="shared" si="15"/>
        <v>0</v>
      </c>
      <c r="AF20" s="170">
        <f t="shared" si="16"/>
        <v>0</v>
      </c>
      <c r="AG20" s="170">
        <f t="shared" si="17"/>
        <v>0</v>
      </c>
      <c r="AH20" s="11">
        <f t="shared" si="74"/>
        <v>12</v>
      </c>
      <c r="AK20" s="175" t="str">
        <f t="shared" si="60"/>
        <v/>
      </c>
      <c r="AL20" s="175" t="str">
        <f t="shared" si="61"/>
        <v/>
      </c>
      <c r="AM20" s="175" t="str">
        <f t="shared" si="18"/>
        <v/>
      </c>
      <c r="AN20" s="175" t="str">
        <f t="shared" si="19"/>
        <v/>
      </c>
      <c r="AO20" s="175" t="str">
        <f t="shared" si="20"/>
        <v/>
      </c>
      <c r="AP20" s="175" t="str">
        <f t="shared" si="21"/>
        <v/>
      </c>
      <c r="AQ20" s="175" t="str">
        <f t="shared" si="22"/>
        <v/>
      </c>
      <c r="AR20" s="175" t="str">
        <f t="shared" si="23"/>
        <v/>
      </c>
      <c r="AT20" s="175" t="str">
        <f t="shared" si="62"/>
        <v/>
      </c>
      <c r="AU20" s="176" t="str">
        <f t="shared" si="63"/>
        <v/>
      </c>
      <c r="AV20" s="175" t="str">
        <f t="shared" si="24"/>
        <v/>
      </c>
      <c r="AW20" s="171" t="str">
        <f t="shared" si="25"/>
        <v/>
      </c>
      <c r="AX20" s="171" t="str">
        <f t="shared" si="26"/>
        <v/>
      </c>
      <c r="AY20" s="171" t="str">
        <f t="shared" si="27"/>
        <v/>
      </c>
      <c r="AZ20" s="171" t="str">
        <f t="shared" si="28"/>
        <v/>
      </c>
      <c r="BA20" s="171" t="str">
        <f t="shared" si="29"/>
        <v/>
      </c>
      <c r="BB20" s="173"/>
      <c r="BC20" s="175" t="str">
        <f t="shared" si="64"/>
        <v/>
      </c>
      <c r="BD20" s="176" t="str">
        <f t="shared" si="65"/>
        <v/>
      </c>
      <c r="BE20" s="176" t="str">
        <f t="shared" si="30"/>
        <v/>
      </c>
      <c r="BF20" s="171" t="str">
        <f t="shared" si="31"/>
        <v/>
      </c>
      <c r="BG20" s="171" t="str">
        <f t="shared" si="32"/>
        <v/>
      </c>
      <c r="BH20" s="171" t="str">
        <f t="shared" si="33"/>
        <v/>
      </c>
      <c r="BI20" s="171" t="str">
        <f t="shared" si="34"/>
        <v/>
      </c>
      <c r="BJ20" s="171" t="str">
        <f t="shared" si="35"/>
        <v/>
      </c>
      <c r="BK20" s="173"/>
      <c r="BL20" s="175" t="str">
        <f t="shared" si="66"/>
        <v/>
      </c>
      <c r="BM20" s="176" t="str">
        <f t="shared" si="67"/>
        <v/>
      </c>
      <c r="BN20" s="176" t="str">
        <f t="shared" si="36"/>
        <v/>
      </c>
      <c r="BO20" s="171" t="str">
        <f t="shared" si="37"/>
        <v/>
      </c>
      <c r="BP20" s="171" t="str">
        <f t="shared" si="38"/>
        <v/>
      </c>
      <c r="BQ20" s="171" t="str">
        <f t="shared" si="39"/>
        <v/>
      </c>
      <c r="BR20" s="171" t="str">
        <f t="shared" si="40"/>
        <v/>
      </c>
      <c r="BS20" s="171" t="str">
        <f t="shared" si="41"/>
        <v/>
      </c>
      <c r="BT20" s="173"/>
      <c r="BU20" s="175" t="str">
        <f t="shared" si="68"/>
        <v/>
      </c>
      <c r="BV20" s="176" t="str">
        <f t="shared" si="69"/>
        <v/>
      </c>
      <c r="BW20" s="176" t="str">
        <f t="shared" si="42"/>
        <v/>
      </c>
      <c r="BX20" s="171" t="str">
        <f t="shared" si="43"/>
        <v/>
      </c>
      <c r="BY20" s="171" t="str">
        <f t="shared" si="44"/>
        <v/>
      </c>
      <c r="BZ20" s="171" t="str">
        <f t="shared" si="45"/>
        <v/>
      </c>
      <c r="CA20" s="171" t="str">
        <f t="shared" si="46"/>
        <v/>
      </c>
      <c r="CB20" s="171" t="str">
        <f t="shared" si="47"/>
        <v/>
      </c>
      <c r="CC20" s="173"/>
      <c r="CD20" s="175" t="str">
        <f t="shared" si="70"/>
        <v/>
      </c>
      <c r="CE20" s="176" t="str">
        <f t="shared" si="71"/>
        <v/>
      </c>
      <c r="CF20" s="176" t="str">
        <f t="shared" si="48"/>
        <v/>
      </c>
      <c r="CG20" s="171" t="str">
        <f t="shared" si="49"/>
        <v/>
      </c>
      <c r="CH20" s="171" t="str">
        <f t="shared" si="50"/>
        <v/>
      </c>
      <c r="CI20" s="171" t="str">
        <f t="shared" si="51"/>
        <v/>
      </c>
      <c r="CJ20" s="171" t="str">
        <f t="shared" si="52"/>
        <v/>
      </c>
      <c r="CK20" s="171" t="str">
        <f t="shared" si="53"/>
        <v/>
      </c>
      <c r="CL20" s="173"/>
      <c r="CM20" s="175" t="str">
        <f t="shared" si="72"/>
        <v/>
      </c>
      <c r="CN20" s="176" t="str">
        <f t="shared" si="73"/>
        <v/>
      </c>
      <c r="CO20" s="176" t="str">
        <f t="shared" si="54"/>
        <v/>
      </c>
      <c r="CP20" s="171" t="str">
        <f t="shared" si="55"/>
        <v/>
      </c>
      <c r="CQ20" s="171" t="str">
        <f t="shared" si="56"/>
        <v/>
      </c>
      <c r="CR20" s="171" t="str">
        <f t="shared" si="57"/>
        <v/>
      </c>
      <c r="CS20" s="171" t="str">
        <f t="shared" si="58"/>
        <v/>
      </c>
      <c r="CT20" s="171" t="str">
        <f t="shared" si="59"/>
        <v/>
      </c>
    </row>
    <row r="21" spans="2:98" ht="15.75" hidden="1">
      <c r="B21" s="68"/>
      <c r="C21" s="68"/>
      <c r="D21" s="1402"/>
      <c r="E21" s="68"/>
      <c r="F21" s="83"/>
      <c r="G21" s="1401"/>
      <c r="H21" s="1401"/>
      <c r="I21" s="1520"/>
      <c r="J21" s="1404"/>
      <c r="K21" s="1404"/>
      <c r="L21" s="167">
        <f t="shared" si="0"/>
        <v>0</v>
      </c>
      <c r="M21" s="1403"/>
      <c r="N21" s="174">
        <f t="shared" si="1"/>
        <v>0</v>
      </c>
      <c r="O21" s="84"/>
      <c r="P21" s="167">
        <f t="shared" si="2"/>
        <v>0</v>
      </c>
      <c r="Q21" s="169">
        <f t="shared" si="3"/>
        <v>0</v>
      </c>
      <c r="R21" s="84"/>
      <c r="S21" s="167">
        <f t="shared" si="4"/>
        <v>0</v>
      </c>
      <c r="T21" s="167">
        <f>IF(OR(D21="80% Non-LIHTC",D21="100%",D21="120%",D21="Over 120%", D21=""), 0, IF(D21="80% LIHTC", VLOOKUP(0.8,'00_5_LIHTC Data'!$C$20:$J$26,MATCH('02_1_INCOME'!B21,'00_5_LIHTC Data'!$D$18:$J$18,0)+1,FALSE), VLOOKUP(VALUE(D21),'00_5_LIHTC Data'!$C$20:$J$26,MATCH('02_1_INCOME'!B21,'00_5_LIHTC Data'!$D$18:$J$18,0)+1,FALSE)))</f>
        <v>0</v>
      </c>
      <c r="U21" s="1582">
        <f t="shared" si="5"/>
        <v>0</v>
      </c>
      <c r="V21" s="1579">
        <f t="shared" si="6"/>
        <v>0</v>
      </c>
      <c r="W21" s="1524">
        <f t="shared" si="7"/>
        <v>0</v>
      </c>
      <c r="X21" s="170">
        <f t="shared" si="8"/>
        <v>0</v>
      </c>
      <c r="Y21" s="170">
        <f t="shared" si="9"/>
        <v>0</v>
      </c>
      <c r="Z21" s="170">
        <f t="shared" si="10"/>
        <v>0</v>
      </c>
      <c r="AA21" s="171">
        <f t="shared" si="11"/>
        <v>0</v>
      </c>
      <c r="AB21" s="171">
        <f t="shared" si="12"/>
        <v>0</v>
      </c>
      <c r="AC21" s="160">
        <f t="shared" si="13"/>
        <v>0</v>
      </c>
      <c r="AD21" s="170">
        <f t="shared" si="14"/>
        <v>0</v>
      </c>
      <c r="AE21" s="170">
        <f t="shared" si="15"/>
        <v>0</v>
      </c>
      <c r="AF21" s="170">
        <f t="shared" si="16"/>
        <v>0</v>
      </c>
      <c r="AG21" s="170">
        <f t="shared" si="17"/>
        <v>0</v>
      </c>
      <c r="AH21" s="11">
        <f t="shared" si="74"/>
        <v>13</v>
      </c>
      <c r="AK21" s="175" t="str">
        <f t="shared" si="60"/>
        <v/>
      </c>
      <c r="AL21" s="175" t="str">
        <f t="shared" si="61"/>
        <v/>
      </c>
      <c r="AM21" s="175" t="str">
        <f t="shared" si="18"/>
        <v/>
      </c>
      <c r="AN21" s="175" t="str">
        <f t="shared" si="19"/>
        <v/>
      </c>
      <c r="AO21" s="175" t="str">
        <f t="shared" si="20"/>
        <v/>
      </c>
      <c r="AP21" s="175" t="str">
        <f t="shared" si="21"/>
        <v/>
      </c>
      <c r="AQ21" s="175" t="str">
        <f t="shared" si="22"/>
        <v/>
      </c>
      <c r="AR21" s="175" t="str">
        <f t="shared" si="23"/>
        <v/>
      </c>
      <c r="AT21" s="175" t="str">
        <f t="shared" si="62"/>
        <v/>
      </c>
      <c r="AU21" s="176" t="str">
        <f t="shared" si="63"/>
        <v/>
      </c>
      <c r="AV21" s="175" t="str">
        <f t="shared" si="24"/>
        <v/>
      </c>
      <c r="AW21" s="171" t="str">
        <f t="shared" si="25"/>
        <v/>
      </c>
      <c r="AX21" s="171" t="str">
        <f t="shared" si="26"/>
        <v/>
      </c>
      <c r="AY21" s="171" t="str">
        <f t="shared" si="27"/>
        <v/>
      </c>
      <c r="AZ21" s="171" t="str">
        <f t="shared" si="28"/>
        <v/>
      </c>
      <c r="BA21" s="171" t="str">
        <f t="shared" si="29"/>
        <v/>
      </c>
      <c r="BB21" s="173"/>
      <c r="BC21" s="175" t="str">
        <f t="shared" si="64"/>
        <v/>
      </c>
      <c r="BD21" s="176" t="str">
        <f t="shared" si="65"/>
        <v/>
      </c>
      <c r="BE21" s="176" t="str">
        <f t="shared" si="30"/>
        <v/>
      </c>
      <c r="BF21" s="171" t="str">
        <f t="shared" si="31"/>
        <v/>
      </c>
      <c r="BG21" s="171" t="str">
        <f t="shared" si="32"/>
        <v/>
      </c>
      <c r="BH21" s="171" t="str">
        <f t="shared" si="33"/>
        <v/>
      </c>
      <c r="BI21" s="171" t="str">
        <f t="shared" si="34"/>
        <v/>
      </c>
      <c r="BJ21" s="171" t="str">
        <f t="shared" si="35"/>
        <v/>
      </c>
      <c r="BK21" s="173"/>
      <c r="BL21" s="175" t="str">
        <f t="shared" si="66"/>
        <v/>
      </c>
      <c r="BM21" s="176" t="str">
        <f t="shared" si="67"/>
        <v/>
      </c>
      <c r="BN21" s="176" t="str">
        <f t="shared" si="36"/>
        <v/>
      </c>
      <c r="BO21" s="171" t="str">
        <f t="shared" si="37"/>
        <v/>
      </c>
      <c r="BP21" s="171" t="str">
        <f t="shared" si="38"/>
        <v/>
      </c>
      <c r="BQ21" s="171" t="str">
        <f t="shared" si="39"/>
        <v/>
      </c>
      <c r="BR21" s="171" t="str">
        <f t="shared" si="40"/>
        <v/>
      </c>
      <c r="BS21" s="171" t="str">
        <f t="shared" si="41"/>
        <v/>
      </c>
      <c r="BT21" s="173"/>
      <c r="BU21" s="175" t="str">
        <f t="shared" si="68"/>
        <v/>
      </c>
      <c r="BV21" s="176" t="str">
        <f t="shared" si="69"/>
        <v/>
      </c>
      <c r="BW21" s="176" t="str">
        <f t="shared" si="42"/>
        <v/>
      </c>
      <c r="BX21" s="171" t="str">
        <f t="shared" si="43"/>
        <v/>
      </c>
      <c r="BY21" s="171" t="str">
        <f t="shared" si="44"/>
        <v/>
      </c>
      <c r="BZ21" s="171" t="str">
        <f t="shared" si="45"/>
        <v/>
      </c>
      <c r="CA21" s="171" t="str">
        <f t="shared" si="46"/>
        <v/>
      </c>
      <c r="CB21" s="171" t="str">
        <f t="shared" si="47"/>
        <v/>
      </c>
      <c r="CC21" s="173"/>
      <c r="CD21" s="175" t="str">
        <f t="shared" si="70"/>
        <v/>
      </c>
      <c r="CE21" s="176" t="str">
        <f t="shared" si="71"/>
        <v/>
      </c>
      <c r="CF21" s="176" t="str">
        <f t="shared" si="48"/>
        <v/>
      </c>
      <c r="CG21" s="171" t="str">
        <f t="shared" si="49"/>
        <v/>
      </c>
      <c r="CH21" s="171" t="str">
        <f t="shared" si="50"/>
        <v/>
      </c>
      <c r="CI21" s="171" t="str">
        <f t="shared" si="51"/>
        <v/>
      </c>
      <c r="CJ21" s="171" t="str">
        <f t="shared" si="52"/>
        <v/>
      </c>
      <c r="CK21" s="171" t="str">
        <f t="shared" si="53"/>
        <v/>
      </c>
      <c r="CL21" s="173"/>
      <c r="CM21" s="175" t="str">
        <f t="shared" si="72"/>
        <v/>
      </c>
      <c r="CN21" s="176" t="str">
        <f t="shared" si="73"/>
        <v/>
      </c>
      <c r="CO21" s="176" t="str">
        <f t="shared" si="54"/>
        <v/>
      </c>
      <c r="CP21" s="171" t="str">
        <f t="shared" si="55"/>
        <v/>
      </c>
      <c r="CQ21" s="171" t="str">
        <f t="shared" si="56"/>
        <v/>
      </c>
      <c r="CR21" s="171" t="str">
        <f t="shared" si="57"/>
        <v/>
      </c>
      <c r="CS21" s="171" t="str">
        <f t="shared" si="58"/>
        <v/>
      </c>
      <c r="CT21" s="171" t="str">
        <f t="shared" si="59"/>
        <v/>
      </c>
    </row>
    <row r="22" spans="2:98" ht="15.75" hidden="1">
      <c r="B22" s="68"/>
      <c r="C22" s="68"/>
      <c r="D22" s="1402"/>
      <c r="E22" s="68"/>
      <c r="F22" s="83"/>
      <c r="G22" s="1401"/>
      <c r="H22" s="1401"/>
      <c r="I22" s="1520"/>
      <c r="J22" s="1404"/>
      <c r="K22" s="1404"/>
      <c r="L22" s="167">
        <f t="shared" si="0"/>
        <v>0</v>
      </c>
      <c r="M22" s="1403"/>
      <c r="N22" s="174">
        <f t="shared" ref="N22:N37" si="75">MAX(0,M22-L22)</f>
        <v>0</v>
      </c>
      <c r="O22" s="84"/>
      <c r="P22" s="167">
        <f t="shared" ref="P22:P37" si="76">MAX(0,O22-L22)</f>
        <v>0</v>
      </c>
      <c r="Q22" s="169">
        <f t="shared" ref="Q22:Q37" si="77">-IF(P22&lt;&gt;0,(N22-P22)/P22,0)</f>
        <v>0</v>
      </c>
      <c r="R22" s="84"/>
      <c r="S22" s="167">
        <f t="shared" ref="S22:S37" si="78">MAX(0,R22-L22)</f>
        <v>0</v>
      </c>
      <c r="T22" s="167">
        <f>IF(OR(D22="80% Non-LIHTC",D22="100%",D22="120%",D22="Over 120%", D22=""), 0, IF(D22="80% LIHTC", VLOOKUP(0.8,'00_5_LIHTC Data'!$C$20:$J$26,MATCH('02_1_INCOME'!B22,'00_5_LIHTC Data'!$D$18:$J$18,0)+1,FALSE), VLOOKUP(VALUE(D22),'00_5_LIHTC Data'!$C$20:$J$26,MATCH('02_1_INCOME'!B22,'00_5_LIHTC Data'!$D$18:$J$18,0)+1,FALSE)))</f>
        <v>0</v>
      </c>
      <c r="U22" s="1582">
        <f t="shared" ref="U22:U37" si="79">-IF(T22&lt;&gt;0,(M22-T22)/T22,0)</f>
        <v>0</v>
      </c>
      <c r="V22" s="1579">
        <f t="shared" si="6"/>
        <v>0</v>
      </c>
      <c r="W22" s="1524">
        <f t="shared" si="7"/>
        <v>0</v>
      </c>
      <c r="X22" s="170">
        <f t="shared" si="8"/>
        <v>0</v>
      </c>
      <c r="Y22" s="170">
        <f t="shared" si="9"/>
        <v>0</v>
      </c>
      <c r="Z22" s="170">
        <f t="shared" si="10"/>
        <v>0</v>
      </c>
      <c r="AA22" s="171">
        <f t="shared" ref="AA22:AA37" si="80">IF(Y22&gt;0,Y22*N22*12,0)</f>
        <v>0</v>
      </c>
      <c r="AB22" s="171">
        <f t="shared" ref="AB22:AB37" si="81">IF(Z22&gt;0,Z22*P22*12,0)</f>
        <v>0</v>
      </c>
      <c r="AC22" s="160">
        <f t="shared" si="13"/>
        <v>0</v>
      </c>
      <c r="AD22" s="170">
        <f t="shared" si="14"/>
        <v>0</v>
      </c>
      <c r="AE22" s="170">
        <f t="shared" si="15"/>
        <v>0</v>
      </c>
      <c r="AF22" s="170">
        <f t="shared" si="16"/>
        <v>0</v>
      </c>
      <c r="AG22" s="170">
        <f t="shared" si="17"/>
        <v>0</v>
      </c>
      <c r="AH22" s="11">
        <f t="shared" si="74"/>
        <v>14</v>
      </c>
      <c r="AK22" s="175" t="str">
        <f t="shared" si="60"/>
        <v/>
      </c>
      <c r="AL22" s="175" t="str">
        <f t="shared" si="61"/>
        <v/>
      </c>
      <c r="AM22" s="175" t="str">
        <f t="shared" si="18"/>
        <v/>
      </c>
      <c r="AN22" s="175" t="str">
        <f t="shared" si="19"/>
        <v/>
      </c>
      <c r="AO22" s="175" t="str">
        <f t="shared" si="20"/>
        <v/>
      </c>
      <c r="AP22" s="175" t="str">
        <f t="shared" si="21"/>
        <v/>
      </c>
      <c r="AQ22" s="175" t="str">
        <f t="shared" si="22"/>
        <v/>
      </c>
      <c r="AR22" s="175" t="str">
        <f t="shared" si="23"/>
        <v/>
      </c>
      <c r="AT22" s="175" t="str">
        <f t="shared" si="62"/>
        <v/>
      </c>
      <c r="AU22" s="176" t="str">
        <f t="shared" si="63"/>
        <v/>
      </c>
      <c r="AV22" s="175" t="str">
        <f t="shared" si="24"/>
        <v/>
      </c>
      <c r="AW22" s="171" t="str">
        <f t="shared" si="25"/>
        <v/>
      </c>
      <c r="AX22" s="171" t="str">
        <f t="shared" si="26"/>
        <v/>
      </c>
      <c r="AY22" s="171" t="str">
        <f t="shared" si="27"/>
        <v/>
      </c>
      <c r="AZ22" s="171" t="str">
        <f t="shared" si="28"/>
        <v/>
      </c>
      <c r="BA22" s="171" t="str">
        <f t="shared" si="29"/>
        <v/>
      </c>
      <c r="BB22" s="173"/>
      <c r="BC22" s="175" t="str">
        <f t="shared" si="64"/>
        <v/>
      </c>
      <c r="BD22" s="176" t="str">
        <f t="shared" si="65"/>
        <v/>
      </c>
      <c r="BE22" s="176" t="str">
        <f t="shared" si="30"/>
        <v/>
      </c>
      <c r="BF22" s="171" t="str">
        <f t="shared" si="31"/>
        <v/>
      </c>
      <c r="BG22" s="171" t="str">
        <f t="shared" si="32"/>
        <v/>
      </c>
      <c r="BH22" s="171" t="str">
        <f t="shared" si="33"/>
        <v/>
      </c>
      <c r="BI22" s="171" t="str">
        <f t="shared" si="34"/>
        <v/>
      </c>
      <c r="BJ22" s="171" t="str">
        <f t="shared" si="35"/>
        <v/>
      </c>
      <c r="BK22" s="173"/>
      <c r="BL22" s="175" t="str">
        <f t="shared" si="66"/>
        <v/>
      </c>
      <c r="BM22" s="176" t="str">
        <f t="shared" si="67"/>
        <v/>
      </c>
      <c r="BN22" s="176" t="str">
        <f t="shared" si="36"/>
        <v/>
      </c>
      <c r="BO22" s="171" t="str">
        <f t="shared" si="37"/>
        <v/>
      </c>
      <c r="BP22" s="171" t="str">
        <f t="shared" si="38"/>
        <v/>
      </c>
      <c r="BQ22" s="171" t="str">
        <f t="shared" si="39"/>
        <v/>
      </c>
      <c r="BR22" s="171" t="str">
        <f t="shared" si="40"/>
        <v/>
      </c>
      <c r="BS22" s="171" t="str">
        <f t="shared" si="41"/>
        <v/>
      </c>
      <c r="BT22" s="173"/>
      <c r="BU22" s="175" t="str">
        <f t="shared" si="68"/>
        <v/>
      </c>
      <c r="BV22" s="176" t="str">
        <f t="shared" si="69"/>
        <v/>
      </c>
      <c r="BW22" s="176" t="str">
        <f t="shared" si="42"/>
        <v/>
      </c>
      <c r="BX22" s="171" t="str">
        <f t="shared" si="43"/>
        <v/>
      </c>
      <c r="BY22" s="171" t="str">
        <f t="shared" si="44"/>
        <v/>
      </c>
      <c r="BZ22" s="171" t="str">
        <f t="shared" si="45"/>
        <v/>
      </c>
      <c r="CA22" s="171" t="str">
        <f t="shared" si="46"/>
        <v/>
      </c>
      <c r="CB22" s="171" t="str">
        <f t="shared" si="47"/>
        <v/>
      </c>
      <c r="CC22" s="173"/>
      <c r="CD22" s="175" t="str">
        <f t="shared" si="70"/>
        <v/>
      </c>
      <c r="CE22" s="176" t="str">
        <f t="shared" si="71"/>
        <v/>
      </c>
      <c r="CF22" s="176" t="str">
        <f t="shared" si="48"/>
        <v/>
      </c>
      <c r="CG22" s="171" t="str">
        <f t="shared" si="49"/>
        <v/>
      </c>
      <c r="CH22" s="171" t="str">
        <f t="shared" si="50"/>
        <v/>
      </c>
      <c r="CI22" s="171" t="str">
        <f t="shared" si="51"/>
        <v/>
      </c>
      <c r="CJ22" s="171" t="str">
        <f t="shared" si="52"/>
        <v/>
      </c>
      <c r="CK22" s="171" t="str">
        <f t="shared" si="53"/>
        <v/>
      </c>
      <c r="CL22" s="173"/>
      <c r="CM22" s="175" t="str">
        <f t="shared" si="72"/>
        <v/>
      </c>
      <c r="CN22" s="176" t="str">
        <f t="shared" si="73"/>
        <v/>
      </c>
      <c r="CO22" s="176" t="str">
        <f t="shared" si="54"/>
        <v/>
      </c>
      <c r="CP22" s="171" t="str">
        <f t="shared" si="55"/>
        <v/>
      </c>
      <c r="CQ22" s="171" t="str">
        <f t="shared" si="56"/>
        <v/>
      </c>
      <c r="CR22" s="171" t="str">
        <f t="shared" si="57"/>
        <v/>
      </c>
      <c r="CS22" s="171" t="str">
        <f t="shared" si="58"/>
        <v/>
      </c>
      <c r="CT22" s="171" t="str">
        <f t="shared" si="59"/>
        <v/>
      </c>
    </row>
    <row r="23" spans="2:98" ht="15.75" hidden="1">
      <c r="B23" s="68"/>
      <c r="C23" s="68"/>
      <c r="D23" s="1402"/>
      <c r="E23" s="68"/>
      <c r="F23" s="83"/>
      <c r="G23" s="1401"/>
      <c r="H23" s="1401"/>
      <c r="I23" s="1520"/>
      <c r="J23" s="1404"/>
      <c r="K23" s="1404"/>
      <c r="L23" s="167">
        <f t="shared" si="0"/>
        <v>0</v>
      </c>
      <c r="M23" s="1403"/>
      <c r="N23" s="174">
        <f t="shared" si="75"/>
        <v>0</v>
      </c>
      <c r="O23" s="84"/>
      <c r="P23" s="167">
        <f t="shared" si="76"/>
        <v>0</v>
      </c>
      <c r="Q23" s="169">
        <f t="shared" si="77"/>
        <v>0</v>
      </c>
      <c r="R23" s="84"/>
      <c r="S23" s="167">
        <f t="shared" si="78"/>
        <v>0</v>
      </c>
      <c r="T23" s="167">
        <f>IF(OR(D23="80% Non-LIHTC",D23="100%",D23="120%",D23="Over 120%", D23=""), 0, IF(D23="80% LIHTC", VLOOKUP(0.8,'00_5_LIHTC Data'!$C$20:$J$26,MATCH('02_1_INCOME'!B23,'00_5_LIHTC Data'!$D$18:$J$18,0)+1,FALSE), VLOOKUP(VALUE(D23),'00_5_LIHTC Data'!$C$20:$J$26,MATCH('02_1_INCOME'!B23,'00_5_LIHTC Data'!$D$18:$J$18,0)+1,FALSE)))</f>
        <v>0</v>
      </c>
      <c r="U23" s="1582">
        <f t="shared" si="79"/>
        <v>0</v>
      </c>
      <c r="V23" s="1579">
        <f t="shared" si="6"/>
        <v>0</v>
      </c>
      <c r="W23" s="1524">
        <f t="shared" si="7"/>
        <v>0</v>
      </c>
      <c r="X23" s="170">
        <f t="shared" si="8"/>
        <v>0</v>
      </c>
      <c r="Y23" s="170">
        <f t="shared" si="9"/>
        <v>0</v>
      </c>
      <c r="Z23" s="170">
        <f t="shared" si="10"/>
        <v>0</v>
      </c>
      <c r="AA23" s="171">
        <f t="shared" si="80"/>
        <v>0</v>
      </c>
      <c r="AB23" s="171">
        <f t="shared" si="81"/>
        <v>0</v>
      </c>
      <c r="AC23" s="160">
        <f t="shared" si="13"/>
        <v>0</v>
      </c>
      <c r="AD23" s="170">
        <f t="shared" si="14"/>
        <v>0</v>
      </c>
      <c r="AE23" s="170">
        <f t="shared" si="15"/>
        <v>0</v>
      </c>
      <c r="AF23" s="170">
        <f t="shared" si="16"/>
        <v>0</v>
      </c>
      <c r="AG23" s="170">
        <f t="shared" si="17"/>
        <v>0</v>
      </c>
      <c r="AH23" s="11">
        <f t="shared" si="74"/>
        <v>15</v>
      </c>
      <c r="AK23" s="175" t="str">
        <f t="shared" si="60"/>
        <v/>
      </c>
      <c r="AL23" s="175" t="str">
        <f t="shared" si="61"/>
        <v/>
      </c>
      <c r="AM23" s="175" t="str">
        <f t="shared" si="18"/>
        <v/>
      </c>
      <c r="AN23" s="175" t="str">
        <f t="shared" si="19"/>
        <v/>
      </c>
      <c r="AO23" s="175" t="str">
        <f t="shared" si="20"/>
        <v/>
      </c>
      <c r="AP23" s="175" t="str">
        <f t="shared" si="21"/>
        <v/>
      </c>
      <c r="AQ23" s="175" t="str">
        <f t="shared" si="22"/>
        <v/>
      </c>
      <c r="AR23" s="175" t="str">
        <f t="shared" si="23"/>
        <v/>
      </c>
      <c r="AT23" s="175" t="str">
        <f t="shared" si="62"/>
        <v/>
      </c>
      <c r="AU23" s="176" t="str">
        <f t="shared" si="63"/>
        <v/>
      </c>
      <c r="AV23" s="175" t="str">
        <f t="shared" si="24"/>
        <v/>
      </c>
      <c r="AW23" s="171" t="str">
        <f t="shared" si="25"/>
        <v/>
      </c>
      <c r="AX23" s="171" t="str">
        <f t="shared" si="26"/>
        <v/>
      </c>
      <c r="AY23" s="171" t="str">
        <f t="shared" si="27"/>
        <v/>
      </c>
      <c r="AZ23" s="171" t="str">
        <f t="shared" si="28"/>
        <v/>
      </c>
      <c r="BA23" s="171" t="str">
        <f t="shared" si="29"/>
        <v/>
      </c>
      <c r="BB23" s="173"/>
      <c r="BC23" s="175" t="str">
        <f t="shared" si="64"/>
        <v/>
      </c>
      <c r="BD23" s="176" t="str">
        <f t="shared" si="65"/>
        <v/>
      </c>
      <c r="BE23" s="176" t="str">
        <f t="shared" si="30"/>
        <v/>
      </c>
      <c r="BF23" s="171" t="str">
        <f t="shared" si="31"/>
        <v/>
      </c>
      <c r="BG23" s="171" t="str">
        <f t="shared" si="32"/>
        <v/>
      </c>
      <c r="BH23" s="171" t="str">
        <f t="shared" si="33"/>
        <v/>
      </c>
      <c r="BI23" s="171" t="str">
        <f t="shared" si="34"/>
        <v/>
      </c>
      <c r="BJ23" s="171" t="str">
        <f t="shared" si="35"/>
        <v/>
      </c>
      <c r="BK23" s="173"/>
      <c r="BL23" s="175" t="str">
        <f t="shared" si="66"/>
        <v/>
      </c>
      <c r="BM23" s="176" t="str">
        <f t="shared" si="67"/>
        <v/>
      </c>
      <c r="BN23" s="176" t="str">
        <f t="shared" si="36"/>
        <v/>
      </c>
      <c r="BO23" s="171" t="str">
        <f t="shared" si="37"/>
        <v/>
      </c>
      <c r="BP23" s="171" t="str">
        <f t="shared" si="38"/>
        <v/>
      </c>
      <c r="BQ23" s="171" t="str">
        <f t="shared" si="39"/>
        <v/>
      </c>
      <c r="BR23" s="171" t="str">
        <f t="shared" si="40"/>
        <v/>
      </c>
      <c r="BS23" s="171" t="str">
        <f t="shared" si="41"/>
        <v/>
      </c>
      <c r="BT23" s="173"/>
      <c r="BU23" s="175" t="str">
        <f t="shared" si="68"/>
        <v/>
      </c>
      <c r="BV23" s="176" t="str">
        <f t="shared" si="69"/>
        <v/>
      </c>
      <c r="BW23" s="176" t="str">
        <f t="shared" si="42"/>
        <v/>
      </c>
      <c r="BX23" s="171" t="str">
        <f t="shared" si="43"/>
        <v/>
      </c>
      <c r="BY23" s="171" t="str">
        <f t="shared" si="44"/>
        <v/>
      </c>
      <c r="BZ23" s="171" t="str">
        <f t="shared" si="45"/>
        <v/>
      </c>
      <c r="CA23" s="171" t="str">
        <f t="shared" si="46"/>
        <v/>
      </c>
      <c r="CB23" s="171" t="str">
        <f t="shared" si="47"/>
        <v/>
      </c>
      <c r="CC23" s="173"/>
      <c r="CD23" s="175" t="str">
        <f t="shared" si="70"/>
        <v/>
      </c>
      <c r="CE23" s="176" t="str">
        <f t="shared" si="71"/>
        <v/>
      </c>
      <c r="CF23" s="176" t="str">
        <f t="shared" si="48"/>
        <v/>
      </c>
      <c r="CG23" s="171" t="str">
        <f t="shared" si="49"/>
        <v/>
      </c>
      <c r="CH23" s="171" t="str">
        <f t="shared" si="50"/>
        <v/>
      </c>
      <c r="CI23" s="171" t="str">
        <f t="shared" si="51"/>
        <v/>
      </c>
      <c r="CJ23" s="171" t="str">
        <f t="shared" si="52"/>
        <v/>
      </c>
      <c r="CK23" s="171" t="str">
        <f t="shared" si="53"/>
        <v/>
      </c>
      <c r="CL23" s="173"/>
      <c r="CM23" s="175" t="str">
        <f t="shared" si="72"/>
        <v/>
      </c>
      <c r="CN23" s="176" t="str">
        <f t="shared" si="73"/>
        <v/>
      </c>
      <c r="CO23" s="176" t="str">
        <f t="shared" si="54"/>
        <v/>
      </c>
      <c r="CP23" s="171" t="str">
        <f t="shared" si="55"/>
        <v/>
      </c>
      <c r="CQ23" s="171" t="str">
        <f t="shared" si="56"/>
        <v/>
      </c>
      <c r="CR23" s="171" t="str">
        <f t="shared" si="57"/>
        <v/>
      </c>
      <c r="CS23" s="171" t="str">
        <f t="shared" si="58"/>
        <v/>
      </c>
      <c r="CT23" s="171" t="str">
        <f t="shared" si="59"/>
        <v/>
      </c>
    </row>
    <row r="24" spans="2:98" ht="15.75" hidden="1">
      <c r="B24" s="68"/>
      <c r="C24" s="68"/>
      <c r="D24" s="1402"/>
      <c r="E24" s="68"/>
      <c r="F24" s="83"/>
      <c r="G24" s="1401"/>
      <c r="H24" s="1401"/>
      <c r="I24" s="1520"/>
      <c r="J24" s="1404"/>
      <c r="K24" s="1404"/>
      <c r="L24" s="167">
        <f t="shared" si="0"/>
        <v>0</v>
      </c>
      <c r="M24" s="1403"/>
      <c r="N24" s="174">
        <f t="shared" si="75"/>
        <v>0</v>
      </c>
      <c r="O24" s="84"/>
      <c r="P24" s="167">
        <f t="shared" si="76"/>
        <v>0</v>
      </c>
      <c r="Q24" s="169">
        <f t="shared" si="77"/>
        <v>0</v>
      </c>
      <c r="R24" s="84"/>
      <c r="S24" s="167">
        <f t="shared" si="78"/>
        <v>0</v>
      </c>
      <c r="T24" s="167">
        <f>IF(OR(D24="80% Non-LIHTC",D24="100%",D24="120%",D24="Over 120%", D24=""), 0, IF(D24="80% LIHTC", VLOOKUP(0.8,'00_5_LIHTC Data'!$C$20:$J$26,MATCH('02_1_INCOME'!B24,'00_5_LIHTC Data'!$D$18:$J$18,0)+1,FALSE), VLOOKUP(VALUE(D24),'00_5_LIHTC Data'!$C$20:$J$26,MATCH('02_1_INCOME'!B24,'00_5_LIHTC Data'!$D$18:$J$18,0)+1,FALSE)))</f>
        <v>0</v>
      </c>
      <c r="U24" s="1582">
        <f t="shared" si="79"/>
        <v>0</v>
      </c>
      <c r="V24" s="1579">
        <f t="shared" si="6"/>
        <v>0</v>
      </c>
      <c r="W24" s="1524">
        <f t="shared" si="7"/>
        <v>0</v>
      </c>
      <c r="X24" s="170">
        <f t="shared" si="8"/>
        <v>0</v>
      </c>
      <c r="Y24" s="170">
        <f t="shared" si="9"/>
        <v>0</v>
      </c>
      <c r="Z24" s="170">
        <f t="shared" si="10"/>
        <v>0</v>
      </c>
      <c r="AA24" s="171">
        <f t="shared" si="80"/>
        <v>0</v>
      </c>
      <c r="AB24" s="171">
        <f t="shared" si="81"/>
        <v>0</v>
      </c>
      <c r="AC24" s="160">
        <f t="shared" si="13"/>
        <v>0</v>
      </c>
      <c r="AD24" s="170">
        <f t="shared" si="14"/>
        <v>0</v>
      </c>
      <c r="AE24" s="170">
        <f t="shared" si="15"/>
        <v>0</v>
      </c>
      <c r="AF24" s="170">
        <f t="shared" si="16"/>
        <v>0</v>
      </c>
      <c r="AG24" s="170">
        <f t="shared" si="17"/>
        <v>0</v>
      </c>
      <c r="AH24" s="11">
        <f t="shared" si="74"/>
        <v>16</v>
      </c>
      <c r="AK24" s="175" t="str">
        <f t="shared" si="60"/>
        <v/>
      </c>
      <c r="AL24" s="175" t="str">
        <f t="shared" si="61"/>
        <v/>
      </c>
      <c r="AM24" s="175" t="str">
        <f t="shared" si="18"/>
        <v/>
      </c>
      <c r="AN24" s="175" t="str">
        <f t="shared" si="19"/>
        <v/>
      </c>
      <c r="AO24" s="175" t="str">
        <f t="shared" si="20"/>
        <v/>
      </c>
      <c r="AP24" s="175" t="str">
        <f t="shared" si="21"/>
        <v/>
      </c>
      <c r="AQ24" s="175" t="str">
        <f t="shared" si="22"/>
        <v/>
      </c>
      <c r="AR24" s="175" t="str">
        <f t="shared" si="23"/>
        <v/>
      </c>
      <c r="AT24" s="175" t="str">
        <f t="shared" si="62"/>
        <v/>
      </c>
      <c r="AU24" s="176" t="str">
        <f t="shared" si="63"/>
        <v/>
      </c>
      <c r="AV24" s="175" t="str">
        <f t="shared" si="24"/>
        <v/>
      </c>
      <c r="AW24" s="171" t="str">
        <f t="shared" si="25"/>
        <v/>
      </c>
      <c r="AX24" s="171" t="str">
        <f t="shared" si="26"/>
        <v/>
      </c>
      <c r="AY24" s="171" t="str">
        <f t="shared" si="27"/>
        <v/>
      </c>
      <c r="AZ24" s="171" t="str">
        <f t="shared" si="28"/>
        <v/>
      </c>
      <c r="BA24" s="171" t="str">
        <f t="shared" si="29"/>
        <v/>
      </c>
      <c r="BB24" s="173"/>
      <c r="BC24" s="175" t="str">
        <f t="shared" si="64"/>
        <v/>
      </c>
      <c r="BD24" s="176" t="str">
        <f t="shared" si="65"/>
        <v/>
      </c>
      <c r="BE24" s="176" t="str">
        <f t="shared" si="30"/>
        <v/>
      </c>
      <c r="BF24" s="171" t="str">
        <f t="shared" si="31"/>
        <v/>
      </c>
      <c r="BG24" s="171" t="str">
        <f t="shared" si="32"/>
        <v/>
      </c>
      <c r="BH24" s="171" t="str">
        <f t="shared" si="33"/>
        <v/>
      </c>
      <c r="BI24" s="171" t="str">
        <f t="shared" si="34"/>
        <v/>
      </c>
      <c r="BJ24" s="171" t="str">
        <f t="shared" si="35"/>
        <v/>
      </c>
      <c r="BK24" s="173"/>
      <c r="BL24" s="175" t="str">
        <f t="shared" si="66"/>
        <v/>
      </c>
      <c r="BM24" s="176" t="str">
        <f t="shared" si="67"/>
        <v/>
      </c>
      <c r="BN24" s="176" t="str">
        <f t="shared" si="36"/>
        <v/>
      </c>
      <c r="BO24" s="171" t="str">
        <f t="shared" si="37"/>
        <v/>
      </c>
      <c r="BP24" s="171" t="str">
        <f t="shared" si="38"/>
        <v/>
      </c>
      <c r="BQ24" s="171" t="str">
        <f t="shared" si="39"/>
        <v/>
      </c>
      <c r="BR24" s="171" t="str">
        <f t="shared" si="40"/>
        <v/>
      </c>
      <c r="BS24" s="171" t="str">
        <f t="shared" si="41"/>
        <v/>
      </c>
      <c r="BT24" s="173"/>
      <c r="BU24" s="175" t="str">
        <f t="shared" si="68"/>
        <v/>
      </c>
      <c r="BV24" s="176" t="str">
        <f t="shared" si="69"/>
        <v/>
      </c>
      <c r="BW24" s="176" t="str">
        <f t="shared" si="42"/>
        <v/>
      </c>
      <c r="BX24" s="171" t="str">
        <f t="shared" si="43"/>
        <v/>
      </c>
      <c r="BY24" s="171" t="str">
        <f t="shared" si="44"/>
        <v/>
      </c>
      <c r="BZ24" s="171" t="str">
        <f t="shared" si="45"/>
        <v/>
      </c>
      <c r="CA24" s="171" t="str">
        <f t="shared" si="46"/>
        <v/>
      </c>
      <c r="CB24" s="171" t="str">
        <f t="shared" si="47"/>
        <v/>
      </c>
      <c r="CC24" s="173"/>
      <c r="CD24" s="175" t="str">
        <f t="shared" si="70"/>
        <v/>
      </c>
      <c r="CE24" s="176" t="str">
        <f t="shared" si="71"/>
        <v/>
      </c>
      <c r="CF24" s="176" t="str">
        <f t="shared" si="48"/>
        <v/>
      </c>
      <c r="CG24" s="171" t="str">
        <f t="shared" si="49"/>
        <v/>
      </c>
      <c r="CH24" s="171" t="str">
        <f t="shared" si="50"/>
        <v/>
      </c>
      <c r="CI24" s="171" t="str">
        <f t="shared" si="51"/>
        <v/>
      </c>
      <c r="CJ24" s="171" t="str">
        <f t="shared" si="52"/>
        <v/>
      </c>
      <c r="CK24" s="171" t="str">
        <f t="shared" si="53"/>
        <v/>
      </c>
      <c r="CL24" s="173"/>
      <c r="CM24" s="175" t="str">
        <f t="shared" si="72"/>
        <v/>
      </c>
      <c r="CN24" s="176" t="str">
        <f t="shared" si="73"/>
        <v/>
      </c>
      <c r="CO24" s="176" t="str">
        <f t="shared" si="54"/>
        <v/>
      </c>
      <c r="CP24" s="171" t="str">
        <f t="shared" si="55"/>
        <v/>
      </c>
      <c r="CQ24" s="171" t="str">
        <f t="shared" si="56"/>
        <v/>
      </c>
      <c r="CR24" s="171" t="str">
        <f t="shared" si="57"/>
        <v/>
      </c>
      <c r="CS24" s="171" t="str">
        <f t="shared" si="58"/>
        <v/>
      </c>
      <c r="CT24" s="171" t="str">
        <f t="shared" si="59"/>
        <v/>
      </c>
    </row>
    <row r="25" spans="2:98" ht="15.75" hidden="1">
      <c r="B25" s="68"/>
      <c r="C25" s="68"/>
      <c r="D25" s="1402"/>
      <c r="E25" s="68"/>
      <c r="F25" s="83"/>
      <c r="G25" s="1401"/>
      <c r="H25" s="1401"/>
      <c r="I25" s="1520"/>
      <c r="J25" s="1404"/>
      <c r="K25" s="1404"/>
      <c r="L25" s="167">
        <f t="shared" si="0"/>
        <v>0</v>
      </c>
      <c r="M25" s="1403"/>
      <c r="N25" s="174">
        <f t="shared" si="75"/>
        <v>0</v>
      </c>
      <c r="O25" s="84"/>
      <c r="P25" s="167">
        <f t="shared" si="76"/>
        <v>0</v>
      </c>
      <c r="Q25" s="169">
        <f t="shared" si="77"/>
        <v>0</v>
      </c>
      <c r="R25" s="84"/>
      <c r="S25" s="167">
        <f t="shared" si="78"/>
        <v>0</v>
      </c>
      <c r="T25" s="167">
        <f>IF(OR(D25="80% Non-LIHTC",D25="100%",D25="120%",D25="Over 120%", D25=""), 0, IF(D25="80% LIHTC", VLOOKUP(0.8,'00_5_LIHTC Data'!$C$20:$J$26,MATCH('02_1_INCOME'!B25,'00_5_LIHTC Data'!$D$18:$J$18,0)+1,FALSE), VLOOKUP(VALUE(D25),'00_5_LIHTC Data'!$C$20:$J$26,MATCH('02_1_INCOME'!B25,'00_5_LIHTC Data'!$D$18:$J$18,0)+1,FALSE)))</f>
        <v>0</v>
      </c>
      <c r="U25" s="1582">
        <f t="shared" si="79"/>
        <v>0</v>
      </c>
      <c r="V25" s="1579">
        <f t="shared" si="6"/>
        <v>0</v>
      </c>
      <c r="W25" s="1524">
        <f t="shared" si="7"/>
        <v>0</v>
      </c>
      <c r="X25" s="170">
        <f t="shared" si="8"/>
        <v>0</v>
      </c>
      <c r="Y25" s="170">
        <f t="shared" si="9"/>
        <v>0</v>
      </c>
      <c r="Z25" s="170">
        <f t="shared" si="10"/>
        <v>0</v>
      </c>
      <c r="AA25" s="171">
        <f t="shared" si="80"/>
        <v>0</v>
      </c>
      <c r="AB25" s="171">
        <f t="shared" si="81"/>
        <v>0</v>
      </c>
      <c r="AC25" s="160">
        <f t="shared" si="13"/>
        <v>0</v>
      </c>
      <c r="AD25" s="170">
        <f t="shared" si="14"/>
        <v>0</v>
      </c>
      <c r="AE25" s="170">
        <f t="shared" si="15"/>
        <v>0</v>
      </c>
      <c r="AF25" s="170">
        <f t="shared" si="16"/>
        <v>0</v>
      </c>
      <c r="AG25" s="170">
        <f t="shared" si="17"/>
        <v>0</v>
      </c>
      <c r="AH25" s="11">
        <f t="shared" si="74"/>
        <v>17</v>
      </c>
      <c r="AK25" s="175" t="str">
        <f t="shared" si="60"/>
        <v/>
      </c>
      <c r="AL25" s="175" t="str">
        <f t="shared" si="61"/>
        <v/>
      </c>
      <c r="AM25" s="175" t="str">
        <f t="shared" si="18"/>
        <v/>
      </c>
      <c r="AN25" s="175" t="str">
        <f t="shared" si="19"/>
        <v/>
      </c>
      <c r="AO25" s="175" t="str">
        <f t="shared" si="20"/>
        <v/>
      </c>
      <c r="AP25" s="175" t="str">
        <f t="shared" si="21"/>
        <v/>
      </c>
      <c r="AQ25" s="175" t="str">
        <f t="shared" si="22"/>
        <v/>
      </c>
      <c r="AR25" s="175" t="str">
        <f t="shared" si="23"/>
        <v/>
      </c>
      <c r="AT25" s="175" t="str">
        <f t="shared" si="62"/>
        <v/>
      </c>
      <c r="AU25" s="176" t="str">
        <f t="shared" si="63"/>
        <v/>
      </c>
      <c r="AV25" s="175" t="str">
        <f t="shared" si="24"/>
        <v/>
      </c>
      <c r="AW25" s="171" t="str">
        <f t="shared" si="25"/>
        <v/>
      </c>
      <c r="AX25" s="171" t="str">
        <f t="shared" si="26"/>
        <v/>
      </c>
      <c r="AY25" s="171" t="str">
        <f t="shared" si="27"/>
        <v/>
      </c>
      <c r="AZ25" s="171" t="str">
        <f t="shared" si="28"/>
        <v/>
      </c>
      <c r="BA25" s="171" t="str">
        <f t="shared" si="29"/>
        <v/>
      </c>
      <c r="BB25" s="173"/>
      <c r="BC25" s="175" t="str">
        <f t="shared" si="64"/>
        <v/>
      </c>
      <c r="BD25" s="176" t="str">
        <f t="shared" si="65"/>
        <v/>
      </c>
      <c r="BE25" s="176" t="str">
        <f t="shared" si="30"/>
        <v/>
      </c>
      <c r="BF25" s="171" t="str">
        <f t="shared" si="31"/>
        <v/>
      </c>
      <c r="BG25" s="171" t="str">
        <f t="shared" si="32"/>
        <v/>
      </c>
      <c r="BH25" s="171" t="str">
        <f t="shared" si="33"/>
        <v/>
      </c>
      <c r="BI25" s="171" t="str">
        <f t="shared" si="34"/>
        <v/>
      </c>
      <c r="BJ25" s="171" t="str">
        <f t="shared" si="35"/>
        <v/>
      </c>
      <c r="BK25" s="173"/>
      <c r="BL25" s="175" t="str">
        <f t="shared" si="66"/>
        <v/>
      </c>
      <c r="BM25" s="176" t="str">
        <f t="shared" si="67"/>
        <v/>
      </c>
      <c r="BN25" s="176" t="str">
        <f t="shared" si="36"/>
        <v/>
      </c>
      <c r="BO25" s="171" t="str">
        <f t="shared" si="37"/>
        <v/>
      </c>
      <c r="BP25" s="171" t="str">
        <f t="shared" si="38"/>
        <v/>
      </c>
      <c r="BQ25" s="171" t="str">
        <f t="shared" si="39"/>
        <v/>
      </c>
      <c r="BR25" s="171" t="str">
        <f t="shared" si="40"/>
        <v/>
      </c>
      <c r="BS25" s="171" t="str">
        <f t="shared" si="41"/>
        <v/>
      </c>
      <c r="BT25" s="173"/>
      <c r="BU25" s="175" t="str">
        <f t="shared" si="68"/>
        <v/>
      </c>
      <c r="BV25" s="176" t="str">
        <f t="shared" si="69"/>
        <v/>
      </c>
      <c r="BW25" s="176" t="str">
        <f t="shared" si="42"/>
        <v/>
      </c>
      <c r="BX25" s="171" t="str">
        <f t="shared" si="43"/>
        <v/>
      </c>
      <c r="BY25" s="171" t="str">
        <f t="shared" si="44"/>
        <v/>
      </c>
      <c r="BZ25" s="171" t="str">
        <f t="shared" si="45"/>
        <v/>
      </c>
      <c r="CA25" s="171" t="str">
        <f t="shared" si="46"/>
        <v/>
      </c>
      <c r="CB25" s="171" t="str">
        <f t="shared" si="47"/>
        <v/>
      </c>
      <c r="CC25" s="173"/>
      <c r="CD25" s="175" t="str">
        <f t="shared" si="70"/>
        <v/>
      </c>
      <c r="CE25" s="176" t="str">
        <f t="shared" si="71"/>
        <v/>
      </c>
      <c r="CF25" s="176" t="str">
        <f t="shared" si="48"/>
        <v/>
      </c>
      <c r="CG25" s="171" t="str">
        <f t="shared" si="49"/>
        <v/>
      </c>
      <c r="CH25" s="171" t="str">
        <f t="shared" si="50"/>
        <v/>
      </c>
      <c r="CI25" s="171" t="str">
        <f t="shared" si="51"/>
        <v/>
      </c>
      <c r="CJ25" s="171" t="str">
        <f t="shared" si="52"/>
        <v/>
      </c>
      <c r="CK25" s="171" t="str">
        <f t="shared" si="53"/>
        <v/>
      </c>
      <c r="CL25" s="173"/>
      <c r="CM25" s="175" t="str">
        <f t="shared" si="72"/>
        <v/>
      </c>
      <c r="CN25" s="176" t="str">
        <f t="shared" si="73"/>
        <v/>
      </c>
      <c r="CO25" s="176" t="str">
        <f t="shared" si="54"/>
        <v/>
      </c>
      <c r="CP25" s="171" t="str">
        <f t="shared" si="55"/>
        <v/>
      </c>
      <c r="CQ25" s="171" t="str">
        <f t="shared" si="56"/>
        <v/>
      </c>
      <c r="CR25" s="171" t="str">
        <f t="shared" si="57"/>
        <v/>
      </c>
      <c r="CS25" s="171" t="str">
        <f t="shared" si="58"/>
        <v/>
      </c>
      <c r="CT25" s="171" t="str">
        <f t="shared" si="59"/>
        <v/>
      </c>
    </row>
    <row r="26" spans="2:98" ht="15.75" hidden="1">
      <c r="B26" s="68"/>
      <c r="C26" s="68"/>
      <c r="D26" s="1402"/>
      <c r="E26" s="68"/>
      <c r="F26" s="83"/>
      <c r="G26" s="1401"/>
      <c r="H26" s="1401"/>
      <c r="I26" s="1520"/>
      <c r="J26" s="1404"/>
      <c r="K26" s="1404"/>
      <c r="L26" s="167">
        <f t="shared" si="0"/>
        <v>0</v>
      </c>
      <c r="M26" s="1403"/>
      <c r="N26" s="174">
        <f t="shared" si="75"/>
        <v>0</v>
      </c>
      <c r="O26" s="84"/>
      <c r="P26" s="167">
        <f t="shared" si="76"/>
        <v>0</v>
      </c>
      <c r="Q26" s="169">
        <f t="shared" si="77"/>
        <v>0</v>
      </c>
      <c r="R26" s="84"/>
      <c r="S26" s="167">
        <f t="shared" si="78"/>
        <v>0</v>
      </c>
      <c r="T26" s="167">
        <f>IF(OR(D26="80% Non-LIHTC",D26="100%",D26="120%",D26="Over 120%", D26=""), 0, IF(D26="80% LIHTC", VLOOKUP(0.8,'00_5_LIHTC Data'!$C$20:$J$26,MATCH('02_1_INCOME'!B26,'00_5_LIHTC Data'!$D$18:$J$18,0)+1,FALSE), VLOOKUP(VALUE(D26),'00_5_LIHTC Data'!$C$20:$J$26,MATCH('02_1_INCOME'!B26,'00_5_LIHTC Data'!$D$18:$J$18,0)+1,FALSE)))</f>
        <v>0</v>
      </c>
      <c r="U26" s="1582">
        <f t="shared" si="79"/>
        <v>0</v>
      </c>
      <c r="V26" s="1579">
        <f t="shared" si="6"/>
        <v>0</v>
      </c>
      <c r="W26" s="1524">
        <f t="shared" si="7"/>
        <v>0</v>
      </c>
      <c r="X26" s="170">
        <f t="shared" si="8"/>
        <v>0</v>
      </c>
      <c r="Y26" s="170">
        <f t="shared" si="9"/>
        <v>0</v>
      </c>
      <c r="Z26" s="170">
        <f t="shared" si="10"/>
        <v>0</v>
      </c>
      <c r="AA26" s="171">
        <f t="shared" si="80"/>
        <v>0</v>
      </c>
      <c r="AB26" s="171">
        <f t="shared" si="81"/>
        <v>0</v>
      </c>
      <c r="AC26" s="160">
        <f t="shared" si="13"/>
        <v>0</v>
      </c>
      <c r="AD26" s="170">
        <f t="shared" si="14"/>
        <v>0</v>
      </c>
      <c r="AE26" s="170">
        <f t="shared" si="15"/>
        <v>0</v>
      </c>
      <c r="AF26" s="170">
        <f t="shared" si="16"/>
        <v>0</v>
      </c>
      <c r="AG26" s="170">
        <f t="shared" si="17"/>
        <v>0</v>
      </c>
      <c r="AH26" s="11">
        <f t="shared" si="74"/>
        <v>18</v>
      </c>
      <c r="AK26" s="175" t="str">
        <f t="shared" si="60"/>
        <v/>
      </c>
      <c r="AL26" s="175" t="str">
        <f t="shared" si="61"/>
        <v/>
      </c>
      <c r="AM26" s="175" t="str">
        <f t="shared" si="18"/>
        <v/>
      </c>
      <c r="AN26" s="175" t="str">
        <f t="shared" si="19"/>
        <v/>
      </c>
      <c r="AO26" s="175" t="str">
        <f t="shared" si="20"/>
        <v/>
      </c>
      <c r="AP26" s="175" t="str">
        <f t="shared" si="21"/>
        <v/>
      </c>
      <c r="AQ26" s="175" t="str">
        <f t="shared" si="22"/>
        <v/>
      </c>
      <c r="AR26" s="175" t="str">
        <f t="shared" si="23"/>
        <v/>
      </c>
      <c r="AT26" s="175" t="str">
        <f t="shared" si="62"/>
        <v/>
      </c>
      <c r="AU26" s="176" t="str">
        <f t="shared" si="63"/>
        <v/>
      </c>
      <c r="AV26" s="175" t="str">
        <f t="shared" si="24"/>
        <v/>
      </c>
      <c r="AW26" s="171" t="str">
        <f t="shared" si="25"/>
        <v/>
      </c>
      <c r="AX26" s="171" t="str">
        <f t="shared" si="26"/>
        <v/>
      </c>
      <c r="AY26" s="171" t="str">
        <f t="shared" si="27"/>
        <v/>
      </c>
      <c r="AZ26" s="171" t="str">
        <f t="shared" si="28"/>
        <v/>
      </c>
      <c r="BA26" s="171" t="str">
        <f t="shared" si="29"/>
        <v/>
      </c>
      <c r="BB26" s="173"/>
      <c r="BC26" s="175" t="str">
        <f t="shared" si="64"/>
        <v/>
      </c>
      <c r="BD26" s="176" t="str">
        <f t="shared" si="65"/>
        <v/>
      </c>
      <c r="BE26" s="176" t="str">
        <f t="shared" si="30"/>
        <v/>
      </c>
      <c r="BF26" s="171" t="str">
        <f t="shared" si="31"/>
        <v/>
      </c>
      <c r="BG26" s="171" t="str">
        <f t="shared" si="32"/>
        <v/>
      </c>
      <c r="BH26" s="171" t="str">
        <f t="shared" si="33"/>
        <v/>
      </c>
      <c r="BI26" s="171" t="str">
        <f t="shared" si="34"/>
        <v/>
      </c>
      <c r="BJ26" s="171" t="str">
        <f t="shared" si="35"/>
        <v/>
      </c>
      <c r="BK26" s="173"/>
      <c r="BL26" s="175" t="str">
        <f t="shared" si="66"/>
        <v/>
      </c>
      <c r="BM26" s="176" t="str">
        <f t="shared" si="67"/>
        <v/>
      </c>
      <c r="BN26" s="176" t="str">
        <f t="shared" si="36"/>
        <v/>
      </c>
      <c r="BO26" s="171" t="str">
        <f t="shared" si="37"/>
        <v/>
      </c>
      <c r="BP26" s="171" t="str">
        <f t="shared" si="38"/>
        <v/>
      </c>
      <c r="BQ26" s="171" t="str">
        <f t="shared" si="39"/>
        <v/>
      </c>
      <c r="BR26" s="171" t="str">
        <f t="shared" si="40"/>
        <v/>
      </c>
      <c r="BS26" s="171" t="str">
        <f t="shared" si="41"/>
        <v/>
      </c>
      <c r="BT26" s="173"/>
      <c r="BU26" s="175" t="str">
        <f t="shared" si="68"/>
        <v/>
      </c>
      <c r="BV26" s="176" t="str">
        <f t="shared" si="69"/>
        <v/>
      </c>
      <c r="BW26" s="176" t="str">
        <f t="shared" si="42"/>
        <v/>
      </c>
      <c r="BX26" s="171" t="str">
        <f t="shared" si="43"/>
        <v/>
      </c>
      <c r="BY26" s="171" t="str">
        <f t="shared" si="44"/>
        <v/>
      </c>
      <c r="BZ26" s="171" t="str">
        <f t="shared" si="45"/>
        <v/>
      </c>
      <c r="CA26" s="171" t="str">
        <f t="shared" si="46"/>
        <v/>
      </c>
      <c r="CB26" s="171" t="str">
        <f t="shared" si="47"/>
        <v/>
      </c>
      <c r="CC26" s="173"/>
      <c r="CD26" s="175" t="str">
        <f t="shared" si="70"/>
        <v/>
      </c>
      <c r="CE26" s="176" t="str">
        <f t="shared" si="71"/>
        <v/>
      </c>
      <c r="CF26" s="176" t="str">
        <f t="shared" si="48"/>
        <v/>
      </c>
      <c r="CG26" s="171" t="str">
        <f t="shared" si="49"/>
        <v/>
      </c>
      <c r="CH26" s="171" t="str">
        <f t="shared" si="50"/>
        <v/>
      </c>
      <c r="CI26" s="171" t="str">
        <f t="shared" si="51"/>
        <v/>
      </c>
      <c r="CJ26" s="171" t="str">
        <f t="shared" si="52"/>
        <v/>
      </c>
      <c r="CK26" s="171" t="str">
        <f t="shared" si="53"/>
        <v/>
      </c>
      <c r="CL26" s="173"/>
      <c r="CM26" s="175" t="str">
        <f t="shared" si="72"/>
        <v/>
      </c>
      <c r="CN26" s="176" t="str">
        <f t="shared" si="73"/>
        <v/>
      </c>
      <c r="CO26" s="176" t="str">
        <f t="shared" si="54"/>
        <v/>
      </c>
      <c r="CP26" s="171" t="str">
        <f t="shared" si="55"/>
        <v/>
      </c>
      <c r="CQ26" s="171" t="str">
        <f t="shared" si="56"/>
        <v/>
      </c>
      <c r="CR26" s="171" t="str">
        <f t="shared" si="57"/>
        <v/>
      </c>
      <c r="CS26" s="171" t="str">
        <f t="shared" si="58"/>
        <v/>
      </c>
      <c r="CT26" s="171" t="str">
        <f t="shared" si="59"/>
        <v/>
      </c>
    </row>
    <row r="27" spans="2:98" ht="15.75" hidden="1">
      <c r="B27" s="68"/>
      <c r="C27" s="68"/>
      <c r="D27" s="1402"/>
      <c r="E27" s="68"/>
      <c r="F27" s="83"/>
      <c r="G27" s="1401"/>
      <c r="H27" s="1401"/>
      <c r="I27" s="1520"/>
      <c r="J27" s="1404"/>
      <c r="K27" s="1404"/>
      <c r="L27" s="167">
        <f t="shared" si="0"/>
        <v>0</v>
      </c>
      <c r="M27" s="1403"/>
      <c r="N27" s="174">
        <f t="shared" si="75"/>
        <v>0</v>
      </c>
      <c r="O27" s="84"/>
      <c r="P27" s="167">
        <f t="shared" si="76"/>
        <v>0</v>
      </c>
      <c r="Q27" s="169">
        <f t="shared" si="77"/>
        <v>0</v>
      </c>
      <c r="R27" s="84"/>
      <c r="S27" s="167">
        <f t="shared" si="78"/>
        <v>0</v>
      </c>
      <c r="T27" s="167">
        <f>IF(OR(D27="80% Non-LIHTC",D27="100%",D27="120%",D27="Over 120%", D27=""), 0, IF(D27="80% LIHTC", VLOOKUP(0.8,'00_5_LIHTC Data'!$C$20:$J$26,MATCH('02_1_INCOME'!B27,'00_5_LIHTC Data'!$D$18:$J$18,0)+1,FALSE), VLOOKUP(VALUE(D27),'00_5_LIHTC Data'!$C$20:$J$26,MATCH('02_1_INCOME'!B27,'00_5_LIHTC Data'!$D$18:$J$18,0)+1,FALSE)))</f>
        <v>0</v>
      </c>
      <c r="U27" s="1582">
        <f t="shared" si="79"/>
        <v>0</v>
      </c>
      <c r="V27" s="1579">
        <f t="shared" si="6"/>
        <v>0</v>
      </c>
      <c r="W27" s="1524">
        <f t="shared" si="7"/>
        <v>0</v>
      </c>
      <c r="X27" s="170">
        <f t="shared" si="8"/>
        <v>0</v>
      </c>
      <c r="Y27" s="170">
        <f t="shared" si="9"/>
        <v>0</v>
      </c>
      <c r="Z27" s="170">
        <f t="shared" si="10"/>
        <v>0</v>
      </c>
      <c r="AA27" s="171">
        <f t="shared" si="80"/>
        <v>0</v>
      </c>
      <c r="AB27" s="171">
        <f t="shared" si="81"/>
        <v>0</v>
      </c>
      <c r="AC27" s="160">
        <f t="shared" si="13"/>
        <v>0</v>
      </c>
      <c r="AD27" s="170">
        <f t="shared" si="14"/>
        <v>0</v>
      </c>
      <c r="AE27" s="170">
        <f t="shared" si="15"/>
        <v>0</v>
      </c>
      <c r="AF27" s="170">
        <f t="shared" si="16"/>
        <v>0</v>
      </c>
      <c r="AG27" s="170">
        <f t="shared" si="17"/>
        <v>0</v>
      </c>
      <c r="AH27" s="11">
        <f t="shared" si="74"/>
        <v>19</v>
      </c>
      <c r="AK27" s="175" t="str">
        <f t="shared" si="60"/>
        <v/>
      </c>
      <c r="AL27" s="175" t="str">
        <f t="shared" si="61"/>
        <v/>
      </c>
      <c r="AM27" s="175" t="str">
        <f t="shared" si="18"/>
        <v/>
      </c>
      <c r="AN27" s="175" t="str">
        <f t="shared" si="19"/>
        <v/>
      </c>
      <c r="AO27" s="175" t="str">
        <f t="shared" si="20"/>
        <v/>
      </c>
      <c r="AP27" s="175" t="str">
        <f t="shared" si="21"/>
        <v/>
      </c>
      <c r="AQ27" s="175" t="str">
        <f t="shared" si="22"/>
        <v/>
      </c>
      <c r="AR27" s="175" t="str">
        <f t="shared" si="23"/>
        <v/>
      </c>
      <c r="AT27" s="175" t="str">
        <f t="shared" si="62"/>
        <v/>
      </c>
      <c r="AU27" s="176" t="str">
        <f t="shared" si="63"/>
        <v/>
      </c>
      <c r="AV27" s="175" t="str">
        <f t="shared" si="24"/>
        <v/>
      </c>
      <c r="AW27" s="171" t="str">
        <f t="shared" si="25"/>
        <v/>
      </c>
      <c r="AX27" s="171" t="str">
        <f t="shared" si="26"/>
        <v/>
      </c>
      <c r="AY27" s="171" t="str">
        <f t="shared" si="27"/>
        <v/>
      </c>
      <c r="AZ27" s="171" t="str">
        <f t="shared" si="28"/>
        <v/>
      </c>
      <c r="BA27" s="171" t="str">
        <f t="shared" si="29"/>
        <v/>
      </c>
      <c r="BB27" s="173"/>
      <c r="BC27" s="175" t="str">
        <f t="shared" si="64"/>
        <v/>
      </c>
      <c r="BD27" s="176" t="str">
        <f t="shared" si="65"/>
        <v/>
      </c>
      <c r="BE27" s="176" t="str">
        <f t="shared" si="30"/>
        <v/>
      </c>
      <c r="BF27" s="171" t="str">
        <f t="shared" si="31"/>
        <v/>
      </c>
      <c r="BG27" s="171" t="str">
        <f t="shared" si="32"/>
        <v/>
      </c>
      <c r="BH27" s="171" t="str">
        <f t="shared" si="33"/>
        <v/>
      </c>
      <c r="BI27" s="171" t="str">
        <f t="shared" si="34"/>
        <v/>
      </c>
      <c r="BJ27" s="171" t="str">
        <f t="shared" si="35"/>
        <v/>
      </c>
      <c r="BK27" s="173"/>
      <c r="BL27" s="175" t="str">
        <f t="shared" si="66"/>
        <v/>
      </c>
      <c r="BM27" s="176" t="str">
        <f t="shared" si="67"/>
        <v/>
      </c>
      <c r="BN27" s="176" t="str">
        <f t="shared" si="36"/>
        <v/>
      </c>
      <c r="BO27" s="171" t="str">
        <f t="shared" si="37"/>
        <v/>
      </c>
      <c r="BP27" s="171" t="str">
        <f t="shared" si="38"/>
        <v/>
      </c>
      <c r="BQ27" s="171" t="str">
        <f t="shared" si="39"/>
        <v/>
      </c>
      <c r="BR27" s="171" t="str">
        <f t="shared" si="40"/>
        <v/>
      </c>
      <c r="BS27" s="171" t="str">
        <f t="shared" si="41"/>
        <v/>
      </c>
      <c r="BT27" s="173"/>
      <c r="BU27" s="175" t="str">
        <f t="shared" si="68"/>
        <v/>
      </c>
      <c r="BV27" s="176" t="str">
        <f t="shared" si="69"/>
        <v/>
      </c>
      <c r="BW27" s="176" t="str">
        <f t="shared" si="42"/>
        <v/>
      </c>
      <c r="BX27" s="171" t="str">
        <f t="shared" si="43"/>
        <v/>
      </c>
      <c r="BY27" s="171" t="str">
        <f t="shared" si="44"/>
        <v/>
      </c>
      <c r="BZ27" s="171" t="str">
        <f t="shared" si="45"/>
        <v/>
      </c>
      <c r="CA27" s="171" t="str">
        <f t="shared" si="46"/>
        <v/>
      </c>
      <c r="CB27" s="171" t="str">
        <f t="shared" si="47"/>
        <v/>
      </c>
      <c r="CC27" s="173"/>
      <c r="CD27" s="175" t="str">
        <f t="shared" si="70"/>
        <v/>
      </c>
      <c r="CE27" s="176" t="str">
        <f t="shared" si="71"/>
        <v/>
      </c>
      <c r="CF27" s="176" t="str">
        <f t="shared" si="48"/>
        <v/>
      </c>
      <c r="CG27" s="171" t="str">
        <f t="shared" si="49"/>
        <v/>
      </c>
      <c r="CH27" s="171" t="str">
        <f t="shared" si="50"/>
        <v/>
      </c>
      <c r="CI27" s="171" t="str">
        <f t="shared" si="51"/>
        <v/>
      </c>
      <c r="CJ27" s="171" t="str">
        <f t="shared" si="52"/>
        <v/>
      </c>
      <c r="CK27" s="171" t="str">
        <f t="shared" si="53"/>
        <v/>
      </c>
      <c r="CL27" s="173"/>
      <c r="CM27" s="175" t="str">
        <f t="shared" si="72"/>
        <v/>
      </c>
      <c r="CN27" s="176" t="str">
        <f t="shared" si="73"/>
        <v/>
      </c>
      <c r="CO27" s="176" t="str">
        <f t="shared" si="54"/>
        <v/>
      </c>
      <c r="CP27" s="171" t="str">
        <f t="shared" si="55"/>
        <v/>
      </c>
      <c r="CQ27" s="171" t="str">
        <f t="shared" si="56"/>
        <v/>
      </c>
      <c r="CR27" s="171" t="str">
        <f t="shared" si="57"/>
        <v/>
      </c>
      <c r="CS27" s="171" t="str">
        <f t="shared" si="58"/>
        <v/>
      </c>
      <c r="CT27" s="171" t="str">
        <f t="shared" si="59"/>
        <v/>
      </c>
    </row>
    <row r="28" spans="2:98" ht="15.75" hidden="1">
      <c r="B28" s="68"/>
      <c r="C28" s="68"/>
      <c r="D28" s="1402"/>
      <c r="E28" s="68"/>
      <c r="F28" s="83"/>
      <c r="G28" s="1401"/>
      <c r="H28" s="1401"/>
      <c r="I28" s="1520"/>
      <c r="J28" s="1404"/>
      <c r="K28" s="1404"/>
      <c r="L28" s="167">
        <f t="shared" si="0"/>
        <v>0</v>
      </c>
      <c r="M28" s="1403"/>
      <c r="N28" s="174">
        <f t="shared" si="75"/>
        <v>0</v>
      </c>
      <c r="O28" s="84"/>
      <c r="P28" s="167">
        <f t="shared" si="76"/>
        <v>0</v>
      </c>
      <c r="Q28" s="169">
        <f t="shared" si="77"/>
        <v>0</v>
      </c>
      <c r="R28" s="84"/>
      <c r="S28" s="167">
        <f t="shared" si="78"/>
        <v>0</v>
      </c>
      <c r="T28" s="167">
        <f>IF(OR(D28="80% Non-LIHTC",D28="100%",D28="120%",D28="Over 120%", D28=""), 0, IF(D28="80% LIHTC", VLOOKUP(0.8,'00_5_LIHTC Data'!$C$20:$J$26,MATCH('02_1_INCOME'!B28,'00_5_LIHTC Data'!$D$18:$J$18,0)+1,FALSE), VLOOKUP(VALUE(D28),'00_5_LIHTC Data'!$C$20:$J$26,MATCH('02_1_INCOME'!B28,'00_5_LIHTC Data'!$D$18:$J$18,0)+1,FALSE)))</f>
        <v>0</v>
      </c>
      <c r="U28" s="1582">
        <f t="shared" si="79"/>
        <v>0</v>
      </c>
      <c r="V28" s="1579">
        <f t="shared" si="6"/>
        <v>0</v>
      </c>
      <c r="W28" s="1524">
        <f t="shared" si="7"/>
        <v>0</v>
      </c>
      <c r="X28" s="170">
        <f t="shared" si="8"/>
        <v>0</v>
      </c>
      <c r="Y28" s="170">
        <f t="shared" si="9"/>
        <v>0</v>
      </c>
      <c r="Z28" s="170">
        <f t="shared" si="10"/>
        <v>0</v>
      </c>
      <c r="AA28" s="171">
        <f t="shared" si="80"/>
        <v>0</v>
      </c>
      <c r="AB28" s="171">
        <f t="shared" si="81"/>
        <v>0</v>
      </c>
      <c r="AC28" s="160">
        <f t="shared" si="13"/>
        <v>0</v>
      </c>
      <c r="AD28" s="170">
        <f t="shared" si="14"/>
        <v>0</v>
      </c>
      <c r="AE28" s="170">
        <f t="shared" si="15"/>
        <v>0</v>
      </c>
      <c r="AF28" s="170">
        <f t="shared" si="16"/>
        <v>0</v>
      </c>
      <c r="AG28" s="170">
        <f t="shared" si="17"/>
        <v>0</v>
      </c>
      <c r="AH28" s="11">
        <f t="shared" si="74"/>
        <v>20</v>
      </c>
      <c r="AK28" s="175" t="str">
        <f t="shared" si="60"/>
        <v/>
      </c>
      <c r="AL28" s="175" t="str">
        <f t="shared" si="61"/>
        <v/>
      </c>
      <c r="AM28" s="175" t="str">
        <f t="shared" si="18"/>
        <v/>
      </c>
      <c r="AN28" s="175" t="str">
        <f t="shared" si="19"/>
        <v/>
      </c>
      <c r="AO28" s="175" t="str">
        <f t="shared" si="20"/>
        <v/>
      </c>
      <c r="AP28" s="175" t="str">
        <f t="shared" si="21"/>
        <v/>
      </c>
      <c r="AQ28" s="175" t="str">
        <f t="shared" si="22"/>
        <v/>
      </c>
      <c r="AR28" s="175" t="str">
        <f t="shared" si="23"/>
        <v/>
      </c>
      <c r="AT28" s="175" t="str">
        <f t="shared" si="62"/>
        <v/>
      </c>
      <c r="AU28" s="176" t="str">
        <f t="shared" si="63"/>
        <v/>
      </c>
      <c r="AV28" s="175" t="str">
        <f t="shared" si="24"/>
        <v/>
      </c>
      <c r="AW28" s="171" t="str">
        <f t="shared" si="25"/>
        <v/>
      </c>
      <c r="AX28" s="171" t="str">
        <f t="shared" si="26"/>
        <v/>
      </c>
      <c r="AY28" s="171" t="str">
        <f t="shared" si="27"/>
        <v/>
      </c>
      <c r="AZ28" s="171" t="str">
        <f t="shared" si="28"/>
        <v/>
      </c>
      <c r="BA28" s="171" t="str">
        <f t="shared" si="29"/>
        <v/>
      </c>
      <c r="BB28" s="173"/>
      <c r="BC28" s="175" t="str">
        <f t="shared" si="64"/>
        <v/>
      </c>
      <c r="BD28" s="176" t="str">
        <f t="shared" si="65"/>
        <v/>
      </c>
      <c r="BE28" s="176" t="str">
        <f t="shared" si="30"/>
        <v/>
      </c>
      <c r="BF28" s="171" t="str">
        <f t="shared" si="31"/>
        <v/>
      </c>
      <c r="BG28" s="171" t="str">
        <f t="shared" si="32"/>
        <v/>
      </c>
      <c r="BH28" s="171" t="str">
        <f t="shared" si="33"/>
        <v/>
      </c>
      <c r="BI28" s="171" t="str">
        <f t="shared" si="34"/>
        <v/>
      </c>
      <c r="BJ28" s="171" t="str">
        <f t="shared" si="35"/>
        <v/>
      </c>
      <c r="BK28" s="173"/>
      <c r="BL28" s="175" t="str">
        <f t="shared" si="66"/>
        <v/>
      </c>
      <c r="BM28" s="176" t="str">
        <f t="shared" si="67"/>
        <v/>
      </c>
      <c r="BN28" s="176" t="str">
        <f t="shared" si="36"/>
        <v/>
      </c>
      <c r="BO28" s="171" t="str">
        <f t="shared" si="37"/>
        <v/>
      </c>
      <c r="BP28" s="171" t="str">
        <f t="shared" si="38"/>
        <v/>
      </c>
      <c r="BQ28" s="171" t="str">
        <f t="shared" si="39"/>
        <v/>
      </c>
      <c r="BR28" s="171" t="str">
        <f t="shared" si="40"/>
        <v/>
      </c>
      <c r="BS28" s="171" t="str">
        <f t="shared" si="41"/>
        <v/>
      </c>
      <c r="BT28" s="173"/>
      <c r="BU28" s="175" t="str">
        <f t="shared" si="68"/>
        <v/>
      </c>
      <c r="BV28" s="176" t="str">
        <f t="shared" si="69"/>
        <v/>
      </c>
      <c r="BW28" s="176" t="str">
        <f t="shared" si="42"/>
        <v/>
      </c>
      <c r="BX28" s="171" t="str">
        <f t="shared" si="43"/>
        <v/>
      </c>
      <c r="BY28" s="171" t="str">
        <f t="shared" si="44"/>
        <v/>
      </c>
      <c r="BZ28" s="171" t="str">
        <f t="shared" si="45"/>
        <v/>
      </c>
      <c r="CA28" s="171" t="str">
        <f t="shared" si="46"/>
        <v/>
      </c>
      <c r="CB28" s="171" t="str">
        <f t="shared" si="47"/>
        <v/>
      </c>
      <c r="CC28" s="173"/>
      <c r="CD28" s="175" t="str">
        <f t="shared" si="70"/>
        <v/>
      </c>
      <c r="CE28" s="176" t="str">
        <f t="shared" si="71"/>
        <v/>
      </c>
      <c r="CF28" s="176" t="str">
        <f t="shared" si="48"/>
        <v/>
      </c>
      <c r="CG28" s="171" t="str">
        <f t="shared" si="49"/>
        <v/>
      </c>
      <c r="CH28" s="171" t="str">
        <f t="shared" si="50"/>
        <v/>
      </c>
      <c r="CI28" s="171" t="str">
        <f t="shared" si="51"/>
        <v/>
      </c>
      <c r="CJ28" s="171" t="str">
        <f t="shared" si="52"/>
        <v/>
      </c>
      <c r="CK28" s="171" t="str">
        <f t="shared" si="53"/>
        <v/>
      </c>
      <c r="CL28" s="173"/>
      <c r="CM28" s="175" t="str">
        <f t="shared" si="72"/>
        <v/>
      </c>
      <c r="CN28" s="176" t="str">
        <f t="shared" si="73"/>
        <v/>
      </c>
      <c r="CO28" s="176" t="str">
        <f t="shared" si="54"/>
        <v/>
      </c>
      <c r="CP28" s="171" t="str">
        <f t="shared" si="55"/>
        <v/>
      </c>
      <c r="CQ28" s="171" t="str">
        <f t="shared" si="56"/>
        <v/>
      </c>
      <c r="CR28" s="171" t="str">
        <f t="shared" si="57"/>
        <v/>
      </c>
      <c r="CS28" s="171" t="str">
        <f t="shared" si="58"/>
        <v/>
      </c>
      <c r="CT28" s="171" t="str">
        <f t="shared" si="59"/>
        <v/>
      </c>
    </row>
    <row r="29" spans="2:98" ht="15.75" hidden="1">
      <c r="B29" s="68"/>
      <c r="C29" s="68"/>
      <c r="D29" s="1402"/>
      <c r="E29" s="68"/>
      <c r="F29" s="83"/>
      <c r="G29" s="1401"/>
      <c r="H29" s="1401"/>
      <c r="I29" s="1520"/>
      <c r="J29" s="1404"/>
      <c r="K29" s="1404"/>
      <c r="L29" s="167">
        <f t="shared" si="0"/>
        <v>0</v>
      </c>
      <c r="M29" s="1403"/>
      <c r="N29" s="174">
        <f t="shared" si="75"/>
        <v>0</v>
      </c>
      <c r="O29" s="84"/>
      <c r="P29" s="167">
        <f t="shared" si="76"/>
        <v>0</v>
      </c>
      <c r="Q29" s="169">
        <f t="shared" si="77"/>
        <v>0</v>
      </c>
      <c r="R29" s="84"/>
      <c r="S29" s="167">
        <f t="shared" si="78"/>
        <v>0</v>
      </c>
      <c r="T29" s="167">
        <f>IF(OR(D29="80% Non-LIHTC",D29="100%",D29="120%",D29="Over 120%", D29=""), 0, IF(D29="80% LIHTC", VLOOKUP(0.8,'00_5_LIHTC Data'!$C$20:$J$26,MATCH('02_1_INCOME'!B29,'00_5_LIHTC Data'!$D$18:$J$18,0)+1,FALSE), VLOOKUP(VALUE(D29),'00_5_LIHTC Data'!$C$20:$J$26,MATCH('02_1_INCOME'!B29,'00_5_LIHTC Data'!$D$18:$J$18,0)+1,FALSE)))</f>
        <v>0</v>
      </c>
      <c r="U29" s="1582">
        <f t="shared" si="79"/>
        <v>0</v>
      </c>
      <c r="V29" s="1579">
        <f t="shared" si="6"/>
        <v>0</v>
      </c>
      <c r="W29" s="1524">
        <f t="shared" si="7"/>
        <v>0</v>
      </c>
      <c r="X29" s="170">
        <f t="shared" si="8"/>
        <v>0</v>
      </c>
      <c r="Y29" s="170">
        <f t="shared" si="9"/>
        <v>0</v>
      </c>
      <c r="Z29" s="170">
        <f t="shared" si="10"/>
        <v>0</v>
      </c>
      <c r="AA29" s="171">
        <f t="shared" si="80"/>
        <v>0</v>
      </c>
      <c r="AB29" s="171">
        <f t="shared" si="81"/>
        <v>0</v>
      </c>
      <c r="AC29" s="160">
        <f t="shared" si="13"/>
        <v>0</v>
      </c>
      <c r="AD29" s="170">
        <f t="shared" si="14"/>
        <v>0</v>
      </c>
      <c r="AE29" s="170">
        <f t="shared" si="15"/>
        <v>0</v>
      </c>
      <c r="AF29" s="170">
        <f t="shared" si="16"/>
        <v>0</v>
      </c>
      <c r="AG29" s="170">
        <f t="shared" si="17"/>
        <v>0</v>
      </c>
      <c r="AH29" s="11">
        <f t="shared" si="74"/>
        <v>21</v>
      </c>
      <c r="AK29" s="175" t="str">
        <f t="shared" si="60"/>
        <v/>
      </c>
      <c r="AL29" s="175" t="str">
        <f t="shared" si="61"/>
        <v/>
      </c>
      <c r="AM29" s="175" t="str">
        <f t="shared" si="18"/>
        <v/>
      </c>
      <c r="AN29" s="175" t="str">
        <f t="shared" si="19"/>
        <v/>
      </c>
      <c r="AO29" s="175" t="str">
        <f t="shared" si="20"/>
        <v/>
      </c>
      <c r="AP29" s="175" t="str">
        <f t="shared" si="21"/>
        <v/>
      </c>
      <c r="AQ29" s="175" t="str">
        <f t="shared" si="22"/>
        <v/>
      </c>
      <c r="AR29" s="175" t="str">
        <f t="shared" si="23"/>
        <v/>
      </c>
      <c r="AT29" s="175" t="str">
        <f t="shared" si="62"/>
        <v/>
      </c>
      <c r="AU29" s="176" t="str">
        <f t="shared" si="63"/>
        <v/>
      </c>
      <c r="AV29" s="175" t="str">
        <f t="shared" si="24"/>
        <v/>
      </c>
      <c r="AW29" s="171" t="str">
        <f t="shared" si="25"/>
        <v/>
      </c>
      <c r="AX29" s="171" t="str">
        <f t="shared" si="26"/>
        <v/>
      </c>
      <c r="AY29" s="171" t="str">
        <f t="shared" si="27"/>
        <v/>
      </c>
      <c r="AZ29" s="171" t="str">
        <f t="shared" si="28"/>
        <v/>
      </c>
      <c r="BA29" s="171" t="str">
        <f t="shared" si="29"/>
        <v/>
      </c>
      <c r="BB29" s="173"/>
      <c r="BC29" s="175" t="str">
        <f t="shared" si="64"/>
        <v/>
      </c>
      <c r="BD29" s="176" t="str">
        <f t="shared" si="65"/>
        <v/>
      </c>
      <c r="BE29" s="176" t="str">
        <f t="shared" si="30"/>
        <v/>
      </c>
      <c r="BF29" s="171" t="str">
        <f t="shared" si="31"/>
        <v/>
      </c>
      <c r="BG29" s="171" t="str">
        <f t="shared" si="32"/>
        <v/>
      </c>
      <c r="BH29" s="171" t="str">
        <f t="shared" si="33"/>
        <v/>
      </c>
      <c r="BI29" s="171" t="str">
        <f t="shared" si="34"/>
        <v/>
      </c>
      <c r="BJ29" s="171" t="str">
        <f t="shared" si="35"/>
        <v/>
      </c>
      <c r="BK29" s="173"/>
      <c r="BL29" s="175" t="str">
        <f t="shared" si="66"/>
        <v/>
      </c>
      <c r="BM29" s="176" t="str">
        <f t="shared" si="67"/>
        <v/>
      </c>
      <c r="BN29" s="176" t="str">
        <f t="shared" si="36"/>
        <v/>
      </c>
      <c r="BO29" s="171" t="str">
        <f t="shared" si="37"/>
        <v/>
      </c>
      <c r="BP29" s="171" t="str">
        <f t="shared" si="38"/>
        <v/>
      </c>
      <c r="BQ29" s="171" t="str">
        <f t="shared" si="39"/>
        <v/>
      </c>
      <c r="BR29" s="171" t="str">
        <f t="shared" si="40"/>
        <v/>
      </c>
      <c r="BS29" s="171" t="str">
        <f t="shared" si="41"/>
        <v/>
      </c>
      <c r="BT29" s="173"/>
      <c r="BU29" s="175" t="str">
        <f t="shared" si="68"/>
        <v/>
      </c>
      <c r="BV29" s="176" t="str">
        <f t="shared" si="69"/>
        <v/>
      </c>
      <c r="BW29" s="176" t="str">
        <f t="shared" si="42"/>
        <v/>
      </c>
      <c r="BX29" s="171" t="str">
        <f t="shared" si="43"/>
        <v/>
      </c>
      <c r="BY29" s="171" t="str">
        <f t="shared" si="44"/>
        <v/>
      </c>
      <c r="BZ29" s="171" t="str">
        <f t="shared" si="45"/>
        <v/>
      </c>
      <c r="CA29" s="171" t="str">
        <f t="shared" si="46"/>
        <v/>
      </c>
      <c r="CB29" s="171" t="str">
        <f t="shared" si="47"/>
        <v/>
      </c>
      <c r="CC29" s="173"/>
      <c r="CD29" s="175" t="str">
        <f t="shared" si="70"/>
        <v/>
      </c>
      <c r="CE29" s="176" t="str">
        <f t="shared" si="71"/>
        <v/>
      </c>
      <c r="CF29" s="176" t="str">
        <f t="shared" si="48"/>
        <v/>
      </c>
      <c r="CG29" s="171" t="str">
        <f t="shared" si="49"/>
        <v/>
      </c>
      <c r="CH29" s="171" t="str">
        <f t="shared" si="50"/>
        <v/>
      </c>
      <c r="CI29" s="171" t="str">
        <f t="shared" si="51"/>
        <v/>
      </c>
      <c r="CJ29" s="171" t="str">
        <f t="shared" si="52"/>
        <v/>
      </c>
      <c r="CK29" s="171" t="str">
        <f t="shared" si="53"/>
        <v/>
      </c>
      <c r="CL29" s="173"/>
      <c r="CM29" s="175" t="str">
        <f t="shared" si="72"/>
        <v/>
      </c>
      <c r="CN29" s="176" t="str">
        <f t="shared" si="73"/>
        <v/>
      </c>
      <c r="CO29" s="176" t="str">
        <f t="shared" si="54"/>
        <v/>
      </c>
      <c r="CP29" s="171" t="str">
        <f t="shared" si="55"/>
        <v/>
      </c>
      <c r="CQ29" s="171" t="str">
        <f t="shared" si="56"/>
        <v/>
      </c>
      <c r="CR29" s="171" t="str">
        <f t="shared" si="57"/>
        <v/>
      </c>
      <c r="CS29" s="171" t="str">
        <f t="shared" si="58"/>
        <v/>
      </c>
      <c r="CT29" s="171" t="str">
        <f t="shared" si="59"/>
        <v/>
      </c>
    </row>
    <row r="30" spans="2:98" ht="15.75" hidden="1">
      <c r="B30" s="68"/>
      <c r="C30" s="68"/>
      <c r="D30" s="1402"/>
      <c r="E30" s="68"/>
      <c r="F30" s="83"/>
      <c r="G30" s="1401"/>
      <c r="H30" s="1401"/>
      <c r="I30" s="1520"/>
      <c r="J30" s="1404"/>
      <c r="K30" s="1404"/>
      <c r="L30" s="167">
        <f t="shared" si="0"/>
        <v>0</v>
      </c>
      <c r="M30" s="1403"/>
      <c r="N30" s="174">
        <f t="shared" si="75"/>
        <v>0</v>
      </c>
      <c r="O30" s="84"/>
      <c r="P30" s="167">
        <f t="shared" si="76"/>
        <v>0</v>
      </c>
      <c r="Q30" s="169">
        <f t="shared" si="77"/>
        <v>0</v>
      </c>
      <c r="R30" s="84"/>
      <c r="S30" s="167">
        <f t="shared" si="78"/>
        <v>0</v>
      </c>
      <c r="T30" s="167">
        <f>IF(OR(D30="80% Non-LIHTC",D30="100%",D30="120%",D30="Over 120%", D30=""), 0, IF(D30="80% LIHTC", VLOOKUP(0.8,'00_5_LIHTC Data'!$C$20:$J$26,MATCH('02_1_INCOME'!B30,'00_5_LIHTC Data'!$D$18:$J$18,0)+1,FALSE), VLOOKUP(VALUE(D30),'00_5_LIHTC Data'!$C$20:$J$26,MATCH('02_1_INCOME'!B30,'00_5_LIHTC Data'!$D$18:$J$18,0)+1,FALSE)))</f>
        <v>0</v>
      </c>
      <c r="U30" s="1582">
        <f t="shared" si="79"/>
        <v>0</v>
      </c>
      <c r="V30" s="1579">
        <f t="shared" si="6"/>
        <v>0</v>
      </c>
      <c r="W30" s="1524">
        <f t="shared" si="7"/>
        <v>0</v>
      </c>
      <c r="X30" s="170">
        <f t="shared" si="8"/>
        <v>0</v>
      </c>
      <c r="Y30" s="170">
        <f t="shared" si="9"/>
        <v>0</v>
      </c>
      <c r="Z30" s="170">
        <f t="shared" si="10"/>
        <v>0</v>
      </c>
      <c r="AA30" s="171">
        <f t="shared" si="80"/>
        <v>0</v>
      </c>
      <c r="AB30" s="171">
        <f t="shared" si="81"/>
        <v>0</v>
      </c>
      <c r="AC30" s="160">
        <f t="shared" si="13"/>
        <v>0</v>
      </c>
      <c r="AD30" s="170">
        <f t="shared" si="14"/>
        <v>0</v>
      </c>
      <c r="AE30" s="170">
        <f t="shared" si="15"/>
        <v>0</v>
      </c>
      <c r="AF30" s="170">
        <f t="shared" si="16"/>
        <v>0</v>
      </c>
      <c r="AG30" s="170">
        <f t="shared" si="17"/>
        <v>0</v>
      </c>
      <c r="AH30" s="11">
        <f t="shared" si="74"/>
        <v>22</v>
      </c>
      <c r="AK30" s="175" t="str">
        <f t="shared" si="60"/>
        <v/>
      </c>
      <c r="AL30" s="175" t="str">
        <f t="shared" si="61"/>
        <v/>
      </c>
      <c r="AM30" s="175" t="str">
        <f t="shared" si="18"/>
        <v/>
      </c>
      <c r="AN30" s="175" t="str">
        <f t="shared" si="19"/>
        <v/>
      </c>
      <c r="AO30" s="175" t="str">
        <f t="shared" si="20"/>
        <v/>
      </c>
      <c r="AP30" s="175" t="str">
        <f t="shared" si="21"/>
        <v/>
      </c>
      <c r="AQ30" s="175" t="str">
        <f t="shared" si="22"/>
        <v/>
      </c>
      <c r="AR30" s="175" t="str">
        <f t="shared" si="23"/>
        <v/>
      </c>
      <c r="AT30" s="175" t="str">
        <f t="shared" si="62"/>
        <v/>
      </c>
      <c r="AU30" s="176" t="str">
        <f t="shared" si="63"/>
        <v/>
      </c>
      <c r="AV30" s="175" t="str">
        <f t="shared" si="24"/>
        <v/>
      </c>
      <c r="AW30" s="171" t="str">
        <f t="shared" si="25"/>
        <v/>
      </c>
      <c r="AX30" s="171" t="str">
        <f t="shared" si="26"/>
        <v/>
      </c>
      <c r="AY30" s="171" t="str">
        <f t="shared" si="27"/>
        <v/>
      </c>
      <c r="AZ30" s="171" t="str">
        <f t="shared" si="28"/>
        <v/>
      </c>
      <c r="BA30" s="171" t="str">
        <f t="shared" si="29"/>
        <v/>
      </c>
      <c r="BB30" s="173"/>
      <c r="BC30" s="175" t="str">
        <f t="shared" si="64"/>
        <v/>
      </c>
      <c r="BD30" s="176" t="str">
        <f t="shared" si="65"/>
        <v/>
      </c>
      <c r="BE30" s="176" t="str">
        <f t="shared" si="30"/>
        <v/>
      </c>
      <c r="BF30" s="171" t="str">
        <f t="shared" si="31"/>
        <v/>
      </c>
      <c r="BG30" s="171" t="str">
        <f t="shared" si="32"/>
        <v/>
      </c>
      <c r="BH30" s="171" t="str">
        <f t="shared" si="33"/>
        <v/>
      </c>
      <c r="BI30" s="171" t="str">
        <f t="shared" si="34"/>
        <v/>
      </c>
      <c r="BJ30" s="171" t="str">
        <f t="shared" si="35"/>
        <v/>
      </c>
      <c r="BK30" s="173"/>
      <c r="BL30" s="175" t="str">
        <f t="shared" si="66"/>
        <v/>
      </c>
      <c r="BM30" s="176" t="str">
        <f t="shared" si="67"/>
        <v/>
      </c>
      <c r="BN30" s="176" t="str">
        <f t="shared" si="36"/>
        <v/>
      </c>
      <c r="BO30" s="171" t="str">
        <f t="shared" si="37"/>
        <v/>
      </c>
      <c r="BP30" s="171" t="str">
        <f t="shared" si="38"/>
        <v/>
      </c>
      <c r="BQ30" s="171" t="str">
        <f t="shared" si="39"/>
        <v/>
      </c>
      <c r="BR30" s="171" t="str">
        <f t="shared" si="40"/>
        <v/>
      </c>
      <c r="BS30" s="171" t="str">
        <f t="shared" si="41"/>
        <v/>
      </c>
      <c r="BT30" s="173"/>
      <c r="BU30" s="175" t="str">
        <f t="shared" si="68"/>
        <v/>
      </c>
      <c r="BV30" s="176" t="str">
        <f t="shared" si="69"/>
        <v/>
      </c>
      <c r="BW30" s="176" t="str">
        <f t="shared" si="42"/>
        <v/>
      </c>
      <c r="BX30" s="171" t="str">
        <f t="shared" si="43"/>
        <v/>
      </c>
      <c r="BY30" s="171" t="str">
        <f t="shared" si="44"/>
        <v/>
      </c>
      <c r="BZ30" s="171" t="str">
        <f t="shared" si="45"/>
        <v/>
      </c>
      <c r="CA30" s="171" t="str">
        <f t="shared" si="46"/>
        <v/>
      </c>
      <c r="CB30" s="171" t="str">
        <f t="shared" si="47"/>
        <v/>
      </c>
      <c r="CC30" s="173"/>
      <c r="CD30" s="175" t="str">
        <f t="shared" si="70"/>
        <v/>
      </c>
      <c r="CE30" s="176" t="str">
        <f t="shared" si="71"/>
        <v/>
      </c>
      <c r="CF30" s="176" t="str">
        <f t="shared" si="48"/>
        <v/>
      </c>
      <c r="CG30" s="171" t="str">
        <f t="shared" si="49"/>
        <v/>
      </c>
      <c r="CH30" s="171" t="str">
        <f t="shared" si="50"/>
        <v/>
      </c>
      <c r="CI30" s="171" t="str">
        <f t="shared" si="51"/>
        <v/>
      </c>
      <c r="CJ30" s="171" t="str">
        <f t="shared" si="52"/>
        <v/>
      </c>
      <c r="CK30" s="171" t="str">
        <f t="shared" si="53"/>
        <v/>
      </c>
      <c r="CL30" s="173"/>
      <c r="CM30" s="175" t="str">
        <f t="shared" si="72"/>
        <v/>
      </c>
      <c r="CN30" s="176" t="str">
        <f t="shared" si="73"/>
        <v/>
      </c>
      <c r="CO30" s="176" t="str">
        <f t="shared" si="54"/>
        <v/>
      </c>
      <c r="CP30" s="171" t="str">
        <f t="shared" si="55"/>
        <v/>
      </c>
      <c r="CQ30" s="171" t="str">
        <f t="shared" si="56"/>
        <v/>
      </c>
      <c r="CR30" s="171" t="str">
        <f t="shared" si="57"/>
        <v/>
      </c>
      <c r="CS30" s="171" t="str">
        <f t="shared" si="58"/>
        <v/>
      </c>
      <c r="CT30" s="171" t="str">
        <f t="shared" si="59"/>
        <v/>
      </c>
    </row>
    <row r="31" spans="2:98" ht="15.75" hidden="1">
      <c r="B31" s="68"/>
      <c r="C31" s="68"/>
      <c r="D31" s="1402"/>
      <c r="E31" s="68"/>
      <c r="F31" s="83"/>
      <c r="G31" s="1401"/>
      <c r="H31" s="1401"/>
      <c r="I31" s="1520"/>
      <c r="J31" s="1404"/>
      <c r="K31" s="1404"/>
      <c r="L31" s="167">
        <f t="shared" si="0"/>
        <v>0</v>
      </c>
      <c r="M31" s="1403"/>
      <c r="N31" s="174">
        <f t="shared" si="75"/>
        <v>0</v>
      </c>
      <c r="O31" s="84"/>
      <c r="P31" s="167">
        <f t="shared" si="76"/>
        <v>0</v>
      </c>
      <c r="Q31" s="169">
        <f t="shared" si="77"/>
        <v>0</v>
      </c>
      <c r="R31" s="84"/>
      <c r="S31" s="167">
        <f t="shared" si="78"/>
        <v>0</v>
      </c>
      <c r="T31" s="167">
        <f>IF(OR(D31="80% Non-LIHTC",D31="100%",D31="120%",D31="Over 120%", D31=""), 0, IF(D31="80% LIHTC", VLOOKUP(0.8,'00_5_LIHTC Data'!$C$20:$J$26,MATCH('02_1_INCOME'!B31,'00_5_LIHTC Data'!$D$18:$J$18,0)+1,FALSE), VLOOKUP(VALUE(D31),'00_5_LIHTC Data'!$C$20:$J$26,MATCH('02_1_INCOME'!B31,'00_5_LIHTC Data'!$D$18:$J$18,0)+1,FALSE)))</f>
        <v>0</v>
      </c>
      <c r="U31" s="1582">
        <f t="shared" si="79"/>
        <v>0</v>
      </c>
      <c r="V31" s="1579">
        <f t="shared" si="6"/>
        <v>0</v>
      </c>
      <c r="W31" s="1524">
        <f t="shared" si="7"/>
        <v>0</v>
      </c>
      <c r="X31" s="170">
        <f t="shared" si="8"/>
        <v>0</v>
      </c>
      <c r="Y31" s="170">
        <f t="shared" si="9"/>
        <v>0</v>
      </c>
      <c r="Z31" s="170">
        <f t="shared" si="10"/>
        <v>0</v>
      </c>
      <c r="AA31" s="171">
        <f t="shared" si="80"/>
        <v>0</v>
      </c>
      <c r="AB31" s="171">
        <f t="shared" si="81"/>
        <v>0</v>
      </c>
      <c r="AC31" s="160">
        <f t="shared" si="13"/>
        <v>0</v>
      </c>
      <c r="AD31" s="170">
        <f t="shared" si="14"/>
        <v>0</v>
      </c>
      <c r="AE31" s="170">
        <f t="shared" si="15"/>
        <v>0</v>
      </c>
      <c r="AF31" s="170">
        <f t="shared" si="16"/>
        <v>0</v>
      </c>
      <c r="AG31" s="170">
        <f t="shared" si="17"/>
        <v>0</v>
      </c>
      <c r="AH31" s="11">
        <f t="shared" si="74"/>
        <v>23</v>
      </c>
      <c r="AK31" s="175" t="str">
        <f t="shared" si="60"/>
        <v/>
      </c>
      <c r="AL31" s="175" t="str">
        <f t="shared" si="61"/>
        <v/>
      </c>
      <c r="AM31" s="175" t="str">
        <f t="shared" si="18"/>
        <v/>
      </c>
      <c r="AN31" s="175" t="str">
        <f t="shared" si="19"/>
        <v/>
      </c>
      <c r="AO31" s="175" t="str">
        <f t="shared" si="20"/>
        <v/>
      </c>
      <c r="AP31" s="175" t="str">
        <f t="shared" si="21"/>
        <v/>
      </c>
      <c r="AQ31" s="175" t="str">
        <f t="shared" si="22"/>
        <v/>
      </c>
      <c r="AR31" s="175" t="str">
        <f t="shared" si="23"/>
        <v/>
      </c>
      <c r="AT31" s="175" t="str">
        <f t="shared" si="62"/>
        <v/>
      </c>
      <c r="AU31" s="176" t="str">
        <f t="shared" si="63"/>
        <v/>
      </c>
      <c r="AV31" s="175" t="str">
        <f t="shared" si="24"/>
        <v/>
      </c>
      <c r="AW31" s="171" t="str">
        <f t="shared" si="25"/>
        <v/>
      </c>
      <c r="AX31" s="171" t="str">
        <f t="shared" si="26"/>
        <v/>
      </c>
      <c r="AY31" s="171" t="str">
        <f t="shared" si="27"/>
        <v/>
      </c>
      <c r="AZ31" s="171" t="str">
        <f t="shared" si="28"/>
        <v/>
      </c>
      <c r="BA31" s="171" t="str">
        <f t="shared" si="29"/>
        <v/>
      </c>
      <c r="BB31" s="173"/>
      <c r="BC31" s="175" t="str">
        <f t="shared" si="64"/>
        <v/>
      </c>
      <c r="BD31" s="176" t="str">
        <f t="shared" si="65"/>
        <v/>
      </c>
      <c r="BE31" s="176" t="str">
        <f t="shared" si="30"/>
        <v/>
      </c>
      <c r="BF31" s="171" t="str">
        <f t="shared" si="31"/>
        <v/>
      </c>
      <c r="BG31" s="171" t="str">
        <f t="shared" si="32"/>
        <v/>
      </c>
      <c r="BH31" s="171" t="str">
        <f t="shared" si="33"/>
        <v/>
      </c>
      <c r="BI31" s="171" t="str">
        <f t="shared" si="34"/>
        <v/>
      </c>
      <c r="BJ31" s="171" t="str">
        <f t="shared" si="35"/>
        <v/>
      </c>
      <c r="BK31" s="173"/>
      <c r="BL31" s="175" t="str">
        <f t="shared" si="66"/>
        <v/>
      </c>
      <c r="BM31" s="176" t="str">
        <f t="shared" si="67"/>
        <v/>
      </c>
      <c r="BN31" s="176" t="str">
        <f t="shared" si="36"/>
        <v/>
      </c>
      <c r="BO31" s="171" t="str">
        <f t="shared" si="37"/>
        <v/>
      </c>
      <c r="BP31" s="171" t="str">
        <f t="shared" si="38"/>
        <v/>
      </c>
      <c r="BQ31" s="171" t="str">
        <f t="shared" si="39"/>
        <v/>
      </c>
      <c r="BR31" s="171" t="str">
        <f t="shared" si="40"/>
        <v/>
      </c>
      <c r="BS31" s="171" t="str">
        <f t="shared" si="41"/>
        <v/>
      </c>
      <c r="BT31" s="173"/>
      <c r="BU31" s="175" t="str">
        <f t="shared" si="68"/>
        <v/>
      </c>
      <c r="BV31" s="176" t="str">
        <f t="shared" si="69"/>
        <v/>
      </c>
      <c r="BW31" s="176" t="str">
        <f t="shared" si="42"/>
        <v/>
      </c>
      <c r="BX31" s="171" t="str">
        <f t="shared" si="43"/>
        <v/>
      </c>
      <c r="BY31" s="171" t="str">
        <f t="shared" si="44"/>
        <v/>
      </c>
      <c r="BZ31" s="171" t="str">
        <f t="shared" si="45"/>
        <v/>
      </c>
      <c r="CA31" s="171" t="str">
        <f t="shared" si="46"/>
        <v/>
      </c>
      <c r="CB31" s="171" t="str">
        <f t="shared" si="47"/>
        <v/>
      </c>
      <c r="CC31" s="173"/>
      <c r="CD31" s="175" t="str">
        <f t="shared" si="70"/>
        <v/>
      </c>
      <c r="CE31" s="176" t="str">
        <f t="shared" si="71"/>
        <v/>
      </c>
      <c r="CF31" s="176" t="str">
        <f t="shared" si="48"/>
        <v/>
      </c>
      <c r="CG31" s="171" t="str">
        <f t="shared" si="49"/>
        <v/>
      </c>
      <c r="CH31" s="171" t="str">
        <f t="shared" si="50"/>
        <v/>
      </c>
      <c r="CI31" s="171" t="str">
        <f t="shared" si="51"/>
        <v/>
      </c>
      <c r="CJ31" s="171" t="str">
        <f t="shared" si="52"/>
        <v/>
      </c>
      <c r="CK31" s="171" t="str">
        <f t="shared" si="53"/>
        <v/>
      </c>
      <c r="CL31" s="173"/>
      <c r="CM31" s="175" t="str">
        <f t="shared" si="72"/>
        <v/>
      </c>
      <c r="CN31" s="176" t="str">
        <f t="shared" si="73"/>
        <v/>
      </c>
      <c r="CO31" s="176" t="str">
        <f t="shared" si="54"/>
        <v/>
      </c>
      <c r="CP31" s="171" t="str">
        <f t="shared" si="55"/>
        <v/>
      </c>
      <c r="CQ31" s="171" t="str">
        <f t="shared" si="56"/>
        <v/>
      </c>
      <c r="CR31" s="171" t="str">
        <f t="shared" si="57"/>
        <v/>
      </c>
      <c r="CS31" s="171" t="str">
        <f t="shared" si="58"/>
        <v/>
      </c>
      <c r="CT31" s="171" t="str">
        <f t="shared" si="59"/>
        <v/>
      </c>
    </row>
    <row r="32" spans="2:98" ht="15.75" hidden="1">
      <c r="B32" s="68"/>
      <c r="C32" s="68"/>
      <c r="D32" s="1402"/>
      <c r="E32" s="68"/>
      <c r="F32" s="83"/>
      <c r="G32" s="1401"/>
      <c r="H32" s="1401"/>
      <c r="I32" s="1520"/>
      <c r="J32" s="1404"/>
      <c r="K32" s="1404"/>
      <c r="L32" s="167">
        <f t="shared" si="0"/>
        <v>0</v>
      </c>
      <c r="M32" s="1403"/>
      <c r="N32" s="174">
        <f t="shared" si="75"/>
        <v>0</v>
      </c>
      <c r="O32" s="84"/>
      <c r="P32" s="167">
        <f t="shared" si="76"/>
        <v>0</v>
      </c>
      <c r="Q32" s="169">
        <f t="shared" si="77"/>
        <v>0</v>
      </c>
      <c r="R32" s="84"/>
      <c r="S32" s="167">
        <f t="shared" si="78"/>
        <v>0</v>
      </c>
      <c r="T32" s="167">
        <f>IF(OR(D32="80% Non-LIHTC",D32="100%",D32="120%",D32="Over 120%", D32=""), 0, IF(D32="80% LIHTC", VLOOKUP(0.8,'00_5_LIHTC Data'!$C$20:$J$26,MATCH('02_1_INCOME'!B32,'00_5_LIHTC Data'!$D$18:$J$18,0)+1,FALSE), VLOOKUP(VALUE(D32),'00_5_LIHTC Data'!$C$20:$J$26,MATCH('02_1_INCOME'!B32,'00_5_LIHTC Data'!$D$18:$J$18,0)+1,FALSE)))</f>
        <v>0</v>
      </c>
      <c r="U32" s="1582">
        <f t="shared" si="79"/>
        <v>0</v>
      </c>
      <c r="V32" s="1579">
        <f t="shared" si="6"/>
        <v>0</v>
      </c>
      <c r="W32" s="1524">
        <f t="shared" si="7"/>
        <v>0</v>
      </c>
      <c r="X32" s="170">
        <f t="shared" si="8"/>
        <v>0</v>
      </c>
      <c r="Y32" s="170">
        <f t="shared" si="9"/>
        <v>0</v>
      </c>
      <c r="Z32" s="170">
        <f t="shared" si="10"/>
        <v>0</v>
      </c>
      <c r="AA32" s="171">
        <f t="shared" si="80"/>
        <v>0</v>
      </c>
      <c r="AB32" s="171">
        <f t="shared" si="81"/>
        <v>0</v>
      </c>
      <c r="AC32" s="160">
        <f t="shared" si="13"/>
        <v>0</v>
      </c>
      <c r="AD32" s="170">
        <f t="shared" si="14"/>
        <v>0</v>
      </c>
      <c r="AE32" s="170">
        <f t="shared" si="15"/>
        <v>0</v>
      </c>
      <c r="AF32" s="170">
        <f t="shared" si="16"/>
        <v>0</v>
      </c>
      <c r="AG32" s="170">
        <f t="shared" si="17"/>
        <v>0</v>
      </c>
      <c r="AH32" s="11">
        <f t="shared" si="74"/>
        <v>24</v>
      </c>
      <c r="AK32" s="175" t="str">
        <f t="shared" si="60"/>
        <v/>
      </c>
      <c r="AL32" s="175" t="str">
        <f t="shared" si="61"/>
        <v/>
      </c>
      <c r="AM32" s="175" t="str">
        <f t="shared" si="18"/>
        <v/>
      </c>
      <c r="AN32" s="175" t="str">
        <f t="shared" si="19"/>
        <v/>
      </c>
      <c r="AO32" s="175" t="str">
        <f t="shared" si="20"/>
        <v/>
      </c>
      <c r="AP32" s="175" t="str">
        <f t="shared" si="21"/>
        <v/>
      </c>
      <c r="AQ32" s="175" t="str">
        <f t="shared" si="22"/>
        <v/>
      </c>
      <c r="AR32" s="175" t="str">
        <f t="shared" si="23"/>
        <v/>
      </c>
      <c r="AT32" s="175" t="str">
        <f t="shared" si="62"/>
        <v/>
      </c>
      <c r="AU32" s="176" t="str">
        <f t="shared" si="63"/>
        <v/>
      </c>
      <c r="AV32" s="175" t="str">
        <f t="shared" si="24"/>
        <v/>
      </c>
      <c r="AW32" s="171" t="str">
        <f t="shared" si="25"/>
        <v/>
      </c>
      <c r="AX32" s="171" t="str">
        <f t="shared" si="26"/>
        <v/>
      </c>
      <c r="AY32" s="171" t="str">
        <f t="shared" si="27"/>
        <v/>
      </c>
      <c r="AZ32" s="171" t="str">
        <f t="shared" si="28"/>
        <v/>
      </c>
      <c r="BA32" s="171" t="str">
        <f t="shared" si="29"/>
        <v/>
      </c>
      <c r="BB32" s="173"/>
      <c r="BC32" s="175" t="str">
        <f t="shared" si="64"/>
        <v/>
      </c>
      <c r="BD32" s="176" t="str">
        <f t="shared" si="65"/>
        <v/>
      </c>
      <c r="BE32" s="176" t="str">
        <f t="shared" si="30"/>
        <v/>
      </c>
      <c r="BF32" s="171" t="str">
        <f t="shared" si="31"/>
        <v/>
      </c>
      <c r="BG32" s="171" t="str">
        <f t="shared" si="32"/>
        <v/>
      </c>
      <c r="BH32" s="171" t="str">
        <f t="shared" si="33"/>
        <v/>
      </c>
      <c r="BI32" s="171" t="str">
        <f t="shared" si="34"/>
        <v/>
      </c>
      <c r="BJ32" s="171" t="str">
        <f t="shared" si="35"/>
        <v/>
      </c>
      <c r="BK32" s="173"/>
      <c r="BL32" s="175" t="str">
        <f t="shared" si="66"/>
        <v/>
      </c>
      <c r="BM32" s="176" t="str">
        <f t="shared" si="67"/>
        <v/>
      </c>
      <c r="BN32" s="176" t="str">
        <f t="shared" si="36"/>
        <v/>
      </c>
      <c r="BO32" s="171" t="str">
        <f t="shared" si="37"/>
        <v/>
      </c>
      <c r="BP32" s="171" t="str">
        <f t="shared" si="38"/>
        <v/>
      </c>
      <c r="BQ32" s="171" t="str">
        <f t="shared" si="39"/>
        <v/>
      </c>
      <c r="BR32" s="171" t="str">
        <f t="shared" si="40"/>
        <v/>
      </c>
      <c r="BS32" s="171" t="str">
        <f t="shared" si="41"/>
        <v/>
      </c>
      <c r="BT32" s="173"/>
      <c r="BU32" s="175" t="str">
        <f t="shared" si="68"/>
        <v/>
      </c>
      <c r="BV32" s="176" t="str">
        <f t="shared" si="69"/>
        <v/>
      </c>
      <c r="BW32" s="176" t="str">
        <f t="shared" si="42"/>
        <v/>
      </c>
      <c r="BX32" s="171" t="str">
        <f t="shared" si="43"/>
        <v/>
      </c>
      <c r="BY32" s="171" t="str">
        <f t="shared" si="44"/>
        <v/>
      </c>
      <c r="BZ32" s="171" t="str">
        <f t="shared" si="45"/>
        <v/>
      </c>
      <c r="CA32" s="171" t="str">
        <f t="shared" si="46"/>
        <v/>
      </c>
      <c r="CB32" s="171" t="str">
        <f t="shared" si="47"/>
        <v/>
      </c>
      <c r="CC32" s="173"/>
      <c r="CD32" s="175" t="str">
        <f t="shared" si="70"/>
        <v/>
      </c>
      <c r="CE32" s="176" t="str">
        <f t="shared" si="71"/>
        <v/>
      </c>
      <c r="CF32" s="176" t="str">
        <f t="shared" si="48"/>
        <v/>
      </c>
      <c r="CG32" s="171" t="str">
        <f t="shared" si="49"/>
        <v/>
      </c>
      <c r="CH32" s="171" t="str">
        <f t="shared" si="50"/>
        <v/>
      </c>
      <c r="CI32" s="171" t="str">
        <f t="shared" si="51"/>
        <v/>
      </c>
      <c r="CJ32" s="171" t="str">
        <f t="shared" si="52"/>
        <v/>
      </c>
      <c r="CK32" s="171" t="str">
        <f t="shared" si="53"/>
        <v/>
      </c>
      <c r="CL32" s="173"/>
      <c r="CM32" s="175" t="str">
        <f t="shared" si="72"/>
        <v/>
      </c>
      <c r="CN32" s="176" t="str">
        <f t="shared" si="73"/>
        <v/>
      </c>
      <c r="CO32" s="176" t="str">
        <f t="shared" si="54"/>
        <v/>
      </c>
      <c r="CP32" s="171" t="str">
        <f t="shared" si="55"/>
        <v/>
      </c>
      <c r="CQ32" s="171" t="str">
        <f t="shared" si="56"/>
        <v/>
      </c>
      <c r="CR32" s="171" t="str">
        <f t="shared" si="57"/>
        <v/>
      </c>
      <c r="CS32" s="171" t="str">
        <f t="shared" si="58"/>
        <v/>
      </c>
      <c r="CT32" s="171" t="str">
        <f t="shared" si="59"/>
        <v/>
      </c>
    </row>
    <row r="33" spans="2:98" ht="15.75" hidden="1">
      <c r="B33" s="68"/>
      <c r="C33" s="68"/>
      <c r="D33" s="1402"/>
      <c r="E33" s="68"/>
      <c r="F33" s="83"/>
      <c r="G33" s="1401"/>
      <c r="H33" s="1401"/>
      <c r="I33" s="1520"/>
      <c r="J33" s="1404"/>
      <c r="K33" s="1404"/>
      <c r="L33" s="167">
        <f t="shared" si="0"/>
        <v>0</v>
      </c>
      <c r="M33" s="1403"/>
      <c r="N33" s="174">
        <f t="shared" si="75"/>
        <v>0</v>
      </c>
      <c r="O33" s="84"/>
      <c r="P33" s="167">
        <f t="shared" si="76"/>
        <v>0</v>
      </c>
      <c r="Q33" s="169">
        <f t="shared" si="77"/>
        <v>0</v>
      </c>
      <c r="R33" s="84"/>
      <c r="S33" s="167">
        <f t="shared" si="78"/>
        <v>0</v>
      </c>
      <c r="T33" s="167">
        <f>IF(OR(D33="80% Non-LIHTC",D33="100%",D33="120%",D33="Over 120%", D33=""), 0, IF(D33="80% LIHTC", VLOOKUP(0.8,'00_5_LIHTC Data'!$C$20:$J$26,MATCH('02_1_INCOME'!B33,'00_5_LIHTC Data'!$D$18:$J$18,0)+1,FALSE), VLOOKUP(VALUE(D33),'00_5_LIHTC Data'!$C$20:$J$26,MATCH('02_1_INCOME'!B33,'00_5_LIHTC Data'!$D$18:$J$18,0)+1,FALSE)))</f>
        <v>0</v>
      </c>
      <c r="U33" s="1582">
        <f t="shared" si="79"/>
        <v>0</v>
      </c>
      <c r="V33" s="1579">
        <f t="shared" si="6"/>
        <v>0</v>
      </c>
      <c r="W33" s="1524">
        <f t="shared" si="7"/>
        <v>0</v>
      </c>
      <c r="X33" s="170">
        <f t="shared" si="8"/>
        <v>0</v>
      </c>
      <c r="Y33" s="170">
        <f t="shared" si="9"/>
        <v>0</v>
      </c>
      <c r="Z33" s="170">
        <f t="shared" si="10"/>
        <v>0</v>
      </c>
      <c r="AA33" s="171">
        <f t="shared" si="80"/>
        <v>0</v>
      </c>
      <c r="AB33" s="171">
        <f t="shared" si="81"/>
        <v>0</v>
      </c>
      <c r="AC33" s="160">
        <f t="shared" si="13"/>
        <v>0</v>
      </c>
      <c r="AD33" s="170">
        <f t="shared" si="14"/>
        <v>0</v>
      </c>
      <c r="AE33" s="170">
        <f t="shared" si="15"/>
        <v>0</v>
      </c>
      <c r="AF33" s="170">
        <f t="shared" si="16"/>
        <v>0</v>
      </c>
      <c r="AG33" s="170">
        <f t="shared" si="17"/>
        <v>0</v>
      </c>
      <c r="AH33" s="11">
        <f t="shared" si="74"/>
        <v>25</v>
      </c>
      <c r="AK33" s="175" t="str">
        <f t="shared" si="60"/>
        <v/>
      </c>
      <c r="AL33" s="175" t="str">
        <f t="shared" si="61"/>
        <v/>
      </c>
      <c r="AM33" s="175" t="str">
        <f t="shared" si="18"/>
        <v/>
      </c>
      <c r="AN33" s="175" t="str">
        <f t="shared" si="19"/>
        <v/>
      </c>
      <c r="AO33" s="175" t="str">
        <f t="shared" si="20"/>
        <v/>
      </c>
      <c r="AP33" s="175" t="str">
        <f t="shared" si="21"/>
        <v/>
      </c>
      <c r="AQ33" s="175" t="str">
        <f t="shared" si="22"/>
        <v/>
      </c>
      <c r="AR33" s="175" t="str">
        <f t="shared" si="23"/>
        <v/>
      </c>
      <c r="AT33" s="175" t="str">
        <f t="shared" si="62"/>
        <v/>
      </c>
      <c r="AU33" s="176" t="str">
        <f t="shared" si="63"/>
        <v/>
      </c>
      <c r="AV33" s="175" t="str">
        <f t="shared" si="24"/>
        <v/>
      </c>
      <c r="AW33" s="171" t="str">
        <f t="shared" si="25"/>
        <v/>
      </c>
      <c r="AX33" s="171" t="str">
        <f t="shared" si="26"/>
        <v/>
      </c>
      <c r="AY33" s="171" t="str">
        <f t="shared" si="27"/>
        <v/>
      </c>
      <c r="AZ33" s="171" t="str">
        <f t="shared" si="28"/>
        <v/>
      </c>
      <c r="BA33" s="171" t="str">
        <f t="shared" si="29"/>
        <v/>
      </c>
      <c r="BB33" s="173"/>
      <c r="BC33" s="175" t="str">
        <f t="shared" si="64"/>
        <v/>
      </c>
      <c r="BD33" s="176" t="str">
        <f t="shared" si="65"/>
        <v/>
      </c>
      <c r="BE33" s="176" t="str">
        <f t="shared" si="30"/>
        <v/>
      </c>
      <c r="BF33" s="171" t="str">
        <f t="shared" si="31"/>
        <v/>
      </c>
      <c r="BG33" s="171" t="str">
        <f t="shared" si="32"/>
        <v/>
      </c>
      <c r="BH33" s="171" t="str">
        <f t="shared" si="33"/>
        <v/>
      </c>
      <c r="BI33" s="171" t="str">
        <f t="shared" si="34"/>
        <v/>
      </c>
      <c r="BJ33" s="171" t="str">
        <f t="shared" si="35"/>
        <v/>
      </c>
      <c r="BK33" s="173"/>
      <c r="BL33" s="175" t="str">
        <f t="shared" si="66"/>
        <v/>
      </c>
      <c r="BM33" s="176" t="str">
        <f t="shared" si="67"/>
        <v/>
      </c>
      <c r="BN33" s="176" t="str">
        <f t="shared" si="36"/>
        <v/>
      </c>
      <c r="BO33" s="171" t="str">
        <f t="shared" si="37"/>
        <v/>
      </c>
      <c r="BP33" s="171" t="str">
        <f t="shared" si="38"/>
        <v/>
      </c>
      <c r="BQ33" s="171" t="str">
        <f t="shared" si="39"/>
        <v/>
      </c>
      <c r="BR33" s="171" t="str">
        <f t="shared" si="40"/>
        <v/>
      </c>
      <c r="BS33" s="171" t="str">
        <f t="shared" si="41"/>
        <v/>
      </c>
      <c r="BT33" s="173"/>
      <c r="BU33" s="175" t="str">
        <f t="shared" si="68"/>
        <v/>
      </c>
      <c r="BV33" s="176" t="str">
        <f t="shared" si="69"/>
        <v/>
      </c>
      <c r="BW33" s="176" t="str">
        <f t="shared" si="42"/>
        <v/>
      </c>
      <c r="BX33" s="171" t="str">
        <f t="shared" si="43"/>
        <v/>
      </c>
      <c r="BY33" s="171" t="str">
        <f t="shared" si="44"/>
        <v/>
      </c>
      <c r="BZ33" s="171" t="str">
        <f t="shared" si="45"/>
        <v/>
      </c>
      <c r="CA33" s="171" t="str">
        <f t="shared" si="46"/>
        <v/>
      </c>
      <c r="CB33" s="171" t="str">
        <f t="shared" si="47"/>
        <v/>
      </c>
      <c r="CC33" s="173"/>
      <c r="CD33" s="175" t="str">
        <f t="shared" si="70"/>
        <v/>
      </c>
      <c r="CE33" s="176" t="str">
        <f t="shared" si="71"/>
        <v/>
      </c>
      <c r="CF33" s="176" t="str">
        <f t="shared" si="48"/>
        <v/>
      </c>
      <c r="CG33" s="171" t="str">
        <f t="shared" si="49"/>
        <v/>
      </c>
      <c r="CH33" s="171" t="str">
        <f t="shared" si="50"/>
        <v/>
      </c>
      <c r="CI33" s="171" t="str">
        <f t="shared" si="51"/>
        <v/>
      </c>
      <c r="CJ33" s="171" t="str">
        <f t="shared" si="52"/>
        <v/>
      </c>
      <c r="CK33" s="171" t="str">
        <f t="shared" si="53"/>
        <v/>
      </c>
      <c r="CL33" s="173"/>
      <c r="CM33" s="175" t="str">
        <f t="shared" si="72"/>
        <v/>
      </c>
      <c r="CN33" s="176" t="str">
        <f t="shared" si="73"/>
        <v/>
      </c>
      <c r="CO33" s="176" t="str">
        <f t="shared" si="54"/>
        <v/>
      </c>
      <c r="CP33" s="171" t="str">
        <f t="shared" si="55"/>
        <v/>
      </c>
      <c r="CQ33" s="171" t="str">
        <f t="shared" si="56"/>
        <v/>
      </c>
      <c r="CR33" s="171" t="str">
        <f t="shared" si="57"/>
        <v/>
      </c>
      <c r="CS33" s="171" t="str">
        <f t="shared" si="58"/>
        <v/>
      </c>
      <c r="CT33" s="171" t="str">
        <f t="shared" si="59"/>
        <v/>
      </c>
    </row>
    <row r="34" spans="2:98" ht="15.75" hidden="1">
      <c r="B34" s="68"/>
      <c r="C34" s="68"/>
      <c r="D34" s="1402"/>
      <c r="E34" s="68"/>
      <c r="F34" s="83"/>
      <c r="G34" s="1401"/>
      <c r="H34" s="1401"/>
      <c r="I34" s="1520"/>
      <c r="J34" s="1404"/>
      <c r="K34" s="1404"/>
      <c r="L34" s="167">
        <f t="shared" si="0"/>
        <v>0</v>
      </c>
      <c r="M34" s="1403"/>
      <c r="N34" s="174">
        <f t="shared" si="75"/>
        <v>0</v>
      </c>
      <c r="O34" s="84"/>
      <c r="P34" s="167">
        <f t="shared" si="76"/>
        <v>0</v>
      </c>
      <c r="Q34" s="169">
        <f t="shared" si="77"/>
        <v>0</v>
      </c>
      <c r="R34" s="84"/>
      <c r="S34" s="167">
        <f t="shared" si="78"/>
        <v>0</v>
      </c>
      <c r="T34" s="167">
        <f>IF(OR(D34="80% Non-LIHTC",D34="100%",D34="120%",D34="Over 120%", D34=""), 0, IF(D34="80% LIHTC", VLOOKUP(0.8,'00_5_LIHTC Data'!$C$20:$J$26,MATCH('02_1_INCOME'!B34,'00_5_LIHTC Data'!$D$18:$J$18,0)+1,FALSE), VLOOKUP(VALUE(D34),'00_5_LIHTC Data'!$C$20:$J$26,MATCH('02_1_INCOME'!B34,'00_5_LIHTC Data'!$D$18:$J$18,0)+1,FALSE)))</f>
        <v>0</v>
      </c>
      <c r="U34" s="1582">
        <f t="shared" si="79"/>
        <v>0</v>
      </c>
      <c r="V34" s="1579">
        <f t="shared" si="6"/>
        <v>0</v>
      </c>
      <c r="W34" s="1524">
        <f t="shared" si="7"/>
        <v>0</v>
      </c>
      <c r="X34" s="170">
        <f t="shared" si="8"/>
        <v>0</v>
      </c>
      <c r="Y34" s="170">
        <f t="shared" si="9"/>
        <v>0</v>
      </c>
      <c r="Z34" s="170">
        <f t="shared" si="10"/>
        <v>0</v>
      </c>
      <c r="AA34" s="171">
        <f t="shared" si="80"/>
        <v>0</v>
      </c>
      <c r="AB34" s="171">
        <f t="shared" si="81"/>
        <v>0</v>
      </c>
      <c r="AC34" s="160">
        <f t="shared" si="13"/>
        <v>0</v>
      </c>
      <c r="AD34" s="170">
        <f t="shared" si="14"/>
        <v>0</v>
      </c>
      <c r="AE34" s="170">
        <f t="shared" si="15"/>
        <v>0</v>
      </c>
      <c r="AF34" s="170">
        <f t="shared" si="16"/>
        <v>0</v>
      </c>
      <c r="AG34" s="170">
        <f t="shared" si="17"/>
        <v>0</v>
      </c>
      <c r="AH34" s="11">
        <f t="shared" si="74"/>
        <v>26</v>
      </c>
      <c r="AK34" s="175" t="str">
        <f t="shared" si="60"/>
        <v/>
      </c>
      <c r="AL34" s="175" t="str">
        <f t="shared" si="61"/>
        <v/>
      </c>
      <c r="AM34" s="175" t="str">
        <f t="shared" si="18"/>
        <v/>
      </c>
      <c r="AN34" s="175" t="str">
        <f t="shared" si="19"/>
        <v/>
      </c>
      <c r="AO34" s="175" t="str">
        <f t="shared" si="20"/>
        <v/>
      </c>
      <c r="AP34" s="175" t="str">
        <f t="shared" si="21"/>
        <v/>
      </c>
      <c r="AQ34" s="175" t="str">
        <f t="shared" si="22"/>
        <v/>
      </c>
      <c r="AR34" s="175" t="str">
        <f t="shared" si="23"/>
        <v/>
      </c>
      <c r="AT34" s="175" t="str">
        <f t="shared" si="62"/>
        <v/>
      </c>
      <c r="AU34" s="176" t="str">
        <f t="shared" si="63"/>
        <v/>
      </c>
      <c r="AV34" s="175" t="str">
        <f t="shared" si="24"/>
        <v/>
      </c>
      <c r="AW34" s="171" t="str">
        <f t="shared" si="25"/>
        <v/>
      </c>
      <c r="AX34" s="171" t="str">
        <f t="shared" si="26"/>
        <v/>
      </c>
      <c r="AY34" s="171" t="str">
        <f t="shared" si="27"/>
        <v/>
      </c>
      <c r="AZ34" s="171" t="str">
        <f t="shared" si="28"/>
        <v/>
      </c>
      <c r="BA34" s="171" t="str">
        <f t="shared" si="29"/>
        <v/>
      </c>
      <c r="BB34" s="173"/>
      <c r="BC34" s="175" t="str">
        <f t="shared" si="64"/>
        <v/>
      </c>
      <c r="BD34" s="176" t="str">
        <f t="shared" si="65"/>
        <v/>
      </c>
      <c r="BE34" s="176" t="str">
        <f t="shared" si="30"/>
        <v/>
      </c>
      <c r="BF34" s="171" t="str">
        <f t="shared" si="31"/>
        <v/>
      </c>
      <c r="BG34" s="171" t="str">
        <f t="shared" si="32"/>
        <v/>
      </c>
      <c r="BH34" s="171" t="str">
        <f t="shared" si="33"/>
        <v/>
      </c>
      <c r="BI34" s="171" t="str">
        <f t="shared" si="34"/>
        <v/>
      </c>
      <c r="BJ34" s="171" t="str">
        <f t="shared" si="35"/>
        <v/>
      </c>
      <c r="BK34" s="173"/>
      <c r="BL34" s="175" t="str">
        <f t="shared" si="66"/>
        <v/>
      </c>
      <c r="BM34" s="176" t="str">
        <f t="shared" si="67"/>
        <v/>
      </c>
      <c r="BN34" s="176" t="str">
        <f t="shared" si="36"/>
        <v/>
      </c>
      <c r="BO34" s="171" t="str">
        <f t="shared" si="37"/>
        <v/>
      </c>
      <c r="BP34" s="171" t="str">
        <f t="shared" si="38"/>
        <v/>
      </c>
      <c r="BQ34" s="171" t="str">
        <f t="shared" si="39"/>
        <v/>
      </c>
      <c r="BR34" s="171" t="str">
        <f t="shared" si="40"/>
        <v/>
      </c>
      <c r="BS34" s="171" t="str">
        <f t="shared" si="41"/>
        <v/>
      </c>
      <c r="BT34" s="173"/>
      <c r="BU34" s="175" t="str">
        <f t="shared" si="68"/>
        <v/>
      </c>
      <c r="BV34" s="176" t="str">
        <f t="shared" si="69"/>
        <v/>
      </c>
      <c r="BW34" s="176" t="str">
        <f t="shared" si="42"/>
        <v/>
      </c>
      <c r="BX34" s="171" t="str">
        <f t="shared" si="43"/>
        <v/>
      </c>
      <c r="BY34" s="171" t="str">
        <f t="shared" si="44"/>
        <v/>
      </c>
      <c r="BZ34" s="171" t="str">
        <f t="shared" si="45"/>
        <v/>
      </c>
      <c r="CA34" s="171" t="str">
        <f t="shared" si="46"/>
        <v/>
      </c>
      <c r="CB34" s="171" t="str">
        <f t="shared" si="47"/>
        <v/>
      </c>
      <c r="CC34" s="173"/>
      <c r="CD34" s="175" t="str">
        <f t="shared" si="70"/>
        <v/>
      </c>
      <c r="CE34" s="176" t="str">
        <f t="shared" si="71"/>
        <v/>
      </c>
      <c r="CF34" s="176" t="str">
        <f t="shared" si="48"/>
        <v/>
      </c>
      <c r="CG34" s="171" t="str">
        <f t="shared" si="49"/>
        <v/>
      </c>
      <c r="CH34" s="171" t="str">
        <f t="shared" si="50"/>
        <v/>
      </c>
      <c r="CI34" s="171" t="str">
        <f t="shared" si="51"/>
        <v/>
      </c>
      <c r="CJ34" s="171" t="str">
        <f t="shared" si="52"/>
        <v/>
      </c>
      <c r="CK34" s="171" t="str">
        <f t="shared" si="53"/>
        <v/>
      </c>
      <c r="CL34" s="173"/>
      <c r="CM34" s="175" t="str">
        <f t="shared" si="72"/>
        <v/>
      </c>
      <c r="CN34" s="176" t="str">
        <f t="shared" si="73"/>
        <v/>
      </c>
      <c r="CO34" s="176" t="str">
        <f t="shared" si="54"/>
        <v/>
      </c>
      <c r="CP34" s="171" t="str">
        <f t="shared" si="55"/>
        <v/>
      </c>
      <c r="CQ34" s="171" t="str">
        <f t="shared" si="56"/>
        <v/>
      </c>
      <c r="CR34" s="171" t="str">
        <f t="shared" si="57"/>
        <v/>
      </c>
      <c r="CS34" s="171" t="str">
        <f t="shared" si="58"/>
        <v/>
      </c>
      <c r="CT34" s="171" t="str">
        <f t="shared" si="59"/>
        <v/>
      </c>
    </row>
    <row r="35" spans="2:98" ht="15.75" hidden="1">
      <c r="B35" s="68"/>
      <c r="C35" s="68"/>
      <c r="D35" s="1402"/>
      <c r="E35" s="68"/>
      <c r="F35" s="83"/>
      <c r="G35" s="1401"/>
      <c r="H35" s="1401"/>
      <c r="I35" s="1520"/>
      <c r="J35" s="1404"/>
      <c r="K35" s="1404"/>
      <c r="L35" s="167">
        <f t="shared" si="0"/>
        <v>0</v>
      </c>
      <c r="M35" s="1403"/>
      <c r="N35" s="174">
        <f t="shared" si="75"/>
        <v>0</v>
      </c>
      <c r="O35" s="84"/>
      <c r="P35" s="167">
        <f t="shared" si="76"/>
        <v>0</v>
      </c>
      <c r="Q35" s="169">
        <f t="shared" si="77"/>
        <v>0</v>
      </c>
      <c r="R35" s="84"/>
      <c r="S35" s="167">
        <f t="shared" si="78"/>
        <v>0</v>
      </c>
      <c r="T35" s="167">
        <f>IF(OR(D35="80% Non-LIHTC",D35="100%",D35="120%",D35="Over 120%", D35=""), 0, IF(D35="80% LIHTC", VLOOKUP(0.8,'00_5_LIHTC Data'!$C$20:$J$26,MATCH('02_1_INCOME'!B35,'00_5_LIHTC Data'!$D$18:$J$18,0)+1,FALSE), VLOOKUP(VALUE(D35),'00_5_LIHTC Data'!$C$20:$J$26,MATCH('02_1_INCOME'!B35,'00_5_LIHTC Data'!$D$18:$J$18,0)+1,FALSE)))</f>
        <v>0</v>
      </c>
      <c r="U35" s="1582">
        <f t="shared" si="79"/>
        <v>0</v>
      </c>
      <c r="V35" s="1579">
        <f t="shared" si="6"/>
        <v>0</v>
      </c>
      <c r="W35" s="1524">
        <f t="shared" si="7"/>
        <v>0</v>
      </c>
      <c r="X35" s="170">
        <f t="shared" si="8"/>
        <v>0</v>
      </c>
      <c r="Y35" s="170">
        <f t="shared" si="9"/>
        <v>0</v>
      </c>
      <c r="Z35" s="170">
        <f t="shared" si="10"/>
        <v>0</v>
      </c>
      <c r="AA35" s="171">
        <f t="shared" si="80"/>
        <v>0</v>
      </c>
      <c r="AB35" s="171">
        <f t="shared" si="81"/>
        <v>0</v>
      </c>
      <c r="AC35" s="160">
        <f t="shared" si="13"/>
        <v>0</v>
      </c>
      <c r="AD35" s="170">
        <f t="shared" si="14"/>
        <v>0</v>
      </c>
      <c r="AE35" s="170">
        <f t="shared" si="15"/>
        <v>0</v>
      </c>
      <c r="AF35" s="170">
        <f t="shared" si="16"/>
        <v>0</v>
      </c>
      <c r="AG35" s="170">
        <f t="shared" si="17"/>
        <v>0</v>
      </c>
      <c r="AH35" s="11">
        <f t="shared" si="74"/>
        <v>27</v>
      </c>
      <c r="AK35" s="175" t="str">
        <f t="shared" si="60"/>
        <v/>
      </c>
      <c r="AL35" s="175" t="str">
        <f t="shared" si="61"/>
        <v/>
      </c>
      <c r="AM35" s="175" t="str">
        <f t="shared" si="18"/>
        <v/>
      </c>
      <c r="AN35" s="175" t="str">
        <f t="shared" si="19"/>
        <v/>
      </c>
      <c r="AO35" s="175" t="str">
        <f t="shared" si="20"/>
        <v/>
      </c>
      <c r="AP35" s="175" t="str">
        <f t="shared" si="21"/>
        <v/>
      </c>
      <c r="AQ35" s="175" t="str">
        <f t="shared" si="22"/>
        <v/>
      </c>
      <c r="AR35" s="175" t="str">
        <f t="shared" si="23"/>
        <v/>
      </c>
      <c r="AT35" s="175" t="str">
        <f t="shared" si="62"/>
        <v/>
      </c>
      <c r="AU35" s="176" t="str">
        <f t="shared" si="63"/>
        <v/>
      </c>
      <c r="AV35" s="175" t="str">
        <f t="shared" si="24"/>
        <v/>
      </c>
      <c r="AW35" s="171" t="str">
        <f t="shared" si="25"/>
        <v/>
      </c>
      <c r="AX35" s="171" t="str">
        <f t="shared" si="26"/>
        <v/>
      </c>
      <c r="AY35" s="171" t="str">
        <f t="shared" si="27"/>
        <v/>
      </c>
      <c r="AZ35" s="171" t="str">
        <f t="shared" si="28"/>
        <v/>
      </c>
      <c r="BA35" s="171" t="str">
        <f t="shared" si="29"/>
        <v/>
      </c>
      <c r="BB35" s="173"/>
      <c r="BC35" s="175" t="str">
        <f t="shared" si="64"/>
        <v/>
      </c>
      <c r="BD35" s="176" t="str">
        <f t="shared" si="65"/>
        <v/>
      </c>
      <c r="BE35" s="176" t="str">
        <f t="shared" si="30"/>
        <v/>
      </c>
      <c r="BF35" s="171" t="str">
        <f t="shared" si="31"/>
        <v/>
      </c>
      <c r="BG35" s="171" t="str">
        <f t="shared" si="32"/>
        <v/>
      </c>
      <c r="BH35" s="171" t="str">
        <f t="shared" si="33"/>
        <v/>
      </c>
      <c r="BI35" s="171" t="str">
        <f t="shared" si="34"/>
        <v/>
      </c>
      <c r="BJ35" s="171" t="str">
        <f t="shared" si="35"/>
        <v/>
      </c>
      <c r="BK35" s="173"/>
      <c r="BL35" s="175" t="str">
        <f t="shared" si="66"/>
        <v/>
      </c>
      <c r="BM35" s="176" t="str">
        <f t="shared" si="67"/>
        <v/>
      </c>
      <c r="BN35" s="176" t="str">
        <f t="shared" si="36"/>
        <v/>
      </c>
      <c r="BO35" s="171" t="str">
        <f t="shared" si="37"/>
        <v/>
      </c>
      <c r="BP35" s="171" t="str">
        <f t="shared" si="38"/>
        <v/>
      </c>
      <c r="BQ35" s="171" t="str">
        <f t="shared" si="39"/>
        <v/>
      </c>
      <c r="BR35" s="171" t="str">
        <f t="shared" si="40"/>
        <v/>
      </c>
      <c r="BS35" s="171" t="str">
        <f t="shared" si="41"/>
        <v/>
      </c>
      <c r="BT35" s="173"/>
      <c r="BU35" s="175" t="str">
        <f t="shared" si="68"/>
        <v/>
      </c>
      <c r="BV35" s="176" t="str">
        <f t="shared" si="69"/>
        <v/>
      </c>
      <c r="BW35" s="176" t="str">
        <f t="shared" si="42"/>
        <v/>
      </c>
      <c r="BX35" s="171" t="str">
        <f t="shared" si="43"/>
        <v/>
      </c>
      <c r="BY35" s="171" t="str">
        <f t="shared" si="44"/>
        <v/>
      </c>
      <c r="BZ35" s="171" t="str">
        <f t="shared" si="45"/>
        <v/>
      </c>
      <c r="CA35" s="171" t="str">
        <f t="shared" si="46"/>
        <v/>
      </c>
      <c r="CB35" s="171" t="str">
        <f t="shared" si="47"/>
        <v/>
      </c>
      <c r="CC35" s="173"/>
      <c r="CD35" s="175" t="str">
        <f t="shared" si="70"/>
        <v/>
      </c>
      <c r="CE35" s="176" t="str">
        <f t="shared" si="71"/>
        <v/>
      </c>
      <c r="CF35" s="176" t="str">
        <f t="shared" si="48"/>
        <v/>
      </c>
      <c r="CG35" s="171" t="str">
        <f t="shared" si="49"/>
        <v/>
      </c>
      <c r="CH35" s="171" t="str">
        <f t="shared" si="50"/>
        <v/>
      </c>
      <c r="CI35" s="171" t="str">
        <f t="shared" si="51"/>
        <v/>
      </c>
      <c r="CJ35" s="171" t="str">
        <f t="shared" si="52"/>
        <v/>
      </c>
      <c r="CK35" s="171" t="str">
        <f t="shared" si="53"/>
        <v/>
      </c>
      <c r="CL35" s="173"/>
      <c r="CM35" s="175" t="str">
        <f t="shared" si="72"/>
        <v/>
      </c>
      <c r="CN35" s="176" t="str">
        <f t="shared" si="73"/>
        <v/>
      </c>
      <c r="CO35" s="176" t="str">
        <f t="shared" si="54"/>
        <v/>
      </c>
      <c r="CP35" s="171" t="str">
        <f t="shared" si="55"/>
        <v/>
      </c>
      <c r="CQ35" s="171" t="str">
        <f t="shared" si="56"/>
        <v/>
      </c>
      <c r="CR35" s="171" t="str">
        <f t="shared" si="57"/>
        <v/>
      </c>
      <c r="CS35" s="171" t="str">
        <f t="shared" si="58"/>
        <v/>
      </c>
      <c r="CT35" s="171" t="str">
        <f t="shared" si="59"/>
        <v/>
      </c>
    </row>
    <row r="36" spans="2:98" ht="15.75" hidden="1">
      <c r="B36" s="68"/>
      <c r="C36" s="68"/>
      <c r="D36" s="1402"/>
      <c r="E36" s="68"/>
      <c r="F36" s="83"/>
      <c r="G36" s="1401"/>
      <c r="H36" s="1401"/>
      <c r="I36" s="1520"/>
      <c r="J36" s="1404"/>
      <c r="K36" s="1404"/>
      <c r="L36" s="167">
        <f t="shared" si="0"/>
        <v>0</v>
      </c>
      <c r="M36" s="1403"/>
      <c r="N36" s="174">
        <f t="shared" si="75"/>
        <v>0</v>
      </c>
      <c r="O36" s="84"/>
      <c r="P36" s="167">
        <f t="shared" si="76"/>
        <v>0</v>
      </c>
      <c r="Q36" s="169">
        <f t="shared" si="77"/>
        <v>0</v>
      </c>
      <c r="R36" s="84"/>
      <c r="S36" s="167">
        <f t="shared" si="78"/>
        <v>0</v>
      </c>
      <c r="T36" s="167">
        <f>IF(OR(D36="80% Non-LIHTC",D36="100%",D36="120%",D36="Over 120%", D36=""), 0, IF(D36="80% LIHTC", VLOOKUP(0.8,'00_5_LIHTC Data'!$C$20:$J$26,MATCH('02_1_INCOME'!B36,'00_5_LIHTC Data'!$D$18:$J$18,0)+1,FALSE), VLOOKUP(VALUE(D36),'00_5_LIHTC Data'!$C$20:$J$26,MATCH('02_1_INCOME'!B36,'00_5_LIHTC Data'!$D$18:$J$18,0)+1,FALSE)))</f>
        <v>0</v>
      </c>
      <c r="U36" s="1582">
        <f t="shared" si="79"/>
        <v>0</v>
      </c>
      <c r="V36" s="1579">
        <f t="shared" si="6"/>
        <v>0</v>
      </c>
      <c r="W36" s="1524">
        <f t="shared" si="7"/>
        <v>0</v>
      </c>
      <c r="X36" s="170">
        <f t="shared" si="8"/>
        <v>0</v>
      </c>
      <c r="Y36" s="170">
        <f t="shared" si="9"/>
        <v>0</v>
      </c>
      <c r="Z36" s="170">
        <f t="shared" si="10"/>
        <v>0</v>
      </c>
      <c r="AA36" s="171">
        <f t="shared" si="80"/>
        <v>0</v>
      </c>
      <c r="AB36" s="171">
        <f t="shared" si="81"/>
        <v>0</v>
      </c>
      <c r="AC36" s="160">
        <f t="shared" si="13"/>
        <v>0</v>
      </c>
      <c r="AD36" s="170">
        <f t="shared" si="14"/>
        <v>0</v>
      </c>
      <c r="AE36" s="170">
        <f t="shared" si="15"/>
        <v>0</v>
      </c>
      <c r="AF36" s="170">
        <f t="shared" si="16"/>
        <v>0</v>
      </c>
      <c r="AG36" s="170">
        <f t="shared" si="17"/>
        <v>0</v>
      </c>
      <c r="AH36" s="11">
        <f t="shared" si="74"/>
        <v>28</v>
      </c>
      <c r="AK36" s="175" t="str">
        <f t="shared" si="60"/>
        <v/>
      </c>
      <c r="AL36" s="175" t="str">
        <f t="shared" si="61"/>
        <v/>
      </c>
      <c r="AM36" s="175" t="str">
        <f t="shared" si="18"/>
        <v/>
      </c>
      <c r="AN36" s="175" t="str">
        <f t="shared" si="19"/>
        <v/>
      </c>
      <c r="AO36" s="175" t="str">
        <f t="shared" si="20"/>
        <v/>
      </c>
      <c r="AP36" s="175" t="str">
        <f t="shared" si="21"/>
        <v/>
      </c>
      <c r="AQ36" s="175" t="str">
        <f t="shared" si="22"/>
        <v/>
      </c>
      <c r="AR36" s="175" t="str">
        <f t="shared" si="23"/>
        <v/>
      </c>
      <c r="AT36" s="175" t="str">
        <f t="shared" si="62"/>
        <v/>
      </c>
      <c r="AU36" s="176" t="str">
        <f t="shared" si="63"/>
        <v/>
      </c>
      <c r="AV36" s="175" t="str">
        <f t="shared" si="24"/>
        <v/>
      </c>
      <c r="AW36" s="171" t="str">
        <f t="shared" si="25"/>
        <v/>
      </c>
      <c r="AX36" s="171" t="str">
        <f t="shared" si="26"/>
        <v/>
      </c>
      <c r="AY36" s="171" t="str">
        <f t="shared" si="27"/>
        <v/>
      </c>
      <c r="AZ36" s="171" t="str">
        <f t="shared" si="28"/>
        <v/>
      </c>
      <c r="BA36" s="171" t="str">
        <f t="shared" si="29"/>
        <v/>
      </c>
      <c r="BB36" s="173"/>
      <c r="BC36" s="175" t="str">
        <f t="shared" si="64"/>
        <v/>
      </c>
      <c r="BD36" s="176" t="str">
        <f t="shared" si="65"/>
        <v/>
      </c>
      <c r="BE36" s="176" t="str">
        <f t="shared" si="30"/>
        <v/>
      </c>
      <c r="BF36" s="171" t="str">
        <f t="shared" si="31"/>
        <v/>
      </c>
      <c r="BG36" s="171" t="str">
        <f t="shared" si="32"/>
        <v/>
      </c>
      <c r="BH36" s="171" t="str">
        <f t="shared" si="33"/>
        <v/>
      </c>
      <c r="BI36" s="171" t="str">
        <f t="shared" si="34"/>
        <v/>
      </c>
      <c r="BJ36" s="171" t="str">
        <f t="shared" si="35"/>
        <v/>
      </c>
      <c r="BK36" s="173"/>
      <c r="BL36" s="175" t="str">
        <f t="shared" si="66"/>
        <v/>
      </c>
      <c r="BM36" s="176" t="str">
        <f t="shared" si="67"/>
        <v/>
      </c>
      <c r="BN36" s="176" t="str">
        <f t="shared" si="36"/>
        <v/>
      </c>
      <c r="BO36" s="171" t="str">
        <f t="shared" si="37"/>
        <v/>
      </c>
      <c r="BP36" s="171" t="str">
        <f t="shared" si="38"/>
        <v/>
      </c>
      <c r="BQ36" s="171" t="str">
        <f t="shared" si="39"/>
        <v/>
      </c>
      <c r="BR36" s="171" t="str">
        <f t="shared" si="40"/>
        <v/>
      </c>
      <c r="BS36" s="171" t="str">
        <f t="shared" si="41"/>
        <v/>
      </c>
      <c r="BT36" s="173"/>
      <c r="BU36" s="175" t="str">
        <f t="shared" si="68"/>
        <v/>
      </c>
      <c r="BV36" s="176" t="str">
        <f t="shared" si="69"/>
        <v/>
      </c>
      <c r="BW36" s="176" t="str">
        <f t="shared" si="42"/>
        <v/>
      </c>
      <c r="BX36" s="171" t="str">
        <f t="shared" si="43"/>
        <v/>
      </c>
      <c r="BY36" s="171" t="str">
        <f t="shared" si="44"/>
        <v/>
      </c>
      <c r="BZ36" s="171" t="str">
        <f t="shared" si="45"/>
        <v/>
      </c>
      <c r="CA36" s="171" t="str">
        <f t="shared" si="46"/>
        <v/>
      </c>
      <c r="CB36" s="171" t="str">
        <f t="shared" si="47"/>
        <v/>
      </c>
      <c r="CC36" s="173"/>
      <c r="CD36" s="175" t="str">
        <f t="shared" si="70"/>
        <v/>
      </c>
      <c r="CE36" s="176" t="str">
        <f t="shared" si="71"/>
        <v/>
      </c>
      <c r="CF36" s="176" t="str">
        <f t="shared" si="48"/>
        <v/>
      </c>
      <c r="CG36" s="171" t="str">
        <f t="shared" si="49"/>
        <v/>
      </c>
      <c r="CH36" s="171" t="str">
        <f t="shared" si="50"/>
        <v/>
      </c>
      <c r="CI36" s="171" t="str">
        <f t="shared" si="51"/>
        <v/>
      </c>
      <c r="CJ36" s="171" t="str">
        <f t="shared" si="52"/>
        <v/>
      </c>
      <c r="CK36" s="171" t="str">
        <f t="shared" si="53"/>
        <v/>
      </c>
      <c r="CL36" s="173"/>
      <c r="CM36" s="175" t="str">
        <f t="shared" si="72"/>
        <v/>
      </c>
      <c r="CN36" s="176" t="str">
        <f t="shared" si="73"/>
        <v/>
      </c>
      <c r="CO36" s="176" t="str">
        <f t="shared" si="54"/>
        <v/>
      </c>
      <c r="CP36" s="171" t="str">
        <f t="shared" si="55"/>
        <v/>
      </c>
      <c r="CQ36" s="171" t="str">
        <f t="shared" si="56"/>
        <v/>
      </c>
      <c r="CR36" s="171" t="str">
        <f t="shared" si="57"/>
        <v/>
      </c>
      <c r="CS36" s="171" t="str">
        <f t="shared" si="58"/>
        <v/>
      </c>
      <c r="CT36" s="171" t="str">
        <f t="shared" si="59"/>
        <v/>
      </c>
    </row>
    <row r="37" spans="2:98" ht="16.5" hidden="1" thickBot="1">
      <c r="B37" s="68"/>
      <c r="C37" s="68"/>
      <c r="D37" s="1402"/>
      <c r="E37" s="68"/>
      <c r="F37" s="83"/>
      <c r="G37" s="1401"/>
      <c r="H37" s="1401"/>
      <c r="I37" s="1520"/>
      <c r="J37" s="1404"/>
      <c r="K37" s="1404"/>
      <c r="L37" s="167">
        <f t="shared" si="0"/>
        <v>0</v>
      </c>
      <c r="M37" s="1403"/>
      <c r="N37" s="174">
        <f t="shared" si="75"/>
        <v>0</v>
      </c>
      <c r="O37" s="84"/>
      <c r="P37" s="167">
        <f t="shared" si="76"/>
        <v>0</v>
      </c>
      <c r="Q37" s="169">
        <f t="shared" si="77"/>
        <v>0</v>
      </c>
      <c r="R37" s="84"/>
      <c r="S37" s="167">
        <f t="shared" si="78"/>
        <v>0</v>
      </c>
      <c r="T37" s="167">
        <f>IF(OR(D37="80% Non-LIHTC",D37="100%",D37="120%",D37="Over 120%", D37=""), 0, IF(D37="80% LIHTC", VLOOKUP(0.8,'00_5_LIHTC Data'!$C$20:$J$26,MATCH('02_1_INCOME'!B37,'00_5_LIHTC Data'!$D$18:$J$18,0)+1,FALSE), VLOOKUP(VALUE(D37),'00_5_LIHTC Data'!$C$20:$J$26,MATCH('02_1_INCOME'!B37,'00_5_LIHTC Data'!$D$18:$J$18,0)+1,FALSE)))</f>
        <v>0</v>
      </c>
      <c r="U37" s="1582">
        <f t="shared" si="79"/>
        <v>0</v>
      </c>
      <c r="V37" s="1579">
        <f t="shared" si="6"/>
        <v>0</v>
      </c>
      <c r="W37" s="1524">
        <f t="shared" si="7"/>
        <v>0</v>
      </c>
      <c r="X37" s="170">
        <f t="shared" si="8"/>
        <v>0</v>
      </c>
      <c r="Y37" s="170">
        <f t="shared" si="9"/>
        <v>0</v>
      </c>
      <c r="Z37" s="170">
        <f t="shared" si="10"/>
        <v>0</v>
      </c>
      <c r="AA37" s="171">
        <f t="shared" si="80"/>
        <v>0</v>
      </c>
      <c r="AB37" s="171">
        <f t="shared" si="81"/>
        <v>0</v>
      </c>
      <c r="AC37" s="160">
        <f t="shared" si="13"/>
        <v>0</v>
      </c>
      <c r="AD37" s="170">
        <f t="shared" si="14"/>
        <v>0</v>
      </c>
      <c r="AE37" s="170">
        <f t="shared" si="15"/>
        <v>0</v>
      </c>
      <c r="AF37" s="170">
        <f t="shared" si="16"/>
        <v>0</v>
      </c>
      <c r="AG37" s="170">
        <f t="shared" si="17"/>
        <v>0</v>
      </c>
      <c r="AH37" s="11">
        <f t="shared" si="74"/>
        <v>29</v>
      </c>
      <c r="AK37" s="175" t="str">
        <f t="shared" si="60"/>
        <v/>
      </c>
      <c r="AL37" s="175" t="str">
        <f t="shared" si="61"/>
        <v/>
      </c>
      <c r="AM37" s="175" t="str">
        <f t="shared" si="18"/>
        <v/>
      </c>
      <c r="AN37" s="175" t="str">
        <f t="shared" si="19"/>
        <v/>
      </c>
      <c r="AO37" s="175" t="str">
        <f t="shared" si="20"/>
        <v/>
      </c>
      <c r="AP37" s="175" t="str">
        <f t="shared" si="21"/>
        <v/>
      </c>
      <c r="AQ37" s="175" t="str">
        <f t="shared" si="22"/>
        <v/>
      </c>
      <c r="AR37" s="175" t="str">
        <f t="shared" si="23"/>
        <v/>
      </c>
      <c r="AS37" s="173"/>
      <c r="AT37" s="175" t="str">
        <f t="shared" si="62"/>
        <v/>
      </c>
      <c r="AU37" s="176" t="str">
        <f t="shared" si="63"/>
        <v/>
      </c>
      <c r="AV37" s="175" t="str">
        <f t="shared" si="24"/>
        <v/>
      </c>
      <c r="AW37" s="171" t="str">
        <f t="shared" si="25"/>
        <v/>
      </c>
      <c r="AX37" s="171" t="str">
        <f t="shared" si="26"/>
        <v/>
      </c>
      <c r="AY37" s="171" t="str">
        <f t="shared" si="27"/>
        <v/>
      </c>
      <c r="AZ37" s="171" t="str">
        <f t="shared" si="28"/>
        <v/>
      </c>
      <c r="BA37" s="171" t="str">
        <f t="shared" si="29"/>
        <v/>
      </c>
      <c r="BB37" s="173"/>
      <c r="BC37" s="175" t="str">
        <f t="shared" si="64"/>
        <v/>
      </c>
      <c r="BD37" s="176" t="str">
        <f t="shared" si="65"/>
        <v/>
      </c>
      <c r="BE37" s="176" t="str">
        <f t="shared" si="30"/>
        <v/>
      </c>
      <c r="BF37" s="171" t="str">
        <f t="shared" si="31"/>
        <v/>
      </c>
      <c r="BG37" s="171" t="str">
        <f t="shared" si="32"/>
        <v/>
      </c>
      <c r="BH37" s="171" t="str">
        <f t="shared" si="33"/>
        <v/>
      </c>
      <c r="BI37" s="171" t="str">
        <f t="shared" si="34"/>
        <v/>
      </c>
      <c r="BJ37" s="171" t="str">
        <f t="shared" si="35"/>
        <v/>
      </c>
      <c r="BK37" s="173"/>
      <c r="BL37" s="175" t="str">
        <f t="shared" si="66"/>
        <v/>
      </c>
      <c r="BM37" s="176" t="str">
        <f t="shared" si="67"/>
        <v/>
      </c>
      <c r="BN37" s="176" t="str">
        <f t="shared" si="36"/>
        <v/>
      </c>
      <c r="BO37" s="171" t="str">
        <f t="shared" si="37"/>
        <v/>
      </c>
      <c r="BP37" s="171" t="str">
        <f t="shared" si="38"/>
        <v/>
      </c>
      <c r="BQ37" s="171" t="str">
        <f t="shared" si="39"/>
        <v/>
      </c>
      <c r="BR37" s="171" t="str">
        <f t="shared" si="40"/>
        <v/>
      </c>
      <c r="BS37" s="171" t="str">
        <f t="shared" si="41"/>
        <v/>
      </c>
      <c r="BT37" s="173"/>
      <c r="BU37" s="175" t="str">
        <f t="shared" si="68"/>
        <v/>
      </c>
      <c r="BV37" s="176" t="str">
        <f t="shared" si="69"/>
        <v/>
      </c>
      <c r="BW37" s="176" t="str">
        <f t="shared" si="42"/>
        <v/>
      </c>
      <c r="BX37" s="171" t="str">
        <f t="shared" si="43"/>
        <v/>
      </c>
      <c r="BY37" s="171" t="str">
        <f t="shared" si="44"/>
        <v/>
      </c>
      <c r="BZ37" s="171" t="str">
        <f t="shared" si="45"/>
        <v/>
      </c>
      <c r="CA37" s="171" t="str">
        <f t="shared" si="46"/>
        <v/>
      </c>
      <c r="CB37" s="171" t="str">
        <f t="shared" si="47"/>
        <v/>
      </c>
      <c r="CC37" s="173"/>
      <c r="CD37" s="175" t="str">
        <f t="shared" si="70"/>
        <v/>
      </c>
      <c r="CE37" s="176" t="str">
        <f t="shared" si="71"/>
        <v/>
      </c>
      <c r="CF37" s="176" t="str">
        <f t="shared" si="48"/>
        <v/>
      </c>
      <c r="CG37" s="171" t="str">
        <f t="shared" si="49"/>
        <v/>
      </c>
      <c r="CH37" s="171" t="str">
        <f t="shared" si="50"/>
        <v/>
      </c>
      <c r="CI37" s="171" t="str">
        <f t="shared" si="51"/>
        <v/>
      </c>
      <c r="CJ37" s="171" t="str">
        <f t="shared" si="52"/>
        <v/>
      </c>
      <c r="CK37" s="171" t="str">
        <f t="shared" si="53"/>
        <v/>
      </c>
      <c r="CL37" s="173"/>
      <c r="CM37" s="175" t="str">
        <f t="shared" si="72"/>
        <v/>
      </c>
      <c r="CN37" s="176" t="str">
        <f t="shared" si="73"/>
        <v/>
      </c>
      <c r="CO37" s="176" t="str">
        <f t="shared" si="54"/>
        <v/>
      </c>
      <c r="CP37" s="171" t="str">
        <f t="shared" si="55"/>
        <v/>
      </c>
      <c r="CQ37" s="171" t="str">
        <f t="shared" si="56"/>
        <v/>
      </c>
      <c r="CR37" s="171" t="str">
        <f t="shared" si="57"/>
        <v/>
      </c>
      <c r="CS37" s="171" t="str">
        <f t="shared" si="58"/>
        <v/>
      </c>
      <c r="CT37" s="171" t="str">
        <f t="shared" si="59"/>
        <v/>
      </c>
    </row>
    <row r="38" spans="2:98" ht="17.25" thickTop="1" thickBot="1">
      <c r="B38" s="683" t="s">
        <v>1070</v>
      </c>
      <c r="C38" s="684"/>
      <c r="D38" s="684"/>
      <c r="E38" s="684"/>
      <c r="F38" s="1368">
        <f>SUM(F8:F37)</f>
        <v>0</v>
      </c>
      <c r="G38" s="2018"/>
      <c r="H38" s="684"/>
      <c r="I38" s="684"/>
      <c r="J38" s="684"/>
      <c r="K38" s="684"/>
      <c r="L38" s="1369">
        <f>SUMPRODUCT($F$8:$F$37, L8:L37)*12</f>
        <v>0</v>
      </c>
      <c r="M38" s="1370">
        <f>SUMPRODUCT($F$8:$F$37, M8:M37)*12</f>
        <v>0</v>
      </c>
      <c r="N38" s="1371">
        <f>SUMPRODUCT($F$8:$F$37, N8:N37)*12</f>
        <v>0</v>
      </c>
      <c r="O38" s="1369">
        <f>SUMPRODUCT($F$8:$F$37, O8:O37)*12</f>
        <v>0</v>
      </c>
      <c r="P38" s="1369">
        <f>SUMPRODUCT($F$8:$F$37, P8:P37)*12</f>
        <v>0</v>
      </c>
      <c r="Q38" s="1372" t="e">
        <f>SUMPRODUCT($F$8:$F$37,$Q$8:$Q$37)/SUM(F8:F37)</f>
        <v>#DIV/0!</v>
      </c>
      <c r="R38" s="1369">
        <f>SUMPRODUCT($F$8:$F$37, R8:R37)*12</f>
        <v>0</v>
      </c>
      <c r="S38" s="1369">
        <f>SUMPRODUCT($F$8:$F$37, S8:S37)*12</f>
        <v>0</v>
      </c>
      <c r="T38" s="1369">
        <f>SUMPRODUCT($F$8:$F$37, T8:T37)*12</f>
        <v>0</v>
      </c>
      <c r="U38" s="1583" t="e">
        <f>SUMPRODUCT($F$8:$F$37,$U$8:$U$37)/rng02_TotalUnits_LIHTC</f>
        <v>#DIV/0!</v>
      </c>
      <c r="V38" s="1580">
        <f t="shared" ref="V38:AB38" si="82">SUM(V8:V37)</f>
        <v>0</v>
      </c>
      <c r="W38" s="1525">
        <f t="shared" si="82"/>
        <v>0</v>
      </c>
      <c r="X38" s="170">
        <f t="shared" si="82"/>
        <v>0</v>
      </c>
      <c r="Y38" s="170">
        <f t="shared" si="82"/>
        <v>0</v>
      </c>
      <c r="Z38" s="170">
        <f t="shared" si="82"/>
        <v>0</v>
      </c>
      <c r="AA38" s="171">
        <f t="shared" si="82"/>
        <v>0</v>
      </c>
      <c r="AB38" s="171">
        <f t="shared" si="82"/>
        <v>0</v>
      </c>
      <c r="AD38" s="177">
        <f>SUM(AD8:AD37)</f>
        <v>0</v>
      </c>
      <c r="AE38" s="177">
        <f>SUM(AE8:AE37)</f>
        <v>0</v>
      </c>
      <c r="AF38" s="177">
        <f>SUM(AF8:AF37)</f>
        <v>0</v>
      </c>
      <c r="AG38" s="177">
        <f>SUM(AG8:AG37)</f>
        <v>0</v>
      </c>
      <c r="AH38" s="11">
        <f t="shared" si="74"/>
        <v>30</v>
      </c>
      <c r="AK38" s="176">
        <f>IF(ISERROR(AVERAGE(AK8:AK37)),0,AVERAGE(AK8:AK37))</f>
        <v>0</v>
      </c>
      <c r="AL38" s="176">
        <f>SUM(AL8:AL37)</f>
        <v>0</v>
      </c>
      <c r="AM38" s="1671">
        <f>IFERROR(SUMPRODUCT(AM8:AM37,AL8:AL37)/AL38,0)</f>
        <v>0</v>
      </c>
      <c r="AN38" s="178">
        <f>IFERROR(SUMPRODUCT(AN8:AN37,AL8:AL37)/AL38,0)</f>
        <v>0</v>
      </c>
      <c r="AO38" s="178">
        <f>IFERROR(SUMPRODUCT(AO8:AO37,AL8:AL37)/AL38,0)</f>
        <v>0</v>
      </c>
      <c r="AP38" s="178">
        <f>IFERROR(SUMPRODUCT(AP8:AP37,AL8:AL37)/AL38,0)</f>
        <v>0</v>
      </c>
      <c r="AQ38" s="178">
        <f>IFERROR(SUMPRODUCT(AQ8:AQ37,AL8:AL37)/AL38,0)</f>
        <v>0</v>
      </c>
      <c r="AR38" s="178">
        <f>IFERROR(SUMPRODUCT(AR8:AR37,AL8:AL37)/AL38,0)</f>
        <v>0</v>
      </c>
      <c r="AS38" s="173"/>
      <c r="AT38" s="176">
        <f>IF(ISERROR(AVERAGE(AT8:AT37)),0,AVERAGE(AT8:AT37))</f>
        <v>0</v>
      </c>
      <c r="AU38" s="176">
        <f>SUM(AU8:AU37)</f>
        <v>0</v>
      </c>
      <c r="AV38" s="1671">
        <f>IFERROR(SUMPRODUCT(AV8:AV37,AU8:AU37)/AU38,0)</f>
        <v>0</v>
      </c>
      <c r="AW38" s="178">
        <f>IFERROR(SUMPRODUCT(AW8:AW37,AU8:AU37)/AU38,0)</f>
        <v>0</v>
      </c>
      <c r="AX38" s="178">
        <f>IFERROR(SUMPRODUCT(AX8:AX37,AU8:AU37)/AU38,0)</f>
        <v>0</v>
      </c>
      <c r="AY38" s="178">
        <f>IFERROR(SUMPRODUCT(AY8:AY37,AU8:AU37)/AU38,0)</f>
        <v>0</v>
      </c>
      <c r="AZ38" s="178">
        <f>IFERROR(SUMPRODUCT(AZ8:AZ37,AU8:AU37)/AU38,0)</f>
        <v>0</v>
      </c>
      <c r="BA38" s="178">
        <f>IFERROR(SUMPRODUCT(BA8:BA37,AU8:AU37)/AU38,0)</f>
        <v>0</v>
      </c>
      <c r="BB38" s="173"/>
      <c r="BC38" s="176">
        <f>IF(ISERROR(AVERAGE(BC8:BC37)),0,AVERAGE(BC8:BC37))</f>
        <v>0</v>
      </c>
      <c r="BD38" s="176">
        <f>SUM(BD8:BD37)</f>
        <v>0</v>
      </c>
      <c r="BE38" s="1671">
        <f>IFERROR(SUMPRODUCT(BE8:BE37,BD8:BD37)/BD38,0)</f>
        <v>0</v>
      </c>
      <c r="BF38" s="178">
        <f>IFERROR(SUMPRODUCT(BF8:BF37,BD8:BD37)/BD38,0)</f>
        <v>0</v>
      </c>
      <c r="BG38" s="178">
        <f>IFERROR(SUMPRODUCT(BG8:BG37,BD8:BD37)/BD38,0)</f>
        <v>0</v>
      </c>
      <c r="BH38" s="178">
        <f>IFERROR(SUMPRODUCT(BH8:BH37,BD8:BD37)/BD38,0)</f>
        <v>0</v>
      </c>
      <c r="BI38" s="178">
        <f>IFERROR(SUMPRODUCT(BI8:BI37,BD8:BD37)/BD38,0)</f>
        <v>0</v>
      </c>
      <c r="BJ38" s="178">
        <f>IFERROR(SUMPRODUCT(BJ8:BJ37,BD8:BD37)/BD38,0)</f>
        <v>0</v>
      </c>
      <c r="BK38" s="173"/>
      <c r="BL38" s="176">
        <f>IF(ISERROR(AVERAGE(BL8:BL37)),0,AVERAGE(BL8:BL37))</f>
        <v>0</v>
      </c>
      <c r="BM38" s="176">
        <f>SUM(BM8:BM37)</f>
        <v>0</v>
      </c>
      <c r="BN38" s="1671">
        <f>IFERROR(SUMPRODUCT(BN8:BN37,BM8:BM37)/BM38,0)</f>
        <v>0</v>
      </c>
      <c r="BO38" s="178">
        <f>IFERROR(SUMPRODUCT(BO8:BO37,BM8:BM37)/BM38,0)</f>
        <v>0</v>
      </c>
      <c r="BP38" s="178">
        <f>IFERROR(SUMPRODUCT(BP8:BP37,BM8:BM37)/BM38,0)</f>
        <v>0</v>
      </c>
      <c r="BQ38" s="178">
        <f>IFERROR(SUMPRODUCT(BQ8:BQ37,BM8:BM37)/BM38,0)</f>
        <v>0</v>
      </c>
      <c r="BR38" s="178">
        <f>IFERROR(SUMPRODUCT(BR8:BR37,BM8:BM37)/BM38,0)</f>
        <v>0</v>
      </c>
      <c r="BS38" s="178">
        <f>IFERROR(SUMPRODUCT(BS8:BS37,BM8:BM37)/BM38,0)</f>
        <v>0</v>
      </c>
      <c r="BT38" s="173"/>
      <c r="BU38" s="176">
        <f>IF(ISERROR(AVERAGE(BU8:BU37)),0,AVERAGE(BU8:BU37))</f>
        <v>0</v>
      </c>
      <c r="BV38" s="176">
        <f>SUM(BV8:BV37)</f>
        <v>0</v>
      </c>
      <c r="BW38" s="1671">
        <f>IFERROR(SUMPRODUCT(BW8:BW37,BV8:BV37)/BV38,0)</f>
        <v>0</v>
      </c>
      <c r="BX38" s="178">
        <f>IFERROR(SUMPRODUCT(BX8:BX37,BV8:BV37)/BV38,0)</f>
        <v>0</v>
      </c>
      <c r="BY38" s="178">
        <f>IFERROR(SUMPRODUCT(BY8:BY37,BV8:BV37)/BV38,0)</f>
        <v>0</v>
      </c>
      <c r="BZ38" s="178">
        <f>IFERROR(SUMPRODUCT(BZ8:BZ37,BV8:BV37)/BV38,0)</f>
        <v>0</v>
      </c>
      <c r="CA38" s="178">
        <f>IFERROR(SUMPRODUCT(CA8:CA37,BV8:BV37)/BV38,0)</f>
        <v>0</v>
      </c>
      <c r="CB38" s="178">
        <f>IFERROR(SUMPRODUCT(CB8:CB37,BV8:BV37)/BV38,0)</f>
        <v>0</v>
      </c>
      <c r="CC38" s="173"/>
      <c r="CD38" s="176">
        <f>IF(ISERROR(AVERAGE(CD8:CD37)),0,AVERAGE(CD8:CD37))</f>
        <v>0</v>
      </c>
      <c r="CE38" s="176">
        <f>SUM(CE8:CE37)</f>
        <v>0</v>
      </c>
      <c r="CF38" s="1671">
        <f>IFERROR(SUMPRODUCT(CF8:CF37,CE8:CE37)/CE38,0)</f>
        <v>0</v>
      </c>
      <c r="CG38" s="178">
        <f>IFERROR(SUMPRODUCT(CG8:CG37,CE8:CE37)/CE38,0)</f>
        <v>0</v>
      </c>
      <c r="CH38" s="178">
        <f>IFERROR(SUMPRODUCT(CH8:CH37,CE8:CE37)/CE38,0)</f>
        <v>0</v>
      </c>
      <c r="CI38" s="178">
        <f>IFERROR(SUMPRODUCT(CI8:CI37,CE8:CE37)/CE38,0)</f>
        <v>0</v>
      </c>
      <c r="CJ38" s="178">
        <f>IFERROR(SUMPRODUCT(CJ8:CJ37,CE8:CE37)/CE38,0)</f>
        <v>0</v>
      </c>
      <c r="CK38" s="178">
        <f>IFERROR(SUMPRODUCT(CK8:CK37,CE8:CE37)/CE38,0)</f>
        <v>0</v>
      </c>
      <c r="CL38" s="173"/>
      <c r="CM38" s="176">
        <f>IF(ISERROR(AVERAGE(CM8:CM37)),0,AVERAGE(CM8:CM37))</f>
        <v>0</v>
      </c>
      <c r="CN38" s="176">
        <f>SUM(CN8:CN37)</f>
        <v>0</v>
      </c>
      <c r="CO38" s="1671">
        <f>IFERROR(SUMPRODUCT(CO8:CO37,CN8:CN37)/CN38,0)</f>
        <v>0</v>
      </c>
      <c r="CP38" s="178">
        <f>IFERROR(SUMPRODUCT(CP8:CP37,CN8:CN37)/CN38,0)</f>
        <v>0</v>
      </c>
      <c r="CQ38" s="178">
        <f>IFERROR(SUMPRODUCT(CQ8:CQ37,CN8:CN37)/CN38,0)</f>
        <v>0</v>
      </c>
      <c r="CR38" s="178">
        <f>IFERROR(SUMPRODUCT(CR8:CR37,CN8:CN37)/CN38,0)</f>
        <v>0</v>
      </c>
      <c r="CS38" s="178">
        <f>IFERROR(SUMPRODUCT(CS8:CS37,CN8:CN37)/CN38,0)</f>
        <v>0</v>
      </c>
      <c r="CT38" s="178">
        <f>IFERROR(SUMPRODUCT(CT8:CT37,CN8:CN37)/CN38,0)</f>
        <v>0</v>
      </c>
    </row>
    <row r="39" spans="2:98" ht="16.5" thickTop="1">
      <c r="B39" s="360" t="str">
        <f>'01_1_General Data'!B123</f>
        <v>Residential Market Vacancy:</v>
      </c>
      <c r="C39" s="799"/>
      <c r="D39" s="799"/>
      <c r="E39" s="799"/>
      <c r="F39" s="799"/>
      <c r="G39" s="799"/>
      <c r="H39" s="799"/>
      <c r="I39" s="799"/>
      <c r="J39" s="799"/>
      <c r="K39" s="799"/>
      <c r="L39" s="799"/>
      <c r="M39" s="799"/>
      <c r="N39" s="797">
        <f>'01_1_General Data'!$D$123</f>
        <v>0</v>
      </c>
      <c r="AI39" s="2262" t="s">
        <v>1479</v>
      </c>
      <c r="AJ39" s="2263"/>
      <c r="AK39" s="1630"/>
      <c r="AL39" s="1630"/>
      <c r="AM39" s="160"/>
      <c r="AN39" s="1631"/>
      <c r="AO39" s="1631"/>
      <c r="AP39" s="1631"/>
      <c r="AQ39" s="1631"/>
      <c r="AR39" s="1631"/>
      <c r="AT39" s="1630"/>
      <c r="AU39" s="1630"/>
      <c r="AV39" s="160"/>
      <c r="AW39" s="1631"/>
      <c r="AX39" s="1631"/>
      <c r="AY39" s="1631"/>
      <c r="AZ39" s="1631"/>
      <c r="BA39" s="1631"/>
      <c r="BC39" s="1630"/>
      <c r="BD39" s="1630"/>
      <c r="BE39" s="160"/>
      <c r="BF39" s="1631"/>
      <c r="BG39" s="1631"/>
      <c r="BH39" s="1631"/>
      <c r="BI39" s="1631"/>
      <c r="BJ39" s="1631"/>
      <c r="BL39" s="1630"/>
      <c r="BM39" s="1630"/>
      <c r="BN39" s="160"/>
      <c r="BO39" s="1631"/>
      <c r="BP39" s="1631"/>
      <c r="BQ39" s="1631"/>
      <c r="BR39" s="1631"/>
      <c r="BS39" s="1631"/>
      <c r="BU39" s="1630"/>
      <c r="BV39" s="1630"/>
      <c r="BW39" s="160"/>
      <c r="BX39" s="1631"/>
      <c r="BY39" s="1631"/>
      <c r="BZ39" s="1631"/>
      <c r="CA39" s="1631"/>
      <c r="CB39" s="1631"/>
      <c r="CD39" s="1630"/>
      <c r="CE39" s="1630"/>
      <c r="CF39" s="160"/>
      <c r="CG39" s="1631"/>
      <c r="CH39" s="1631"/>
      <c r="CI39" s="1631"/>
      <c r="CJ39" s="1631"/>
      <c r="CK39" s="1631"/>
      <c r="CM39" s="1630"/>
      <c r="CN39" s="1630"/>
      <c r="CO39" s="160"/>
      <c r="CP39" s="1631"/>
      <c r="CQ39" s="1631"/>
      <c r="CR39" s="1631"/>
      <c r="CS39" s="1631"/>
      <c r="CT39" s="1631"/>
    </row>
    <row r="40" spans="2:98" ht="15.75">
      <c r="B40" s="360" t="str">
        <f>'01_1_General Data'!B124</f>
        <v>Residential Affordable Vacancy:</v>
      </c>
      <c r="C40" s="799"/>
      <c r="D40" s="799"/>
      <c r="E40" s="799"/>
      <c r="F40" s="799"/>
      <c r="G40" s="799"/>
      <c r="H40" s="799"/>
      <c r="I40" s="799"/>
      <c r="J40" s="799"/>
      <c r="K40" s="799"/>
      <c r="L40" s="799"/>
      <c r="M40" s="799"/>
      <c r="N40" s="797">
        <f>'01_1_General Data'!$D$124</f>
        <v>0</v>
      </c>
      <c r="AI40" s="243"/>
      <c r="AJ40" s="243"/>
    </row>
    <row r="41" spans="2:98" ht="15.75">
      <c r="B41" s="360" t="s">
        <v>1073</v>
      </c>
      <c r="C41" s="799"/>
      <c r="D41" s="799"/>
      <c r="E41" s="799"/>
      <c r="F41" s="799"/>
      <c r="G41" s="799"/>
      <c r="H41" s="799"/>
      <c r="I41" s="799"/>
      <c r="J41" s="799"/>
      <c r="K41" s="799"/>
      <c r="L41" s="799"/>
      <c r="M41" s="799"/>
      <c r="N41" s="798" cm="1">
        <f t="array" ref="N41">SUMPRODUCT(--(D8:D37&lt;&gt;"80% Non-LIHTC"),--(D8:D37&lt;&gt;"Over 120%"),--(D8:D37&lt;&gt;"100%"),--(D8:D37&lt;&gt;"120%"),$F$8:$F$37, N8:N37)*12*(1-N40)+SUMPRODUCT(((D8:D37="80% Non-LIHTC")+(D8:D37="Over 120%")+(D8:D37="100%")+(D8:D37="120%"))*$F$8:$F$37, N8:N37)*12*(1-N39)</f>
        <v>0</v>
      </c>
    </row>
    <row r="42" spans="2:98">
      <c r="AC42" s="11" t="s">
        <v>1480</v>
      </c>
      <c r="AE42" s="11">
        <f>SUM(AD38:AE38)</f>
        <v>0</v>
      </c>
    </row>
    <row r="43" spans="2:98" ht="18" customHeight="1" thickBot="1">
      <c r="B43" s="13" t="s">
        <v>1481</v>
      </c>
      <c r="C43" s="14"/>
      <c r="D43" s="14"/>
      <c r="E43" s="15"/>
      <c r="F43" s="16"/>
      <c r="G43" s="17"/>
      <c r="H43" s="18"/>
      <c r="AC43" s="11" t="s">
        <v>1482</v>
      </c>
      <c r="AE43" s="11">
        <f>SUM(AF38:AG38)</f>
        <v>0</v>
      </c>
    </row>
    <row r="44" spans="2:98" ht="18" customHeight="1">
      <c r="B44" s="179" t="s">
        <v>1077</v>
      </c>
      <c r="C44" s="180"/>
      <c r="D44" s="180"/>
      <c r="E44" s="181"/>
      <c r="F44" s="182"/>
      <c r="G44" s="183"/>
      <c r="H44" s="184"/>
      <c r="J44" s="146" t="s">
        <v>1087</v>
      </c>
      <c r="K44" s="536"/>
      <c r="L44" s="536"/>
      <c r="M44" s="163">
        <f>SUMIF(E8:E37,"New Construction", F8:F37)</f>
        <v>0</v>
      </c>
    </row>
    <row r="45" spans="2:98" ht="18" customHeight="1" thickBot="1">
      <c r="B45" s="2269" t="s">
        <v>1078</v>
      </c>
      <c r="C45" s="2270"/>
      <c r="D45" s="185"/>
      <c r="E45" s="8"/>
      <c r="F45" s="8"/>
      <c r="G45" s="8"/>
      <c r="H45" s="147"/>
      <c r="J45" s="148" t="s">
        <v>1088</v>
      </c>
      <c r="K45" s="1510"/>
      <c r="L45" s="1510"/>
      <c r="M45" s="1513">
        <f>rng02_TotalUnit - rng02_TotalUnit_New</f>
        <v>0</v>
      </c>
    </row>
    <row r="46" spans="2:98" ht="18" customHeight="1" thickBot="1">
      <c r="B46" s="186"/>
      <c r="C46" s="8"/>
      <c r="D46" s="8"/>
      <c r="E46" s="8"/>
      <c r="F46" s="8"/>
      <c r="G46" s="151"/>
      <c r="H46" s="147"/>
      <c r="I46" s="159"/>
      <c r="V46" s="73" t="s">
        <v>1483</v>
      </c>
      <c r="W46" s="74"/>
      <c r="X46" s="75"/>
      <c r="Y46" s="75"/>
      <c r="Z46" s="75"/>
      <c r="AA46" s="75"/>
      <c r="AB46" s="75"/>
      <c r="AC46" s="75"/>
      <c r="AD46" s="75"/>
      <c r="AE46" s="75"/>
      <c r="AF46" s="75"/>
      <c r="AG46" s="75"/>
      <c r="AH46" s="75"/>
      <c r="AI46" s="75"/>
      <c r="AJ46" s="75"/>
      <c r="AK46" s="75"/>
      <c r="AL46" s="75"/>
      <c r="AM46" s="75"/>
      <c r="AN46" s="75"/>
      <c r="AO46" s="75"/>
      <c r="AP46" s="72"/>
    </row>
    <row r="47" spans="2:98" ht="15.75">
      <c r="B47" s="671" t="s">
        <v>1081</v>
      </c>
      <c r="C47" s="672"/>
      <c r="D47" s="672"/>
      <c r="E47" s="673" t="s">
        <v>54</v>
      </c>
      <c r="F47" s="673" t="s">
        <v>1082</v>
      </c>
      <c r="G47" s="673" t="s">
        <v>1083</v>
      </c>
      <c r="H47" s="673" t="s">
        <v>1084</v>
      </c>
      <c r="J47" s="146" t="s">
        <v>1089</v>
      </c>
      <c r="K47" s="536"/>
      <c r="L47" s="536"/>
      <c r="M47" s="1522">
        <f>SUMIF(E8:E37,"New Construction", X8:X37)</f>
        <v>0</v>
      </c>
      <c r="V47" s="42"/>
      <c r="W47" s="43"/>
      <c r="X47" s="43"/>
      <c r="Y47" s="43"/>
      <c r="Z47" s="43"/>
      <c r="AA47" s="43"/>
      <c r="AB47" s="43"/>
      <c r="AC47" s="43"/>
      <c r="AD47" s="43"/>
      <c r="AE47" s="43"/>
      <c r="AF47" s="43"/>
      <c r="AG47" s="43"/>
      <c r="AH47" s="43"/>
      <c r="AI47" s="43"/>
      <c r="AJ47" s="44"/>
      <c r="AK47" s="44"/>
      <c r="AL47" s="44"/>
      <c r="AM47" s="44"/>
      <c r="AN47" s="44"/>
      <c r="AO47" s="44"/>
      <c r="AP47" s="45"/>
    </row>
    <row r="48" spans="2:98" ht="16.5" thickBot="1">
      <c r="B48" s="2254"/>
      <c r="C48" s="2255"/>
      <c r="D48" s="2256"/>
      <c r="E48" s="83"/>
      <c r="F48" s="83"/>
      <c r="G48" s="85"/>
      <c r="H48" s="167">
        <f t="shared" ref="H48:H59" si="83">F48*G48*12</f>
        <v>0</v>
      </c>
      <c r="J48" s="148" t="s">
        <v>1090</v>
      </c>
      <c r="K48" s="1510"/>
      <c r="L48" s="1510"/>
      <c r="M48" s="1512">
        <f>X38-M47</f>
        <v>0</v>
      </c>
      <c r="V48" s="46"/>
      <c r="W48" s="44"/>
      <c r="X48" s="44"/>
      <c r="Y48" s="44"/>
      <c r="Z48" s="44"/>
      <c r="AA48" s="44"/>
      <c r="AB48" s="44"/>
      <c r="AC48" s="44"/>
      <c r="AD48" s="44"/>
      <c r="AE48" s="44"/>
      <c r="AF48" s="44"/>
      <c r="AG48" s="44"/>
      <c r="AH48" s="44"/>
      <c r="AI48" s="44"/>
      <c r="AJ48" s="44"/>
      <c r="AK48" s="44"/>
      <c r="AL48" s="44"/>
      <c r="AM48" s="44"/>
      <c r="AN48" s="44"/>
      <c r="AO48" s="44"/>
      <c r="AP48" s="45"/>
    </row>
    <row r="49" spans="2:42" ht="16.5" customHeight="1">
      <c r="B49" s="2254"/>
      <c r="C49" s="2255"/>
      <c r="D49" s="2256"/>
      <c r="E49" s="83"/>
      <c r="F49" s="83"/>
      <c r="G49" s="85"/>
      <c r="H49" s="167">
        <f t="shared" si="83"/>
        <v>0</v>
      </c>
      <c r="V49" s="46"/>
      <c r="W49" s="44"/>
      <c r="X49" s="44"/>
      <c r="Y49" s="44"/>
      <c r="Z49" s="44"/>
      <c r="AA49" s="44"/>
      <c r="AB49" s="44"/>
      <c r="AC49" s="44"/>
      <c r="AD49" s="44"/>
      <c r="AE49" s="44"/>
      <c r="AF49" s="44"/>
      <c r="AG49" s="44"/>
      <c r="AH49" s="44"/>
      <c r="AI49" s="44"/>
      <c r="AJ49" s="44"/>
      <c r="AK49" s="44"/>
      <c r="AL49" s="44"/>
      <c r="AM49" s="44"/>
      <c r="AN49" s="44"/>
      <c r="AO49" s="44"/>
      <c r="AP49" s="45"/>
    </row>
    <row r="50" spans="2:42" ht="15.75">
      <c r="B50" s="2254"/>
      <c r="C50" s="2255"/>
      <c r="D50" s="2256"/>
      <c r="E50" s="83"/>
      <c r="F50" s="83"/>
      <c r="G50" s="85"/>
      <c r="H50" s="167">
        <f t="shared" si="83"/>
        <v>0</v>
      </c>
      <c r="V50" s="46"/>
      <c r="W50" s="44"/>
      <c r="X50" s="44"/>
      <c r="Y50" s="44"/>
      <c r="Z50" s="44"/>
      <c r="AA50" s="44"/>
      <c r="AB50" s="44"/>
      <c r="AC50" s="44"/>
      <c r="AD50" s="44"/>
      <c r="AE50" s="44"/>
      <c r="AF50" s="44"/>
      <c r="AG50" s="44"/>
      <c r="AH50" s="44"/>
      <c r="AI50" s="44"/>
      <c r="AJ50" s="44"/>
      <c r="AK50" s="44"/>
      <c r="AL50" s="44"/>
      <c r="AM50" s="44"/>
      <c r="AN50" s="44"/>
      <c r="AO50" s="44"/>
      <c r="AP50" s="45"/>
    </row>
    <row r="51" spans="2:42" ht="15.75">
      <c r="B51" s="2254"/>
      <c r="C51" s="2255"/>
      <c r="D51" s="2256"/>
      <c r="E51" s="83"/>
      <c r="F51" s="83"/>
      <c r="G51" s="85"/>
      <c r="H51" s="167">
        <f t="shared" si="83"/>
        <v>0</v>
      </c>
      <c r="V51" s="46"/>
      <c r="W51" s="44"/>
      <c r="X51" s="44"/>
      <c r="Y51" s="44"/>
      <c r="Z51" s="44"/>
      <c r="AA51" s="44"/>
      <c r="AB51" s="44"/>
      <c r="AC51" s="44"/>
      <c r="AD51" s="44"/>
      <c r="AE51" s="44"/>
      <c r="AF51" s="44"/>
      <c r="AG51" s="44"/>
      <c r="AH51" s="44"/>
      <c r="AI51" s="44"/>
      <c r="AJ51" s="44"/>
      <c r="AK51" s="44"/>
      <c r="AL51" s="44"/>
      <c r="AM51" s="44"/>
      <c r="AN51" s="44"/>
      <c r="AO51" s="44"/>
      <c r="AP51" s="45"/>
    </row>
    <row r="52" spans="2:42" ht="15.75">
      <c r="B52" s="2254"/>
      <c r="C52" s="2255"/>
      <c r="D52" s="2256"/>
      <c r="E52" s="83"/>
      <c r="F52" s="83"/>
      <c r="G52" s="85"/>
      <c r="H52" s="167">
        <f t="shared" si="83"/>
        <v>0</v>
      </c>
      <c r="V52" s="46"/>
      <c r="W52" s="44"/>
      <c r="X52" s="44"/>
      <c r="Y52" s="44"/>
      <c r="Z52" s="44"/>
      <c r="AA52" s="44"/>
      <c r="AB52" s="44"/>
      <c r="AC52" s="44"/>
      <c r="AD52" s="44"/>
      <c r="AE52" s="44"/>
      <c r="AF52" s="44"/>
      <c r="AG52" s="44"/>
      <c r="AH52" s="44"/>
      <c r="AI52" s="44"/>
      <c r="AJ52" s="44"/>
      <c r="AK52" s="44"/>
      <c r="AL52" s="44"/>
      <c r="AM52" s="44"/>
      <c r="AN52" s="44"/>
      <c r="AO52" s="44"/>
      <c r="AP52" s="45"/>
    </row>
    <row r="53" spans="2:42" ht="15.75">
      <c r="B53" s="2254"/>
      <c r="C53" s="2255"/>
      <c r="D53" s="2256"/>
      <c r="E53" s="83"/>
      <c r="F53" s="83"/>
      <c r="G53" s="85"/>
      <c r="H53" s="167">
        <f t="shared" si="83"/>
        <v>0</v>
      </c>
      <c r="V53" s="46"/>
      <c r="W53" s="44"/>
      <c r="X53" s="44"/>
      <c r="Y53" s="44"/>
      <c r="Z53" s="44"/>
      <c r="AA53" s="44"/>
      <c r="AB53" s="44"/>
      <c r="AC53" s="44"/>
      <c r="AD53" s="44"/>
      <c r="AE53" s="44"/>
      <c r="AF53" s="44"/>
      <c r="AG53" s="44"/>
      <c r="AH53" s="44"/>
      <c r="AI53" s="44"/>
      <c r="AJ53" s="44"/>
      <c r="AK53" s="44"/>
      <c r="AL53" s="44"/>
      <c r="AM53" s="44"/>
      <c r="AN53" s="44"/>
      <c r="AO53" s="44"/>
      <c r="AP53" s="45"/>
    </row>
    <row r="54" spans="2:42" ht="15.75">
      <c r="B54" s="2254"/>
      <c r="C54" s="2255"/>
      <c r="D54" s="2256"/>
      <c r="E54" s="83"/>
      <c r="F54" s="83"/>
      <c r="G54" s="85"/>
      <c r="H54" s="167">
        <f t="shared" si="83"/>
        <v>0</v>
      </c>
      <c r="V54" s="46"/>
      <c r="W54" s="44"/>
      <c r="X54" s="44"/>
      <c r="Y54" s="44"/>
      <c r="Z54" s="44"/>
      <c r="AA54" s="44"/>
      <c r="AB54" s="44"/>
      <c r="AC54" s="44"/>
      <c r="AD54" s="44"/>
      <c r="AE54" s="44"/>
      <c r="AF54" s="44"/>
      <c r="AG54" s="44"/>
      <c r="AH54" s="44"/>
      <c r="AI54" s="44"/>
      <c r="AJ54" s="44"/>
      <c r="AK54" s="44"/>
      <c r="AL54" s="44"/>
      <c r="AM54" s="44"/>
      <c r="AN54" s="44"/>
      <c r="AO54" s="44"/>
      <c r="AP54" s="45"/>
    </row>
    <row r="55" spans="2:42" ht="15.75">
      <c r="B55" s="2254"/>
      <c r="C55" s="2255"/>
      <c r="D55" s="2256"/>
      <c r="E55" s="83"/>
      <c r="F55" s="83"/>
      <c r="G55" s="85"/>
      <c r="H55" s="167">
        <f t="shared" si="83"/>
        <v>0</v>
      </c>
      <c r="V55" s="47"/>
      <c r="W55" s="44"/>
      <c r="X55" s="44"/>
      <c r="Y55" s="44"/>
      <c r="Z55" s="44"/>
      <c r="AA55" s="44"/>
      <c r="AB55" s="44"/>
      <c r="AC55" s="44"/>
      <c r="AD55" s="44"/>
      <c r="AE55" s="44"/>
      <c r="AF55" s="44"/>
      <c r="AG55" s="44"/>
      <c r="AH55" s="44"/>
      <c r="AI55" s="44"/>
      <c r="AJ55" s="44"/>
      <c r="AK55" s="44"/>
      <c r="AL55" s="44"/>
      <c r="AM55" s="44"/>
      <c r="AN55" s="44"/>
      <c r="AO55" s="44"/>
      <c r="AP55" s="45"/>
    </row>
    <row r="56" spans="2:42" ht="15.75">
      <c r="B56" s="2254"/>
      <c r="C56" s="2255"/>
      <c r="D56" s="2256"/>
      <c r="E56" s="83"/>
      <c r="F56" s="83"/>
      <c r="G56" s="85"/>
      <c r="H56" s="167">
        <f t="shared" si="83"/>
        <v>0</v>
      </c>
      <c r="V56" s="46"/>
      <c r="W56" s="44"/>
      <c r="X56" s="44"/>
      <c r="Y56" s="44"/>
      <c r="Z56" s="44"/>
      <c r="AA56" s="44"/>
      <c r="AB56" s="44"/>
      <c r="AC56" s="44"/>
      <c r="AD56" s="44"/>
      <c r="AE56" s="44"/>
      <c r="AF56" s="44"/>
      <c r="AG56" s="44"/>
      <c r="AH56" s="44"/>
      <c r="AI56" s="44"/>
      <c r="AJ56" s="44"/>
      <c r="AK56" s="44"/>
      <c r="AL56" s="44"/>
      <c r="AM56" s="44"/>
      <c r="AN56" s="44"/>
      <c r="AO56" s="44"/>
      <c r="AP56" s="45"/>
    </row>
    <row r="57" spans="2:42" ht="15.75">
      <c r="B57" s="2254"/>
      <c r="C57" s="2255"/>
      <c r="D57" s="2256"/>
      <c r="E57" s="83"/>
      <c r="F57" s="83"/>
      <c r="G57" s="85"/>
      <c r="H57" s="167">
        <f t="shared" si="83"/>
        <v>0</v>
      </c>
      <c r="V57" s="46"/>
      <c r="W57" s="44"/>
      <c r="X57" s="44"/>
      <c r="Y57" s="44"/>
      <c r="Z57" s="44"/>
      <c r="AA57" s="44"/>
      <c r="AB57" s="44"/>
      <c r="AC57" s="44"/>
      <c r="AD57" s="44"/>
      <c r="AE57" s="44"/>
      <c r="AF57" s="44"/>
      <c r="AG57" s="44"/>
      <c r="AH57" s="44"/>
      <c r="AI57" s="44"/>
      <c r="AJ57" s="44"/>
      <c r="AK57" s="44"/>
      <c r="AL57" s="44"/>
      <c r="AM57" s="44"/>
      <c r="AN57" s="44"/>
      <c r="AO57" s="44"/>
      <c r="AP57" s="45"/>
    </row>
    <row r="58" spans="2:42" ht="15.75">
      <c r="B58" s="2254"/>
      <c r="C58" s="2255"/>
      <c r="D58" s="2256"/>
      <c r="E58" s="83"/>
      <c r="F58" s="83"/>
      <c r="G58" s="85"/>
      <c r="H58" s="167">
        <f t="shared" si="83"/>
        <v>0</v>
      </c>
      <c r="V58" s="46"/>
      <c r="W58" s="44"/>
      <c r="X58" s="44"/>
      <c r="Y58" s="44"/>
      <c r="Z58" s="44"/>
      <c r="AA58" s="44"/>
      <c r="AB58" s="44"/>
      <c r="AC58" s="44"/>
      <c r="AD58" s="44"/>
      <c r="AE58" s="44"/>
      <c r="AF58" s="44"/>
      <c r="AG58" s="44"/>
      <c r="AH58" s="44"/>
      <c r="AI58" s="44"/>
      <c r="AJ58" s="44"/>
      <c r="AK58" s="44"/>
      <c r="AL58" s="44"/>
      <c r="AM58" s="44"/>
      <c r="AN58" s="44"/>
      <c r="AO58" s="44"/>
      <c r="AP58" s="45"/>
    </row>
    <row r="59" spans="2:42" ht="16.5" thickBot="1">
      <c r="B59" s="2257"/>
      <c r="C59" s="2258"/>
      <c r="D59" s="2259"/>
      <c r="E59" s="86"/>
      <c r="F59" s="86"/>
      <c r="G59" s="87"/>
      <c r="H59" s="187">
        <f t="shared" si="83"/>
        <v>0</v>
      </c>
      <c r="V59" s="46"/>
      <c r="W59" s="44"/>
      <c r="X59" s="44"/>
      <c r="Y59" s="44"/>
      <c r="Z59" s="44"/>
      <c r="AA59" s="44"/>
      <c r="AB59" s="44"/>
      <c r="AC59" s="44"/>
      <c r="AD59" s="44"/>
      <c r="AE59" s="44"/>
      <c r="AF59" s="44"/>
      <c r="AG59" s="44"/>
      <c r="AH59" s="44"/>
      <c r="AI59" s="44"/>
      <c r="AJ59" s="44"/>
      <c r="AK59" s="44"/>
      <c r="AL59" s="44"/>
      <c r="AM59" s="44"/>
      <c r="AN59" s="44"/>
      <c r="AO59" s="44"/>
      <c r="AP59" s="45"/>
    </row>
    <row r="60" spans="2:42" ht="15.75">
      <c r="B60" s="646" t="s">
        <v>1030</v>
      </c>
      <c r="C60" s="647"/>
      <c r="D60" s="647"/>
      <c r="E60" s="685">
        <f>SUM(E48:E59)</f>
        <v>0</v>
      </c>
      <c r="F60" s="685">
        <f>SUM(F48:F59)</f>
        <v>0</v>
      </c>
      <c r="G60" s="188" t="s">
        <v>1085</v>
      </c>
      <c r="H60" s="189">
        <f>SUM(H48:H59)</f>
        <v>0</v>
      </c>
      <c r="V60" s="46"/>
      <c r="W60" s="44"/>
      <c r="X60" s="44"/>
      <c r="Y60" s="44"/>
      <c r="Z60" s="44"/>
      <c r="AA60" s="44"/>
      <c r="AB60" s="44"/>
      <c r="AC60" s="44"/>
      <c r="AD60" s="44"/>
      <c r="AE60" s="44"/>
      <c r="AF60" s="44"/>
      <c r="AG60" s="44"/>
      <c r="AH60" s="44"/>
      <c r="AI60" s="44"/>
      <c r="AJ60" s="44"/>
      <c r="AK60" s="44"/>
      <c r="AL60" s="44"/>
      <c r="AM60" s="44"/>
      <c r="AN60" s="44"/>
      <c r="AO60" s="44"/>
      <c r="AP60" s="45"/>
    </row>
    <row r="61" spans="2:42" ht="15.75">
      <c r="B61" s="360" t="s">
        <v>1086</v>
      </c>
      <c r="C61" s="799"/>
      <c r="D61" s="799"/>
      <c r="E61" s="799"/>
      <c r="F61" s="799"/>
      <c r="G61" s="799"/>
      <c r="H61" s="797">
        <f>'01_1_General Data'!$D$125</f>
        <v>0</v>
      </c>
      <c r="V61" s="46"/>
      <c r="W61" s="44"/>
      <c r="X61" s="44"/>
      <c r="Y61" s="44"/>
      <c r="Z61" s="44"/>
      <c r="AA61" s="44"/>
      <c r="AB61" s="44"/>
      <c r="AC61" s="44"/>
      <c r="AD61" s="44"/>
      <c r="AE61" s="44"/>
      <c r="AF61" s="44"/>
      <c r="AG61" s="44"/>
      <c r="AH61" s="44"/>
      <c r="AI61" s="44"/>
      <c r="AJ61" s="44"/>
      <c r="AK61" s="44"/>
      <c r="AL61" s="44"/>
      <c r="AM61" s="44"/>
      <c r="AN61" s="44"/>
      <c r="AO61" s="44"/>
      <c r="AP61" s="45"/>
    </row>
    <row r="62" spans="2:42" ht="15.75">
      <c r="B62" s="360" t="s">
        <v>1073</v>
      </c>
      <c r="C62" s="799"/>
      <c r="D62" s="799"/>
      <c r="E62" s="799"/>
      <c r="F62" s="799"/>
      <c r="G62" s="799"/>
      <c r="H62" s="798">
        <f>H60*(1-H61)</f>
        <v>0</v>
      </c>
      <c r="V62" s="46"/>
      <c r="W62" s="44"/>
      <c r="X62" s="44"/>
      <c r="Y62" s="44"/>
      <c r="Z62" s="44"/>
      <c r="AA62" s="44"/>
      <c r="AB62" s="44"/>
      <c r="AC62" s="44"/>
      <c r="AD62" s="44"/>
      <c r="AE62" s="44"/>
      <c r="AF62" s="44"/>
      <c r="AG62" s="44"/>
      <c r="AH62" s="44"/>
      <c r="AI62" s="44"/>
      <c r="AJ62" s="44"/>
      <c r="AK62" s="44"/>
      <c r="AL62" s="44"/>
      <c r="AM62" s="44"/>
      <c r="AN62" s="44"/>
      <c r="AO62" s="44"/>
      <c r="AP62" s="45"/>
    </row>
    <row r="63" spans="2:42" ht="15">
      <c r="V63" s="48"/>
      <c r="W63" s="49"/>
      <c r="X63" s="44"/>
      <c r="Y63" s="44"/>
      <c r="Z63" s="44"/>
      <c r="AA63" s="44"/>
      <c r="AB63" s="44"/>
      <c r="AC63" s="44"/>
      <c r="AD63" s="44"/>
      <c r="AE63" s="44"/>
      <c r="AF63" s="44"/>
      <c r="AG63" s="44"/>
      <c r="AH63" s="44"/>
      <c r="AI63" s="44"/>
      <c r="AJ63" s="44"/>
      <c r="AK63" s="44"/>
      <c r="AL63" s="44"/>
      <c r="AM63" s="44"/>
      <c r="AN63" s="44"/>
      <c r="AO63" s="44"/>
      <c r="AP63" s="45"/>
    </row>
    <row r="64" spans="2:42" ht="15">
      <c r="V64" s="46"/>
      <c r="W64" s="44"/>
      <c r="X64" s="44"/>
      <c r="Y64" s="44"/>
      <c r="Z64" s="44"/>
      <c r="AA64" s="44"/>
      <c r="AB64" s="44"/>
      <c r="AC64" s="44"/>
      <c r="AD64" s="44"/>
      <c r="AE64" s="44"/>
      <c r="AF64" s="44"/>
      <c r="AG64" s="44"/>
      <c r="AH64" s="44"/>
      <c r="AI64" s="44"/>
      <c r="AJ64" s="44"/>
      <c r="AK64" s="44"/>
      <c r="AL64" s="44"/>
      <c r="AM64" s="44"/>
      <c r="AN64" s="44"/>
      <c r="AO64" s="44"/>
      <c r="AP64" s="45"/>
    </row>
    <row r="65" spans="2:42" ht="18.75">
      <c r="B65" s="13" t="s">
        <v>1484</v>
      </c>
      <c r="C65" s="14"/>
      <c r="D65" s="14"/>
      <c r="E65" s="15"/>
      <c r="F65" s="16"/>
      <c r="G65" s="17"/>
      <c r="H65" s="18"/>
      <c r="V65" s="46"/>
      <c r="W65" s="44"/>
      <c r="X65" s="44"/>
      <c r="Y65" s="44"/>
      <c r="Z65" s="44"/>
      <c r="AA65" s="44"/>
      <c r="AB65" s="44"/>
      <c r="AC65" s="44"/>
      <c r="AD65" s="44"/>
      <c r="AE65" s="44"/>
      <c r="AF65" s="44"/>
      <c r="AG65" s="44"/>
      <c r="AH65" s="44"/>
      <c r="AI65" s="44"/>
      <c r="AJ65" s="44"/>
      <c r="AK65" s="44"/>
      <c r="AL65" s="44"/>
      <c r="AM65" s="44"/>
      <c r="AN65" s="44"/>
      <c r="AO65" s="44"/>
      <c r="AP65" s="45"/>
    </row>
    <row r="66" spans="2:42" ht="15.75">
      <c r="B66" s="179" t="s">
        <v>1077</v>
      </c>
      <c r="C66" s="180"/>
      <c r="D66" s="180"/>
      <c r="E66" s="181"/>
      <c r="F66" s="182"/>
      <c r="G66" s="183"/>
      <c r="H66" s="184"/>
      <c r="V66" s="46"/>
      <c r="W66" s="44"/>
      <c r="X66" s="44"/>
      <c r="Y66" s="44"/>
      <c r="Z66" s="44"/>
      <c r="AA66" s="44"/>
      <c r="AB66" s="44"/>
      <c r="AC66" s="44"/>
      <c r="AD66" s="44"/>
      <c r="AE66" s="44"/>
      <c r="AF66" s="44"/>
      <c r="AG66" s="44"/>
      <c r="AH66" s="44"/>
      <c r="AI66" s="44"/>
      <c r="AJ66" s="44"/>
      <c r="AK66" s="44"/>
      <c r="AL66" s="44"/>
      <c r="AM66" s="44"/>
      <c r="AN66" s="44"/>
      <c r="AO66" s="44"/>
      <c r="AP66" s="45"/>
    </row>
    <row r="67" spans="2:42" ht="15.75">
      <c r="B67" s="186"/>
      <c r="C67" s="8"/>
      <c r="D67" s="8"/>
      <c r="E67" s="8"/>
      <c r="F67" s="8"/>
      <c r="G67" s="151"/>
      <c r="H67" s="147"/>
      <c r="I67" s="159"/>
      <c r="V67" s="46"/>
      <c r="W67" s="44"/>
      <c r="X67" s="44"/>
      <c r="Y67" s="44"/>
      <c r="Z67" s="44"/>
      <c r="AA67" s="44"/>
      <c r="AB67" s="44"/>
      <c r="AC67" s="44"/>
      <c r="AD67" s="44"/>
      <c r="AE67" s="44"/>
      <c r="AF67" s="44"/>
      <c r="AG67" s="44"/>
      <c r="AH67" s="44"/>
      <c r="AI67" s="44"/>
      <c r="AJ67" s="44"/>
      <c r="AK67" s="44"/>
      <c r="AL67" s="44"/>
      <c r="AM67" s="44"/>
      <c r="AN67" s="44"/>
      <c r="AO67" s="44"/>
      <c r="AP67" s="45"/>
    </row>
    <row r="68" spans="2:42" ht="15.75">
      <c r="B68" s="2264" t="s">
        <v>1485</v>
      </c>
      <c r="C68" s="2265"/>
      <c r="D68" s="2266"/>
      <c r="E68" s="673" t="s">
        <v>54</v>
      </c>
      <c r="F68" s="673" t="s">
        <v>1082</v>
      </c>
      <c r="G68" s="673" t="s">
        <v>1083</v>
      </c>
      <c r="H68" s="673" t="s">
        <v>1084</v>
      </c>
      <c r="V68" s="48"/>
      <c r="W68" s="49"/>
      <c r="X68" s="44"/>
      <c r="Y68" s="44"/>
      <c r="Z68" s="44"/>
      <c r="AA68" s="44"/>
      <c r="AB68" s="44"/>
      <c r="AC68" s="44"/>
      <c r="AD68" s="44"/>
      <c r="AE68" s="44"/>
      <c r="AF68" s="44"/>
      <c r="AG68" s="44"/>
      <c r="AH68" s="44"/>
      <c r="AI68" s="44"/>
      <c r="AJ68" s="44"/>
      <c r="AK68" s="44"/>
      <c r="AL68" s="44"/>
      <c r="AM68" s="44"/>
      <c r="AN68" s="44"/>
      <c r="AO68" s="44"/>
      <c r="AP68" s="45"/>
    </row>
    <row r="69" spans="2:42" ht="15.75">
      <c r="B69" s="2210"/>
      <c r="C69" s="2261"/>
      <c r="D69" s="2211"/>
      <c r="E69" s="83"/>
      <c r="F69" s="83"/>
      <c r="G69" s="85"/>
      <c r="H69" s="167">
        <f>E69*G69*12</f>
        <v>0</v>
      </c>
      <c r="V69" s="46"/>
      <c r="W69" s="44"/>
      <c r="X69" s="44"/>
      <c r="Y69" s="44"/>
      <c r="Z69" s="44"/>
      <c r="AA69" s="44"/>
      <c r="AB69" s="44"/>
      <c r="AC69" s="44"/>
      <c r="AD69" s="44"/>
      <c r="AE69" s="44"/>
      <c r="AF69" s="44"/>
      <c r="AG69" s="44"/>
      <c r="AH69" s="44"/>
      <c r="AI69" s="44"/>
      <c r="AJ69" s="44"/>
      <c r="AK69" s="44"/>
      <c r="AL69" s="44"/>
      <c r="AM69" s="44"/>
      <c r="AN69" s="44"/>
      <c r="AO69" s="44"/>
      <c r="AP69" s="45"/>
    </row>
    <row r="70" spans="2:42" ht="15.75">
      <c r="B70" s="2210"/>
      <c r="C70" s="2261"/>
      <c r="D70" s="2211"/>
      <c r="E70" s="83"/>
      <c r="F70" s="83"/>
      <c r="G70" s="85"/>
      <c r="H70" s="167">
        <f t="shared" ref="H70:H80" si="84">E70*G70*12</f>
        <v>0</v>
      </c>
      <c r="V70" s="46"/>
      <c r="W70" s="44"/>
      <c r="X70" s="44"/>
      <c r="Y70" s="44"/>
      <c r="Z70" s="44"/>
      <c r="AA70" s="44"/>
      <c r="AB70" s="44"/>
      <c r="AC70" s="44"/>
      <c r="AD70" s="44"/>
      <c r="AE70" s="44"/>
      <c r="AF70" s="44"/>
      <c r="AG70" s="44"/>
      <c r="AH70" s="44"/>
      <c r="AI70" s="44"/>
      <c r="AJ70" s="44"/>
      <c r="AK70" s="44"/>
      <c r="AL70" s="44"/>
      <c r="AM70" s="44"/>
      <c r="AN70" s="44"/>
      <c r="AO70" s="44"/>
      <c r="AP70" s="45"/>
    </row>
    <row r="71" spans="2:42" ht="15.75">
      <c r="B71" s="2210"/>
      <c r="C71" s="2261"/>
      <c r="D71" s="2211"/>
      <c r="E71" s="83"/>
      <c r="F71" s="83"/>
      <c r="G71" s="85"/>
      <c r="H71" s="167">
        <f t="shared" si="84"/>
        <v>0</v>
      </c>
      <c r="V71" s="46"/>
      <c r="W71" s="44"/>
      <c r="X71" s="44"/>
      <c r="Y71" s="44"/>
      <c r="Z71" s="44"/>
      <c r="AA71" s="44"/>
      <c r="AB71" s="44"/>
      <c r="AC71" s="44"/>
      <c r="AD71" s="44"/>
      <c r="AE71" s="44"/>
      <c r="AF71" s="44"/>
      <c r="AG71" s="44"/>
      <c r="AH71" s="44"/>
      <c r="AI71" s="44"/>
      <c r="AJ71" s="44"/>
      <c r="AK71" s="44"/>
      <c r="AL71" s="44"/>
      <c r="AM71" s="44"/>
      <c r="AN71" s="44"/>
      <c r="AO71" s="44"/>
      <c r="AP71" s="45"/>
    </row>
    <row r="72" spans="2:42" ht="15.75">
      <c r="B72" s="2210"/>
      <c r="C72" s="2261"/>
      <c r="D72" s="2211"/>
      <c r="E72" s="83"/>
      <c r="F72" s="83"/>
      <c r="G72" s="85"/>
      <c r="H72" s="167">
        <f t="shared" si="84"/>
        <v>0</v>
      </c>
      <c r="V72" s="46"/>
      <c r="W72" s="44"/>
      <c r="X72" s="44"/>
      <c r="Y72" s="44"/>
      <c r="Z72" s="44"/>
      <c r="AA72" s="44"/>
      <c r="AB72" s="44"/>
      <c r="AC72" s="44"/>
      <c r="AD72" s="44"/>
      <c r="AE72" s="44"/>
      <c r="AF72" s="44"/>
      <c r="AG72" s="44"/>
      <c r="AH72" s="44"/>
      <c r="AI72" s="44"/>
      <c r="AJ72" s="44"/>
      <c r="AK72" s="44"/>
      <c r="AL72" s="44"/>
      <c r="AM72" s="44"/>
      <c r="AN72" s="44"/>
      <c r="AO72" s="44"/>
      <c r="AP72" s="45"/>
    </row>
    <row r="73" spans="2:42" ht="15.75">
      <c r="B73" s="2210"/>
      <c r="C73" s="2261"/>
      <c r="D73" s="2211"/>
      <c r="E73" s="83"/>
      <c r="F73" s="83"/>
      <c r="G73" s="85"/>
      <c r="H73" s="167">
        <f t="shared" si="84"/>
        <v>0</v>
      </c>
      <c r="V73" s="47"/>
      <c r="W73" s="44"/>
      <c r="X73" s="44"/>
      <c r="Y73" s="44"/>
      <c r="Z73" s="44"/>
      <c r="AA73" s="44"/>
      <c r="AB73" s="44"/>
      <c r="AC73" s="44"/>
      <c r="AD73" s="44"/>
      <c r="AE73" s="44"/>
      <c r="AF73" s="44"/>
      <c r="AG73" s="44"/>
      <c r="AH73" s="44"/>
      <c r="AI73" s="44"/>
      <c r="AJ73" s="44"/>
      <c r="AK73" s="44"/>
      <c r="AL73" s="44"/>
      <c r="AM73" s="44"/>
      <c r="AN73" s="44"/>
      <c r="AO73" s="44"/>
      <c r="AP73" s="45"/>
    </row>
    <row r="74" spans="2:42" ht="15.75">
      <c r="B74" s="2210"/>
      <c r="C74" s="2261"/>
      <c r="D74" s="2211"/>
      <c r="E74" s="83"/>
      <c r="F74" s="83"/>
      <c r="G74" s="85"/>
      <c r="H74" s="167">
        <f t="shared" si="84"/>
        <v>0</v>
      </c>
      <c r="V74" s="46"/>
      <c r="W74" s="44"/>
      <c r="X74" s="44"/>
      <c r="Y74" s="44"/>
      <c r="Z74" s="44"/>
      <c r="AA74" s="44"/>
      <c r="AB74" s="44"/>
      <c r="AC74" s="44"/>
      <c r="AD74" s="44"/>
      <c r="AE74" s="44"/>
      <c r="AF74" s="44"/>
      <c r="AG74" s="44"/>
      <c r="AH74" s="44"/>
      <c r="AI74" s="44"/>
      <c r="AJ74" s="44"/>
      <c r="AK74" s="44"/>
      <c r="AL74" s="44"/>
      <c r="AM74" s="44"/>
      <c r="AN74" s="44"/>
      <c r="AO74" s="44"/>
      <c r="AP74" s="45"/>
    </row>
    <row r="75" spans="2:42" ht="15.75">
      <c r="B75" s="2210"/>
      <c r="C75" s="2261"/>
      <c r="D75" s="2211"/>
      <c r="E75" s="83"/>
      <c r="F75" s="83"/>
      <c r="G75" s="85"/>
      <c r="H75" s="167">
        <f t="shared" si="84"/>
        <v>0</v>
      </c>
      <c r="V75" s="46"/>
      <c r="W75" s="44"/>
      <c r="X75" s="44"/>
      <c r="Y75" s="44"/>
      <c r="Z75" s="44"/>
      <c r="AA75" s="44"/>
      <c r="AB75" s="44"/>
      <c r="AC75" s="44"/>
      <c r="AD75" s="44"/>
      <c r="AE75" s="44"/>
      <c r="AF75" s="44"/>
      <c r="AG75" s="44"/>
      <c r="AH75" s="44"/>
      <c r="AI75" s="44"/>
      <c r="AJ75" s="44"/>
      <c r="AK75" s="44"/>
      <c r="AL75" s="44"/>
      <c r="AM75" s="44"/>
      <c r="AN75" s="44"/>
      <c r="AO75" s="44"/>
      <c r="AP75" s="45"/>
    </row>
    <row r="76" spans="2:42" ht="15.75">
      <c r="B76" s="2210"/>
      <c r="C76" s="2261"/>
      <c r="D76" s="2211"/>
      <c r="E76" s="83"/>
      <c r="F76" s="83"/>
      <c r="G76" s="85"/>
      <c r="H76" s="167">
        <f t="shared" si="84"/>
        <v>0</v>
      </c>
      <c r="V76" s="46"/>
      <c r="W76" s="44"/>
      <c r="X76" s="44"/>
      <c r="Y76" s="44"/>
      <c r="Z76" s="44"/>
      <c r="AA76" s="44"/>
      <c r="AB76" s="44"/>
      <c r="AC76" s="44"/>
      <c r="AD76" s="44"/>
      <c r="AE76" s="44"/>
      <c r="AF76" s="44"/>
      <c r="AG76" s="44"/>
      <c r="AH76" s="44"/>
      <c r="AI76" s="44"/>
      <c r="AJ76" s="44"/>
      <c r="AK76" s="44"/>
      <c r="AL76" s="44"/>
      <c r="AM76" s="44"/>
      <c r="AN76" s="44"/>
      <c r="AO76" s="44"/>
      <c r="AP76" s="45"/>
    </row>
    <row r="77" spans="2:42" ht="15.75">
      <c r="B77" s="2210"/>
      <c r="C77" s="2261"/>
      <c r="D77" s="2211"/>
      <c r="E77" s="83"/>
      <c r="F77" s="83"/>
      <c r="G77" s="85"/>
      <c r="H77" s="167">
        <f t="shared" si="84"/>
        <v>0</v>
      </c>
      <c r="V77" s="46"/>
      <c r="W77" s="44"/>
      <c r="X77" s="44"/>
      <c r="Y77" s="44"/>
      <c r="Z77" s="44"/>
      <c r="AA77" s="44"/>
      <c r="AB77" s="44"/>
      <c r="AC77" s="44"/>
      <c r="AD77" s="44"/>
      <c r="AE77" s="44"/>
      <c r="AF77" s="44"/>
      <c r="AG77" s="44"/>
      <c r="AH77" s="44"/>
      <c r="AI77" s="44"/>
      <c r="AJ77" s="44"/>
      <c r="AK77" s="44"/>
      <c r="AL77" s="44"/>
      <c r="AM77" s="44"/>
      <c r="AN77" s="44"/>
      <c r="AO77" s="44"/>
      <c r="AP77" s="45"/>
    </row>
    <row r="78" spans="2:42" ht="15.75">
      <c r="B78" s="2210"/>
      <c r="C78" s="2261"/>
      <c r="D78" s="2211"/>
      <c r="E78" s="83"/>
      <c r="F78" s="83"/>
      <c r="G78" s="85"/>
      <c r="H78" s="167">
        <f t="shared" si="84"/>
        <v>0</v>
      </c>
      <c r="V78" s="46"/>
      <c r="W78" s="44"/>
      <c r="X78" s="44"/>
      <c r="Y78" s="44"/>
      <c r="Z78" s="44"/>
      <c r="AA78" s="44"/>
      <c r="AB78" s="44"/>
      <c r="AC78" s="44"/>
      <c r="AD78" s="44"/>
      <c r="AE78" s="44"/>
      <c r="AF78" s="44"/>
      <c r="AG78" s="44"/>
      <c r="AH78" s="44"/>
      <c r="AI78" s="44"/>
      <c r="AJ78" s="44"/>
      <c r="AK78" s="44"/>
      <c r="AL78" s="44"/>
      <c r="AM78" s="44"/>
      <c r="AN78" s="44"/>
      <c r="AO78" s="44"/>
      <c r="AP78" s="45"/>
    </row>
    <row r="79" spans="2:42" ht="15.75">
      <c r="B79" s="2210"/>
      <c r="C79" s="2261"/>
      <c r="D79" s="2211"/>
      <c r="E79" s="83"/>
      <c r="F79" s="83"/>
      <c r="G79" s="85"/>
      <c r="H79" s="167">
        <f t="shared" si="84"/>
        <v>0</v>
      </c>
      <c r="V79" s="46"/>
      <c r="W79" s="44"/>
      <c r="X79" s="44"/>
      <c r="Y79" s="44"/>
      <c r="Z79" s="44"/>
      <c r="AA79" s="44"/>
      <c r="AB79" s="44"/>
      <c r="AC79" s="44"/>
      <c r="AD79" s="44"/>
      <c r="AE79" s="44"/>
      <c r="AF79" s="44"/>
      <c r="AG79" s="44"/>
      <c r="AH79" s="44"/>
      <c r="AI79" s="44"/>
      <c r="AJ79" s="44"/>
      <c r="AK79" s="44"/>
      <c r="AL79" s="44"/>
      <c r="AM79" s="44"/>
      <c r="AN79" s="44"/>
      <c r="AO79" s="44"/>
      <c r="AP79" s="45"/>
    </row>
    <row r="80" spans="2:42" ht="16.5" thickBot="1">
      <c r="B80" s="2224"/>
      <c r="C80" s="2260"/>
      <c r="D80" s="2225"/>
      <c r="E80" s="86"/>
      <c r="F80" s="86"/>
      <c r="G80" s="87"/>
      <c r="H80" s="187">
        <f t="shared" si="84"/>
        <v>0</v>
      </c>
      <c r="V80" s="46"/>
      <c r="W80" s="44"/>
      <c r="X80" s="44"/>
      <c r="Y80" s="44"/>
      <c r="Z80" s="44"/>
      <c r="AA80" s="44"/>
      <c r="AB80" s="44"/>
      <c r="AC80" s="44"/>
      <c r="AD80" s="44"/>
      <c r="AE80" s="44"/>
      <c r="AF80" s="44"/>
      <c r="AG80" s="44"/>
      <c r="AH80" s="44"/>
      <c r="AI80" s="44"/>
      <c r="AJ80" s="44"/>
      <c r="AK80" s="44"/>
      <c r="AL80" s="44"/>
      <c r="AM80" s="44"/>
      <c r="AN80" s="44"/>
      <c r="AO80" s="44"/>
      <c r="AP80" s="45"/>
    </row>
    <row r="81" spans="2:42" ht="15.75">
      <c r="B81" s="646" t="s">
        <v>1030</v>
      </c>
      <c r="C81" s="647"/>
      <c r="D81" s="647"/>
      <c r="E81" s="685">
        <f>SUM(E69:E80)</f>
        <v>0</v>
      </c>
      <c r="F81" s="685">
        <f>SUMPRODUCT(F69:F80,E69:E80)</f>
        <v>0</v>
      </c>
      <c r="G81" s="188" t="s">
        <v>1085</v>
      </c>
      <c r="H81" s="189">
        <f>SUM(H69:H80)</f>
        <v>0</v>
      </c>
      <c r="V81" s="48"/>
      <c r="W81" s="49"/>
      <c r="X81" s="44"/>
      <c r="Y81" s="44"/>
      <c r="Z81" s="44"/>
      <c r="AA81" s="44"/>
      <c r="AB81" s="44"/>
      <c r="AC81" s="44"/>
      <c r="AD81" s="44"/>
      <c r="AE81" s="44"/>
      <c r="AF81" s="44"/>
      <c r="AG81" s="44"/>
      <c r="AH81" s="44"/>
      <c r="AI81" s="44"/>
      <c r="AJ81" s="44"/>
      <c r="AK81" s="44"/>
      <c r="AL81" s="44"/>
      <c r="AM81" s="44"/>
      <c r="AN81" s="44"/>
      <c r="AO81" s="44"/>
      <c r="AP81" s="45"/>
    </row>
    <row r="82" spans="2:42" ht="15.75">
      <c r="B82" s="360" t="s">
        <v>1086</v>
      </c>
      <c r="C82" s="799"/>
      <c r="D82" s="799"/>
      <c r="E82" s="799"/>
      <c r="F82" s="799"/>
      <c r="G82" s="799"/>
      <c r="H82" s="797">
        <f>'01_1_General Data'!$D$127</f>
        <v>0</v>
      </c>
      <c r="V82" s="48"/>
      <c r="W82" s="49"/>
      <c r="X82" s="44"/>
      <c r="Y82" s="44"/>
      <c r="Z82" s="44"/>
      <c r="AA82" s="44"/>
      <c r="AB82" s="44"/>
      <c r="AC82" s="44"/>
      <c r="AD82" s="44"/>
      <c r="AE82" s="44"/>
      <c r="AF82" s="44"/>
      <c r="AG82" s="44"/>
      <c r="AH82" s="44"/>
      <c r="AI82" s="44"/>
      <c r="AJ82" s="44"/>
      <c r="AK82" s="44"/>
      <c r="AL82" s="44"/>
      <c r="AM82" s="44"/>
      <c r="AN82" s="44"/>
      <c r="AO82" s="44"/>
      <c r="AP82" s="45"/>
    </row>
    <row r="83" spans="2:42" ht="15.75">
      <c r="B83" s="360" t="s">
        <v>1073</v>
      </c>
      <c r="C83" s="799"/>
      <c r="D83" s="799"/>
      <c r="E83" s="799"/>
      <c r="F83" s="799"/>
      <c r="G83" s="799"/>
      <c r="H83" s="798">
        <f>H81*(1-H82)</f>
        <v>0</v>
      </c>
      <c r="I83" s="8"/>
      <c r="J83" s="8"/>
      <c r="V83" s="46"/>
      <c r="W83" s="44"/>
      <c r="X83" s="44"/>
      <c r="Y83" s="44"/>
      <c r="Z83" s="44"/>
      <c r="AA83" s="44"/>
      <c r="AB83" s="44"/>
      <c r="AC83" s="44"/>
      <c r="AD83" s="44"/>
      <c r="AE83" s="44"/>
      <c r="AF83" s="44"/>
      <c r="AG83" s="44"/>
      <c r="AH83" s="44"/>
      <c r="AI83" s="44"/>
      <c r="AJ83" s="44"/>
      <c r="AK83" s="44"/>
      <c r="AL83" s="44"/>
      <c r="AM83" s="44"/>
      <c r="AN83" s="44"/>
      <c r="AO83" s="44"/>
      <c r="AP83" s="45"/>
    </row>
    <row r="84" spans="2:42" ht="15">
      <c r="V84" s="46"/>
      <c r="W84" s="44"/>
      <c r="X84" s="44"/>
      <c r="Y84" s="44"/>
      <c r="Z84" s="44"/>
      <c r="AA84" s="44"/>
      <c r="AB84" s="44"/>
      <c r="AC84" s="44"/>
      <c r="AD84" s="44"/>
      <c r="AE84" s="44"/>
      <c r="AF84" s="44"/>
      <c r="AG84" s="44"/>
      <c r="AH84" s="44"/>
      <c r="AI84" s="44"/>
      <c r="AJ84" s="44"/>
      <c r="AK84" s="44"/>
      <c r="AL84" s="44"/>
      <c r="AM84" s="44"/>
      <c r="AN84" s="44"/>
      <c r="AO84" s="44"/>
      <c r="AP84" s="45"/>
    </row>
    <row r="85" spans="2:42" ht="15.75" thickBot="1">
      <c r="L85" s="33"/>
      <c r="V85" s="48"/>
      <c r="W85" s="49"/>
      <c r="X85" s="44"/>
      <c r="Y85" s="44"/>
      <c r="Z85" s="44"/>
      <c r="AA85" s="44"/>
      <c r="AB85" s="44"/>
      <c r="AC85" s="44"/>
      <c r="AD85" s="44"/>
      <c r="AE85" s="44"/>
      <c r="AF85" s="44"/>
      <c r="AG85" s="44"/>
      <c r="AH85" s="44"/>
      <c r="AI85" s="44"/>
      <c r="AJ85" s="44"/>
      <c r="AK85" s="44"/>
      <c r="AL85" s="44"/>
      <c r="AM85" s="44"/>
      <c r="AN85" s="44"/>
      <c r="AO85" s="44"/>
      <c r="AP85" s="45"/>
    </row>
    <row r="86" spans="2:42" ht="19.5" thickBot="1">
      <c r="B86" s="19" t="s">
        <v>1093</v>
      </c>
      <c r="C86" s="20"/>
      <c r="D86" s="21"/>
      <c r="E86" s="22"/>
      <c r="F86" s="23"/>
      <c r="G86" s="23"/>
      <c r="H86" s="23"/>
      <c r="I86" s="23"/>
      <c r="J86" s="23"/>
      <c r="K86" s="24"/>
      <c r="L86" s="33"/>
      <c r="M86" s="19" t="s">
        <v>1098</v>
      </c>
      <c r="N86" s="19"/>
      <c r="O86" s="19"/>
      <c r="P86" s="19"/>
      <c r="Q86" s="19"/>
      <c r="V86" s="46"/>
      <c r="W86" s="44"/>
      <c r="X86" s="44"/>
      <c r="Y86" s="44"/>
      <c r="Z86" s="44"/>
      <c r="AA86" s="44"/>
      <c r="AB86" s="44"/>
      <c r="AC86" s="44"/>
      <c r="AD86" s="44"/>
      <c r="AE86" s="44"/>
      <c r="AF86" s="44"/>
      <c r="AG86" s="44"/>
      <c r="AH86" s="44"/>
      <c r="AI86" s="44"/>
      <c r="AJ86" s="44"/>
      <c r="AK86" s="44"/>
      <c r="AL86" s="44"/>
      <c r="AM86" s="44"/>
      <c r="AN86" s="44"/>
      <c r="AO86" s="44"/>
      <c r="AP86" s="45"/>
    </row>
    <row r="87" spans="2:42" ht="38.25" thickBot="1">
      <c r="B87" s="670" t="s">
        <v>122</v>
      </c>
      <c r="C87" s="661" t="s">
        <v>141</v>
      </c>
      <c r="D87" s="661" t="s">
        <v>168</v>
      </c>
      <c r="E87" s="661">
        <v>1</v>
      </c>
      <c r="F87" s="661">
        <v>2</v>
      </c>
      <c r="G87" s="661">
        <v>3</v>
      </c>
      <c r="H87" s="661">
        <v>4</v>
      </c>
      <c r="I87" s="661">
        <v>5</v>
      </c>
      <c r="J87" s="661" t="s">
        <v>1094</v>
      </c>
      <c r="K87" s="674" t="s">
        <v>1095</v>
      </c>
      <c r="M87" s="37" t="str">
        <f>'01_1_General Data'!I74</f>
        <v>Services/Utilities:</v>
      </c>
      <c r="N87" s="35"/>
      <c r="O87" s="36" t="str">
        <f>'01_1_General Data'!K74</f>
        <v>Provided</v>
      </c>
      <c r="P87" s="36" t="str">
        <f>'01_1_General Data'!L74</f>
        <v>Included in Rent</v>
      </c>
      <c r="Q87" s="54" t="str">
        <f>'01_1_General Data'!M74</f>
        <v>Energy Type</v>
      </c>
      <c r="V87" s="46"/>
      <c r="W87" s="44"/>
      <c r="X87" s="44"/>
      <c r="Y87" s="44"/>
      <c r="Z87" s="44"/>
      <c r="AA87" s="44"/>
      <c r="AB87" s="44"/>
      <c r="AC87" s="44"/>
      <c r="AD87" s="44"/>
      <c r="AE87" s="44"/>
      <c r="AF87" s="44"/>
      <c r="AG87" s="44"/>
      <c r="AH87" s="44"/>
      <c r="AI87" s="44"/>
      <c r="AJ87" s="44"/>
      <c r="AK87" s="44"/>
      <c r="AL87" s="44"/>
      <c r="AM87" s="44"/>
      <c r="AN87" s="44"/>
      <c r="AO87" s="44"/>
      <c r="AP87" s="45"/>
    </row>
    <row r="88" spans="2:42" ht="15.75">
      <c r="B88" s="88"/>
      <c r="C88" s="68"/>
      <c r="D88" s="68"/>
      <c r="E88" s="68"/>
      <c r="F88" s="68"/>
      <c r="G88" s="68"/>
      <c r="H88" s="68"/>
      <c r="I88" s="68"/>
      <c r="J88" s="68"/>
      <c r="K88" s="67"/>
      <c r="M88" s="152" t="str">
        <f>'01_1_General Data'!I75</f>
        <v>Heat</v>
      </c>
      <c r="N88" s="9"/>
      <c r="O88" s="1573">
        <f>'01_1_General Data'!K75</f>
        <v>0</v>
      </c>
      <c r="P88" s="1573">
        <f>'01_1_General Data'!L75</f>
        <v>0</v>
      </c>
      <c r="Q88" s="1574">
        <f>'01_1_General Data'!M75</f>
        <v>0</v>
      </c>
      <c r="V88" s="46"/>
      <c r="W88" s="44"/>
      <c r="X88" s="44"/>
      <c r="Y88" s="44"/>
      <c r="Z88" s="44"/>
      <c r="AA88" s="44"/>
      <c r="AB88" s="44"/>
      <c r="AC88" s="44"/>
      <c r="AD88" s="44"/>
      <c r="AE88" s="44"/>
      <c r="AF88" s="44"/>
      <c r="AG88" s="44"/>
      <c r="AH88" s="44"/>
      <c r="AI88" s="44"/>
      <c r="AJ88" s="1841"/>
      <c r="AK88" s="1841"/>
      <c r="AL88" s="1841"/>
      <c r="AM88" s="1841"/>
      <c r="AN88" s="1841"/>
      <c r="AO88" s="1841"/>
      <c r="AP88" s="1842"/>
    </row>
    <row r="89" spans="2:42" ht="16.5" thickBot="1">
      <c r="B89" s="88"/>
      <c r="C89" s="68"/>
      <c r="D89" s="68"/>
      <c r="E89" s="68"/>
      <c r="F89" s="68"/>
      <c r="G89" s="68"/>
      <c r="H89" s="68"/>
      <c r="I89" s="68"/>
      <c r="J89" s="68"/>
      <c r="K89" s="67"/>
      <c r="M89" s="152" t="str">
        <f>'01_1_General Data'!I76</f>
        <v>Hot Water</v>
      </c>
      <c r="N89" s="9"/>
      <c r="O89" s="1575">
        <f>'01_1_General Data'!K76</f>
        <v>0</v>
      </c>
      <c r="P89" s="1575">
        <f>'01_1_General Data'!L76</f>
        <v>0</v>
      </c>
      <c r="Q89" s="1576">
        <f>'01_1_General Data'!M76</f>
        <v>0</v>
      </c>
      <c r="V89" s="50"/>
      <c r="W89" s="51"/>
      <c r="X89" s="51"/>
      <c r="Y89" s="51"/>
      <c r="Z89" s="51"/>
      <c r="AA89" s="51"/>
      <c r="AB89" s="51"/>
      <c r="AC89" s="51"/>
      <c r="AD89" s="51"/>
      <c r="AE89" s="51"/>
      <c r="AF89" s="51"/>
      <c r="AG89" s="51"/>
      <c r="AH89" s="51"/>
      <c r="AI89" s="51"/>
      <c r="AJ89" s="51"/>
      <c r="AK89" s="51"/>
      <c r="AL89" s="51"/>
      <c r="AM89" s="51"/>
      <c r="AN89" s="51"/>
      <c r="AO89" s="51"/>
      <c r="AP89" s="52"/>
    </row>
    <row r="90" spans="2:42" ht="15.75">
      <c r="B90" s="88"/>
      <c r="C90" s="68"/>
      <c r="D90" s="68"/>
      <c r="E90" s="68"/>
      <c r="F90" s="68"/>
      <c r="G90" s="68"/>
      <c r="H90" s="68"/>
      <c r="I90" s="68"/>
      <c r="J90" s="68"/>
      <c r="K90" s="67"/>
      <c r="M90" s="152" t="str">
        <f>'01_1_General Data'!I77</f>
        <v>Cooking</v>
      </c>
      <c r="N90" s="9"/>
      <c r="O90" s="1575">
        <f>'01_1_General Data'!K77</f>
        <v>0</v>
      </c>
      <c r="P90" s="1575">
        <f>'01_1_General Data'!L77</f>
        <v>0</v>
      </c>
      <c r="Q90" s="1576">
        <f>'01_1_General Data'!M77</f>
        <v>0</v>
      </c>
    </row>
    <row r="91" spans="2:42" ht="15.75">
      <c r="B91" s="88"/>
      <c r="C91" s="68"/>
      <c r="D91" s="68"/>
      <c r="E91" s="68"/>
      <c r="F91" s="68"/>
      <c r="G91" s="68"/>
      <c r="H91" s="68"/>
      <c r="I91" s="68"/>
      <c r="J91" s="68"/>
      <c r="K91" s="67"/>
      <c r="M91" s="152" t="str">
        <f>'01_1_General Data'!I78</f>
        <v>Central Air Conditioning</v>
      </c>
      <c r="N91" s="9"/>
      <c r="O91" s="1575">
        <f>'01_1_General Data'!K78</f>
        <v>0</v>
      </c>
      <c r="P91" s="1575">
        <f>'01_1_General Data'!L78</f>
        <v>0</v>
      </c>
      <c r="Q91" s="1576">
        <f>'01_1_General Data'!M78</f>
        <v>0</v>
      </c>
    </row>
    <row r="92" spans="2:42" ht="15.75">
      <c r="B92" s="88"/>
      <c r="C92" s="68"/>
      <c r="D92" s="68"/>
      <c r="E92" s="68"/>
      <c r="F92" s="68"/>
      <c r="G92" s="68"/>
      <c r="H92" s="68"/>
      <c r="I92" s="68"/>
      <c r="J92" s="68"/>
      <c r="K92" s="67"/>
      <c r="M92" s="152" t="str">
        <f>'01_1_General Data'!I79</f>
        <v>Cable TV</v>
      </c>
      <c r="N92" s="9"/>
      <c r="O92" s="1575">
        <f>'01_1_General Data'!K79</f>
        <v>0</v>
      </c>
      <c r="P92" s="1575">
        <f>'01_1_General Data'!L79</f>
        <v>0</v>
      </c>
      <c r="Q92" s="1576">
        <f>'01_1_General Data'!M79</f>
        <v>0</v>
      </c>
    </row>
    <row r="93" spans="2:42" ht="15.75">
      <c r="B93" s="88"/>
      <c r="C93" s="68"/>
      <c r="D93" s="68"/>
      <c r="E93" s="68"/>
      <c r="F93" s="68"/>
      <c r="G93" s="68"/>
      <c r="H93" s="68"/>
      <c r="I93" s="68"/>
      <c r="J93" s="68"/>
      <c r="K93" s="67"/>
      <c r="M93" s="152" t="str">
        <f>'01_1_General Data'!I80</f>
        <v>Electricity</v>
      </c>
      <c r="N93" s="9"/>
      <c r="O93" s="1575">
        <f>'01_1_General Data'!K80</f>
        <v>0</v>
      </c>
      <c r="P93" s="1575">
        <f>'01_1_General Data'!L80</f>
        <v>0</v>
      </c>
      <c r="Q93" s="1576">
        <f>'01_1_General Data'!M80</f>
        <v>0</v>
      </c>
    </row>
    <row r="94" spans="2:42" ht="15.75">
      <c r="B94" s="88"/>
      <c r="C94" s="68"/>
      <c r="D94" s="68"/>
      <c r="E94" s="68"/>
      <c r="F94" s="68"/>
      <c r="G94" s="68"/>
      <c r="H94" s="68"/>
      <c r="I94" s="68"/>
      <c r="J94" s="68"/>
      <c r="K94" s="67"/>
      <c r="M94" s="152" t="str">
        <f>'01_1_General Data'!I81</f>
        <v>Water</v>
      </c>
      <c r="N94" s="9"/>
      <c r="O94" s="1575">
        <f>'01_1_General Data'!K81</f>
        <v>0</v>
      </c>
      <c r="P94" s="1575">
        <f>'01_1_General Data'!L81</f>
        <v>0</v>
      </c>
      <c r="Q94" s="1576">
        <f>'01_1_General Data'!M81</f>
        <v>0</v>
      </c>
    </row>
    <row r="95" spans="2:42" ht="16.5" thickBot="1">
      <c r="B95" s="88"/>
      <c r="C95" s="68"/>
      <c r="D95" s="68"/>
      <c r="E95" s="68"/>
      <c r="F95" s="68"/>
      <c r="G95" s="68"/>
      <c r="H95" s="68"/>
      <c r="I95" s="68"/>
      <c r="J95" s="68"/>
      <c r="K95" s="67"/>
      <c r="M95" s="162" t="str">
        <f>'01_1_General Data'!I82</f>
        <v>Sewer</v>
      </c>
      <c r="N95" s="158"/>
      <c r="O95" s="1577">
        <f>'01_1_General Data'!K82</f>
        <v>0</v>
      </c>
      <c r="P95" s="1577">
        <f>'01_1_General Data'!L82</f>
        <v>0</v>
      </c>
      <c r="Q95" s="1578">
        <f>'01_1_General Data'!M82</f>
        <v>0</v>
      </c>
    </row>
    <row r="96" spans="2:42" ht="15.75">
      <c r="B96" s="88"/>
      <c r="C96" s="68"/>
      <c r="D96" s="68"/>
      <c r="E96" s="68"/>
      <c r="F96" s="68"/>
      <c r="G96" s="68"/>
      <c r="H96" s="68"/>
      <c r="I96" s="68"/>
      <c r="J96" s="68"/>
      <c r="K96" s="67"/>
      <c r="Q96" s="194"/>
    </row>
    <row r="97" spans="2:12" ht="15.75">
      <c r="B97" s="88"/>
      <c r="C97" s="68"/>
      <c r="D97" s="68"/>
      <c r="E97" s="68"/>
      <c r="F97" s="68"/>
      <c r="G97" s="68"/>
      <c r="H97" s="68"/>
      <c r="I97" s="68"/>
      <c r="J97" s="68"/>
      <c r="K97" s="67"/>
    </row>
    <row r="98" spans="2:12" ht="16.5" thickBot="1">
      <c r="B98" s="88"/>
      <c r="C98" s="68"/>
      <c r="D98" s="68"/>
      <c r="E98" s="68"/>
      <c r="F98" s="68"/>
      <c r="G98" s="68"/>
      <c r="H98" s="68"/>
      <c r="I98" s="68"/>
      <c r="J98" s="68"/>
      <c r="K98" s="67"/>
    </row>
    <row r="99" spans="2:12" ht="16.5" thickBot="1">
      <c r="B99" s="195" t="s">
        <v>1096</v>
      </c>
      <c r="C99" s="196">
        <f>SUMIF($J$88:$J$98,"Yes", C88:C98)</f>
        <v>0</v>
      </c>
      <c r="D99" s="196">
        <f t="shared" ref="D99:I99" si="85">SUMIF($J$88:$J$98,"Yes", D88:D98)</f>
        <v>0</v>
      </c>
      <c r="E99" s="196">
        <f t="shared" si="85"/>
        <v>0</v>
      </c>
      <c r="F99" s="196">
        <f>SUMIF($J$88:$J$98,"Yes", F88:F98)</f>
        <v>0</v>
      </c>
      <c r="G99" s="196">
        <f t="shared" si="85"/>
        <v>0</v>
      </c>
      <c r="H99" s="196">
        <f t="shared" si="85"/>
        <v>0</v>
      </c>
      <c r="I99" s="196">
        <f t="shared" si="85"/>
        <v>0</v>
      </c>
      <c r="J99" s="196"/>
      <c r="K99" s="197"/>
      <c r="L99" s="33"/>
    </row>
    <row r="102" spans="2:12" ht="15.75">
      <c r="B102" s="151" t="s">
        <v>1486</v>
      </c>
      <c r="C102" s="190"/>
      <c r="D102" s="8"/>
      <c r="E102" s="151"/>
      <c r="K102" s="11" t="s">
        <v>2276</v>
      </c>
    </row>
    <row r="103" spans="2:12" ht="63" customHeight="1">
      <c r="B103" s="71" t="s">
        <v>1487</v>
      </c>
      <c r="C103" s="71" t="s">
        <v>1488</v>
      </c>
      <c r="D103" s="71" t="s">
        <v>1489</v>
      </c>
      <c r="E103" s="71" t="s">
        <v>1490</v>
      </c>
      <c r="F103" s="71" t="s">
        <v>1491</v>
      </c>
      <c r="G103" s="71" t="s">
        <v>1492</v>
      </c>
      <c r="H103" s="71" t="s">
        <v>1493</v>
      </c>
      <c r="I103" s="71" t="s">
        <v>1494</v>
      </c>
      <c r="J103" s="71" t="s">
        <v>1495</v>
      </c>
    </row>
    <row r="104" spans="2:12" ht="15.75">
      <c r="B104" s="191" t="s">
        <v>141</v>
      </c>
      <c r="C104" s="191">
        <f>SUMIF('02_1_INCOME'!$AC$8:$AC$37,B104,'02_1_INCOME'!$Y$8:$Y$37)</f>
        <v>0</v>
      </c>
      <c r="D104" s="191">
        <f>SUMIF('02_1_INCOME'!$AC$8:$AC$37,B104,'02_1_INCOME'!$Z$8:$Z$37)</f>
        <v>0</v>
      </c>
      <c r="E104" s="191">
        <f>IFERROR(('02_1_INCOME'!$AM$38*('02_1_INCOME'!$AL$38/SUM('02_1_INCOME'!$AE$42+$AE$43)))+('02_1_INCOME'!$AV$38*('02_1_INCOME'!$AU$38/SUM('02_1_INCOME'!$AE$42+$AE$43))),0)</f>
        <v>0</v>
      </c>
      <c r="F104" s="192">
        <f t="shared" ref="F104:F105" si="86">C104*E104</f>
        <v>0</v>
      </c>
      <c r="G104" s="192">
        <f t="shared" ref="G104:G105" si="87">D104*E104</f>
        <v>0</v>
      </c>
      <c r="H104" s="167">
        <f>IFERROR(('02_1_INCOME'!$AN$38*('02_1_INCOME'!$AL$38/SUM('02_1_INCOME'!$AE$42+$AE$43)))+('02_1_INCOME'!$AW$38*('02_1_INCOME'!$AU$38/SUM('02_1_INCOME'!$AE$42+$AE$43))),0)</f>
        <v>0</v>
      </c>
      <c r="I104" s="167">
        <f>IFERROR(('02_1_INCOME'!$AN$38*('02_1_INCOME'!$AL$38/SUM('02_1_INCOME'!$AE$42+$AE$43)))+('02_1_INCOME'!$AW$38*('02_1_INCOME'!$AU$38/SUM('02_1_INCOME'!$AE$42+$AE$43))),0)</f>
        <v>0</v>
      </c>
      <c r="J104" s="167">
        <f>IFERROR(('02_1_INCOME'!$AP$38*('02_1_INCOME'!$AL$38/SUM('02_1_INCOME'!$AE$42+$AE$43)))+('02_1_INCOME'!$AY$38*('02_1_INCOME'!$AU$38/SUM('02_1_INCOME'!$AE$42+$AE$43))),0)</f>
        <v>0</v>
      </c>
    </row>
    <row r="105" spans="2:12" ht="15.75">
      <c r="B105" s="191" t="s">
        <v>168</v>
      </c>
      <c r="C105" s="191">
        <f>SUMIF('02_1_INCOME'!$AC$8:$AC$37,B105,'02_1_INCOME'!$Y$8:$Y$37)</f>
        <v>0</v>
      </c>
      <c r="D105" s="191">
        <f>SUMIF('02_1_INCOME'!$AC$8:$AC$37,B105,'02_1_INCOME'!$Z$8:$Z$37)</f>
        <v>0</v>
      </c>
      <c r="E105" s="191">
        <f>IFERROR(('02_1_INCOME'!$AM$38*('02_1_INCOME'!$AL$38/SUM('02_1_INCOME'!$AE$42+$AE$43)))+('02_1_INCOME'!$AV$38*('02_1_INCOME'!$AU$38/SUM('02_1_INCOME'!$AE$42+$AE$43))),0)</f>
        <v>0</v>
      </c>
      <c r="F105" s="192">
        <f t="shared" si="86"/>
        <v>0</v>
      </c>
      <c r="G105" s="192">
        <f t="shared" si="87"/>
        <v>0</v>
      </c>
      <c r="H105" s="167">
        <f>IFERROR(('02_1_INCOME'!$AN$38*('02_1_INCOME'!$AL$38/SUM('02_1_INCOME'!$AE$42+$AE$43)))+('02_1_INCOME'!$AW$38*('02_1_INCOME'!$AU$38/SUM('02_1_INCOME'!$AE$42+$AE$43))),0)</f>
        <v>0</v>
      </c>
      <c r="I105" s="167">
        <f>IFERROR(('02_1_INCOME'!$AN$38*('02_1_INCOME'!$AL$38/SUM('02_1_INCOME'!$AE$42+$AE$43)))+('02_1_INCOME'!$AW$38*('02_1_INCOME'!$AU$38/SUM('02_1_INCOME'!$AE$42+$AE$43))),0)</f>
        <v>0</v>
      </c>
      <c r="J105" s="167">
        <f>IFERROR(('02_1_INCOME'!$AP$38*('02_1_INCOME'!$AL$38/SUM('02_1_INCOME'!$AE$42+$AE$43)))+('02_1_INCOME'!$AY$38*('02_1_INCOME'!$AU$38/SUM('02_1_INCOME'!$AE$42+$AE$43))),0)</f>
        <v>0</v>
      </c>
    </row>
    <row r="106" spans="2:12" ht="15.75">
      <c r="B106" s="191">
        <v>1</v>
      </c>
      <c r="C106" s="191">
        <f>SUMIF('02_1_INCOME'!$AC$8:$AC$37,B106,'02_1_INCOME'!$Y$8:$Y$37)</f>
        <v>0</v>
      </c>
      <c r="D106" s="191">
        <f>SUMIF('02_1_INCOME'!$AC$8:$AC$37,B106,'02_1_INCOME'!$Z$8:$Z$37)</f>
        <v>0</v>
      </c>
      <c r="E106" s="191">
        <f>'02_1_INCOME'!$BE$38</f>
        <v>0</v>
      </c>
      <c r="F106" s="192">
        <f t="shared" ref="F106:F110" si="88">C106*E106</f>
        <v>0</v>
      </c>
      <c r="G106" s="192">
        <f t="shared" ref="G106:G110" si="89">D106*E106</f>
        <v>0</v>
      </c>
      <c r="H106" s="167">
        <f>'02_1_INCOME'!$BF$38</f>
        <v>0</v>
      </c>
      <c r="I106" s="167">
        <f>'02_1_INCOME'!$BF$38</f>
        <v>0</v>
      </c>
      <c r="J106" s="167">
        <f>'02_1_INCOME'!$BH$38</f>
        <v>0</v>
      </c>
    </row>
    <row r="107" spans="2:12" ht="15.75">
      <c r="B107" s="192">
        <v>2</v>
      </c>
      <c r="C107" s="192">
        <f>SUMIF('02_1_INCOME'!$AC$8:$AC$37,B107,'02_1_INCOME'!$Y$8:$Y$37)</f>
        <v>0</v>
      </c>
      <c r="D107" s="191">
        <f>SUMIF('02_1_INCOME'!$AC$8:$AC$37,B107,'02_1_INCOME'!$Z$8:$Z$37)</f>
        <v>0</v>
      </c>
      <c r="E107" s="192">
        <f>'02_1_INCOME'!$BN$38</f>
        <v>0</v>
      </c>
      <c r="F107" s="192">
        <f t="shared" si="88"/>
        <v>0</v>
      </c>
      <c r="G107" s="192">
        <f t="shared" si="89"/>
        <v>0</v>
      </c>
      <c r="H107" s="167">
        <f>'02_1_INCOME'!$BO$38</f>
        <v>0</v>
      </c>
      <c r="I107" s="167">
        <f>'02_1_INCOME'!$BO$38</f>
        <v>0</v>
      </c>
      <c r="J107" s="167">
        <f>'02_1_INCOME'!$BQ$38</f>
        <v>0</v>
      </c>
    </row>
    <row r="108" spans="2:12" ht="15.75">
      <c r="B108" s="192">
        <v>3</v>
      </c>
      <c r="C108" s="192">
        <f>SUMIF('02_1_INCOME'!$AC$8:$AC$37,B108,'02_1_INCOME'!$Y$8:$Y$37)</f>
        <v>0</v>
      </c>
      <c r="D108" s="191">
        <f>SUMIF('02_1_INCOME'!$AC$8:$AC$37,B108,'02_1_INCOME'!$Z$8:$Z$37)</f>
        <v>0</v>
      </c>
      <c r="E108" s="192">
        <f>'02_1_INCOME'!$BW$38</f>
        <v>0</v>
      </c>
      <c r="F108" s="192">
        <f t="shared" si="88"/>
        <v>0</v>
      </c>
      <c r="G108" s="192">
        <f t="shared" si="89"/>
        <v>0</v>
      </c>
      <c r="H108" s="167">
        <f>'02_1_INCOME'!$BX$38</f>
        <v>0</v>
      </c>
      <c r="I108" s="167">
        <f>'02_1_INCOME'!$BX$38</f>
        <v>0</v>
      </c>
      <c r="J108" s="167">
        <f>'02_1_INCOME'!$BZ$38</f>
        <v>0</v>
      </c>
    </row>
    <row r="109" spans="2:12" ht="15.75">
      <c r="B109" s="192">
        <v>4</v>
      </c>
      <c r="C109" s="192">
        <f>SUMIF('02_1_INCOME'!$AC$8:$AC$37,B109,'02_1_INCOME'!$Y$8:$Y$37)</f>
        <v>0</v>
      </c>
      <c r="D109" s="191">
        <f>SUMIF('02_1_INCOME'!$AC$8:$AC$37,B109,'02_1_INCOME'!$Z$8:$Z$37)</f>
        <v>0</v>
      </c>
      <c r="E109" s="192">
        <f>'02_1_INCOME'!$CF$38</f>
        <v>0</v>
      </c>
      <c r="F109" s="192">
        <f t="shared" si="88"/>
        <v>0</v>
      </c>
      <c r="G109" s="192">
        <f t="shared" si="89"/>
        <v>0</v>
      </c>
      <c r="H109" s="167">
        <f>'02_1_INCOME'!$CG$38</f>
        <v>0</v>
      </c>
      <c r="I109" s="167">
        <f>'02_1_INCOME'!$CG$38</f>
        <v>0</v>
      </c>
      <c r="J109" s="167">
        <f>'02_1_INCOME'!$CI$38</f>
        <v>0</v>
      </c>
    </row>
    <row r="110" spans="2:12" ht="16.5" thickBot="1">
      <c r="B110" s="193">
        <v>5</v>
      </c>
      <c r="C110" s="193">
        <f>SUMIF('02_1_INCOME'!$AC$8:$AC$37,B110,'02_1_INCOME'!$Y$8:$Y$37)</f>
        <v>0</v>
      </c>
      <c r="D110" s="645">
        <f>SUMIF('02_1_INCOME'!$AC$8:$AC$37,B110,'02_1_INCOME'!$Z$8:$Z$37)</f>
        <v>0</v>
      </c>
      <c r="E110" s="193">
        <f>'02_1_INCOME'!$CO$38</f>
        <v>0</v>
      </c>
      <c r="F110" s="193">
        <f t="shared" si="88"/>
        <v>0</v>
      </c>
      <c r="G110" s="193">
        <f t="shared" si="89"/>
        <v>0</v>
      </c>
      <c r="H110" s="187">
        <f>'02_1_INCOME'!$CP$38</f>
        <v>0</v>
      </c>
      <c r="I110" s="187">
        <f>'02_1_INCOME'!$CP$38</f>
        <v>0</v>
      </c>
      <c r="J110" s="187">
        <f>'02_1_INCOME'!$CR$38</f>
        <v>0</v>
      </c>
    </row>
    <row r="111" spans="2:12" ht="15.75">
      <c r="B111" s="685" t="s">
        <v>1002</v>
      </c>
      <c r="C111" s="686">
        <f>SUM(C104:C110)</f>
        <v>0</v>
      </c>
      <c r="D111" s="686">
        <f>SUM(D104:D110)</f>
        <v>0</v>
      </c>
      <c r="E111" s="685" t="s">
        <v>1085</v>
      </c>
      <c r="F111" s="685">
        <f>SUM(F104:F110)</f>
        <v>0</v>
      </c>
      <c r="G111" s="685">
        <f>SUM(G104:G110)</f>
        <v>0</v>
      </c>
      <c r="H111" s="687" cm="1">
        <f t="array" ref="H111">SUMPRODUCT(--(D8:D37&lt;&gt;"80% Non-LIHTC"),--(D8:D37&lt;&gt;"Over 120%"),--(D8:D37&lt;&gt;"100%"),--(D8:D37&lt;&gt;"120%"),$F$8:$F$37, N8:N37)*12</f>
        <v>0</v>
      </c>
      <c r="I111" s="687" cm="1">
        <f t="array" ref="I111">SUMPRODUCT(((D8:D37="80% Non-LIHTC")+(D8:D37="Over 120%")+(D8:D37="100%")+(D8:D37="120%"))*$F$8:$F$37, N8:N37)*12</f>
        <v>0</v>
      </c>
      <c r="J111" s="685"/>
    </row>
    <row r="113" spans="2:3" ht="13.5" thickBot="1"/>
    <row r="114" spans="2:3" ht="32.25" thickBot="1">
      <c r="B114" s="649" t="s">
        <v>1099</v>
      </c>
      <c r="C114" s="1304" t="str">
        <f>IF(SUM(C111:D111)=0,"",rng02_TotalUnits_LIHTC/SUM(C111:D111))</f>
        <v/>
      </c>
    </row>
    <row r="115" spans="2:3" ht="32.25" thickBot="1">
      <c r="B115" s="650" t="s">
        <v>1100</v>
      </c>
      <c r="C115" s="1304" t="str">
        <f>IF(SUM(F111:G111)=0,"",F111/SUM(F111:G111))</f>
        <v/>
      </c>
    </row>
  </sheetData>
  <sheetProtection algorithmName="SHA-512" hashValue="zt5XgFwjip41JylwmkqoJHytjlJNPiXvMZrNeMxB9W3MqvbKVooF+cf0SidmYxgm01Z4yBrRcWq7aKS0U2nMOg==" saltValue="MygUlYzO48iZu8aDHZ5ijg==" spinCount="100000" sheet="1" objects="1" scenarios="1" formatCells="0" formatColumns="0" formatRows="0"/>
  <mergeCells count="29">
    <mergeCell ref="AI39:AJ39"/>
    <mergeCell ref="B68:D68"/>
    <mergeCell ref="N6:N7"/>
    <mergeCell ref="M6:M7"/>
    <mergeCell ref="B79:D79"/>
    <mergeCell ref="B69:D69"/>
    <mergeCell ref="B70:D70"/>
    <mergeCell ref="B71:D71"/>
    <mergeCell ref="B72:D72"/>
    <mergeCell ref="B73:D73"/>
    <mergeCell ref="B45:C45"/>
    <mergeCell ref="B48:D48"/>
    <mergeCell ref="B49:D49"/>
    <mergeCell ref="B50:D50"/>
    <mergeCell ref="B51:D51"/>
    <mergeCell ref="B52:D52"/>
    <mergeCell ref="B80:D80"/>
    <mergeCell ref="B74:D74"/>
    <mergeCell ref="B75:D75"/>
    <mergeCell ref="B76:D76"/>
    <mergeCell ref="B77:D77"/>
    <mergeCell ref="B78:D78"/>
    <mergeCell ref="B58:D58"/>
    <mergeCell ref="B59:D59"/>
    <mergeCell ref="B53:D53"/>
    <mergeCell ref="B54:D54"/>
    <mergeCell ref="B55:D55"/>
    <mergeCell ref="B56:D56"/>
    <mergeCell ref="B57:D57"/>
  </mergeCells>
  <phoneticPr fontId="58" type="noConversion"/>
  <conditionalFormatting sqref="AC8:AC37">
    <cfRule type="cellIs" dxfId="11" priority="1" operator="equal">
      <formula>0</formula>
    </cfRule>
  </conditionalFormatting>
  <dataValidations count="10">
    <dataValidation type="list" allowBlank="1" showInputMessage="1" showErrorMessage="1" sqref="J88:J98" xr:uid="{00000000-0002-0000-0900-000000000000}">
      <formula1>"Yes, No"</formula1>
    </dataValidation>
    <dataValidation type="list" allowBlank="1" showInputMessage="1" showErrorMessage="1" sqref="D45" xr:uid="{00000000-0002-0000-0900-000001000000}">
      <formula1>INDIRECT("tbl01_CommercialType[Commercial Type]")</formula1>
    </dataValidation>
    <dataValidation type="list" allowBlank="1" showInputMessage="1" showErrorMessage="1" sqref="B8:B37" xr:uid="{00000000-0002-0000-0900-000002000000}">
      <formula1>INDIRECT("tbl01_BedroomType[Bedroom Type]")</formula1>
    </dataValidation>
    <dataValidation type="list" allowBlank="1" showInputMessage="1" showErrorMessage="1" sqref="D8:D37" xr:uid="{00000000-0002-0000-0900-000003000000}">
      <formula1>INDIRECT("tbl01_AMI[AMI]")</formula1>
    </dataValidation>
    <dataValidation type="list" allowBlank="1" showInputMessage="1" showErrorMessage="1" sqref="B69:B80" xr:uid="{00000000-0002-0000-0900-000004000000}">
      <formula1>INDIRECT("tbl01_OtherIncomeType[Other Income Type]")</formula1>
    </dataValidation>
    <dataValidation type="list" allowBlank="1" showInputMessage="1" showErrorMessage="1" sqref="B88:B98" xr:uid="{00000000-0002-0000-0900-000005000000}">
      <formula1>INDIRECT("tbl01_UtilitiesType[Utilities Type]")</formula1>
    </dataValidation>
    <dataValidation type="list" allowBlank="1" showInputMessage="1" showErrorMessage="1" sqref="I8:I37" xr:uid="{00000000-0002-0000-0900-000006000000}">
      <formula1>INDIRECT("tbl01_ProjectSubsidy[Project Based Subsidy]")</formula1>
    </dataValidation>
    <dataValidation type="list" allowBlank="1" showInputMessage="1" showErrorMessage="1" sqref="E8:E37" xr:uid="{00000000-0002-0000-0900-000007000000}">
      <formula1>INDIRECT("tbl01_ConstructionTypeInd[Construction Type Individual]")</formula1>
    </dataValidation>
    <dataValidation type="whole" allowBlank="1" showInputMessage="1" showErrorMessage="1" error="Please enter a number between 1-30." sqref="D4" xr:uid="{9FB53E50-7477-419E-B326-83C58831636D}">
      <formula1>1</formula1>
      <formula2>30</formula2>
    </dataValidation>
    <dataValidation type="list" allowBlank="1" showInputMessage="1" showErrorMessage="1" sqref="G8:G37" xr:uid="{AE5F9E8E-322B-448B-9E11-45A9ED69F6D4}">
      <formula1>INDIRECT("tbl01_Boolean[Boolean]")</formula1>
    </dataValidation>
  </dataValidations>
  <pageMargins left="0.7" right="0.7" top="0.75" bottom="0.75" header="0.3" footer="0.3"/>
  <pageSetup scale="34" fitToWidth="0" fitToHeight="0" orientation="landscape" r:id="rId1"/>
  <headerFooter alignWithMargins="0">
    <oddFooter>&amp;L&amp;A&amp;C&amp;P of &amp;N</oddFooter>
  </headerFooter>
  <rowBreaks count="1" manualBreakCount="1">
    <brk id="84" max="19"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st02_2_EXPENSE">
    <tabColor theme="5" tint="-0.249977111117893"/>
  </sheetPr>
  <dimension ref="A1:ES405"/>
  <sheetViews>
    <sheetView zoomScale="85" zoomScaleNormal="85" workbookViewId="0"/>
  </sheetViews>
  <sheetFormatPr defaultColWidth="9.5" defaultRowHeight="12.75" zeroHeight="1"/>
  <cols>
    <col min="1" max="1" width="3" style="26" customWidth="1"/>
    <col min="2" max="2" width="57" style="26" customWidth="1"/>
    <col min="3" max="3" width="13" style="26" customWidth="1"/>
    <col min="4" max="17" width="23" style="26" customWidth="1"/>
    <col min="18" max="35" width="23" style="26" hidden="1" customWidth="1"/>
    <col min="36" max="36" width="4.5" style="26" customWidth="1"/>
    <col min="37" max="37" width="64" style="26" customWidth="1"/>
    <col min="38" max="38" width="13" style="26" customWidth="1"/>
    <col min="39" max="39" width="11.5" style="26" customWidth="1"/>
    <col min="40" max="80" width="9.5" style="26" customWidth="1"/>
    <col min="81" max="16384" width="9.5" style="26"/>
  </cols>
  <sheetData>
    <row r="1" spans="1:149" s="11" customFormat="1" ht="26.25">
      <c r="A1" s="61" t="s">
        <v>1102</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row>
    <row r="2" spans="1:149" ht="21">
      <c r="A2" s="668" t="str">
        <f>IF(rng01_ProjectName="","[Project Name]", rng01_ProjectName)</f>
        <v>[Project Name]</v>
      </c>
      <c r="B2" s="664"/>
      <c r="C2" s="664"/>
      <c r="D2" s="664"/>
      <c r="E2" s="665"/>
      <c r="F2" s="666" t="s">
        <v>245</v>
      </c>
      <c r="G2" s="667">
        <f>tbl00ModelProgress[[#Totals],[Date of Progress /
Last Edit]]</f>
        <v>0</v>
      </c>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row>
    <row r="3" spans="1:149" ht="21">
      <c r="A3" s="198"/>
      <c r="B3" s="100"/>
      <c r="C3" s="100"/>
      <c r="D3" s="100"/>
      <c r="E3" s="199"/>
      <c r="F3" s="200"/>
      <c r="G3" s="201"/>
      <c r="H3" s="202"/>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row>
    <row r="4" spans="1:149" ht="24" thickBot="1">
      <c r="B4" s="203"/>
      <c r="E4" s="204"/>
      <c r="H4" s="202"/>
    </row>
    <row r="5" spans="1:149" ht="17.25" customHeight="1" thickBot="1">
      <c r="B5" s="2273" t="s">
        <v>1103</v>
      </c>
      <c r="C5" s="2276" t="s">
        <v>1104</v>
      </c>
      <c r="D5" s="881" t="s">
        <v>1105</v>
      </c>
      <c r="E5" s="882"/>
      <c r="F5" s="882"/>
      <c r="G5" s="883"/>
      <c r="H5" s="882" t="s">
        <v>1106</v>
      </c>
      <c r="I5" s="882"/>
      <c r="J5" s="882"/>
      <c r="K5" s="883"/>
      <c r="L5" s="882" t="s">
        <v>1496</v>
      </c>
      <c r="M5" s="882"/>
      <c r="N5" s="882" t="s">
        <v>1497</v>
      </c>
      <c r="O5" s="882"/>
      <c r="P5" s="882" t="s">
        <v>1498</v>
      </c>
      <c r="Q5" s="882"/>
      <c r="R5" s="882" t="s">
        <v>1499</v>
      </c>
      <c r="S5" s="882"/>
      <c r="T5" s="882" t="s">
        <v>1500</v>
      </c>
      <c r="U5" s="882"/>
      <c r="V5" s="882" t="s">
        <v>1501</v>
      </c>
      <c r="W5" s="882"/>
      <c r="X5" s="882" t="s">
        <v>1502</v>
      </c>
      <c r="Y5" s="884"/>
      <c r="Z5" s="882" t="s">
        <v>1503</v>
      </c>
      <c r="AA5" s="884"/>
      <c r="AB5" s="882" t="s">
        <v>1504</v>
      </c>
      <c r="AC5" s="884"/>
      <c r="AD5" s="882" t="s">
        <v>1505</v>
      </c>
      <c r="AE5" s="884"/>
      <c r="AF5" s="882" t="s">
        <v>1506</v>
      </c>
      <c r="AG5" s="884"/>
      <c r="AH5" s="882" t="s">
        <v>1507</v>
      </c>
      <c r="AI5" s="884"/>
      <c r="AJ5" s="990"/>
      <c r="AK5" s="777" t="s">
        <v>1508</v>
      </c>
    </row>
    <row r="6" spans="1:149" ht="17.25" customHeight="1" thickTop="1">
      <c r="B6" s="2274"/>
      <c r="C6" s="2277"/>
      <c r="D6" s="205" t="s">
        <v>1108</v>
      </c>
      <c r="E6" s="710" t="s">
        <v>1109</v>
      </c>
      <c r="F6" s="205" t="s">
        <v>1108</v>
      </c>
      <c r="G6" s="710" t="s">
        <v>1110</v>
      </c>
      <c r="H6" s="2281" t="s">
        <v>1111</v>
      </c>
      <c r="I6" s="2279" t="s">
        <v>1112</v>
      </c>
      <c r="J6" s="2283" t="s">
        <v>1113</v>
      </c>
      <c r="K6" s="2271" t="s">
        <v>1112</v>
      </c>
      <c r="L6" s="205" t="s">
        <v>1108</v>
      </c>
      <c r="M6" s="861"/>
      <c r="N6" s="205" t="s">
        <v>1108</v>
      </c>
      <c r="O6" s="861"/>
      <c r="P6" s="205" t="s">
        <v>1108</v>
      </c>
      <c r="Q6" s="861"/>
      <c r="R6" s="205" t="s">
        <v>1108</v>
      </c>
      <c r="S6" s="861"/>
      <c r="T6" s="205" t="s">
        <v>1108</v>
      </c>
      <c r="U6" s="861"/>
      <c r="V6" s="205" t="s">
        <v>1108</v>
      </c>
      <c r="W6" s="861"/>
      <c r="X6" s="205" t="s">
        <v>1108</v>
      </c>
      <c r="Y6" s="885"/>
      <c r="Z6" s="205" t="s">
        <v>1108</v>
      </c>
      <c r="AA6" s="885"/>
      <c r="AB6" s="205" t="s">
        <v>1108</v>
      </c>
      <c r="AC6" s="885"/>
      <c r="AD6" s="205" t="s">
        <v>1108</v>
      </c>
      <c r="AE6" s="885"/>
      <c r="AF6" s="205" t="s">
        <v>1108</v>
      </c>
      <c r="AG6" s="885"/>
      <c r="AH6" s="205" t="s">
        <v>1108</v>
      </c>
      <c r="AI6" s="885"/>
      <c r="AJ6" s="991"/>
      <c r="AK6" s="778"/>
    </row>
    <row r="7" spans="1:149" ht="17.25" customHeight="1">
      <c r="B7" s="2274"/>
      <c r="C7" s="2277"/>
      <c r="D7" s="205" t="s">
        <v>1115</v>
      </c>
      <c r="E7" s="206">
        <f>rng01_ProjectName</f>
        <v>0</v>
      </c>
      <c r="F7" s="205" t="s">
        <v>1115</v>
      </c>
      <c r="G7" s="206">
        <f>rng01_ProjectName</f>
        <v>0</v>
      </c>
      <c r="H7" s="2281"/>
      <c r="I7" s="2279"/>
      <c r="J7" s="2283"/>
      <c r="K7" s="2271"/>
      <c r="L7" s="207" t="s">
        <v>1115</v>
      </c>
      <c r="M7" s="1405"/>
      <c r="N7" s="205" t="s">
        <v>1115</v>
      </c>
      <c r="O7" s="1405"/>
      <c r="P7" s="205" t="s">
        <v>1115</v>
      </c>
      <c r="Q7" s="864"/>
      <c r="R7" s="205" t="s">
        <v>1115</v>
      </c>
      <c r="S7" s="864"/>
      <c r="T7" s="205" t="s">
        <v>1115</v>
      </c>
      <c r="U7" s="864"/>
      <c r="V7" s="205" t="s">
        <v>1115</v>
      </c>
      <c r="W7" s="864"/>
      <c r="X7" s="205" t="s">
        <v>1115</v>
      </c>
      <c r="Y7" s="886"/>
      <c r="Z7" s="205" t="s">
        <v>1115</v>
      </c>
      <c r="AA7" s="886"/>
      <c r="AB7" s="205" t="s">
        <v>1115</v>
      </c>
      <c r="AC7" s="886"/>
      <c r="AD7" s="205" t="s">
        <v>1115</v>
      </c>
      <c r="AE7" s="886"/>
      <c r="AF7" s="205" t="s">
        <v>1115</v>
      </c>
      <c r="AG7" s="886"/>
      <c r="AH7" s="205" t="s">
        <v>1115</v>
      </c>
      <c r="AI7" s="886"/>
      <c r="AJ7" s="991"/>
      <c r="AK7" s="779"/>
    </row>
    <row r="8" spans="1:149" ht="17.25" customHeight="1">
      <c r="B8" s="2274"/>
      <c r="C8" s="2277"/>
      <c r="D8" s="207" t="s">
        <v>54</v>
      </c>
      <c r="E8" s="994">
        <f>'02_1_INCOME'!$F$38</f>
        <v>0</v>
      </c>
      <c r="F8" s="207" t="s">
        <v>54</v>
      </c>
      <c r="G8" s="994">
        <f>'02_1_INCOME'!$F$38</f>
        <v>0</v>
      </c>
      <c r="H8" s="2281"/>
      <c r="I8" s="2279"/>
      <c r="J8" s="2284"/>
      <c r="K8" s="2271"/>
      <c r="L8" s="207" t="s">
        <v>54</v>
      </c>
      <c r="M8" s="862"/>
      <c r="N8" s="207" t="s">
        <v>54</v>
      </c>
      <c r="O8" s="862"/>
      <c r="P8" s="207" t="s">
        <v>54</v>
      </c>
      <c r="Q8" s="862"/>
      <c r="R8" s="207" t="s">
        <v>54</v>
      </c>
      <c r="S8" s="862"/>
      <c r="T8" s="207" t="s">
        <v>54</v>
      </c>
      <c r="U8" s="862"/>
      <c r="V8" s="207" t="s">
        <v>54</v>
      </c>
      <c r="W8" s="862"/>
      <c r="X8" s="207" t="s">
        <v>54</v>
      </c>
      <c r="Y8" s="887"/>
      <c r="Z8" s="207" t="s">
        <v>54</v>
      </c>
      <c r="AA8" s="887"/>
      <c r="AB8" s="207" t="s">
        <v>54</v>
      </c>
      <c r="AC8" s="887"/>
      <c r="AD8" s="207" t="s">
        <v>54</v>
      </c>
      <c r="AE8" s="887"/>
      <c r="AF8" s="207" t="s">
        <v>54</v>
      </c>
      <c r="AG8" s="887"/>
      <c r="AH8" s="207" t="s">
        <v>54</v>
      </c>
      <c r="AI8" s="887"/>
      <c r="AJ8" s="992"/>
      <c r="AK8" s="779"/>
    </row>
    <row r="9" spans="1:149" ht="17.25" customHeight="1">
      <c r="B9" s="2274"/>
      <c r="C9" s="2277"/>
      <c r="D9" s="207" t="s">
        <v>1116</v>
      </c>
      <c r="E9" s="995">
        <f>'01_1_General Data'!I112</f>
        <v>1901</v>
      </c>
      <c r="F9" s="207" t="s">
        <v>1116</v>
      </c>
      <c r="G9" s="995">
        <f>'01_1_General Data'!I112</f>
        <v>1901</v>
      </c>
      <c r="H9" s="2281"/>
      <c r="I9" s="2279"/>
      <c r="J9" s="2284"/>
      <c r="K9" s="2271"/>
      <c r="L9" s="207" t="s">
        <v>1116</v>
      </c>
      <c r="M9" s="863"/>
      <c r="N9" s="207" t="s">
        <v>1116</v>
      </c>
      <c r="O9" s="863"/>
      <c r="P9" s="207" t="s">
        <v>1116</v>
      </c>
      <c r="Q9" s="863"/>
      <c r="R9" s="207" t="s">
        <v>1116</v>
      </c>
      <c r="S9" s="863"/>
      <c r="T9" s="207" t="s">
        <v>1116</v>
      </c>
      <c r="U9" s="863"/>
      <c r="V9" s="207" t="s">
        <v>1116</v>
      </c>
      <c r="W9" s="863"/>
      <c r="X9" s="207" t="s">
        <v>1116</v>
      </c>
      <c r="Y9" s="888"/>
      <c r="Z9" s="207" t="s">
        <v>1116</v>
      </c>
      <c r="AA9" s="888"/>
      <c r="AB9" s="207" t="s">
        <v>1116</v>
      </c>
      <c r="AC9" s="888"/>
      <c r="AD9" s="207" t="s">
        <v>1116</v>
      </c>
      <c r="AE9" s="888"/>
      <c r="AF9" s="207" t="s">
        <v>1116</v>
      </c>
      <c r="AG9" s="888"/>
      <c r="AH9" s="207" t="s">
        <v>1116</v>
      </c>
      <c r="AI9" s="888"/>
      <c r="AJ9" s="993"/>
      <c r="AK9" s="902"/>
    </row>
    <row r="10" spans="1:149" s="27" customFormat="1" ht="17.25" customHeight="1" thickBot="1">
      <c r="B10" s="2275"/>
      <c r="C10" s="2278"/>
      <c r="D10" s="889" t="s">
        <v>1117</v>
      </c>
      <c r="E10" s="890" t="s">
        <v>1118</v>
      </c>
      <c r="F10" s="889" t="s">
        <v>1117</v>
      </c>
      <c r="G10" s="890" t="s">
        <v>1118</v>
      </c>
      <c r="H10" s="2282"/>
      <c r="I10" s="2280"/>
      <c r="J10" s="2285"/>
      <c r="K10" s="2272"/>
      <c r="L10" s="889" t="s">
        <v>1117</v>
      </c>
      <c r="M10" s="890" t="s">
        <v>1118</v>
      </c>
      <c r="N10" s="889" t="s">
        <v>1117</v>
      </c>
      <c r="O10" s="891" t="s">
        <v>1118</v>
      </c>
      <c r="P10" s="889" t="s">
        <v>1117</v>
      </c>
      <c r="Q10" s="891"/>
      <c r="R10" s="889" t="s">
        <v>1117</v>
      </c>
      <c r="S10" s="891" t="s">
        <v>1118</v>
      </c>
      <c r="T10" s="889" t="s">
        <v>1117</v>
      </c>
      <c r="U10" s="891" t="s">
        <v>1118</v>
      </c>
      <c r="V10" s="889" t="s">
        <v>1117</v>
      </c>
      <c r="W10" s="892" t="s">
        <v>1118</v>
      </c>
      <c r="X10" s="889" t="s">
        <v>1117</v>
      </c>
      <c r="Y10" s="892" t="s">
        <v>1118</v>
      </c>
      <c r="Z10" s="889" t="s">
        <v>1117</v>
      </c>
      <c r="AA10" s="892" t="s">
        <v>1118</v>
      </c>
      <c r="AB10" s="889" t="s">
        <v>1117</v>
      </c>
      <c r="AC10" s="892" t="s">
        <v>1118</v>
      </c>
      <c r="AD10" s="889" t="s">
        <v>1117</v>
      </c>
      <c r="AE10" s="892" t="s">
        <v>1118</v>
      </c>
      <c r="AF10" s="889" t="s">
        <v>1117</v>
      </c>
      <c r="AG10" s="892" t="s">
        <v>1118</v>
      </c>
      <c r="AH10" s="889" t="s">
        <v>1117</v>
      </c>
      <c r="AI10" s="892" t="s">
        <v>1118</v>
      </c>
      <c r="AJ10" s="993"/>
      <c r="AK10" s="903"/>
    </row>
    <row r="11" spans="1:149" ht="16.5" thickBot="1">
      <c r="B11" s="909" t="s">
        <v>1119</v>
      </c>
      <c r="C11" s="491"/>
      <c r="D11" s="492"/>
      <c r="E11" s="493"/>
      <c r="F11" s="492"/>
      <c r="G11" s="493"/>
      <c r="H11" s="494"/>
      <c r="I11" s="495"/>
      <c r="J11" s="496"/>
      <c r="K11" s="497"/>
      <c r="L11" s="500"/>
      <c r="M11" s="498"/>
      <c r="N11" s="500"/>
      <c r="O11" s="499"/>
      <c r="P11" s="500"/>
      <c r="Q11" s="499"/>
      <c r="R11" s="500"/>
      <c r="S11" s="499"/>
      <c r="T11" s="500"/>
      <c r="U11" s="499"/>
      <c r="V11" s="500"/>
      <c r="W11" s="499"/>
      <c r="X11" s="500"/>
      <c r="Y11" s="499"/>
      <c r="Z11" s="500"/>
      <c r="AA11" s="499"/>
      <c r="AB11" s="500"/>
      <c r="AC11" s="499"/>
      <c r="AD11" s="500"/>
      <c r="AE11" s="499"/>
      <c r="AF11" s="500"/>
      <c r="AG11" s="499"/>
      <c r="AH11" s="500"/>
      <c r="AI11" s="499"/>
      <c r="AJ11" s="212"/>
      <c r="AK11" s="780"/>
      <c r="AP11" s="73" t="s">
        <v>1483</v>
      </c>
      <c r="AQ11" s="74"/>
      <c r="AR11" s="74"/>
      <c r="AS11" s="74"/>
      <c r="AT11" s="74"/>
      <c r="AU11" s="74"/>
      <c r="AV11" s="74"/>
      <c r="AW11" s="74"/>
      <c r="AX11" s="74"/>
      <c r="AY11" s="74"/>
      <c r="AZ11" s="74"/>
      <c r="BA11" s="74"/>
      <c r="BB11" s="74"/>
      <c r="BC11" s="74"/>
      <c r="BD11" s="74"/>
      <c r="BE11" s="74"/>
      <c r="BF11" s="74"/>
      <c r="BG11" s="74"/>
      <c r="BH11" s="74"/>
      <c r="BI11" s="74"/>
      <c r="BJ11" s="105"/>
    </row>
    <row r="12" spans="1:149" ht="15.75">
      <c r="B12" s="910" t="s">
        <v>1120</v>
      </c>
      <c r="C12" s="491">
        <v>5100</v>
      </c>
      <c r="D12" s="742">
        <f>'02_1_INCOME'!N38</f>
        <v>0</v>
      </c>
      <c r="E12" s="502">
        <f>IF('02_1_INCOME'!$F$38=0,0,D12/'02_1_INCOME'!$F$38)</f>
        <v>0</v>
      </c>
      <c r="F12" s="501"/>
      <c r="G12" s="502">
        <f>IF('02_1_INCOME'!$F$38=0,0,F12/'02_1_INCOME'!$F$38)</f>
        <v>0</v>
      </c>
      <c r="H12" s="918">
        <f>IFERROR(AVERAGEIFS($L12:$AJ12,$L$6:$AJ$6,"Comparable",$L12:$AJ12, "&gt;0"),0)</f>
        <v>0</v>
      </c>
      <c r="I12" s="919">
        <f>IF(AND(H12&lt;&gt;0, E12&lt;&gt;0),(H12-E12)/E12,0)</f>
        <v>0</v>
      </c>
      <c r="J12" s="505">
        <f t="shared" ref="J12:J17" si="0">IFERROR(AVERAGEIFS($L12:$AJ12,$L$6:$AJ$6,"Historical", $L12:$AJ12,"&gt;0"),0)</f>
        <v>0</v>
      </c>
      <c r="K12" s="506">
        <f t="shared" ref="K12:K17" si="1">IF(AND(J12&lt;&gt;0, $E12&lt;&gt;0),(J12-$E12)/$E12,0)</f>
        <v>0</v>
      </c>
      <c r="L12" s="490"/>
      <c r="M12" s="1517">
        <f t="shared" ref="M12:M17" si="2">IF(rng02_Projections_Unit_1&lt;&gt;0, (L12*(1+rng01_RentalIncomeRate)^(rng01_FirstYearProforma-rng02_Projections_Year_1))/rng02_Projections_Unit_1,0)</f>
        <v>0</v>
      </c>
      <c r="N12" s="1661"/>
      <c r="O12" s="921">
        <f t="shared" ref="O12:O17" si="3">IF(rng02_Projections_Unit_2&lt;&gt;0, (N12*(1+rng01_RentalIncomeRate)^(rng01_FirstYearProforma-rng02_Projections_Year_2))/rng02_Projections_Unit_2,0)</f>
        <v>0</v>
      </c>
      <c r="P12" s="489">
        <v>0</v>
      </c>
      <c r="Q12" s="508">
        <f t="shared" ref="Q12:Q17" si="4">IF(rng02_Projections_Unit_3&lt;&gt;0, (P12*(1+rng01_RentalIncomeRate)^(rng01_FirstYearProforma-rng02_Projections_Year_3))/rng02_Projections_Unit_3,0)</f>
        <v>0</v>
      </c>
      <c r="R12" s="490">
        <v>0</v>
      </c>
      <c r="S12" s="921">
        <f t="shared" ref="S12:S17" si="5">IF(rng02_Projections_Unit_4&lt;&gt;0, (R12*(1+rng01_RentalIncomeRate)^(rng01_FirstYearProforma-rng02_Projections_Year_4))/rng02_Projections_Unit_4,0)</f>
        <v>0</v>
      </c>
      <c r="T12" s="490">
        <v>0</v>
      </c>
      <c r="U12" s="921">
        <f t="shared" ref="U12:U17" si="6">IF(rng02_Projections_Unit_5&lt;&gt;0, (T12*(1+rng01_RentalIncomeRate)^(rng01_FirstYearProforma-rng02_Projections_Year_5))/rng02_Projections_Unit_5,0)</f>
        <v>0</v>
      </c>
      <c r="V12" s="490">
        <v>0</v>
      </c>
      <c r="W12" s="921">
        <f t="shared" ref="W12:W17" si="7">IF(rng02_Projections_Unit_6&lt;&gt;0, (V12*(1+rng01_RentalIncomeRate)^(rng01_FirstYearProforma-rng02_Projections_Year_6))/rng02_Projections_Unit_6,0)</f>
        <v>0</v>
      </c>
      <c r="X12" s="490">
        <v>0</v>
      </c>
      <c r="Y12" s="921">
        <f t="shared" ref="Y12:Y17" si="8">IF(rng02_Projections_Unit_7&lt;&gt;0, (X12*(1+rng01_RentalIncomeRate)^(rng01_FirstYearProforma-rng02_Projections_Year_7))/rng02_Projections_Unit_7,0)</f>
        <v>0</v>
      </c>
      <c r="Z12" s="490">
        <v>0</v>
      </c>
      <c r="AA12" s="921">
        <f t="shared" ref="AA12:AA17" si="9">IF(rng02_Projections_Unit_8&lt;&gt;0, (Z12*(1+rng01_RentalIncomeRate)^(rng01_FirstYearProforma-rng02_Projections_Year_8))/rng02_Projections_Unit_8,0)</f>
        <v>0</v>
      </c>
      <c r="AB12" s="490">
        <v>0</v>
      </c>
      <c r="AC12" s="921">
        <f t="shared" ref="AC12:AC17" si="10">IF(rng02_Projections_Unit_9&lt;&gt;0, (AB12*(1+rng01_RentalIncomeRate)^(rng01_FirstYearProforma-rng02_Projections_Year_9))/rng02_Projections_Unit_9,0)</f>
        <v>0</v>
      </c>
      <c r="AD12" s="490">
        <v>0</v>
      </c>
      <c r="AE12" s="921">
        <f t="shared" ref="AE12:AE17" si="11">IF(rng02_Projections_Unit_10&lt;&gt;0, (AD12*(1+rng01_RentalIncomeRate)^(rng01_FirstYearProforma-rng02_Projections_Year_10))/rng02_Projections_Unit_10,0)</f>
        <v>0</v>
      </c>
      <c r="AF12" s="490">
        <v>0</v>
      </c>
      <c r="AG12" s="921">
        <f t="shared" ref="AG12:AG17" si="12">IF(rng02_Projections_Unit_10&lt;&gt;0, (AF12*(1+rng01_RentalIncomeRate)^(rng01_FirstYearProforma-rng02_Projections_Year_10))/rng02_Projections_Unit_10,0)</f>
        <v>0</v>
      </c>
      <c r="AH12" s="490">
        <v>0</v>
      </c>
      <c r="AI12" s="921">
        <f t="shared" ref="AI12:AI17" si="13">IF(rng02_Projections_Unit_10&lt;&gt;0, (AH12*(1+rng01_RentalIncomeRate)^(rng01_FirstYearProforma-rng02_Projections_Year_10))/rng02_Projections_Unit_10,0)</f>
        <v>0</v>
      </c>
      <c r="AJ12" s="214"/>
      <c r="AK12" s="779"/>
      <c r="AP12" s="42"/>
      <c r="AQ12" s="43"/>
      <c r="AR12" s="44"/>
      <c r="AS12" s="44"/>
      <c r="AT12" s="44"/>
      <c r="AU12" s="44"/>
      <c r="AV12" s="44"/>
      <c r="AW12" s="44"/>
      <c r="AX12" s="44"/>
      <c r="AY12" s="44"/>
      <c r="AZ12" s="44"/>
      <c r="BA12" s="44"/>
      <c r="BB12" s="44"/>
      <c r="BC12" s="44"/>
      <c r="BD12" s="44"/>
      <c r="BE12" s="44"/>
      <c r="BF12" s="44"/>
      <c r="BG12" s="44"/>
      <c r="BH12" s="44"/>
      <c r="BI12" s="44"/>
      <c r="BJ12" s="45"/>
    </row>
    <row r="13" spans="1:149" ht="15.75">
      <c r="B13" s="910" t="s">
        <v>1121</v>
      </c>
      <c r="C13" s="491">
        <v>5140</v>
      </c>
      <c r="D13" s="742">
        <f>'02_1_INCOME'!H60</f>
        <v>0</v>
      </c>
      <c r="E13" s="502">
        <f>IF('02_1_INCOME'!$F$38=0,0,D13/'02_1_INCOME'!$F$38)</f>
        <v>0</v>
      </c>
      <c r="F13" s="501"/>
      <c r="G13" s="502">
        <f>IF('02_1_INCOME'!$F$38=0,0,F13/'02_1_INCOME'!$F$38)</f>
        <v>0</v>
      </c>
      <c r="H13" s="918">
        <f>IFERROR(AVERAGEIFS($L13:$AJ13,$L$6:$AJ$6,"Comparable",$L13:$AJ13, "&gt;0"),0)</f>
        <v>0</v>
      </c>
      <c r="I13" s="919">
        <f>IF(AND(H13&lt;&gt;0, E13&lt;&gt;0),(H13-E13)/E13,0)</f>
        <v>0</v>
      </c>
      <c r="J13" s="505">
        <f t="shared" si="0"/>
        <v>0</v>
      </c>
      <c r="K13" s="509">
        <f t="shared" si="1"/>
        <v>0</v>
      </c>
      <c r="L13" s="490"/>
      <c r="M13" s="1517">
        <f t="shared" si="2"/>
        <v>0</v>
      </c>
      <c r="N13" s="1661"/>
      <c r="O13" s="921">
        <f t="shared" si="3"/>
        <v>0</v>
      </c>
      <c r="P13" s="489">
        <v>0</v>
      </c>
      <c r="Q13" s="508">
        <f t="shared" si="4"/>
        <v>0</v>
      </c>
      <c r="R13" s="490">
        <v>0</v>
      </c>
      <c r="S13" s="921">
        <f t="shared" si="5"/>
        <v>0</v>
      </c>
      <c r="T13" s="490">
        <v>0</v>
      </c>
      <c r="U13" s="921">
        <f t="shared" si="6"/>
        <v>0</v>
      </c>
      <c r="V13" s="490">
        <v>0</v>
      </c>
      <c r="W13" s="921">
        <f t="shared" si="7"/>
        <v>0</v>
      </c>
      <c r="X13" s="490">
        <v>0</v>
      </c>
      <c r="Y13" s="921">
        <f t="shared" si="8"/>
        <v>0</v>
      </c>
      <c r="Z13" s="490">
        <v>0</v>
      </c>
      <c r="AA13" s="921">
        <f t="shared" si="9"/>
        <v>0</v>
      </c>
      <c r="AB13" s="490">
        <v>0</v>
      </c>
      <c r="AC13" s="921">
        <f t="shared" si="10"/>
        <v>0</v>
      </c>
      <c r="AD13" s="490">
        <v>0</v>
      </c>
      <c r="AE13" s="921">
        <f t="shared" si="11"/>
        <v>0</v>
      </c>
      <c r="AF13" s="490">
        <v>0</v>
      </c>
      <c r="AG13" s="921">
        <f t="shared" si="12"/>
        <v>0</v>
      </c>
      <c r="AH13" s="490">
        <v>0</v>
      </c>
      <c r="AI13" s="921">
        <f t="shared" si="13"/>
        <v>0</v>
      </c>
      <c r="AJ13" s="214"/>
      <c r="AK13" s="779"/>
      <c r="AP13" s="46"/>
      <c r="AQ13" s="44"/>
      <c r="AR13" s="44"/>
      <c r="AS13" s="44"/>
      <c r="AT13" s="44"/>
      <c r="AU13" s="44"/>
      <c r="AV13" s="44"/>
      <c r="AW13" s="44"/>
      <c r="AX13" s="44"/>
      <c r="AY13" s="44"/>
      <c r="AZ13" s="44"/>
      <c r="BA13" s="44"/>
      <c r="BB13" s="44"/>
      <c r="BC13" s="44"/>
      <c r="BD13" s="44"/>
      <c r="BE13" s="44"/>
      <c r="BF13" s="44"/>
      <c r="BG13" s="44"/>
      <c r="BH13" s="44"/>
      <c r="BI13" s="44"/>
      <c r="BJ13" s="45"/>
    </row>
    <row r="14" spans="1:149" ht="15.75">
      <c r="B14" s="920" t="s">
        <v>1122</v>
      </c>
      <c r="C14" s="491">
        <v>5200</v>
      </c>
      <c r="D14" s="742">
        <f>-(('02_1_INCOME'!N38-'02_1_INCOME'!N41)+'02_1_INCOME'!H60*'02_1_INCOME'!H61+'02_1_INCOME'!H81*'02_1_INCOME'!H82)</f>
        <v>0</v>
      </c>
      <c r="E14" s="502">
        <f>IF('02_1_INCOME'!$F$38=0,0,D14/'02_1_INCOME'!$F$38)</f>
        <v>0</v>
      </c>
      <c r="F14" s="501"/>
      <c r="G14" s="502">
        <f>IF('02_1_INCOME'!$F$38=0,0,F14/'02_1_INCOME'!$F$38)</f>
        <v>0</v>
      </c>
      <c r="H14" s="918">
        <f>IFERROR(AVERAGEIFS($L14:$AJ14,$L$6:$AJ$6,"Comparable",$L14:$AJ14, "&gt;0"),0)</f>
        <v>0</v>
      </c>
      <c r="I14" s="919">
        <f>IF(AND(H14&lt;&gt;0, E14&lt;&gt;0),(H14-E14)/E14,0)</f>
        <v>0</v>
      </c>
      <c r="J14" s="505">
        <f t="shared" si="0"/>
        <v>0</v>
      </c>
      <c r="K14" s="509">
        <f t="shared" si="1"/>
        <v>0</v>
      </c>
      <c r="L14" s="490"/>
      <c r="M14" s="1517">
        <f t="shared" si="2"/>
        <v>0</v>
      </c>
      <c r="N14" s="1661"/>
      <c r="O14" s="921">
        <f t="shared" si="3"/>
        <v>0</v>
      </c>
      <c r="P14" s="489">
        <v>0</v>
      </c>
      <c r="Q14" s="508">
        <f t="shared" si="4"/>
        <v>0</v>
      </c>
      <c r="R14" s="490">
        <v>0</v>
      </c>
      <c r="S14" s="921">
        <f t="shared" si="5"/>
        <v>0</v>
      </c>
      <c r="T14" s="490">
        <v>0</v>
      </c>
      <c r="U14" s="921">
        <f t="shared" si="6"/>
        <v>0</v>
      </c>
      <c r="V14" s="490">
        <v>0</v>
      </c>
      <c r="W14" s="921">
        <f t="shared" si="7"/>
        <v>0</v>
      </c>
      <c r="X14" s="490">
        <v>0</v>
      </c>
      <c r="Y14" s="921">
        <f t="shared" si="8"/>
        <v>0</v>
      </c>
      <c r="Z14" s="490">
        <v>0</v>
      </c>
      <c r="AA14" s="921">
        <f t="shared" si="9"/>
        <v>0</v>
      </c>
      <c r="AB14" s="490">
        <v>0</v>
      </c>
      <c r="AC14" s="921">
        <f t="shared" si="10"/>
        <v>0</v>
      </c>
      <c r="AD14" s="490">
        <v>0</v>
      </c>
      <c r="AE14" s="921">
        <f t="shared" si="11"/>
        <v>0</v>
      </c>
      <c r="AF14" s="490">
        <v>0</v>
      </c>
      <c r="AG14" s="921">
        <f t="shared" si="12"/>
        <v>0</v>
      </c>
      <c r="AH14" s="490">
        <v>0</v>
      </c>
      <c r="AI14" s="921">
        <f t="shared" si="13"/>
        <v>0</v>
      </c>
      <c r="AJ14" s="214"/>
      <c r="AK14" s="779"/>
      <c r="AP14" s="46"/>
      <c r="AQ14" s="44"/>
      <c r="AR14" s="44"/>
      <c r="AS14" s="44"/>
      <c r="AT14" s="44"/>
      <c r="AU14" s="44"/>
      <c r="AV14" s="44"/>
      <c r="AW14" s="44"/>
      <c r="AX14" s="44"/>
      <c r="AY14" s="44"/>
      <c r="AZ14" s="44"/>
      <c r="BA14" s="44"/>
      <c r="BB14" s="44"/>
      <c r="BC14" s="44"/>
      <c r="BD14" s="44"/>
      <c r="BE14" s="44"/>
      <c r="BF14" s="44"/>
      <c r="BG14" s="44"/>
      <c r="BH14" s="44"/>
      <c r="BI14" s="44"/>
      <c r="BJ14" s="45"/>
    </row>
    <row r="15" spans="1:149" ht="15.75">
      <c r="B15" s="910" t="s">
        <v>1123</v>
      </c>
      <c r="C15" s="491">
        <v>5300</v>
      </c>
      <c r="D15" s="742">
        <f>'03_4_NH-Assisted Living Data'!C18</f>
        <v>0</v>
      </c>
      <c r="E15" s="502">
        <f>IF('02_1_INCOME'!$F$38=0,0,D15/'02_1_INCOME'!$F$38)</f>
        <v>0</v>
      </c>
      <c r="F15" s="501"/>
      <c r="G15" s="502">
        <f>IF('02_1_INCOME'!$F$38=0,0,F15/'02_1_INCOME'!$F$38)</f>
        <v>0</v>
      </c>
      <c r="H15" s="918">
        <f>IFERROR(AVERAGEIFS($L15:$AJ15,$L$6:$AJ$6,"Comparable",$L15:$AJ15, "&gt;0"),0)</f>
        <v>0</v>
      </c>
      <c r="I15" s="919">
        <f>IF(AND(H15&lt;&gt;0, E15&lt;&gt;0),(H15-E15)/E15,0)</f>
        <v>0</v>
      </c>
      <c r="J15" s="505">
        <f t="shared" si="0"/>
        <v>0</v>
      </c>
      <c r="K15" s="509">
        <f t="shared" si="1"/>
        <v>0</v>
      </c>
      <c r="L15" s="490"/>
      <c r="M15" s="1517">
        <f t="shared" si="2"/>
        <v>0</v>
      </c>
      <c r="N15" s="1661"/>
      <c r="O15" s="921">
        <f t="shared" si="3"/>
        <v>0</v>
      </c>
      <c r="P15" s="489">
        <v>0</v>
      </c>
      <c r="Q15" s="508">
        <f t="shared" si="4"/>
        <v>0</v>
      </c>
      <c r="R15" s="490">
        <v>0</v>
      </c>
      <c r="S15" s="921">
        <f t="shared" si="5"/>
        <v>0</v>
      </c>
      <c r="T15" s="490">
        <v>0</v>
      </c>
      <c r="U15" s="921">
        <f t="shared" si="6"/>
        <v>0</v>
      </c>
      <c r="V15" s="490">
        <v>0</v>
      </c>
      <c r="W15" s="921">
        <f t="shared" si="7"/>
        <v>0</v>
      </c>
      <c r="X15" s="490">
        <v>0</v>
      </c>
      <c r="Y15" s="921">
        <f t="shared" si="8"/>
        <v>0</v>
      </c>
      <c r="Z15" s="490">
        <v>0</v>
      </c>
      <c r="AA15" s="921">
        <f t="shared" si="9"/>
        <v>0</v>
      </c>
      <c r="AB15" s="490">
        <v>0</v>
      </c>
      <c r="AC15" s="921">
        <f t="shared" si="10"/>
        <v>0</v>
      </c>
      <c r="AD15" s="490">
        <v>0</v>
      </c>
      <c r="AE15" s="921">
        <f t="shared" si="11"/>
        <v>0</v>
      </c>
      <c r="AF15" s="490">
        <v>0</v>
      </c>
      <c r="AG15" s="921">
        <f t="shared" si="12"/>
        <v>0</v>
      </c>
      <c r="AH15" s="490">
        <v>0</v>
      </c>
      <c r="AI15" s="921">
        <f t="shared" si="13"/>
        <v>0</v>
      </c>
      <c r="AJ15" s="214"/>
      <c r="AK15" s="779"/>
      <c r="AP15" s="46"/>
      <c r="AQ15" s="44"/>
      <c r="AR15" s="44"/>
      <c r="AS15" s="44"/>
      <c r="AT15" s="44"/>
      <c r="AU15" s="44"/>
      <c r="AV15" s="44"/>
      <c r="AW15" s="44"/>
      <c r="AX15" s="44"/>
      <c r="AY15" s="44"/>
      <c r="AZ15" s="44"/>
      <c r="BA15" s="44"/>
      <c r="BB15" s="44"/>
      <c r="BC15" s="44"/>
      <c r="BD15" s="44"/>
      <c r="BE15" s="44"/>
      <c r="BF15" s="44"/>
      <c r="BG15" s="44"/>
      <c r="BH15" s="44"/>
      <c r="BI15" s="44"/>
      <c r="BJ15" s="45"/>
    </row>
    <row r="16" spans="1:149" ht="16.5" thickBot="1">
      <c r="B16" s="910" t="s">
        <v>1124</v>
      </c>
      <c r="C16" s="491" t="s">
        <v>1125</v>
      </c>
      <c r="D16" s="742">
        <f>'02_1_INCOME'!H81</f>
        <v>0</v>
      </c>
      <c r="E16" s="502">
        <f>IF('02_1_INCOME'!$F$38=0,0,D16/'02_1_INCOME'!$F$38)</f>
        <v>0</v>
      </c>
      <c r="F16" s="501"/>
      <c r="G16" s="502">
        <f>IF('02_1_INCOME'!$F$38=0,0,F16/'02_1_INCOME'!$F$38)</f>
        <v>0</v>
      </c>
      <c r="H16" s="918">
        <f>IFERROR(AVERAGEIFS($L16:$AJ16,$L$6:$AJ$6,"Comparable",$L16:$AJ16, "&gt;0"),0)</f>
        <v>0</v>
      </c>
      <c r="I16" s="919">
        <f>IF(AND(H16&lt;&gt;0, E16&lt;&gt;0),(H16-E16)/E16,0)</f>
        <v>0</v>
      </c>
      <c r="J16" s="505">
        <f t="shared" si="0"/>
        <v>0</v>
      </c>
      <c r="K16" s="509">
        <f t="shared" si="1"/>
        <v>0</v>
      </c>
      <c r="L16" s="490"/>
      <c r="M16" s="1517">
        <f t="shared" si="2"/>
        <v>0</v>
      </c>
      <c r="N16" s="1661"/>
      <c r="O16" s="921">
        <f t="shared" si="3"/>
        <v>0</v>
      </c>
      <c r="P16" s="489">
        <v>0</v>
      </c>
      <c r="Q16" s="508">
        <f t="shared" si="4"/>
        <v>0</v>
      </c>
      <c r="R16" s="490">
        <v>0</v>
      </c>
      <c r="S16" s="921">
        <f t="shared" si="5"/>
        <v>0</v>
      </c>
      <c r="T16" s="490">
        <v>0</v>
      </c>
      <c r="U16" s="921">
        <f t="shared" si="6"/>
        <v>0</v>
      </c>
      <c r="V16" s="490">
        <v>0</v>
      </c>
      <c r="W16" s="921">
        <f t="shared" si="7"/>
        <v>0</v>
      </c>
      <c r="X16" s="490">
        <v>0</v>
      </c>
      <c r="Y16" s="921">
        <f t="shared" si="8"/>
        <v>0</v>
      </c>
      <c r="Z16" s="490">
        <v>0</v>
      </c>
      <c r="AA16" s="921">
        <f t="shared" si="9"/>
        <v>0</v>
      </c>
      <c r="AB16" s="490">
        <v>0</v>
      </c>
      <c r="AC16" s="921">
        <f t="shared" si="10"/>
        <v>0</v>
      </c>
      <c r="AD16" s="490">
        <v>0</v>
      </c>
      <c r="AE16" s="921">
        <f t="shared" si="11"/>
        <v>0</v>
      </c>
      <c r="AF16" s="490">
        <v>0</v>
      </c>
      <c r="AG16" s="921">
        <f t="shared" si="12"/>
        <v>0</v>
      </c>
      <c r="AH16" s="490">
        <v>0</v>
      </c>
      <c r="AI16" s="921">
        <f t="shared" si="13"/>
        <v>0</v>
      </c>
      <c r="AJ16" s="214"/>
      <c r="AK16" s="902"/>
      <c r="AP16" s="46"/>
      <c r="AQ16" s="44"/>
      <c r="AR16" s="44"/>
      <c r="AS16" s="44"/>
      <c r="AT16" s="44"/>
      <c r="AU16" s="44"/>
      <c r="AV16" s="44"/>
      <c r="AW16" s="44"/>
      <c r="AX16" s="44"/>
      <c r="AY16" s="44"/>
      <c r="AZ16" s="44"/>
      <c r="BA16" s="44"/>
      <c r="BB16" s="44"/>
      <c r="BC16" s="44"/>
      <c r="BD16" s="44"/>
      <c r="BE16" s="44"/>
      <c r="BF16" s="44"/>
      <c r="BG16" s="44"/>
      <c r="BH16" s="44"/>
      <c r="BI16" s="44"/>
      <c r="BJ16" s="45"/>
    </row>
    <row r="17" spans="2:62" ht="16.5" thickBot="1">
      <c r="B17" s="911" t="s">
        <v>1126</v>
      </c>
      <c r="C17" s="893"/>
      <c r="D17" s="894">
        <f>SUM(D12:D16)</f>
        <v>0</v>
      </c>
      <c r="E17" s="895">
        <f>IF('02_1_INCOME'!$F$38=0,0,D17/'02_1_INCOME'!$F$38)</f>
        <v>0</v>
      </c>
      <c r="F17" s="894">
        <f>SUM(F12:F16)</f>
        <v>0</v>
      </c>
      <c r="G17" s="896">
        <f>IF('02_1_INCOME'!$F$38=0,0,F17/'02_1_INCOME'!$F$38)</f>
        <v>0</v>
      </c>
      <c r="H17" s="996"/>
      <c r="I17" s="997"/>
      <c r="J17" s="897">
        <f t="shared" si="0"/>
        <v>0</v>
      </c>
      <c r="K17" s="898">
        <f t="shared" si="1"/>
        <v>0</v>
      </c>
      <c r="L17" s="894">
        <f>SUM(L12:L16)</f>
        <v>0</v>
      </c>
      <c r="M17" s="899">
        <f t="shared" si="2"/>
        <v>0</v>
      </c>
      <c r="N17" s="894">
        <f>SUM(N12:N16)</f>
        <v>0</v>
      </c>
      <c r="O17" s="989">
        <f t="shared" si="3"/>
        <v>0</v>
      </c>
      <c r="P17" s="894">
        <f>SUM(P12:P16)</f>
        <v>0</v>
      </c>
      <c r="Q17" s="900">
        <f t="shared" si="4"/>
        <v>0</v>
      </c>
      <c r="R17" s="894">
        <f>SUM(R12:R16)</f>
        <v>0</v>
      </c>
      <c r="S17" s="900">
        <f t="shared" si="5"/>
        <v>0</v>
      </c>
      <c r="T17" s="894">
        <f>SUM(T12:T16)</f>
        <v>0</v>
      </c>
      <c r="U17" s="900">
        <f t="shared" si="6"/>
        <v>0</v>
      </c>
      <c r="V17" s="894">
        <f>SUM(V12:V16)</f>
        <v>0</v>
      </c>
      <c r="W17" s="900">
        <f t="shared" si="7"/>
        <v>0</v>
      </c>
      <c r="X17" s="894">
        <f>SUM(X12:X16)</f>
        <v>0</v>
      </c>
      <c r="Y17" s="901">
        <f t="shared" si="8"/>
        <v>0</v>
      </c>
      <c r="Z17" s="894">
        <f>SUM(Z12:Z16)</f>
        <v>0</v>
      </c>
      <c r="AA17" s="901">
        <f t="shared" si="9"/>
        <v>0</v>
      </c>
      <c r="AB17" s="894">
        <f>SUM(AB12:AB16)</f>
        <v>0</v>
      </c>
      <c r="AC17" s="901">
        <f t="shared" si="10"/>
        <v>0</v>
      </c>
      <c r="AD17" s="894">
        <f>SUM(AD12:AD16)</f>
        <v>0</v>
      </c>
      <c r="AE17" s="901">
        <f t="shared" si="11"/>
        <v>0</v>
      </c>
      <c r="AF17" s="894">
        <f>SUM(AF12:AF16)</f>
        <v>0</v>
      </c>
      <c r="AG17" s="901">
        <f t="shared" si="12"/>
        <v>0</v>
      </c>
      <c r="AH17" s="894">
        <f>SUM(AH12:AH16)</f>
        <v>0</v>
      </c>
      <c r="AI17" s="901">
        <f t="shared" si="13"/>
        <v>0</v>
      </c>
      <c r="AJ17" s="230"/>
      <c r="AK17" s="904"/>
      <c r="AP17" s="47"/>
      <c r="AQ17" s="44"/>
      <c r="AR17" s="44"/>
      <c r="AS17" s="44"/>
      <c r="AT17" s="44"/>
      <c r="AU17" s="44"/>
      <c r="AV17" s="44"/>
      <c r="AW17" s="44"/>
      <c r="AX17" s="44"/>
      <c r="AY17" s="44"/>
      <c r="AZ17" s="44"/>
      <c r="BA17" s="44"/>
      <c r="BB17" s="44"/>
      <c r="BC17" s="44"/>
      <c r="BD17" s="44"/>
      <c r="BE17" s="44"/>
      <c r="BF17" s="44"/>
      <c r="BG17" s="44"/>
      <c r="BH17" s="44"/>
      <c r="BI17" s="44"/>
      <c r="BJ17" s="45"/>
    </row>
    <row r="18" spans="2:62" ht="15.75">
      <c r="B18" s="912" t="s">
        <v>1127</v>
      </c>
      <c r="C18" s="491"/>
      <c r="D18" s="492"/>
      <c r="E18" s="493"/>
      <c r="F18" s="492"/>
      <c r="G18" s="493"/>
      <c r="H18" s="494"/>
      <c r="I18" s="495"/>
      <c r="J18" s="496"/>
      <c r="K18" s="497"/>
      <c r="L18" s="500"/>
      <c r="M18" s="498"/>
      <c r="N18" s="500"/>
      <c r="O18" s="499"/>
      <c r="P18" s="500"/>
      <c r="Q18" s="499"/>
      <c r="R18" s="500"/>
      <c r="S18" s="499"/>
      <c r="T18" s="500"/>
      <c r="U18" s="499"/>
      <c r="V18" s="500"/>
      <c r="W18" s="499"/>
      <c r="X18" s="500"/>
      <c r="Y18" s="499"/>
      <c r="Z18" s="500"/>
      <c r="AA18" s="499"/>
      <c r="AB18" s="500"/>
      <c r="AC18" s="499"/>
      <c r="AD18" s="500"/>
      <c r="AE18" s="499"/>
      <c r="AF18" s="500"/>
      <c r="AG18" s="499"/>
      <c r="AH18" s="500"/>
      <c r="AI18" s="499"/>
      <c r="AJ18" s="212"/>
      <c r="AK18" s="905"/>
      <c r="AP18" s="46"/>
      <c r="AQ18" s="44"/>
      <c r="AR18" s="44"/>
      <c r="AS18" s="44"/>
      <c r="AT18" s="44"/>
      <c r="AU18" s="44"/>
      <c r="AV18" s="44"/>
      <c r="AW18" s="44"/>
      <c r="AX18" s="44"/>
      <c r="AY18" s="44"/>
      <c r="AZ18" s="44"/>
      <c r="BA18" s="44"/>
      <c r="BB18" s="44"/>
      <c r="BC18" s="44"/>
      <c r="BD18" s="44"/>
      <c r="BE18" s="44"/>
      <c r="BF18" s="44"/>
      <c r="BG18" s="44"/>
      <c r="BH18" s="44"/>
      <c r="BI18" s="44"/>
      <c r="BJ18" s="45"/>
    </row>
    <row r="19" spans="2:62" ht="15.75">
      <c r="B19" s="913" t="s">
        <v>1128</v>
      </c>
      <c r="C19" s="491"/>
      <c r="D19" s="492"/>
      <c r="E19" s="493"/>
      <c r="F19" s="492"/>
      <c r="G19" s="493"/>
      <c r="H19" s="494"/>
      <c r="I19" s="495"/>
      <c r="J19" s="496"/>
      <c r="K19" s="497"/>
      <c r="L19" s="500"/>
      <c r="M19" s="498"/>
      <c r="N19" s="500"/>
      <c r="O19" s="499"/>
      <c r="P19" s="500"/>
      <c r="Q19" s="499"/>
      <c r="R19" s="500"/>
      <c r="S19" s="499"/>
      <c r="T19" s="500"/>
      <c r="U19" s="499"/>
      <c r="V19" s="500"/>
      <c r="W19" s="499"/>
      <c r="X19" s="500"/>
      <c r="Y19" s="499"/>
      <c r="Z19" s="500"/>
      <c r="AA19" s="499"/>
      <c r="AB19" s="500"/>
      <c r="AC19" s="499"/>
      <c r="AD19" s="500"/>
      <c r="AE19" s="499"/>
      <c r="AF19" s="500"/>
      <c r="AG19" s="499"/>
      <c r="AH19" s="500"/>
      <c r="AI19" s="499"/>
      <c r="AJ19" s="212"/>
      <c r="AK19" s="780"/>
      <c r="AP19" s="46"/>
      <c r="AQ19" s="44"/>
      <c r="AR19" s="44"/>
      <c r="AS19" s="44"/>
      <c r="AT19" s="44"/>
      <c r="AU19" s="44"/>
      <c r="AV19" s="44"/>
      <c r="AW19" s="44"/>
      <c r="AX19" s="44"/>
      <c r="AY19" s="44"/>
      <c r="AZ19" s="44"/>
      <c r="BA19" s="44"/>
      <c r="BB19" s="44"/>
      <c r="BC19" s="44"/>
      <c r="BD19" s="44"/>
      <c r="BE19" s="44"/>
      <c r="BF19" s="44"/>
      <c r="BG19" s="44"/>
      <c r="BH19" s="44"/>
      <c r="BI19" s="44"/>
      <c r="BJ19" s="45"/>
    </row>
    <row r="20" spans="2:62" ht="15.75">
      <c r="B20" s="910" t="s">
        <v>1129</v>
      </c>
      <c r="C20" s="491">
        <v>6203</v>
      </c>
      <c r="D20" s="501"/>
      <c r="E20" s="502">
        <f>IF('02_1_INCOME'!$F$38=0,0,D20/'02_1_INCOME'!$F$38)</f>
        <v>0</v>
      </c>
      <c r="F20" s="501"/>
      <c r="G20" s="502">
        <f>IF('02_1_INCOME'!$F$38=0,0,F20/'02_1_INCOME'!$F$38)</f>
        <v>0</v>
      </c>
      <c r="H20" s="503">
        <f t="shared" ref="H20:H39" si="14">IFERROR(AVERAGEIFS($L20:$AJ20,$L$6:$AJ$6,"Comparable",$L20:$AJ20, "&gt;0"),0)</f>
        <v>0</v>
      </c>
      <c r="I20" s="504">
        <f t="shared" ref="I20:I39" si="15">IF(AND(H20&lt;&gt;0, E20&lt;&gt;0),(H20-E20)/E20,0)</f>
        <v>0</v>
      </c>
      <c r="J20" s="505">
        <f t="shared" ref="J20:J39" si="16">IFERROR(AVERAGEIFS($L20:$AJ20,$L$6:$AJ$6,"Historical", $L20:$AJ20,"&gt;0"),0)</f>
        <v>0</v>
      </c>
      <c r="K20" s="506">
        <f t="shared" ref="K20:K39" si="17">IF(AND(J20&lt;&gt;0, $E20&lt;&gt;0),(J20-$E20)/$E20,0)</f>
        <v>0</v>
      </c>
      <c r="L20" s="1406"/>
      <c r="M20" s="507">
        <f t="shared" ref="M20:M39" si="18">IF(rng02_Projections_Unit_1&lt;&gt;0, (L20*(1+rng01_OpExRate)^(rng01_FirstYearProforma-rng02_Projections_Year_1))/rng02_Projections_Unit_1,0)</f>
        <v>0</v>
      </c>
      <c r="N20" s="1406"/>
      <c r="O20" s="508">
        <f t="shared" ref="O20:O39" si="19">IF(rng02_Projections_Unit_2&lt;&gt;0, (N20*(1+rng01_OpExRate)^(rng01_FirstYearProforma-rng02_Projections_Year_2))/rng02_Projections_Unit_2,0)</f>
        <v>0</v>
      </c>
      <c r="P20" s="1406"/>
      <c r="Q20" s="508">
        <f t="shared" ref="Q20:Q39" si="20">IF(rng02_Projections_Unit_3&lt;&gt;0, (P20*(1+rng01_OpExRate)^(rng01_FirstYearProforma-rng02_Projections_Year_3))/rng02_Projections_Unit_3,0)</f>
        <v>0</v>
      </c>
      <c r="R20" s="489"/>
      <c r="S20" s="508">
        <f t="shared" ref="S20:S39" si="21">IF(rng02_Projections_Unit_4&lt;&gt;0, (R20*(1+rng01_OpExRate)^(rng01_FirstYearProforma-rng02_Projections_Year_4))/rng02_Projections_Unit_4,0)</f>
        <v>0</v>
      </c>
      <c r="T20" s="489"/>
      <c r="U20" s="508">
        <f t="shared" ref="U20:U39" si="22">IF(rng02_Projections_Unit_5&lt;&gt;0, (T20*(1+rng01_OpExRate)^(rng01_FirstYearProforma-rng02_Projections_Year_5))/rng02_Projections_Unit_5,0)</f>
        <v>0</v>
      </c>
      <c r="V20" s="489"/>
      <c r="W20" s="508">
        <f t="shared" ref="W20:W39" si="23">IF(rng02_Projections_Unit_6&lt;&gt;0, (V20*(1+rng01_OpExRate)^(rng01_FirstYearProforma-rng02_Projections_Year_6))/rng02_Projections_Unit_6,0)</f>
        <v>0</v>
      </c>
      <c r="X20" s="489"/>
      <c r="Y20" s="508">
        <f t="shared" ref="Y20:Y39" si="24">IF(rng02_Projections_Unit_7&lt;&gt;0, (X20*(1+rng01_OpExRate)^(rng01_FirstYearProforma-rng02_Projections_Year_7))/rng02_Projections_Unit_7,0)</f>
        <v>0</v>
      </c>
      <c r="Z20" s="489"/>
      <c r="AA20" s="508">
        <f t="shared" ref="AA20:AA39" si="25">IF(rng02_Projections_Unit_8&lt;&gt;0, (Z20*(1+rng01_OpExRate)^(rng01_FirstYearProforma-rng02_Projections_Year_8))/rng02_Projections_Unit_8,0)</f>
        <v>0</v>
      </c>
      <c r="AB20" s="489"/>
      <c r="AC20" s="508">
        <f t="shared" ref="AC20:AC39" si="26">IF(rng02_Projections_Unit_9&lt;&gt;0, (AB20*(1+rng01_OpExRate)^(rng01_FirstYearProforma-rng02_Projections_Year_9))/rng02_Projections_Unit_9,0)</f>
        <v>0</v>
      </c>
      <c r="AD20" s="489"/>
      <c r="AE20" s="508">
        <f t="shared" ref="AE20:AE39" si="27">IF(rng02_Projections_Unit_10&lt;&gt;0, (AD20*(1+rng01_OpExRate)^(rng01_FirstYearProforma-rng02_Projections_Year_10))/rng02_Projections_Unit_10,0)</f>
        <v>0</v>
      </c>
      <c r="AF20" s="489"/>
      <c r="AG20" s="508">
        <f t="shared" ref="AG20:AG39" si="28">IF(rng02_Projections_Unit_10&lt;&gt;0, (AF20*(1+rng01_OpExRate)^(rng01_FirstYearProforma-rng02_Projections_Year_10))/rng02_Projections_Unit_10,0)</f>
        <v>0</v>
      </c>
      <c r="AH20" s="489"/>
      <c r="AI20" s="508">
        <f t="shared" ref="AI20:AI39" si="29">IF(rng02_Projections_Unit_10&lt;&gt;0, (AH20*(1+rng01_OpExRate)^(rng01_FirstYearProforma-rng02_Projections_Year_10))/rng02_Projections_Unit_10,0)</f>
        <v>0</v>
      </c>
      <c r="AJ20" s="214"/>
      <c r="AK20" s="779"/>
      <c r="AP20" s="46"/>
      <c r="AQ20" s="44"/>
      <c r="AR20" s="44"/>
      <c r="AS20" s="44"/>
      <c r="AT20" s="44"/>
      <c r="AU20" s="44"/>
      <c r="AV20" s="44"/>
      <c r="AW20" s="44"/>
      <c r="AX20" s="44"/>
      <c r="AY20" s="44"/>
      <c r="AZ20" s="44"/>
      <c r="BA20" s="44"/>
      <c r="BB20" s="44"/>
      <c r="BC20" s="44"/>
      <c r="BD20" s="44"/>
      <c r="BE20" s="44"/>
      <c r="BF20" s="44"/>
      <c r="BG20" s="44"/>
      <c r="BH20" s="44"/>
      <c r="BI20" s="44"/>
      <c r="BJ20" s="45"/>
    </row>
    <row r="21" spans="2:62" ht="15.75">
      <c r="B21" s="910" t="s">
        <v>1130</v>
      </c>
      <c r="C21" s="491">
        <v>6204</v>
      </c>
      <c r="D21" s="501"/>
      <c r="E21" s="502">
        <f>IF('02_1_INCOME'!$F$38=0,0,D21/'02_1_INCOME'!$F$38)</f>
        <v>0</v>
      </c>
      <c r="F21" s="501"/>
      <c r="G21" s="502">
        <f>IF('02_1_INCOME'!$F$38=0,0,F21/'02_1_INCOME'!$F$38)</f>
        <v>0</v>
      </c>
      <c r="H21" s="503">
        <f t="shared" si="14"/>
        <v>0</v>
      </c>
      <c r="I21" s="504">
        <f t="shared" si="15"/>
        <v>0</v>
      </c>
      <c r="J21" s="505">
        <f t="shared" si="16"/>
        <v>0</v>
      </c>
      <c r="K21" s="509">
        <f t="shared" si="17"/>
        <v>0</v>
      </c>
      <c r="L21" s="1406"/>
      <c r="M21" s="507">
        <f t="shared" si="18"/>
        <v>0</v>
      </c>
      <c r="N21" s="1406"/>
      <c r="O21" s="508">
        <f t="shared" si="19"/>
        <v>0</v>
      </c>
      <c r="P21" s="1406"/>
      <c r="Q21" s="508">
        <f t="shared" si="20"/>
        <v>0</v>
      </c>
      <c r="R21" s="489"/>
      <c r="S21" s="508">
        <f t="shared" si="21"/>
        <v>0</v>
      </c>
      <c r="T21" s="489"/>
      <c r="U21" s="508">
        <f t="shared" si="22"/>
        <v>0</v>
      </c>
      <c r="V21" s="489"/>
      <c r="W21" s="508">
        <f t="shared" si="23"/>
        <v>0</v>
      </c>
      <c r="X21" s="489"/>
      <c r="Y21" s="508">
        <f t="shared" si="24"/>
        <v>0</v>
      </c>
      <c r="Z21" s="489"/>
      <c r="AA21" s="508">
        <f t="shared" si="25"/>
        <v>0</v>
      </c>
      <c r="AB21" s="489"/>
      <c r="AC21" s="508">
        <f t="shared" si="26"/>
        <v>0</v>
      </c>
      <c r="AD21" s="489"/>
      <c r="AE21" s="508">
        <f t="shared" si="27"/>
        <v>0</v>
      </c>
      <c r="AF21" s="489"/>
      <c r="AG21" s="508">
        <f t="shared" si="28"/>
        <v>0</v>
      </c>
      <c r="AH21" s="489"/>
      <c r="AI21" s="508">
        <f t="shared" si="29"/>
        <v>0</v>
      </c>
      <c r="AJ21" s="214"/>
      <c r="AK21" s="779"/>
      <c r="AP21" s="46"/>
      <c r="AQ21" s="44"/>
      <c r="AR21" s="44"/>
      <c r="AS21" s="44"/>
      <c r="AT21" s="44"/>
      <c r="AU21" s="44"/>
      <c r="AV21" s="44"/>
      <c r="AW21" s="44"/>
      <c r="AX21" s="44"/>
      <c r="AY21" s="44"/>
      <c r="AZ21" s="44"/>
      <c r="BA21" s="44"/>
      <c r="BB21" s="44"/>
      <c r="BC21" s="44"/>
      <c r="BD21" s="44"/>
      <c r="BE21" s="44"/>
      <c r="BF21" s="44"/>
      <c r="BG21" s="44"/>
      <c r="BH21" s="44"/>
      <c r="BI21" s="44"/>
      <c r="BJ21" s="45"/>
    </row>
    <row r="22" spans="2:62" ht="15.75">
      <c r="B22" s="910" t="s">
        <v>1131</v>
      </c>
      <c r="C22" s="491">
        <v>6210</v>
      </c>
      <c r="D22" s="501"/>
      <c r="E22" s="502">
        <f>IF('02_1_INCOME'!$F$38=0,0,D22/'02_1_INCOME'!$F$38)</f>
        <v>0</v>
      </c>
      <c r="F22" s="501"/>
      <c r="G22" s="502">
        <f>IF('02_1_INCOME'!$F$38=0,0,F22/'02_1_INCOME'!$F$38)</f>
        <v>0</v>
      </c>
      <c r="H22" s="503">
        <f t="shared" si="14"/>
        <v>0</v>
      </c>
      <c r="I22" s="504">
        <f t="shared" si="15"/>
        <v>0</v>
      </c>
      <c r="J22" s="505">
        <f t="shared" si="16"/>
        <v>0</v>
      </c>
      <c r="K22" s="509">
        <f t="shared" si="17"/>
        <v>0</v>
      </c>
      <c r="L22" s="1406"/>
      <c r="M22" s="507">
        <f t="shared" si="18"/>
        <v>0</v>
      </c>
      <c r="N22" s="1406"/>
      <c r="O22" s="508">
        <f t="shared" si="19"/>
        <v>0</v>
      </c>
      <c r="P22" s="1406"/>
      <c r="Q22" s="508">
        <f t="shared" si="20"/>
        <v>0</v>
      </c>
      <c r="R22" s="489"/>
      <c r="S22" s="508">
        <f t="shared" si="21"/>
        <v>0</v>
      </c>
      <c r="T22" s="489"/>
      <c r="U22" s="508">
        <f t="shared" si="22"/>
        <v>0</v>
      </c>
      <c r="V22" s="489"/>
      <c r="W22" s="508">
        <f t="shared" si="23"/>
        <v>0</v>
      </c>
      <c r="X22" s="489"/>
      <c r="Y22" s="508">
        <f t="shared" si="24"/>
        <v>0</v>
      </c>
      <c r="Z22" s="489"/>
      <c r="AA22" s="508">
        <f t="shared" si="25"/>
        <v>0</v>
      </c>
      <c r="AB22" s="489"/>
      <c r="AC22" s="508">
        <f t="shared" si="26"/>
        <v>0</v>
      </c>
      <c r="AD22" s="489"/>
      <c r="AE22" s="508">
        <f t="shared" si="27"/>
        <v>0</v>
      </c>
      <c r="AF22" s="489"/>
      <c r="AG22" s="508">
        <f t="shared" si="28"/>
        <v>0</v>
      </c>
      <c r="AH22" s="489"/>
      <c r="AI22" s="508">
        <f t="shared" si="29"/>
        <v>0</v>
      </c>
      <c r="AJ22" s="214"/>
      <c r="AK22" s="779"/>
      <c r="AP22" s="46"/>
      <c r="AQ22" s="44"/>
      <c r="AR22" s="44"/>
      <c r="AS22" s="44"/>
      <c r="AT22" s="44"/>
      <c r="AU22" s="44"/>
      <c r="AV22" s="44"/>
      <c r="AW22" s="44"/>
      <c r="AX22" s="44"/>
      <c r="AY22" s="44"/>
      <c r="AZ22" s="44"/>
      <c r="BA22" s="44"/>
      <c r="BB22" s="44"/>
      <c r="BC22" s="44"/>
      <c r="BD22" s="44"/>
      <c r="BE22" s="44"/>
      <c r="BF22" s="44"/>
      <c r="BG22" s="44"/>
      <c r="BH22" s="44"/>
      <c r="BI22" s="44"/>
      <c r="BJ22" s="45"/>
    </row>
    <row r="23" spans="2:62" ht="15.75">
      <c r="B23" s="910" t="s">
        <v>1132</v>
      </c>
      <c r="C23" s="491">
        <v>6250</v>
      </c>
      <c r="D23" s="501"/>
      <c r="E23" s="502">
        <f>IF('02_1_INCOME'!$F$38=0,0,D23/'02_1_INCOME'!$F$38)</f>
        <v>0</v>
      </c>
      <c r="F23" s="501"/>
      <c r="G23" s="502">
        <f>IF('02_1_INCOME'!$F$38=0,0,F23/'02_1_INCOME'!$F$38)</f>
        <v>0</v>
      </c>
      <c r="H23" s="503">
        <f t="shared" si="14"/>
        <v>0</v>
      </c>
      <c r="I23" s="504">
        <f t="shared" si="15"/>
        <v>0</v>
      </c>
      <c r="J23" s="505">
        <f t="shared" si="16"/>
        <v>0</v>
      </c>
      <c r="K23" s="509">
        <f t="shared" si="17"/>
        <v>0</v>
      </c>
      <c r="L23" s="1406"/>
      <c r="M23" s="507">
        <f t="shared" si="18"/>
        <v>0</v>
      </c>
      <c r="N23" s="1406"/>
      <c r="O23" s="508">
        <f t="shared" si="19"/>
        <v>0</v>
      </c>
      <c r="P23" s="1406"/>
      <c r="Q23" s="508">
        <f t="shared" si="20"/>
        <v>0</v>
      </c>
      <c r="R23" s="489"/>
      <c r="S23" s="508">
        <f t="shared" si="21"/>
        <v>0</v>
      </c>
      <c r="T23" s="489"/>
      <c r="U23" s="508">
        <f t="shared" si="22"/>
        <v>0</v>
      </c>
      <c r="V23" s="489"/>
      <c r="W23" s="508">
        <f t="shared" si="23"/>
        <v>0</v>
      </c>
      <c r="X23" s="489"/>
      <c r="Y23" s="508">
        <f t="shared" si="24"/>
        <v>0</v>
      </c>
      <c r="Z23" s="489"/>
      <c r="AA23" s="508">
        <f t="shared" si="25"/>
        <v>0</v>
      </c>
      <c r="AB23" s="489"/>
      <c r="AC23" s="508">
        <f t="shared" si="26"/>
        <v>0</v>
      </c>
      <c r="AD23" s="489"/>
      <c r="AE23" s="508">
        <f t="shared" si="27"/>
        <v>0</v>
      </c>
      <c r="AF23" s="489"/>
      <c r="AG23" s="508">
        <f t="shared" si="28"/>
        <v>0</v>
      </c>
      <c r="AH23" s="489"/>
      <c r="AI23" s="508">
        <f t="shared" si="29"/>
        <v>0</v>
      </c>
      <c r="AJ23" s="214"/>
      <c r="AK23" s="779"/>
      <c r="AP23" s="46"/>
      <c r="AQ23" s="44"/>
      <c r="AR23" s="44"/>
      <c r="AS23" s="44"/>
      <c r="AT23" s="44"/>
      <c r="AU23" s="44"/>
      <c r="AV23" s="44"/>
      <c r="AW23" s="44"/>
      <c r="AX23" s="44"/>
      <c r="AY23" s="44"/>
      <c r="AZ23" s="44"/>
      <c r="BA23" s="44"/>
      <c r="BB23" s="44"/>
      <c r="BC23" s="44"/>
      <c r="BD23" s="44"/>
      <c r="BE23" s="44"/>
      <c r="BF23" s="44"/>
      <c r="BG23" s="44"/>
      <c r="BH23" s="44"/>
      <c r="BI23" s="44"/>
      <c r="BJ23" s="45"/>
    </row>
    <row r="24" spans="2:62" ht="15.75">
      <c r="B24" s="910" t="s">
        <v>1133</v>
      </c>
      <c r="C24" s="491">
        <v>6310</v>
      </c>
      <c r="D24" s="501"/>
      <c r="E24" s="502">
        <f>IF('02_1_INCOME'!$F$38=0,0,D24/'02_1_INCOME'!$F$38)</f>
        <v>0</v>
      </c>
      <c r="F24" s="501"/>
      <c r="G24" s="502">
        <f>IF('02_1_INCOME'!$F$38=0,0,F24/'02_1_INCOME'!$F$38)</f>
        <v>0</v>
      </c>
      <c r="H24" s="503">
        <f t="shared" si="14"/>
        <v>0</v>
      </c>
      <c r="I24" s="504">
        <f t="shared" si="15"/>
        <v>0</v>
      </c>
      <c r="J24" s="505">
        <f t="shared" si="16"/>
        <v>0</v>
      </c>
      <c r="K24" s="509">
        <f t="shared" si="17"/>
        <v>0</v>
      </c>
      <c r="L24" s="1406"/>
      <c r="M24" s="507">
        <f t="shared" si="18"/>
        <v>0</v>
      </c>
      <c r="N24" s="1406"/>
      <c r="O24" s="508">
        <f t="shared" si="19"/>
        <v>0</v>
      </c>
      <c r="P24" s="1406"/>
      <c r="Q24" s="508">
        <f t="shared" si="20"/>
        <v>0</v>
      </c>
      <c r="R24" s="489"/>
      <c r="S24" s="508">
        <f t="shared" si="21"/>
        <v>0</v>
      </c>
      <c r="T24" s="489"/>
      <c r="U24" s="508">
        <f t="shared" si="22"/>
        <v>0</v>
      </c>
      <c r="V24" s="489"/>
      <c r="W24" s="508">
        <f t="shared" si="23"/>
        <v>0</v>
      </c>
      <c r="X24" s="489"/>
      <c r="Y24" s="508">
        <f t="shared" si="24"/>
        <v>0</v>
      </c>
      <c r="Z24" s="489"/>
      <c r="AA24" s="508">
        <f t="shared" si="25"/>
        <v>0</v>
      </c>
      <c r="AB24" s="489"/>
      <c r="AC24" s="508">
        <f t="shared" si="26"/>
        <v>0</v>
      </c>
      <c r="AD24" s="489"/>
      <c r="AE24" s="508">
        <f t="shared" si="27"/>
        <v>0</v>
      </c>
      <c r="AF24" s="489"/>
      <c r="AG24" s="508">
        <f t="shared" si="28"/>
        <v>0</v>
      </c>
      <c r="AH24" s="489"/>
      <c r="AI24" s="508">
        <f t="shared" si="29"/>
        <v>0</v>
      </c>
      <c r="AJ24" s="214"/>
      <c r="AK24" s="779"/>
      <c r="AP24" s="46"/>
      <c r="AQ24" s="44"/>
      <c r="AR24" s="44"/>
      <c r="AS24" s="44"/>
      <c r="AT24" s="44"/>
      <c r="AU24" s="44"/>
      <c r="AV24" s="44"/>
      <c r="AW24" s="44"/>
      <c r="AX24" s="44"/>
      <c r="AY24" s="44"/>
      <c r="AZ24" s="44"/>
      <c r="BA24" s="44"/>
      <c r="BB24" s="44"/>
      <c r="BC24" s="44"/>
      <c r="BD24" s="44"/>
      <c r="BE24" s="44"/>
      <c r="BF24" s="44"/>
      <c r="BG24" s="44"/>
      <c r="BH24" s="44"/>
      <c r="BI24" s="44"/>
      <c r="BJ24" s="45"/>
    </row>
    <row r="25" spans="2:62" ht="15.75">
      <c r="B25" s="910" t="s">
        <v>1134</v>
      </c>
      <c r="C25" s="491">
        <v>6311</v>
      </c>
      <c r="D25" s="501"/>
      <c r="E25" s="502">
        <f>IF('02_1_INCOME'!$F$38=0,0,D25/'02_1_INCOME'!$F$38)</f>
        <v>0</v>
      </c>
      <c r="F25" s="501"/>
      <c r="G25" s="502">
        <f>IF('02_1_INCOME'!$F$38=0,0,F25/'02_1_INCOME'!$F$38)</f>
        <v>0</v>
      </c>
      <c r="H25" s="503">
        <f t="shared" si="14"/>
        <v>0</v>
      </c>
      <c r="I25" s="504">
        <f t="shared" si="15"/>
        <v>0</v>
      </c>
      <c r="J25" s="505">
        <f t="shared" si="16"/>
        <v>0</v>
      </c>
      <c r="K25" s="509">
        <f t="shared" si="17"/>
        <v>0</v>
      </c>
      <c r="L25" s="1406"/>
      <c r="M25" s="507">
        <f t="shared" si="18"/>
        <v>0</v>
      </c>
      <c r="N25" s="1406"/>
      <c r="O25" s="508">
        <f t="shared" si="19"/>
        <v>0</v>
      </c>
      <c r="P25" s="1406"/>
      <c r="Q25" s="508">
        <f t="shared" si="20"/>
        <v>0</v>
      </c>
      <c r="R25" s="489"/>
      <c r="S25" s="508">
        <f t="shared" si="21"/>
        <v>0</v>
      </c>
      <c r="T25" s="489"/>
      <c r="U25" s="508">
        <f t="shared" si="22"/>
        <v>0</v>
      </c>
      <c r="V25" s="489"/>
      <c r="W25" s="508">
        <f t="shared" si="23"/>
        <v>0</v>
      </c>
      <c r="X25" s="489"/>
      <c r="Y25" s="508">
        <f t="shared" si="24"/>
        <v>0</v>
      </c>
      <c r="Z25" s="489"/>
      <c r="AA25" s="508">
        <f t="shared" si="25"/>
        <v>0</v>
      </c>
      <c r="AB25" s="489"/>
      <c r="AC25" s="508">
        <f t="shared" si="26"/>
        <v>0</v>
      </c>
      <c r="AD25" s="489"/>
      <c r="AE25" s="508">
        <f t="shared" si="27"/>
        <v>0</v>
      </c>
      <c r="AF25" s="489"/>
      <c r="AG25" s="508">
        <f t="shared" si="28"/>
        <v>0</v>
      </c>
      <c r="AH25" s="489"/>
      <c r="AI25" s="508">
        <f t="shared" si="29"/>
        <v>0</v>
      </c>
      <c r="AJ25" s="214"/>
      <c r="AK25" s="779"/>
      <c r="AP25" s="46"/>
      <c r="AQ25" s="44"/>
      <c r="AR25" s="44"/>
      <c r="AS25" s="44"/>
      <c r="AT25" s="44"/>
      <c r="AU25" s="44"/>
      <c r="AV25" s="44"/>
      <c r="AW25" s="44"/>
      <c r="AX25" s="44"/>
      <c r="AY25" s="44"/>
      <c r="AZ25" s="44"/>
      <c r="BA25" s="44"/>
      <c r="BB25" s="44"/>
      <c r="BC25" s="44"/>
      <c r="BD25" s="44"/>
      <c r="BE25" s="44"/>
      <c r="BF25" s="44"/>
      <c r="BG25" s="44"/>
      <c r="BH25" s="44"/>
      <c r="BI25" s="44"/>
      <c r="BJ25" s="45"/>
    </row>
    <row r="26" spans="2:62" ht="15.75">
      <c r="B26" s="910" t="s">
        <v>1135</v>
      </c>
      <c r="C26" s="491">
        <v>6312</v>
      </c>
      <c r="D26" s="501"/>
      <c r="E26" s="502">
        <f>IF('02_1_INCOME'!$F$38=0,0,D26/'02_1_INCOME'!$F$38)</f>
        <v>0</v>
      </c>
      <c r="F26" s="501"/>
      <c r="G26" s="502">
        <f>IF('02_1_INCOME'!$F$38=0,0,F26/'02_1_INCOME'!$F$38)</f>
        <v>0</v>
      </c>
      <c r="H26" s="503">
        <f t="shared" si="14"/>
        <v>0</v>
      </c>
      <c r="I26" s="504">
        <f t="shared" si="15"/>
        <v>0</v>
      </c>
      <c r="J26" s="505">
        <f t="shared" si="16"/>
        <v>0</v>
      </c>
      <c r="K26" s="509">
        <f t="shared" si="17"/>
        <v>0</v>
      </c>
      <c r="L26" s="1406"/>
      <c r="M26" s="507">
        <f t="shared" si="18"/>
        <v>0</v>
      </c>
      <c r="N26" s="1406"/>
      <c r="O26" s="508">
        <f t="shared" si="19"/>
        <v>0</v>
      </c>
      <c r="P26" s="1406"/>
      <c r="Q26" s="508">
        <f t="shared" si="20"/>
        <v>0</v>
      </c>
      <c r="R26" s="489"/>
      <c r="S26" s="508">
        <f t="shared" si="21"/>
        <v>0</v>
      </c>
      <c r="T26" s="489"/>
      <c r="U26" s="508">
        <f t="shared" si="22"/>
        <v>0</v>
      </c>
      <c r="V26" s="489"/>
      <c r="W26" s="508">
        <f t="shared" si="23"/>
        <v>0</v>
      </c>
      <c r="X26" s="489"/>
      <c r="Y26" s="508">
        <f t="shared" si="24"/>
        <v>0</v>
      </c>
      <c r="Z26" s="489"/>
      <c r="AA26" s="508">
        <f t="shared" si="25"/>
        <v>0</v>
      </c>
      <c r="AB26" s="489"/>
      <c r="AC26" s="508">
        <f t="shared" si="26"/>
        <v>0</v>
      </c>
      <c r="AD26" s="489"/>
      <c r="AE26" s="508">
        <f t="shared" si="27"/>
        <v>0</v>
      </c>
      <c r="AF26" s="489"/>
      <c r="AG26" s="508">
        <f t="shared" si="28"/>
        <v>0</v>
      </c>
      <c r="AH26" s="489"/>
      <c r="AI26" s="508">
        <f t="shared" si="29"/>
        <v>0</v>
      </c>
      <c r="AJ26" s="214"/>
      <c r="AK26" s="779"/>
      <c r="AP26" s="46"/>
      <c r="AQ26" s="44"/>
      <c r="AR26" s="44"/>
      <c r="AS26" s="44"/>
      <c r="AT26" s="44"/>
      <c r="AU26" s="44"/>
      <c r="AV26" s="44"/>
      <c r="AW26" s="44"/>
      <c r="AX26" s="44"/>
      <c r="AY26" s="44"/>
      <c r="AZ26" s="44"/>
      <c r="BA26" s="44"/>
      <c r="BB26" s="44"/>
      <c r="BC26" s="44"/>
      <c r="BD26" s="44"/>
      <c r="BE26" s="44"/>
      <c r="BF26" s="44"/>
      <c r="BG26" s="44"/>
      <c r="BH26" s="44"/>
      <c r="BI26" s="44"/>
      <c r="BJ26" s="45"/>
    </row>
    <row r="27" spans="2:62" ht="15.75">
      <c r="B27" s="910" t="s">
        <v>1136</v>
      </c>
      <c r="C27" s="491">
        <v>6312</v>
      </c>
      <c r="D27" s="501"/>
      <c r="E27" s="502">
        <f>IF('02_1_INCOME'!$F$38=0,0,D27/'02_1_INCOME'!$F$38)</f>
        <v>0</v>
      </c>
      <c r="F27" s="501"/>
      <c r="G27" s="502">
        <f>IF('02_1_INCOME'!$F$38=0,0,F27/'02_1_INCOME'!$F$38)</f>
        <v>0</v>
      </c>
      <c r="H27" s="503">
        <f t="shared" si="14"/>
        <v>0</v>
      </c>
      <c r="I27" s="504">
        <f>IF(AND(H27&lt;&gt;0, E27&lt;&gt;0),(H27-E27)/E27,0)</f>
        <v>0</v>
      </c>
      <c r="J27" s="505">
        <f t="shared" si="16"/>
        <v>0</v>
      </c>
      <c r="K27" s="509">
        <f>IF(AND(J27&lt;&gt;0, $E27&lt;&gt;0),(J27-$E27)/$E27,0)</f>
        <v>0</v>
      </c>
      <c r="L27" s="1406"/>
      <c r="M27" s="507">
        <f>IF(rng02_Projections_Unit_1&lt;&gt;0, (L27*(1+rng01_OpExRate)^(rng01_FirstYearProforma-rng02_Projections_Year_1))/rng02_Projections_Unit_1,0)</f>
        <v>0</v>
      </c>
      <c r="N27" s="1406"/>
      <c r="O27" s="508">
        <f>IF(rng02_Projections_Unit_2&lt;&gt;0, (N27*(1+rng01_OpExRate)^(rng01_FirstYearProforma-rng02_Projections_Year_2))/rng02_Projections_Unit_2,0)</f>
        <v>0</v>
      </c>
      <c r="P27" s="1406"/>
      <c r="Q27" s="508">
        <f>IF(rng02_Projections_Unit_3&lt;&gt;0, (P27*(1+rng01_OpExRate)^(rng01_FirstYearProforma-rng02_Projections_Year_3))/rng02_Projections_Unit_3,0)</f>
        <v>0</v>
      </c>
      <c r="R27" s="489"/>
      <c r="S27" s="508">
        <f>IF(rng02_Projections_Unit_4&lt;&gt;0, (R27*(1+rng01_OpExRate)^(rng01_FirstYearProforma-rng02_Projections_Year_4))/rng02_Projections_Unit_4,0)</f>
        <v>0</v>
      </c>
      <c r="T27" s="489"/>
      <c r="U27" s="508">
        <f>IF(rng02_Projections_Unit_5&lt;&gt;0, (T27*(1+rng01_OpExRate)^(rng01_FirstYearProforma-rng02_Projections_Year_5))/rng02_Projections_Unit_5,0)</f>
        <v>0</v>
      </c>
      <c r="V27" s="489"/>
      <c r="W27" s="508">
        <f>IF(rng02_Projections_Unit_6&lt;&gt;0, (V27*(1+rng01_OpExRate)^(rng01_FirstYearProforma-rng02_Projections_Year_6))/rng02_Projections_Unit_6,0)</f>
        <v>0</v>
      </c>
      <c r="X27" s="489"/>
      <c r="Y27" s="508">
        <f>IF(rng02_Projections_Unit_7&lt;&gt;0, (X27*(1+rng01_OpExRate)^(rng01_FirstYearProforma-rng02_Projections_Year_7))/rng02_Projections_Unit_7,0)</f>
        <v>0</v>
      </c>
      <c r="Z27" s="489"/>
      <c r="AA27" s="508">
        <f t="shared" si="25"/>
        <v>0</v>
      </c>
      <c r="AB27" s="489"/>
      <c r="AC27" s="508">
        <f t="shared" si="26"/>
        <v>0</v>
      </c>
      <c r="AD27" s="489"/>
      <c r="AE27" s="508">
        <f t="shared" si="27"/>
        <v>0</v>
      </c>
      <c r="AF27" s="489"/>
      <c r="AG27" s="508">
        <f t="shared" si="28"/>
        <v>0</v>
      </c>
      <c r="AH27" s="489"/>
      <c r="AI27" s="508">
        <f t="shared" si="29"/>
        <v>0</v>
      </c>
      <c r="AJ27" s="214"/>
      <c r="AK27" s="779"/>
      <c r="AP27" s="48"/>
      <c r="AQ27" s="49"/>
      <c r="AR27" s="44"/>
      <c r="AS27" s="44"/>
      <c r="AT27" s="44"/>
      <c r="AU27" s="44"/>
      <c r="AV27" s="44"/>
      <c r="AW27" s="44"/>
      <c r="AX27" s="44"/>
      <c r="AY27" s="44"/>
      <c r="AZ27" s="44"/>
      <c r="BA27" s="44"/>
      <c r="BB27" s="44"/>
      <c r="BC27" s="44"/>
      <c r="BD27" s="44"/>
      <c r="BE27" s="44"/>
      <c r="BF27" s="44"/>
      <c r="BG27" s="44"/>
      <c r="BH27" s="44"/>
      <c r="BI27" s="44"/>
      <c r="BJ27" s="45"/>
    </row>
    <row r="28" spans="2:62" ht="15.75">
      <c r="B28" s="910" t="str">
        <f>_xlfn.CONCAT("Management Fee: ",TEXT(rng01_ManagementFee,"0.00%"), " of EGI")</f>
        <v>Management Fee: 0.00% of EGI</v>
      </c>
      <c r="C28" s="491">
        <v>6320</v>
      </c>
      <c r="D28" s="742">
        <f>D17*rng01_ManagementFee</f>
        <v>0</v>
      </c>
      <c r="E28" s="502">
        <f>IF('02_1_INCOME'!$F$38=0,0,D28/'02_1_INCOME'!$F$38)</f>
        <v>0</v>
      </c>
      <c r="F28" s="501"/>
      <c r="G28" s="502">
        <f>IF('02_1_INCOME'!$F$38=0,0,F28/'02_1_INCOME'!$F$38)</f>
        <v>0</v>
      </c>
      <c r="H28" s="503">
        <f t="shared" si="14"/>
        <v>0</v>
      </c>
      <c r="I28" s="504">
        <f t="shared" si="15"/>
        <v>0</v>
      </c>
      <c r="J28" s="505">
        <f t="shared" si="16"/>
        <v>0</v>
      </c>
      <c r="K28" s="509">
        <f t="shared" si="17"/>
        <v>0</v>
      </c>
      <c r="L28" s="1406"/>
      <c r="M28" s="507">
        <f t="shared" si="18"/>
        <v>0</v>
      </c>
      <c r="N28" s="1406"/>
      <c r="O28" s="508">
        <f t="shared" si="19"/>
        <v>0</v>
      </c>
      <c r="P28" s="1406"/>
      <c r="Q28" s="508">
        <f t="shared" si="20"/>
        <v>0</v>
      </c>
      <c r="R28" s="489"/>
      <c r="S28" s="508">
        <f t="shared" si="21"/>
        <v>0</v>
      </c>
      <c r="T28" s="489"/>
      <c r="U28" s="508">
        <f t="shared" si="22"/>
        <v>0</v>
      </c>
      <c r="V28" s="489"/>
      <c r="W28" s="508">
        <f t="shared" si="23"/>
        <v>0</v>
      </c>
      <c r="X28" s="489"/>
      <c r="Y28" s="508">
        <f t="shared" si="24"/>
        <v>0</v>
      </c>
      <c r="Z28" s="489"/>
      <c r="AA28" s="508">
        <f t="shared" si="25"/>
        <v>0</v>
      </c>
      <c r="AB28" s="489"/>
      <c r="AC28" s="508">
        <f t="shared" si="26"/>
        <v>0</v>
      </c>
      <c r="AD28" s="489"/>
      <c r="AE28" s="508">
        <f t="shared" si="27"/>
        <v>0</v>
      </c>
      <c r="AF28" s="489"/>
      <c r="AG28" s="508">
        <f t="shared" si="28"/>
        <v>0</v>
      </c>
      <c r="AH28" s="489"/>
      <c r="AI28" s="508">
        <f t="shared" si="29"/>
        <v>0</v>
      </c>
      <c r="AJ28" s="214"/>
      <c r="AK28" s="779"/>
      <c r="AP28" s="48"/>
      <c r="AQ28" s="49"/>
      <c r="AR28" s="44"/>
      <c r="AS28" s="44"/>
      <c r="AT28" s="44"/>
      <c r="AU28" s="44"/>
      <c r="AV28" s="44"/>
      <c r="AW28" s="44"/>
      <c r="AX28" s="44"/>
      <c r="AY28" s="44"/>
      <c r="AZ28" s="44"/>
      <c r="BA28" s="44"/>
      <c r="BB28" s="44"/>
      <c r="BC28" s="44"/>
      <c r="BD28" s="44"/>
      <c r="BE28" s="44"/>
      <c r="BF28" s="44"/>
      <c r="BG28" s="44"/>
      <c r="BH28" s="44"/>
      <c r="BI28" s="44"/>
      <c r="BJ28" s="45"/>
    </row>
    <row r="29" spans="2:62" ht="15.75">
      <c r="B29" s="910" t="s">
        <v>1138</v>
      </c>
      <c r="C29" s="491">
        <v>6330</v>
      </c>
      <c r="D29" s="1773"/>
      <c r="E29" s="502">
        <f>IF('02_1_INCOME'!$F$38=0,0,D29/'02_1_INCOME'!$F$38)</f>
        <v>0</v>
      </c>
      <c r="F29" s="501"/>
      <c r="G29" s="502">
        <f>IF('02_1_INCOME'!$F$38=0,0,F29/'02_1_INCOME'!$F$38)</f>
        <v>0</v>
      </c>
      <c r="H29" s="503">
        <f t="shared" si="14"/>
        <v>0</v>
      </c>
      <c r="I29" s="504">
        <f t="shared" si="15"/>
        <v>0</v>
      </c>
      <c r="J29" s="505">
        <f t="shared" si="16"/>
        <v>0</v>
      </c>
      <c r="K29" s="509">
        <f t="shared" si="17"/>
        <v>0</v>
      </c>
      <c r="L29" s="1406"/>
      <c r="M29" s="507">
        <f t="shared" si="18"/>
        <v>0</v>
      </c>
      <c r="N29" s="1406"/>
      <c r="O29" s="508">
        <f t="shared" si="19"/>
        <v>0</v>
      </c>
      <c r="P29" s="1406"/>
      <c r="Q29" s="508">
        <f t="shared" si="20"/>
        <v>0</v>
      </c>
      <c r="R29" s="489"/>
      <c r="S29" s="508">
        <f t="shared" si="21"/>
        <v>0</v>
      </c>
      <c r="T29" s="489"/>
      <c r="U29" s="508">
        <f t="shared" si="22"/>
        <v>0</v>
      </c>
      <c r="V29" s="489"/>
      <c r="W29" s="508">
        <f t="shared" si="23"/>
        <v>0</v>
      </c>
      <c r="X29" s="489"/>
      <c r="Y29" s="508">
        <f t="shared" si="24"/>
        <v>0</v>
      </c>
      <c r="Z29" s="489"/>
      <c r="AA29" s="508">
        <f t="shared" si="25"/>
        <v>0</v>
      </c>
      <c r="AB29" s="489"/>
      <c r="AC29" s="508">
        <f t="shared" si="26"/>
        <v>0</v>
      </c>
      <c r="AD29" s="489"/>
      <c r="AE29" s="508">
        <f t="shared" si="27"/>
        <v>0</v>
      </c>
      <c r="AF29" s="489"/>
      <c r="AG29" s="508">
        <f t="shared" si="28"/>
        <v>0</v>
      </c>
      <c r="AH29" s="489"/>
      <c r="AI29" s="508">
        <f t="shared" si="29"/>
        <v>0</v>
      </c>
      <c r="AJ29" s="214"/>
      <c r="AK29" s="779"/>
      <c r="AP29" s="46"/>
      <c r="AQ29" s="44"/>
      <c r="AR29" s="44"/>
      <c r="AS29" s="44"/>
      <c r="AT29" s="44"/>
      <c r="AU29" s="44"/>
      <c r="AV29" s="44"/>
      <c r="AW29" s="44"/>
      <c r="AX29" s="44"/>
      <c r="AY29" s="44"/>
      <c r="AZ29" s="44"/>
      <c r="BA29" s="44"/>
      <c r="BB29" s="44"/>
      <c r="BC29" s="44"/>
      <c r="BD29" s="44"/>
      <c r="BE29" s="44"/>
      <c r="BF29" s="44"/>
      <c r="BG29" s="44"/>
      <c r="BH29" s="44"/>
      <c r="BI29" s="44"/>
      <c r="BJ29" s="45"/>
    </row>
    <row r="30" spans="2:62" ht="15.75">
      <c r="B30" s="910" t="s">
        <v>1139</v>
      </c>
      <c r="C30" s="491">
        <v>6331</v>
      </c>
      <c r="D30" s="1773"/>
      <c r="E30" s="502">
        <f>IF('02_1_INCOME'!$F$38=0,0,D30/'02_1_INCOME'!$F$38)</f>
        <v>0</v>
      </c>
      <c r="F30" s="501"/>
      <c r="G30" s="502">
        <f>IF('02_1_INCOME'!$F$38=0,0,F30/'02_1_INCOME'!$F$38)</f>
        <v>0</v>
      </c>
      <c r="H30" s="503">
        <f t="shared" si="14"/>
        <v>0</v>
      </c>
      <c r="I30" s="504">
        <f t="shared" si="15"/>
        <v>0</v>
      </c>
      <c r="J30" s="505">
        <f t="shared" si="16"/>
        <v>0</v>
      </c>
      <c r="K30" s="509">
        <f t="shared" si="17"/>
        <v>0</v>
      </c>
      <c r="L30" s="1406"/>
      <c r="M30" s="507">
        <f t="shared" si="18"/>
        <v>0</v>
      </c>
      <c r="N30" s="1406"/>
      <c r="O30" s="508">
        <f t="shared" si="19"/>
        <v>0</v>
      </c>
      <c r="P30" s="1406"/>
      <c r="Q30" s="508">
        <f t="shared" si="20"/>
        <v>0</v>
      </c>
      <c r="R30" s="489"/>
      <c r="S30" s="508">
        <f t="shared" si="21"/>
        <v>0</v>
      </c>
      <c r="T30" s="489"/>
      <c r="U30" s="508">
        <f t="shared" si="22"/>
        <v>0</v>
      </c>
      <c r="V30" s="489"/>
      <c r="W30" s="508">
        <f t="shared" si="23"/>
        <v>0</v>
      </c>
      <c r="X30" s="489"/>
      <c r="Y30" s="508">
        <f t="shared" si="24"/>
        <v>0</v>
      </c>
      <c r="Z30" s="489"/>
      <c r="AA30" s="508">
        <f t="shared" si="25"/>
        <v>0</v>
      </c>
      <c r="AB30" s="489"/>
      <c r="AC30" s="508">
        <f t="shared" si="26"/>
        <v>0</v>
      </c>
      <c r="AD30" s="489"/>
      <c r="AE30" s="508">
        <f t="shared" si="27"/>
        <v>0</v>
      </c>
      <c r="AF30" s="489"/>
      <c r="AG30" s="508">
        <f t="shared" si="28"/>
        <v>0</v>
      </c>
      <c r="AH30" s="489"/>
      <c r="AI30" s="508">
        <f t="shared" si="29"/>
        <v>0</v>
      </c>
      <c r="AJ30" s="214"/>
      <c r="AK30" s="779"/>
      <c r="AP30" s="46"/>
      <c r="AQ30" s="44"/>
      <c r="AR30" s="44"/>
      <c r="AS30" s="44"/>
      <c r="AT30" s="44"/>
      <c r="AU30" s="44"/>
      <c r="AV30" s="44"/>
      <c r="AW30" s="44"/>
      <c r="AX30" s="44"/>
      <c r="AY30" s="44"/>
      <c r="AZ30" s="44"/>
      <c r="BA30" s="44"/>
      <c r="BB30" s="44"/>
      <c r="BC30" s="44"/>
      <c r="BD30" s="44"/>
      <c r="BE30" s="44"/>
      <c r="BF30" s="44"/>
      <c r="BG30" s="44"/>
      <c r="BH30" s="44"/>
      <c r="BI30" s="44"/>
      <c r="BJ30" s="45"/>
    </row>
    <row r="31" spans="2:62" ht="15.75">
      <c r="B31" s="910" t="s">
        <v>1140</v>
      </c>
      <c r="C31" s="491">
        <v>6340</v>
      </c>
      <c r="D31" s="1773"/>
      <c r="E31" s="502">
        <f>IF('02_1_INCOME'!$F$38=0,0,D31/'02_1_INCOME'!$F$38)</f>
        <v>0</v>
      </c>
      <c r="F31" s="501"/>
      <c r="G31" s="502">
        <f>IF('02_1_INCOME'!$F$38=0,0,F31/'02_1_INCOME'!$F$38)</f>
        <v>0</v>
      </c>
      <c r="H31" s="503">
        <f t="shared" si="14"/>
        <v>0</v>
      </c>
      <c r="I31" s="504">
        <f t="shared" si="15"/>
        <v>0</v>
      </c>
      <c r="J31" s="505">
        <f t="shared" si="16"/>
        <v>0</v>
      </c>
      <c r="K31" s="509">
        <f t="shared" si="17"/>
        <v>0</v>
      </c>
      <c r="L31" s="1406"/>
      <c r="M31" s="507">
        <f t="shared" si="18"/>
        <v>0</v>
      </c>
      <c r="N31" s="1406"/>
      <c r="O31" s="508">
        <f t="shared" si="19"/>
        <v>0</v>
      </c>
      <c r="P31" s="1406"/>
      <c r="Q31" s="508">
        <f t="shared" si="20"/>
        <v>0</v>
      </c>
      <c r="R31" s="489"/>
      <c r="S31" s="508">
        <f t="shared" si="21"/>
        <v>0</v>
      </c>
      <c r="T31" s="489"/>
      <c r="U31" s="508">
        <f t="shared" si="22"/>
        <v>0</v>
      </c>
      <c r="V31" s="489"/>
      <c r="W31" s="508">
        <f t="shared" si="23"/>
        <v>0</v>
      </c>
      <c r="X31" s="489"/>
      <c r="Y31" s="508">
        <f t="shared" si="24"/>
        <v>0</v>
      </c>
      <c r="Z31" s="489"/>
      <c r="AA31" s="508">
        <f t="shared" si="25"/>
        <v>0</v>
      </c>
      <c r="AB31" s="489"/>
      <c r="AC31" s="508">
        <f t="shared" si="26"/>
        <v>0</v>
      </c>
      <c r="AD31" s="489"/>
      <c r="AE31" s="508">
        <f t="shared" si="27"/>
        <v>0</v>
      </c>
      <c r="AF31" s="489"/>
      <c r="AG31" s="508">
        <f t="shared" si="28"/>
        <v>0</v>
      </c>
      <c r="AH31" s="489"/>
      <c r="AI31" s="508">
        <f t="shared" si="29"/>
        <v>0</v>
      </c>
      <c r="AJ31" s="214"/>
      <c r="AK31" s="779"/>
      <c r="AP31" s="46"/>
      <c r="AQ31" s="44"/>
      <c r="AR31" s="44"/>
      <c r="AS31" s="44"/>
      <c r="AT31" s="44"/>
      <c r="AU31" s="44"/>
      <c r="AV31" s="44"/>
      <c r="AW31" s="44"/>
      <c r="AX31" s="44"/>
      <c r="AY31" s="44"/>
      <c r="AZ31" s="44"/>
      <c r="BA31" s="44"/>
      <c r="BB31" s="44"/>
      <c r="BC31" s="44"/>
      <c r="BD31" s="44"/>
      <c r="BE31" s="44"/>
      <c r="BF31" s="44"/>
      <c r="BG31" s="44"/>
      <c r="BH31" s="44"/>
      <c r="BI31" s="44"/>
      <c r="BJ31" s="45"/>
    </row>
    <row r="32" spans="2:62" ht="15.75">
      <c r="B32" s="910" t="s">
        <v>1141</v>
      </c>
      <c r="C32" s="491">
        <v>6350</v>
      </c>
      <c r="D32" s="1773"/>
      <c r="E32" s="502">
        <f>IF('02_1_INCOME'!$F$38=0,0,D32/'02_1_INCOME'!$F$38)</f>
        <v>0</v>
      </c>
      <c r="F32" s="501"/>
      <c r="G32" s="502">
        <f>IF('02_1_INCOME'!$F$38=0,0,F32/'02_1_INCOME'!$F$38)</f>
        <v>0</v>
      </c>
      <c r="H32" s="503">
        <f t="shared" si="14"/>
        <v>0</v>
      </c>
      <c r="I32" s="504">
        <f t="shared" si="15"/>
        <v>0</v>
      </c>
      <c r="J32" s="505">
        <f t="shared" si="16"/>
        <v>0</v>
      </c>
      <c r="K32" s="509">
        <f t="shared" si="17"/>
        <v>0</v>
      </c>
      <c r="L32" s="1406"/>
      <c r="M32" s="507">
        <f t="shared" si="18"/>
        <v>0</v>
      </c>
      <c r="N32" s="1406"/>
      <c r="O32" s="508">
        <f t="shared" si="19"/>
        <v>0</v>
      </c>
      <c r="P32" s="1406"/>
      <c r="Q32" s="508">
        <f t="shared" si="20"/>
        <v>0</v>
      </c>
      <c r="R32" s="489"/>
      <c r="S32" s="508">
        <f t="shared" si="21"/>
        <v>0</v>
      </c>
      <c r="T32" s="489"/>
      <c r="U32" s="508">
        <f t="shared" si="22"/>
        <v>0</v>
      </c>
      <c r="V32" s="489"/>
      <c r="W32" s="508">
        <f t="shared" si="23"/>
        <v>0</v>
      </c>
      <c r="X32" s="489"/>
      <c r="Y32" s="508">
        <f t="shared" si="24"/>
        <v>0</v>
      </c>
      <c r="Z32" s="489"/>
      <c r="AA32" s="508">
        <f t="shared" si="25"/>
        <v>0</v>
      </c>
      <c r="AB32" s="489"/>
      <c r="AC32" s="508">
        <f t="shared" si="26"/>
        <v>0</v>
      </c>
      <c r="AD32" s="489"/>
      <c r="AE32" s="508">
        <f t="shared" si="27"/>
        <v>0</v>
      </c>
      <c r="AF32" s="489"/>
      <c r="AG32" s="508">
        <f t="shared" si="28"/>
        <v>0</v>
      </c>
      <c r="AH32" s="489"/>
      <c r="AI32" s="508">
        <f t="shared" si="29"/>
        <v>0</v>
      </c>
      <c r="AJ32" s="214"/>
      <c r="AK32" s="779"/>
      <c r="AP32" s="46"/>
      <c r="AQ32" s="44"/>
      <c r="AR32" s="44"/>
      <c r="AS32" s="44"/>
      <c r="AT32" s="44"/>
      <c r="AU32" s="44"/>
      <c r="AV32" s="44"/>
      <c r="AW32" s="44"/>
      <c r="AX32" s="44"/>
      <c r="AY32" s="44"/>
      <c r="AZ32" s="44"/>
      <c r="BA32" s="44"/>
      <c r="BB32" s="44"/>
      <c r="BC32" s="44"/>
      <c r="BD32" s="44"/>
      <c r="BE32" s="44"/>
      <c r="BF32" s="44"/>
      <c r="BG32" s="44"/>
      <c r="BH32" s="44"/>
      <c r="BI32" s="44"/>
      <c r="BJ32" s="45"/>
    </row>
    <row r="33" spans="2:62" ht="15.75">
      <c r="B33" s="910" t="s">
        <v>1142</v>
      </c>
      <c r="C33" s="491">
        <v>6351</v>
      </c>
      <c r="D33" s="1773"/>
      <c r="E33" s="502">
        <f>IF('02_1_INCOME'!$F$38=0,0,D33/'02_1_INCOME'!$F$38)</f>
        <v>0</v>
      </c>
      <c r="F33" s="501"/>
      <c r="G33" s="502">
        <f>IF('02_1_INCOME'!$F$38=0,0,F33/'02_1_INCOME'!$F$38)</f>
        <v>0</v>
      </c>
      <c r="H33" s="503">
        <f t="shared" si="14"/>
        <v>0</v>
      </c>
      <c r="I33" s="504">
        <f t="shared" si="15"/>
        <v>0</v>
      </c>
      <c r="J33" s="505">
        <f t="shared" si="16"/>
        <v>0</v>
      </c>
      <c r="K33" s="509">
        <f t="shared" si="17"/>
        <v>0</v>
      </c>
      <c r="L33" s="1406"/>
      <c r="M33" s="507">
        <f t="shared" si="18"/>
        <v>0</v>
      </c>
      <c r="N33" s="1406"/>
      <c r="O33" s="508">
        <f t="shared" si="19"/>
        <v>0</v>
      </c>
      <c r="P33" s="1406"/>
      <c r="Q33" s="508">
        <f t="shared" si="20"/>
        <v>0</v>
      </c>
      <c r="R33" s="489"/>
      <c r="S33" s="508">
        <f t="shared" si="21"/>
        <v>0</v>
      </c>
      <c r="T33" s="489"/>
      <c r="U33" s="508">
        <f t="shared" si="22"/>
        <v>0</v>
      </c>
      <c r="V33" s="489"/>
      <c r="W33" s="508">
        <f t="shared" si="23"/>
        <v>0</v>
      </c>
      <c r="X33" s="489"/>
      <c r="Y33" s="508">
        <f t="shared" si="24"/>
        <v>0</v>
      </c>
      <c r="Z33" s="489"/>
      <c r="AA33" s="508">
        <f t="shared" si="25"/>
        <v>0</v>
      </c>
      <c r="AB33" s="489"/>
      <c r="AC33" s="508">
        <f t="shared" si="26"/>
        <v>0</v>
      </c>
      <c r="AD33" s="489"/>
      <c r="AE33" s="508">
        <f t="shared" si="27"/>
        <v>0</v>
      </c>
      <c r="AF33" s="489"/>
      <c r="AG33" s="508">
        <f t="shared" si="28"/>
        <v>0</v>
      </c>
      <c r="AH33" s="489"/>
      <c r="AI33" s="508">
        <f t="shared" si="29"/>
        <v>0</v>
      </c>
      <c r="AJ33" s="214"/>
      <c r="AK33" s="779"/>
      <c r="AP33" s="48"/>
      <c r="AQ33" s="49"/>
      <c r="AR33" s="44"/>
      <c r="AS33" s="44"/>
      <c r="AT33" s="44"/>
      <c r="AU33" s="44"/>
      <c r="AV33" s="44"/>
      <c r="AW33" s="44"/>
      <c r="AX33" s="44"/>
      <c r="AY33" s="44"/>
      <c r="AZ33" s="44"/>
      <c r="BA33" s="44"/>
      <c r="BB33" s="44"/>
      <c r="BC33" s="44"/>
      <c r="BD33" s="44"/>
      <c r="BE33" s="44"/>
      <c r="BF33" s="44"/>
      <c r="BG33" s="44"/>
      <c r="BH33" s="44"/>
      <c r="BI33" s="44"/>
      <c r="BJ33" s="45"/>
    </row>
    <row r="34" spans="2:62" ht="15.75">
      <c r="B34" s="910" t="s">
        <v>1143</v>
      </c>
      <c r="C34" s="491">
        <v>6360</v>
      </c>
      <c r="D34" s="1773"/>
      <c r="E34" s="502">
        <f>IF('02_1_INCOME'!$F$38=0,0,D34/'02_1_INCOME'!$F$38)</f>
        <v>0</v>
      </c>
      <c r="F34" s="501"/>
      <c r="G34" s="502">
        <f>IF('02_1_INCOME'!$F$38=0,0,F34/'02_1_INCOME'!$F$38)</f>
        <v>0</v>
      </c>
      <c r="H34" s="503">
        <f t="shared" si="14"/>
        <v>0</v>
      </c>
      <c r="I34" s="504">
        <f t="shared" si="15"/>
        <v>0</v>
      </c>
      <c r="J34" s="505">
        <f t="shared" si="16"/>
        <v>0</v>
      </c>
      <c r="K34" s="509">
        <f t="shared" si="17"/>
        <v>0</v>
      </c>
      <c r="L34" s="1406"/>
      <c r="M34" s="507">
        <f t="shared" si="18"/>
        <v>0</v>
      </c>
      <c r="N34" s="1406"/>
      <c r="O34" s="508">
        <f t="shared" si="19"/>
        <v>0</v>
      </c>
      <c r="P34" s="1406"/>
      <c r="Q34" s="508">
        <f t="shared" si="20"/>
        <v>0</v>
      </c>
      <c r="R34" s="489"/>
      <c r="S34" s="508">
        <f t="shared" si="21"/>
        <v>0</v>
      </c>
      <c r="T34" s="489"/>
      <c r="U34" s="508">
        <f t="shared" si="22"/>
        <v>0</v>
      </c>
      <c r="V34" s="489"/>
      <c r="W34" s="508">
        <f t="shared" si="23"/>
        <v>0</v>
      </c>
      <c r="X34" s="489"/>
      <c r="Y34" s="508">
        <f t="shared" si="24"/>
        <v>0</v>
      </c>
      <c r="Z34" s="489"/>
      <c r="AA34" s="508">
        <f t="shared" si="25"/>
        <v>0</v>
      </c>
      <c r="AB34" s="489"/>
      <c r="AC34" s="508">
        <f t="shared" si="26"/>
        <v>0</v>
      </c>
      <c r="AD34" s="489"/>
      <c r="AE34" s="508">
        <f t="shared" si="27"/>
        <v>0</v>
      </c>
      <c r="AF34" s="489"/>
      <c r="AG34" s="508">
        <f t="shared" si="28"/>
        <v>0</v>
      </c>
      <c r="AH34" s="489"/>
      <c r="AI34" s="508">
        <f t="shared" si="29"/>
        <v>0</v>
      </c>
      <c r="AJ34" s="214"/>
      <c r="AK34" s="779"/>
      <c r="AP34" s="46"/>
      <c r="AQ34" s="44"/>
      <c r="AR34" s="44"/>
      <c r="AS34" s="44"/>
      <c r="AT34" s="44"/>
      <c r="AU34" s="44"/>
      <c r="AV34" s="44"/>
      <c r="AW34" s="44"/>
      <c r="AX34" s="44"/>
      <c r="AY34" s="44"/>
      <c r="AZ34" s="44"/>
      <c r="BA34" s="44"/>
      <c r="BB34" s="44"/>
      <c r="BC34" s="44"/>
      <c r="BD34" s="44"/>
      <c r="BE34" s="44"/>
      <c r="BF34" s="44"/>
      <c r="BG34" s="44"/>
      <c r="BH34" s="44"/>
      <c r="BI34" s="44"/>
      <c r="BJ34" s="45"/>
    </row>
    <row r="35" spans="2:62" ht="15.75">
      <c r="B35" s="910" t="s">
        <v>1144</v>
      </c>
      <c r="C35" s="491"/>
      <c r="D35" s="1773"/>
      <c r="E35" s="502">
        <f>IF('02_1_INCOME'!$F$38=0,0,D35/'02_1_INCOME'!$F$38)</f>
        <v>0</v>
      </c>
      <c r="F35" s="501"/>
      <c r="G35" s="502">
        <f>IF('02_1_INCOME'!$F$38=0,0,F35/'02_1_INCOME'!$F$38)</f>
        <v>0</v>
      </c>
      <c r="H35" s="503">
        <f t="shared" si="14"/>
        <v>0</v>
      </c>
      <c r="I35" s="504">
        <f t="shared" si="15"/>
        <v>0</v>
      </c>
      <c r="J35" s="505">
        <f t="shared" si="16"/>
        <v>0</v>
      </c>
      <c r="K35" s="509">
        <f t="shared" si="17"/>
        <v>0</v>
      </c>
      <c r="L35" s="1406"/>
      <c r="M35" s="507">
        <f t="shared" si="18"/>
        <v>0</v>
      </c>
      <c r="N35" s="1406"/>
      <c r="O35" s="508">
        <f t="shared" si="19"/>
        <v>0</v>
      </c>
      <c r="P35" s="1406"/>
      <c r="Q35" s="508">
        <f t="shared" si="20"/>
        <v>0</v>
      </c>
      <c r="R35" s="489"/>
      <c r="S35" s="508">
        <f t="shared" si="21"/>
        <v>0</v>
      </c>
      <c r="T35" s="489"/>
      <c r="U35" s="508">
        <f t="shared" si="22"/>
        <v>0</v>
      </c>
      <c r="V35" s="489"/>
      <c r="W35" s="508">
        <f t="shared" si="23"/>
        <v>0</v>
      </c>
      <c r="X35" s="489"/>
      <c r="Y35" s="508">
        <f t="shared" si="24"/>
        <v>0</v>
      </c>
      <c r="Z35" s="489"/>
      <c r="AA35" s="508">
        <f t="shared" si="25"/>
        <v>0</v>
      </c>
      <c r="AB35" s="489"/>
      <c r="AC35" s="508">
        <f t="shared" si="26"/>
        <v>0</v>
      </c>
      <c r="AD35" s="489"/>
      <c r="AE35" s="508">
        <f t="shared" si="27"/>
        <v>0</v>
      </c>
      <c r="AF35" s="489"/>
      <c r="AG35" s="508">
        <f t="shared" si="28"/>
        <v>0</v>
      </c>
      <c r="AH35" s="489"/>
      <c r="AI35" s="508">
        <f t="shared" si="29"/>
        <v>0</v>
      </c>
      <c r="AJ35" s="214"/>
      <c r="AK35" s="779"/>
      <c r="AP35" s="46"/>
      <c r="AQ35" s="44"/>
      <c r="AR35" s="44"/>
      <c r="AS35" s="44"/>
      <c r="AT35" s="44"/>
      <c r="AU35" s="44"/>
      <c r="AV35" s="44"/>
      <c r="AW35" s="44"/>
      <c r="AX35" s="44"/>
      <c r="AY35" s="44"/>
      <c r="AZ35" s="44"/>
      <c r="BA35" s="44"/>
      <c r="BB35" s="44"/>
      <c r="BC35" s="44"/>
      <c r="BD35" s="44"/>
      <c r="BE35" s="44"/>
      <c r="BF35" s="44"/>
      <c r="BG35" s="44"/>
      <c r="BH35" s="44"/>
      <c r="BI35" s="44"/>
      <c r="BJ35" s="45"/>
    </row>
    <row r="36" spans="2:62" ht="15.75">
      <c r="B36" s="910" t="s">
        <v>1145</v>
      </c>
      <c r="C36" s="491">
        <v>6361</v>
      </c>
      <c r="D36" s="1773"/>
      <c r="E36" s="502">
        <f>IF('02_1_INCOME'!$F$38=0,0,D36/'02_1_INCOME'!$F$38)</f>
        <v>0</v>
      </c>
      <c r="F36" s="501"/>
      <c r="G36" s="502">
        <f>IF('02_1_INCOME'!$F$38=0,0,F36/'02_1_INCOME'!$F$38)</f>
        <v>0</v>
      </c>
      <c r="H36" s="503">
        <f t="shared" si="14"/>
        <v>0</v>
      </c>
      <c r="I36" s="504">
        <f>IF(AND(H36&lt;&gt;0, E36&lt;&gt;0),(H36-E36)/E36,0)</f>
        <v>0</v>
      </c>
      <c r="J36" s="505">
        <f t="shared" si="16"/>
        <v>0</v>
      </c>
      <c r="K36" s="509">
        <f>IF(AND(J36&lt;&gt;0, $E36&lt;&gt;0),(J36-$E36)/$E36,0)</f>
        <v>0</v>
      </c>
      <c r="L36" s="1406"/>
      <c r="M36" s="507">
        <f>IF(rng02_Projections_Unit_1&lt;&gt;0, (L36*(1+rng01_OpExRate)^(rng01_FirstYearProforma-rng02_Projections_Year_1))/rng02_Projections_Unit_1,0)</f>
        <v>0</v>
      </c>
      <c r="N36" s="1406"/>
      <c r="O36" s="508">
        <f>IF(rng02_Projections_Unit_2&lt;&gt;0, (N36*(1+rng01_OpExRate)^(rng01_FirstYearProforma-rng02_Projections_Year_2))/rng02_Projections_Unit_2,0)</f>
        <v>0</v>
      </c>
      <c r="P36" s="1406"/>
      <c r="Q36" s="508">
        <f>IF(rng02_Projections_Unit_3&lt;&gt;0, (P36*(1+rng01_OpExRate)^(rng01_FirstYearProforma-rng02_Projections_Year_3))/rng02_Projections_Unit_3,0)</f>
        <v>0</v>
      </c>
      <c r="R36" s="489"/>
      <c r="S36" s="508">
        <f>IF(rng02_Projections_Unit_4&lt;&gt;0, (R36*(1+rng01_OpExRate)^(rng01_FirstYearProforma-rng02_Projections_Year_4))/rng02_Projections_Unit_4,0)</f>
        <v>0</v>
      </c>
      <c r="T36" s="489"/>
      <c r="U36" s="508">
        <f>IF(rng02_Projections_Unit_5&lt;&gt;0, (T36*(1+rng01_OpExRate)^(rng01_FirstYearProforma-rng02_Projections_Year_5))/rng02_Projections_Unit_5,0)</f>
        <v>0</v>
      </c>
      <c r="V36" s="489"/>
      <c r="W36" s="508">
        <f>IF(rng02_Projections_Unit_6&lt;&gt;0, (V36*(1+rng01_OpExRate)^(rng01_FirstYearProforma-rng02_Projections_Year_6))/rng02_Projections_Unit_6,0)</f>
        <v>0</v>
      </c>
      <c r="X36" s="489"/>
      <c r="Y36" s="508">
        <f>IF(rng02_Projections_Unit_7&lt;&gt;0, (X36*(1+rng01_OpExRate)^(rng01_FirstYearProforma-rng02_Projections_Year_7))/rng02_Projections_Unit_7,0)</f>
        <v>0</v>
      </c>
      <c r="Z36" s="489"/>
      <c r="AA36" s="508">
        <f t="shared" si="25"/>
        <v>0</v>
      </c>
      <c r="AB36" s="489"/>
      <c r="AC36" s="508">
        <f t="shared" si="26"/>
        <v>0</v>
      </c>
      <c r="AD36" s="489"/>
      <c r="AE36" s="508">
        <f t="shared" si="27"/>
        <v>0</v>
      </c>
      <c r="AF36" s="489"/>
      <c r="AG36" s="508">
        <f t="shared" si="28"/>
        <v>0</v>
      </c>
      <c r="AH36" s="489"/>
      <c r="AI36" s="508">
        <f t="shared" si="29"/>
        <v>0</v>
      </c>
      <c r="AJ36" s="214"/>
      <c r="AK36" s="779"/>
      <c r="AP36" s="46"/>
      <c r="AQ36" s="44"/>
      <c r="AR36" s="44"/>
      <c r="AS36" s="44"/>
      <c r="AT36" s="44"/>
      <c r="AU36" s="44"/>
      <c r="AV36" s="44"/>
      <c r="AW36" s="44"/>
      <c r="AX36" s="44"/>
      <c r="AY36" s="44"/>
      <c r="AZ36" s="44"/>
      <c r="BA36" s="44"/>
      <c r="BB36" s="44"/>
      <c r="BC36" s="44"/>
      <c r="BD36" s="44"/>
      <c r="BE36" s="44"/>
      <c r="BF36" s="44"/>
      <c r="BG36" s="44"/>
      <c r="BH36" s="44"/>
      <c r="BI36" s="44"/>
      <c r="BJ36" s="45"/>
    </row>
    <row r="37" spans="2:62" ht="15.75">
      <c r="B37" s="910" t="s">
        <v>1146</v>
      </c>
      <c r="C37" s="491">
        <v>6370</v>
      </c>
      <c r="D37" s="1773"/>
      <c r="E37" s="502">
        <f>IF('02_1_INCOME'!$F$38=0,0,D37/'02_1_INCOME'!$F$38)</f>
        <v>0</v>
      </c>
      <c r="F37" s="501"/>
      <c r="G37" s="502">
        <f>IF('02_1_INCOME'!$F$38=0,0,F37/'02_1_INCOME'!$F$38)</f>
        <v>0</v>
      </c>
      <c r="H37" s="503">
        <f t="shared" si="14"/>
        <v>0</v>
      </c>
      <c r="I37" s="504">
        <f>IF(AND(H37&lt;&gt;0, E37&lt;&gt;0),(H37-E37)/E37,0)</f>
        <v>0</v>
      </c>
      <c r="J37" s="505">
        <f t="shared" si="16"/>
        <v>0</v>
      </c>
      <c r="K37" s="509">
        <f>IF(AND(J37&lt;&gt;0, $E37&lt;&gt;0),(J37-$E37)/$E37,0)</f>
        <v>0</v>
      </c>
      <c r="L37" s="1406"/>
      <c r="M37" s="507">
        <f>IF(rng02_Projections_Unit_1&lt;&gt;0, (L37*(1+rng01_OpExRate)^(rng01_FirstYearProforma-rng02_Projections_Year_1))/rng02_Projections_Unit_1,0)</f>
        <v>0</v>
      </c>
      <c r="N37" s="1406"/>
      <c r="O37" s="508">
        <f>IF(rng02_Projections_Unit_2&lt;&gt;0, (N37*(1+rng01_OpExRate)^(rng01_FirstYearProforma-rng02_Projections_Year_2))/rng02_Projections_Unit_2,0)</f>
        <v>0</v>
      </c>
      <c r="P37" s="1406"/>
      <c r="Q37" s="508">
        <f>IF(rng02_Projections_Unit_3&lt;&gt;0, (P37*(1+rng01_OpExRate)^(rng01_FirstYearProforma-rng02_Projections_Year_3))/rng02_Projections_Unit_3,0)</f>
        <v>0</v>
      </c>
      <c r="R37" s="489"/>
      <c r="S37" s="508">
        <f>IF(rng02_Projections_Unit_4&lt;&gt;0, (R37*(1+rng01_OpExRate)^(rng01_FirstYearProforma-rng02_Projections_Year_4))/rng02_Projections_Unit_4,0)</f>
        <v>0</v>
      </c>
      <c r="T37" s="489"/>
      <c r="U37" s="508">
        <f>IF(rng02_Projections_Unit_5&lt;&gt;0, (T37*(1+rng01_OpExRate)^(rng01_FirstYearProforma-rng02_Projections_Year_5))/rng02_Projections_Unit_5,0)</f>
        <v>0</v>
      </c>
      <c r="V37" s="489"/>
      <c r="W37" s="508">
        <f>IF(rng02_Projections_Unit_6&lt;&gt;0, (V37*(1+rng01_OpExRate)^(rng01_FirstYearProforma-rng02_Projections_Year_6))/rng02_Projections_Unit_6,0)</f>
        <v>0</v>
      </c>
      <c r="X37" s="489"/>
      <c r="Y37" s="508">
        <f>IF(rng02_Projections_Unit_7&lt;&gt;0, (X37*(1+rng01_OpExRate)^(rng01_FirstYearProforma-rng02_Projections_Year_7))/rng02_Projections_Unit_7,0)</f>
        <v>0</v>
      </c>
      <c r="Z37" s="489"/>
      <c r="AA37" s="508">
        <f t="shared" si="25"/>
        <v>0</v>
      </c>
      <c r="AB37" s="489"/>
      <c r="AC37" s="508">
        <f t="shared" si="26"/>
        <v>0</v>
      </c>
      <c r="AD37" s="489"/>
      <c r="AE37" s="508">
        <f t="shared" si="27"/>
        <v>0</v>
      </c>
      <c r="AF37" s="489"/>
      <c r="AG37" s="508">
        <f t="shared" si="28"/>
        <v>0</v>
      </c>
      <c r="AH37" s="489"/>
      <c r="AI37" s="508">
        <f t="shared" si="29"/>
        <v>0</v>
      </c>
      <c r="AJ37" s="214"/>
      <c r="AK37" s="779"/>
      <c r="AP37" s="46"/>
      <c r="AQ37" s="44"/>
      <c r="AR37" s="44"/>
      <c r="AS37" s="44"/>
      <c r="AT37" s="44"/>
      <c r="AU37" s="44"/>
      <c r="AV37" s="44"/>
      <c r="AW37" s="44"/>
      <c r="AX37" s="44"/>
      <c r="AY37" s="44"/>
      <c r="AZ37" s="44"/>
      <c r="BA37" s="44"/>
      <c r="BB37" s="44"/>
      <c r="BC37" s="44"/>
      <c r="BD37" s="44"/>
      <c r="BE37" s="44"/>
      <c r="BF37" s="44"/>
      <c r="BG37" s="44"/>
      <c r="BH37" s="44"/>
      <c r="BI37" s="44"/>
      <c r="BJ37" s="45"/>
    </row>
    <row r="38" spans="2:62" ht="15.75">
      <c r="B38" s="910" t="s">
        <v>1147</v>
      </c>
      <c r="C38" s="491">
        <v>6390</v>
      </c>
      <c r="D38" s="501"/>
      <c r="E38" s="502">
        <f>IF('02_1_INCOME'!$F$38=0,0,D38/'02_1_INCOME'!$F$38)</f>
        <v>0</v>
      </c>
      <c r="F38" s="501"/>
      <c r="G38" s="502">
        <f>IF('02_1_INCOME'!$F$38=0,0,F38/'02_1_INCOME'!$F$38)</f>
        <v>0</v>
      </c>
      <c r="H38" s="503">
        <f t="shared" si="14"/>
        <v>0</v>
      </c>
      <c r="I38" s="504">
        <f t="shared" si="15"/>
        <v>0</v>
      </c>
      <c r="J38" s="505">
        <f t="shared" si="16"/>
        <v>0</v>
      </c>
      <c r="K38" s="509">
        <f t="shared" si="17"/>
        <v>0</v>
      </c>
      <c r="L38" s="1406"/>
      <c r="M38" s="507">
        <f t="shared" si="18"/>
        <v>0</v>
      </c>
      <c r="N38" s="1406"/>
      <c r="O38" s="508">
        <f t="shared" si="19"/>
        <v>0</v>
      </c>
      <c r="P38" s="1406"/>
      <c r="Q38" s="508">
        <f t="shared" si="20"/>
        <v>0</v>
      </c>
      <c r="R38" s="489"/>
      <c r="S38" s="508">
        <f t="shared" si="21"/>
        <v>0</v>
      </c>
      <c r="T38" s="489"/>
      <c r="U38" s="508">
        <f t="shared" si="22"/>
        <v>0</v>
      </c>
      <c r="V38" s="489"/>
      <c r="W38" s="508">
        <f t="shared" si="23"/>
        <v>0</v>
      </c>
      <c r="X38" s="489"/>
      <c r="Y38" s="508">
        <f t="shared" si="24"/>
        <v>0</v>
      </c>
      <c r="Z38" s="489"/>
      <c r="AA38" s="508">
        <f t="shared" si="25"/>
        <v>0</v>
      </c>
      <c r="AB38" s="489"/>
      <c r="AC38" s="508">
        <f t="shared" si="26"/>
        <v>0</v>
      </c>
      <c r="AD38" s="489"/>
      <c r="AE38" s="508">
        <f t="shared" si="27"/>
        <v>0</v>
      </c>
      <c r="AF38" s="489"/>
      <c r="AG38" s="508">
        <f t="shared" si="28"/>
        <v>0</v>
      </c>
      <c r="AH38" s="489"/>
      <c r="AI38" s="508">
        <f t="shared" si="29"/>
        <v>0</v>
      </c>
      <c r="AJ38" s="214"/>
      <c r="AK38" s="779"/>
      <c r="AP38" s="46"/>
      <c r="AQ38" s="44"/>
      <c r="AR38" s="44"/>
      <c r="AS38" s="44"/>
      <c r="AT38" s="44"/>
      <c r="AU38" s="44"/>
      <c r="AV38" s="44"/>
      <c r="AW38" s="44"/>
      <c r="AX38" s="44"/>
      <c r="AY38" s="44"/>
      <c r="AZ38" s="44"/>
      <c r="BA38" s="44"/>
      <c r="BB38" s="44"/>
      <c r="BC38" s="44"/>
      <c r="BD38" s="44"/>
      <c r="BE38" s="44"/>
      <c r="BF38" s="44"/>
      <c r="BG38" s="44"/>
      <c r="BH38" s="44"/>
      <c r="BI38" s="44"/>
      <c r="BJ38" s="45"/>
    </row>
    <row r="39" spans="2:62" ht="15.75">
      <c r="B39" s="914" t="s">
        <v>1148</v>
      </c>
      <c r="C39" s="510"/>
      <c r="D39" s="871">
        <f>SUM(D20:D38)</f>
        <v>0</v>
      </c>
      <c r="E39" s="532">
        <f>IF('02_1_INCOME'!$F$38=0,0,D39/'02_1_INCOME'!$F$38)</f>
        <v>0</v>
      </c>
      <c r="F39" s="531">
        <f>SUM(F20:F38)</f>
        <v>0</v>
      </c>
      <c r="G39" s="532">
        <f>IF('02_1_INCOME'!$F$38=0,0,F39/'02_1_INCOME'!$F$38)</f>
        <v>0</v>
      </c>
      <c r="H39" s="511">
        <f t="shared" si="14"/>
        <v>0</v>
      </c>
      <c r="I39" s="512">
        <f t="shared" si="15"/>
        <v>0</v>
      </c>
      <c r="J39" s="513">
        <f t="shared" si="16"/>
        <v>0</v>
      </c>
      <c r="K39" s="514">
        <f t="shared" si="17"/>
        <v>0</v>
      </c>
      <c r="L39" s="515">
        <f>SUM(L20:L38)</f>
        <v>0</v>
      </c>
      <c r="M39" s="516">
        <f t="shared" si="18"/>
        <v>0</v>
      </c>
      <c r="N39" s="515">
        <f>SUM(N20:N38)</f>
        <v>0</v>
      </c>
      <c r="O39" s="517">
        <f t="shared" si="19"/>
        <v>0</v>
      </c>
      <c r="P39" s="515">
        <f>SUM(P20:P38)</f>
        <v>0</v>
      </c>
      <c r="Q39" s="517">
        <f t="shared" si="20"/>
        <v>0</v>
      </c>
      <c r="R39" s="515">
        <f>SUM(R20:R38)</f>
        <v>0</v>
      </c>
      <c r="S39" s="517">
        <f t="shared" si="21"/>
        <v>0</v>
      </c>
      <c r="T39" s="515">
        <f>SUM(T20:T38)</f>
        <v>0</v>
      </c>
      <c r="U39" s="517">
        <f t="shared" si="22"/>
        <v>0</v>
      </c>
      <c r="V39" s="515">
        <f>SUM(V20:V38)</f>
        <v>0</v>
      </c>
      <c r="W39" s="517">
        <f t="shared" si="23"/>
        <v>0</v>
      </c>
      <c r="X39" s="515">
        <f>SUM(X20:X38)</f>
        <v>0</v>
      </c>
      <c r="Y39" s="517">
        <f t="shared" si="24"/>
        <v>0</v>
      </c>
      <c r="Z39" s="515">
        <f>SUM(Z20:Z38)</f>
        <v>0</v>
      </c>
      <c r="AA39" s="517">
        <f t="shared" si="25"/>
        <v>0</v>
      </c>
      <c r="AB39" s="515">
        <f>SUM(AB20:AB38)</f>
        <v>0</v>
      </c>
      <c r="AC39" s="517">
        <f t="shared" si="26"/>
        <v>0</v>
      </c>
      <c r="AD39" s="515">
        <f>SUM(AD20:AD38)</f>
        <v>0</v>
      </c>
      <c r="AE39" s="517">
        <f t="shared" si="27"/>
        <v>0</v>
      </c>
      <c r="AF39" s="515">
        <f>SUM(AF20:AF38)</f>
        <v>0</v>
      </c>
      <c r="AG39" s="517">
        <f t="shared" si="28"/>
        <v>0</v>
      </c>
      <c r="AH39" s="515">
        <f>SUM(AH20:AH38)</f>
        <v>0</v>
      </c>
      <c r="AI39" s="517">
        <f t="shared" si="29"/>
        <v>0</v>
      </c>
      <c r="AJ39" s="907"/>
      <c r="AK39" s="779"/>
      <c r="AP39" s="47"/>
      <c r="AQ39" s="44"/>
      <c r="AR39" s="44"/>
      <c r="AS39" s="44"/>
      <c r="AT39" s="44"/>
      <c r="AU39" s="44"/>
      <c r="AV39" s="44"/>
      <c r="AW39" s="44"/>
      <c r="AX39" s="44"/>
      <c r="AY39" s="44"/>
      <c r="AZ39" s="44"/>
      <c r="BA39" s="44"/>
      <c r="BB39" s="44"/>
      <c r="BC39" s="44"/>
      <c r="BD39" s="44"/>
      <c r="BE39" s="44"/>
      <c r="BF39" s="44"/>
      <c r="BG39" s="44"/>
      <c r="BH39" s="44"/>
      <c r="BI39" s="44"/>
      <c r="BJ39" s="45"/>
    </row>
    <row r="40" spans="2:62" ht="15.75">
      <c r="B40" s="913" t="s">
        <v>1149</v>
      </c>
      <c r="C40" s="491"/>
      <c r="D40" s="518"/>
      <c r="E40" s="493"/>
      <c r="F40" s="492"/>
      <c r="G40" s="493"/>
      <c r="H40" s="519"/>
      <c r="I40" s="520"/>
      <c r="J40" s="521"/>
      <c r="K40" s="522"/>
      <c r="L40" s="523"/>
      <c r="M40" s="524"/>
      <c r="N40" s="523"/>
      <c r="O40" s="525"/>
      <c r="P40" s="523"/>
      <c r="Q40" s="525"/>
      <c r="R40" s="523"/>
      <c r="S40" s="525"/>
      <c r="T40" s="523"/>
      <c r="U40" s="525"/>
      <c r="V40" s="523"/>
      <c r="W40" s="525"/>
      <c r="X40" s="523"/>
      <c r="Y40" s="525"/>
      <c r="Z40" s="523"/>
      <c r="AA40" s="525"/>
      <c r="AB40" s="523"/>
      <c r="AC40" s="525"/>
      <c r="AD40" s="523"/>
      <c r="AE40" s="525"/>
      <c r="AF40" s="523"/>
      <c r="AG40" s="525"/>
      <c r="AH40" s="523"/>
      <c r="AI40" s="525"/>
      <c r="AJ40" s="218"/>
      <c r="AK40" s="780"/>
      <c r="AP40" s="46"/>
      <c r="AQ40" s="44"/>
      <c r="AR40" s="44"/>
      <c r="AS40" s="44"/>
      <c r="AT40" s="44"/>
      <c r="AU40" s="44"/>
      <c r="AV40" s="44"/>
      <c r="AW40" s="44"/>
      <c r="AX40" s="44"/>
      <c r="AY40" s="44"/>
      <c r="AZ40" s="44"/>
      <c r="BA40" s="44"/>
      <c r="BB40" s="44"/>
      <c r="BC40" s="44"/>
      <c r="BD40" s="44"/>
      <c r="BE40" s="44"/>
      <c r="BF40" s="44"/>
      <c r="BG40" s="44"/>
      <c r="BH40" s="44"/>
      <c r="BI40" s="44"/>
      <c r="BJ40" s="45"/>
    </row>
    <row r="41" spans="2:62" ht="15.75">
      <c r="B41" s="910" t="s">
        <v>1150</v>
      </c>
      <c r="C41" s="491">
        <v>6420</v>
      </c>
      <c r="D41" s="501"/>
      <c r="E41" s="502">
        <f>IF('02_1_INCOME'!$F$38=0,0,D41/'02_1_INCOME'!$F$38)</f>
        <v>0</v>
      </c>
      <c r="F41" s="501"/>
      <c r="G41" s="502">
        <f>IF('02_1_INCOME'!$F$38=0,0,F41/'02_1_INCOME'!$F$38)</f>
        <v>0</v>
      </c>
      <c r="H41" s="503">
        <f t="shared" ref="H41:H47" si="30">IFERROR(AVERAGEIFS($L41:$AJ41,$L$6:$AJ$6,"Comparable",$L41:$AJ41, "&gt;0"),0)</f>
        <v>0</v>
      </c>
      <c r="I41" s="504">
        <f t="shared" ref="I41:I47" si="31">IF(AND(H41&lt;&gt;0, E41&lt;&gt;0),(H41-E41)/E41,0)</f>
        <v>0</v>
      </c>
      <c r="J41" s="505">
        <f t="shared" ref="J41:J47" si="32">IFERROR(AVERAGEIFS($L41:$AJ41,$L$6:$AJ$6,"Historical", $L41:$AJ41,"&gt;0"),0)</f>
        <v>0</v>
      </c>
      <c r="K41" s="509">
        <f t="shared" ref="K41:K47" si="33">IF(AND(J41&lt;&gt;0, $E41&lt;&gt;0),(J41-$E41)/$E41,0)</f>
        <v>0</v>
      </c>
      <c r="L41" s="1406"/>
      <c r="M41" s="507">
        <f t="shared" ref="M41:M47" si="34">IF(rng02_Projections_Unit_1&lt;&gt;0, (L41*(1+rng01_OpExRate)^(rng01_FirstYearProforma-rng02_Projections_Year_1))/rng02_Projections_Unit_1,0)</f>
        <v>0</v>
      </c>
      <c r="N41" s="1406"/>
      <c r="O41" s="508">
        <f t="shared" ref="O41:O47" si="35">IF(rng02_Projections_Unit_2&lt;&gt;0, (N41*(1+rng01_OpExRate)^(rng01_FirstYearProforma-rng02_Projections_Year_2))/rng02_Projections_Unit_2,0)</f>
        <v>0</v>
      </c>
      <c r="P41" s="1406"/>
      <c r="Q41" s="508">
        <f t="shared" ref="Q41:Q47" si="36">IF(rng02_Projections_Unit_3&lt;&gt;0, (P41*(1+rng01_OpExRate)^(rng01_FirstYearProforma-rng02_Projections_Year_3))/rng02_Projections_Unit_3,0)</f>
        <v>0</v>
      </c>
      <c r="R41" s="489"/>
      <c r="S41" s="508">
        <f t="shared" ref="S41:S47" si="37">IF(rng02_Projections_Unit_4&lt;&gt;0, (R41*(1+rng01_OpExRate)^(rng01_FirstYearProforma-rng02_Projections_Year_4))/rng02_Projections_Unit_4,0)</f>
        <v>0</v>
      </c>
      <c r="T41" s="489"/>
      <c r="U41" s="508">
        <f t="shared" ref="U41:U47" si="38">IF(rng02_Projections_Unit_5&lt;&gt;0, (T41*(1+rng01_OpExRate)^(rng01_FirstYearProforma-rng02_Projections_Year_5))/rng02_Projections_Unit_5,0)</f>
        <v>0</v>
      </c>
      <c r="V41" s="489"/>
      <c r="W41" s="508">
        <f t="shared" ref="W41:W47" si="39">IF(rng02_Projections_Unit_6&lt;&gt;0, (V41*(1+rng01_OpExRate)^(rng01_FirstYearProforma-rng02_Projections_Year_6))/rng02_Projections_Unit_6,0)</f>
        <v>0</v>
      </c>
      <c r="X41" s="489"/>
      <c r="Y41" s="508">
        <f t="shared" ref="Y41:Y47" si="40">IF(rng02_Projections_Unit_7&lt;&gt;0, (X41*(1+rng01_OpExRate)^(rng01_FirstYearProforma-rng02_Projections_Year_7))/rng02_Projections_Unit_7,0)</f>
        <v>0</v>
      </c>
      <c r="Z41" s="489"/>
      <c r="AA41" s="508">
        <f t="shared" ref="AA41:AA47" si="41">IF(rng02_Projections_Unit_8&lt;&gt;0, (Z41*(1+rng01_OpExRate)^(rng01_FirstYearProforma-rng02_Projections_Year_8))/rng02_Projections_Unit_8,0)</f>
        <v>0</v>
      </c>
      <c r="AB41" s="489"/>
      <c r="AC41" s="508">
        <f t="shared" ref="AC41:AC47" si="42">IF(rng02_Projections_Unit_9&lt;&gt;0, (AB41*(1+rng01_OpExRate)^(rng01_FirstYearProforma-rng02_Projections_Year_9))/rng02_Projections_Unit_9,0)</f>
        <v>0</v>
      </c>
      <c r="AD41" s="489"/>
      <c r="AE41" s="508">
        <f t="shared" ref="AE41:AE47" si="43">IF(rng02_Projections_Unit_10&lt;&gt;0, (AD41*(1+rng01_OpExRate)^(rng01_FirstYearProforma-rng02_Projections_Year_10))/rng02_Projections_Unit_10,0)</f>
        <v>0</v>
      </c>
      <c r="AF41" s="489"/>
      <c r="AG41" s="508">
        <f t="shared" ref="AG41:AG47" si="44">IF(rng02_Projections_Unit_10&lt;&gt;0, (AF41*(1+rng01_OpExRate)^(rng01_FirstYearProforma-rng02_Projections_Year_10))/rng02_Projections_Unit_10,0)</f>
        <v>0</v>
      </c>
      <c r="AH41" s="489"/>
      <c r="AI41" s="508">
        <f t="shared" ref="AI41:AI47" si="45">IF(rng02_Projections_Unit_10&lt;&gt;0, (AH41*(1+rng01_OpExRate)^(rng01_FirstYearProforma-rng02_Projections_Year_10))/rng02_Projections_Unit_10,0)</f>
        <v>0</v>
      </c>
      <c r="AJ41" s="214"/>
      <c r="AK41" s="779"/>
      <c r="AP41" s="46"/>
      <c r="AQ41" s="44"/>
      <c r="AR41" s="44"/>
      <c r="AS41" s="44"/>
      <c r="AT41" s="44"/>
      <c r="AU41" s="44"/>
      <c r="AV41" s="44"/>
      <c r="AW41" s="44"/>
      <c r="AX41" s="44"/>
      <c r="AY41" s="44"/>
      <c r="AZ41" s="44"/>
      <c r="BA41" s="44"/>
      <c r="BB41" s="44"/>
      <c r="BC41" s="44"/>
      <c r="BD41" s="44"/>
      <c r="BE41" s="44"/>
      <c r="BF41" s="44"/>
      <c r="BG41" s="44"/>
      <c r="BH41" s="44"/>
      <c r="BI41" s="44"/>
      <c r="BJ41" s="45"/>
    </row>
    <row r="42" spans="2:62" ht="15.75">
      <c r="B42" s="910" t="s">
        <v>1151</v>
      </c>
      <c r="C42" s="491">
        <v>6450</v>
      </c>
      <c r="D42" s="501"/>
      <c r="E42" s="502">
        <f>IF('02_1_INCOME'!$F$38=0,0,D42/'02_1_INCOME'!$F$38)</f>
        <v>0</v>
      </c>
      <c r="F42" s="501"/>
      <c r="G42" s="502">
        <f>IF('02_1_INCOME'!$F$38=0,0,F42/'02_1_INCOME'!$F$38)</f>
        <v>0</v>
      </c>
      <c r="H42" s="503">
        <f t="shared" si="30"/>
        <v>0</v>
      </c>
      <c r="I42" s="504">
        <f t="shared" si="31"/>
        <v>0</v>
      </c>
      <c r="J42" s="505">
        <f t="shared" si="32"/>
        <v>0</v>
      </c>
      <c r="K42" s="509">
        <f t="shared" si="33"/>
        <v>0</v>
      </c>
      <c r="L42" s="1406"/>
      <c r="M42" s="507">
        <f t="shared" si="34"/>
        <v>0</v>
      </c>
      <c r="N42" s="1406"/>
      <c r="O42" s="508">
        <f t="shared" si="35"/>
        <v>0</v>
      </c>
      <c r="P42" s="1406"/>
      <c r="Q42" s="508">
        <f t="shared" si="36"/>
        <v>0</v>
      </c>
      <c r="R42" s="489"/>
      <c r="S42" s="508">
        <f t="shared" si="37"/>
        <v>0</v>
      </c>
      <c r="T42" s="489"/>
      <c r="U42" s="508">
        <f t="shared" si="38"/>
        <v>0</v>
      </c>
      <c r="V42" s="489"/>
      <c r="W42" s="508">
        <f t="shared" si="39"/>
        <v>0</v>
      </c>
      <c r="X42" s="489"/>
      <c r="Y42" s="508">
        <f t="shared" si="40"/>
        <v>0</v>
      </c>
      <c r="Z42" s="489"/>
      <c r="AA42" s="508">
        <f t="shared" si="41"/>
        <v>0</v>
      </c>
      <c r="AB42" s="489"/>
      <c r="AC42" s="508">
        <f t="shared" si="42"/>
        <v>0</v>
      </c>
      <c r="AD42" s="489"/>
      <c r="AE42" s="508">
        <f t="shared" si="43"/>
        <v>0</v>
      </c>
      <c r="AF42" s="489"/>
      <c r="AG42" s="508">
        <f t="shared" si="44"/>
        <v>0</v>
      </c>
      <c r="AH42" s="489"/>
      <c r="AI42" s="508">
        <f t="shared" si="45"/>
        <v>0</v>
      </c>
      <c r="AJ42" s="214"/>
      <c r="AK42" s="779"/>
      <c r="AP42" s="46"/>
      <c r="AQ42" s="44"/>
      <c r="AR42" s="44"/>
      <c r="AS42" s="44"/>
      <c r="AT42" s="44"/>
      <c r="AU42" s="44"/>
      <c r="AV42" s="44"/>
      <c r="AW42" s="44"/>
      <c r="AX42" s="44"/>
      <c r="AY42" s="44"/>
      <c r="AZ42" s="44"/>
      <c r="BA42" s="44"/>
      <c r="BB42" s="44"/>
      <c r="BC42" s="44"/>
      <c r="BD42" s="44"/>
      <c r="BE42" s="44"/>
      <c r="BF42" s="44"/>
      <c r="BG42" s="44"/>
      <c r="BH42" s="44"/>
      <c r="BI42" s="44"/>
      <c r="BJ42" s="45"/>
    </row>
    <row r="43" spans="2:62" ht="15.75">
      <c r="B43" s="910" t="s">
        <v>1152</v>
      </c>
      <c r="C43" s="491">
        <v>6451</v>
      </c>
      <c r="D43" s="501"/>
      <c r="E43" s="502">
        <f>IF('02_1_INCOME'!$F$38=0,0,D43/'02_1_INCOME'!$F$38)</f>
        <v>0</v>
      </c>
      <c r="F43" s="501"/>
      <c r="G43" s="502">
        <f>IF('02_1_INCOME'!$F$38=0,0,F43/'02_1_INCOME'!$F$38)</f>
        <v>0</v>
      </c>
      <c r="H43" s="503">
        <f t="shared" si="30"/>
        <v>0</v>
      </c>
      <c r="I43" s="504">
        <f t="shared" si="31"/>
        <v>0</v>
      </c>
      <c r="J43" s="505">
        <f t="shared" si="32"/>
        <v>0</v>
      </c>
      <c r="K43" s="509">
        <f t="shared" si="33"/>
        <v>0</v>
      </c>
      <c r="L43" s="1406"/>
      <c r="M43" s="507">
        <f t="shared" si="34"/>
        <v>0</v>
      </c>
      <c r="N43" s="1406"/>
      <c r="O43" s="508">
        <f t="shared" si="35"/>
        <v>0</v>
      </c>
      <c r="P43" s="1406"/>
      <c r="Q43" s="508">
        <f t="shared" si="36"/>
        <v>0</v>
      </c>
      <c r="R43" s="489"/>
      <c r="S43" s="508">
        <f t="shared" si="37"/>
        <v>0</v>
      </c>
      <c r="T43" s="489"/>
      <c r="U43" s="508">
        <f t="shared" si="38"/>
        <v>0</v>
      </c>
      <c r="V43" s="489"/>
      <c r="W43" s="508">
        <f t="shared" si="39"/>
        <v>0</v>
      </c>
      <c r="X43" s="489"/>
      <c r="Y43" s="508">
        <f t="shared" si="40"/>
        <v>0</v>
      </c>
      <c r="Z43" s="489"/>
      <c r="AA43" s="508">
        <f t="shared" si="41"/>
        <v>0</v>
      </c>
      <c r="AB43" s="489"/>
      <c r="AC43" s="508">
        <f t="shared" si="42"/>
        <v>0</v>
      </c>
      <c r="AD43" s="489"/>
      <c r="AE43" s="508">
        <f t="shared" si="43"/>
        <v>0</v>
      </c>
      <c r="AF43" s="489"/>
      <c r="AG43" s="508">
        <f t="shared" si="44"/>
        <v>0</v>
      </c>
      <c r="AH43" s="489"/>
      <c r="AI43" s="508">
        <f t="shared" si="45"/>
        <v>0</v>
      </c>
      <c r="AJ43" s="214"/>
      <c r="AK43" s="779"/>
      <c r="AP43" s="46"/>
      <c r="AQ43" s="44"/>
      <c r="AR43" s="44"/>
      <c r="AS43" s="44"/>
      <c r="AT43" s="44"/>
      <c r="AU43" s="44"/>
      <c r="AV43" s="44"/>
      <c r="AW43" s="44"/>
      <c r="AX43" s="44"/>
      <c r="AY43" s="44"/>
      <c r="AZ43" s="44"/>
      <c r="BA43" s="44"/>
      <c r="BB43" s="44"/>
      <c r="BC43" s="44"/>
      <c r="BD43" s="44"/>
      <c r="BE43" s="44"/>
      <c r="BF43" s="44"/>
      <c r="BG43" s="44"/>
      <c r="BH43" s="44"/>
      <c r="BI43" s="44"/>
      <c r="BJ43" s="45"/>
    </row>
    <row r="44" spans="2:62" ht="15.75">
      <c r="B44" s="910" t="s">
        <v>1153</v>
      </c>
      <c r="C44" s="491">
        <v>6452</v>
      </c>
      <c r="D44" s="501"/>
      <c r="E44" s="502">
        <f>IF('02_1_INCOME'!$F$38=0,0,D44/'02_1_INCOME'!$F$38)</f>
        <v>0</v>
      </c>
      <c r="F44" s="501"/>
      <c r="G44" s="502">
        <f>IF('02_1_INCOME'!$F$38=0,0,F44/'02_1_INCOME'!$F$38)</f>
        <v>0</v>
      </c>
      <c r="H44" s="503">
        <f t="shared" si="30"/>
        <v>0</v>
      </c>
      <c r="I44" s="504">
        <f t="shared" si="31"/>
        <v>0</v>
      </c>
      <c r="J44" s="505">
        <f t="shared" si="32"/>
        <v>0</v>
      </c>
      <c r="K44" s="509">
        <f t="shared" si="33"/>
        <v>0</v>
      </c>
      <c r="L44" s="1406"/>
      <c r="M44" s="507">
        <f t="shared" si="34"/>
        <v>0</v>
      </c>
      <c r="N44" s="1406"/>
      <c r="O44" s="508">
        <f t="shared" si="35"/>
        <v>0</v>
      </c>
      <c r="P44" s="1406"/>
      <c r="Q44" s="508">
        <f t="shared" si="36"/>
        <v>0</v>
      </c>
      <c r="R44" s="489"/>
      <c r="S44" s="508">
        <f t="shared" si="37"/>
        <v>0</v>
      </c>
      <c r="T44" s="489"/>
      <c r="U44" s="508">
        <f t="shared" si="38"/>
        <v>0</v>
      </c>
      <c r="V44" s="489"/>
      <c r="W44" s="508">
        <f t="shared" si="39"/>
        <v>0</v>
      </c>
      <c r="X44" s="489"/>
      <c r="Y44" s="508">
        <f t="shared" si="40"/>
        <v>0</v>
      </c>
      <c r="Z44" s="489"/>
      <c r="AA44" s="508">
        <f t="shared" si="41"/>
        <v>0</v>
      </c>
      <c r="AB44" s="489"/>
      <c r="AC44" s="508">
        <f t="shared" si="42"/>
        <v>0</v>
      </c>
      <c r="AD44" s="489"/>
      <c r="AE44" s="508">
        <f t="shared" si="43"/>
        <v>0</v>
      </c>
      <c r="AF44" s="489"/>
      <c r="AG44" s="508">
        <f t="shared" si="44"/>
        <v>0</v>
      </c>
      <c r="AH44" s="489"/>
      <c r="AI44" s="508">
        <f t="shared" si="45"/>
        <v>0</v>
      </c>
      <c r="AJ44" s="214"/>
      <c r="AK44" s="779"/>
      <c r="AP44" s="46"/>
      <c r="AQ44" s="44"/>
      <c r="AR44" s="44"/>
      <c r="AS44" s="44"/>
      <c r="AT44" s="44"/>
      <c r="AU44" s="44"/>
      <c r="AV44" s="44"/>
      <c r="AW44" s="44"/>
      <c r="AX44" s="44"/>
      <c r="AY44" s="44"/>
      <c r="AZ44" s="44"/>
      <c r="BA44" s="44"/>
      <c r="BB44" s="44"/>
      <c r="BC44" s="44"/>
      <c r="BD44" s="44"/>
      <c r="BE44" s="44"/>
      <c r="BF44" s="44"/>
      <c r="BG44" s="44"/>
      <c r="BH44" s="44"/>
      <c r="BI44" s="44"/>
      <c r="BJ44" s="45"/>
    </row>
    <row r="45" spans="2:62" ht="15.75">
      <c r="B45" s="910" t="s">
        <v>1154</v>
      </c>
      <c r="C45" s="491">
        <v>6453</v>
      </c>
      <c r="D45" s="501"/>
      <c r="E45" s="502">
        <f>IF('02_1_INCOME'!$F$38=0,0,D45/'02_1_INCOME'!$F$38)</f>
        <v>0</v>
      </c>
      <c r="F45" s="501"/>
      <c r="G45" s="502">
        <f>IF('02_1_INCOME'!$F$38=0,0,F45/'02_1_INCOME'!$F$38)</f>
        <v>0</v>
      </c>
      <c r="H45" s="503">
        <f t="shared" si="30"/>
        <v>0</v>
      </c>
      <c r="I45" s="504">
        <f t="shared" si="31"/>
        <v>0</v>
      </c>
      <c r="J45" s="505">
        <f t="shared" si="32"/>
        <v>0</v>
      </c>
      <c r="K45" s="509">
        <f t="shared" si="33"/>
        <v>0</v>
      </c>
      <c r="L45" s="1406"/>
      <c r="M45" s="507">
        <f t="shared" si="34"/>
        <v>0</v>
      </c>
      <c r="N45" s="1406"/>
      <c r="O45" s="508">
        <f t="shared" si="35"/>
        <v>0</v>
      </c>
      <c r="P45" s="1406"/>
      <c r="Q45" s="508">
        <f t="shared" si="36"/>
        <v>0</v>
      </c>
      <c r="R45" s="489"/>
      <c r="S45" s="508">
        <f t="shared" si="37"/>
        <v>0</v>
      </c>
      <c r="T45" s="489"/>
      <c r="U45" s="508">
        <f t="shared" si="38"/>
        <v>0</v>
      </c>
      <c r="V45" s="489"/>
      <c r="W45" s="508">
        <f t="shared" si="39"/>
        <v>0</v>
      </c>
      <c r="X45" s="489"/>
      <c r="Y45" s="508">
        <f>IF(rng02_Projections_Unit_7&lt;&gt;0, (X45*(1+rng01_OpExRate)^(rng01_FirstYearProforma-rng02_Projections_Year_7))/rng02_Projections_Unit_7,0)</f>
        <v>0</v>
      </c>
      <c r="Z45" s="489"/>
      <c r="AA45" s="508">
        <f t="shared" si="41"/>
        <v>0</v>
      </c>
      <c r="AB45" s="489"/>
      <c r="AC45" s="508">
        <f t="shared" si="42"/>
        <v>0</v>
      </c>
      <c r="AD45" s="489"/>
      <c r="AE45" s="508">
        <f t="shared" si="43"/>
        <v>0</v>
      </c>
      <c r="AF45" s="489"/>
      <c r="AG45" s="508">
        <f t="shared" si="44"/>
        <v>0</v>
      </c>
      <c r="AH45" s="489"/>
      <c r="AI45" s="508">
        <f t="shared" si="45"/>
        <v>0</v>
      </c>
      <c r="AJ45" s="214"/>
      <c r="AK45" s="779"/>
      <c r="AP45" s="46"/>
      <c r="AQ45" s="44"/>
      <c r="AR45" s="44"/>
      <c r="AS45" s="44"/>
      <c r="AT45" s="44"/>
      <c r="AU45" s="44"/>
      <c r="AV45" s="44"/>
      <c r="AW45" s="44"/>
      <c r="AX45" s="44"/>
      <c r="AY45" s="44"/>
      <c r="AZ45" s="44"/>
      <c r="BA45" s="44"/>
      <c r="BB45" s="44"/>
      <c r="BC45" s="44"/>
      <c r="BD45" s="44"/>
      <c r="BE45" s="44"/>
      <c r="BF45" s="44"/>
      <c r="BG45" s="44"/>
      <c r="BH45" s="44"/>
      <c r="BI45" s="44"/>
      <c r="BJ45" s="45"/>
    </row>
    <row r="46" spans="2:62" ht="15.75">
      <c r="B46" s="910" t="s">
        <v>1155</v>
      </c>
      <c r="C46" s="491">
        <v>6454</v>
      </c>
      <c r="D46" s="501"/>
      <c r="E46" s="502">
        <f>IF('02_1_INCOME'!F39=0,0,D46/'02_1_INCOME'!F39)</f>
        <v>0</v>
      </c>
      <c r="F46" s="501"/>
      <c r="G46" s="502">
        <f>IF('02_1_INCOME'!$F$38=0,0,F46/'02_1_INCOME'!$F$38)</f>
        <v>0</v>
      </c>
      <c r="H46" s="503">
        <f t="shared" si="30"/>
        <v>0</v>
      </c>
      <c r="I46" s="504">
        <f t="shared" si="31"/>
        <v>0</v>
      </c>
      <c r="J46" s="505">
        <f t="shared" si="32"/>
        <v>0</v>
      </c>
      <c r="K46" s="509">
        <f>IF(AND(J46&lt;&gt;0, $E46&lt;&gt;0),(J46-$E46)/$E46,0)</f>
        <v>0</v>
      </c>
      <c r="L46" s="1406"/>
      <c r="M46" s="507">
        <f>IF(rng02_Projections_Unit_1&lt;&gt;0, (L46*(1+rng01_OpExRate)^(rng01_FirstYearProforma-rng02_Projections_Year_1))/rng02_Projections_Unit_1,0)</f>
        <v>0</v>
      </c>
      <c r="N46" s="1406"/>
      <c r="O46" s="508">
        <f>IF(rng02_Projections_Unit_2&lt;&gt;0, (N46*(1+rng01_OpExRate)^(rng01_FirstYearProforma-rng02_Projections_Year_2))/rng02_Projections_Unit_2,0)</f>
        <v>0</v>
      </c>
      <c r="P46" s="1406"/>
      <c r="Q46" s="508">
        <f>IF(rng02_Projections_Unit_3&lt;&gt;0, (P46*(1+rng01_OpExRate)^(rng01_FirstYearProforma-rng02_Projections_Year_3))/rng02_Projections_Unit_3,0)</f>
        <v>0</v>
      </c>
      <c r="R46" s="489"/>
      <c r="S46" s="508">
        <f>IF(rng02_Projections_Unit_4&lt;&gt;0, (R46*(1+rng01_OpExRate)^(rng01_FirstYearProforma-rng02_Projections_Year_4))/rng02_Projections_Unit_4,0)</f>
        <v>0</v>
      </c>
      <c r="T46" s="489"/>
      <c r="U46" s="508">
        <f>IF(rng02_Projections_Unit_5&lt;&gt;0, (T46*(1+rng01_OpExRate)^(rng01_FirstYearProforma-rng02_Projections_Year_5))/rng02_Projections_Unit_5,0)</f>
        <v>0</v>
      </c>
      <c r="V46" s="489"/>
      <c r="W46" s="508">
        <f>IF(rng02_Projections_Unit_6&lt;&gt;0, (V46*(1+rng01_OpExRate)^(rng01_FirstYearProforma-rng02_Projections_Year_6))/rng02_Projections_Unit_6,0)</f>
        <v>0</v>
      </c>
      <c r="X46" s="489"/>
      <c r="Y46" s="508">
        <f>IF(rng02_Projections_Unit_7&lt;&gt;0, (X46*(1+rng01_OpExRate)^(rng01_FirstYearProforma-rng02_Projections_Year_7))/rng02_Projections_Unit_7,0)</f>
        <v>0</v>
      </c>
      <c r="Z46" s="489"/>
      <c r="AA46" s="508">
        <f t="shared" si="41"/>
        <v>0</v>
      </c>
      <c r="AB46" s="489"/>
      <c r="AC46" s="508">
        <f t="shared" si="42"/>
        <v>0</v>
      </c>
      <c r="AD46" s="489"/>
      <c r="AE46" s="508">
        <f t="shared" si="43"/>
        <v>0</v>
      </c>
      <c r="AF46" s="489"/>
      <c r="AG46" s="508">
        <f t="shared" si="44"/>
        <v>0</v>
      </c>
      <c r="AH46" s="489"/>
      <c r="AI46" s="508">
        <f t="shared" si="45"/>
        <v>0</v>
      </c>
      <c r="AJ46" s="214"/>
      <c r="AK46" s="779"/>
      <c r="AP46" s="46"/>
      <c r="AQ46" s="44"/>
      <c r="AR46" s="44"/>
      <c r="AS46" s="44"/>
      <c r="AT46" s="44"/>
      <c r="AU46" s="44"/>
      <c r="AV46" s="44"/>
      <c r="AW46" s="44"/>
      <c r="AX46" s="44"/>
      <c r="AY46" s="44"/>
      <c r="AZ46" s="44"/>
      <c r="BA46" s="44"/>
      <c r="BB46" s="44"/>
      <c r="BC46" s="44"/>
      <c r="BD46" s="44"/>
      <c r="BE46" s="44"/>
      <c r="BF46" s="44"/>
      <c r="BG46" s="44"/>
      <c r="BH46" s="44"/>
      <c r="BI46" s="44"/>
      <c r="BJ46" s="45"/>
    </row>
    <row r="47" spans="2:62" ht="15.75">
      <c r="B47" s="914" t="s">
        <v>1156</v>
      </c>
      <c r="C47" s="510"/>
      <c r="D47" s="871">
        <f>SUM(D41:D46)</f>
        <v>0</v>
      </c>
      <c r="E47" s="532">
        <f>IF('02_1_INCOME'!$F$38=0,0,D47/'02_1_INCOME'!$F$38)</f>
        <v>0</v>
      </c>
      <c r="F47" s="531">
        <f>SUM(F41:F46)</f>
        <v>0</v>
      </c>
      <c r="G47" s="532">
        <f>IF('02_1_INCOME'!$F$38=0,0,F47/'02_1_INCOME'!$F$38)</f>
        <v>0</v>
      </c>
      <c r="H47" s="511">
        <f t="shared" si="30"/>
        <v>0</v>
      </c>
      <c r="I47" s="512">
        <f t="shared" si="31"/>
        <v>0</v>
      </c>
      <c r="J47" s="513">
        <f t="shared" si="32"/>
        <v>0</v>
      </c>
      <c r="K47" s="514">
        <f t="shared" si="33"/>
        <v>0</v>
      </c>
      <c r="L47" s="515">
        <f>SUM(L41:L46)</f>
        <v>0</v>
      </c>
      <c r="M47" s="516">
        <f t="shared" si="34"/>
        <v>0</v>
      </c>
      <c r="N47" s="515">
        <f>SUM(N41:N46)</f>
        <v>0</v>
      </c>
      <c r="O47" s="517">
        <f t="shared" si="35"/>
        <v>0</v>
      </c>
      <c r="P47" s="515">
        <f>SUM(P41:P46)</f>
        <v>0</v>
      </c>
      <c r="Q47" s="517">
        <f t="shared" si="36"/>
        <v>0</v>
      </c>
      <c r="R47" s="515">
        <f>SUM(R41:R46)</f>
        <v>0</v>
      </c>
      <c r="S47" s="517">
        <f t="shared" si="37"/>
        <v>0</v>
      </c>
      <c r="T47" s="515">
        <f>SUM(T41:T46)</f>
        <v>0</v>
      </c>
      <c r="U47" s="517">
        <f t="shared" si="38"/>
        <v>0</v>
      </c>
      <c r="V47" s="515">
        <f>SUM(V41:V46)</f>
        <v>0</v>
      </c>
      <c r="W47" s="517">
        <f t="shared" si="39"/>
        <v>0</v>
      </c>
      <c r="X47" s="515">
        <f>SUM(X41:X46)</f>
        <v>0</v>
      </c>
      <c r="Y47" s="517">
        <f t="shared" si="40"/>
        <v>0</v>
      </c>
      <c r="Z47" s="515">
        <f>SUM(Z41:Z46)</f>
        <v>0</v>
      </c>
      <c r="AA47" s="517">
        <f t="shared" si="41"/>
        <v>0</v>
      </c>
      <c r="AB47" s="515">
        <f>SUM(AB41:AB46)</f>
        <v>0</v>
      </c>
      <c r="AC47" s="517">
        <f t="shared" si="42"/>
        <v>0</v>
      </c>
      <c r="AD47" s="515">
        <f>SUM(AD41:AD46)</f>
        <v>0</v>
      </c>
      <c r="AE47" s="517">
        <f t="shared" si="43"/>
        <v>0</v>
      </c>
      <c r="AF47" s="515">
        <f>SUM(AF41:AF46)</f>
        <v>0</v>
      </c>
      <c r="AG47" s="517">
        <f t="shared" si="44"/>
        <v>0</v>
      </c>
      <c r="AH47" s="515">
        <f>SUM(AH41:AH46)</f>
        <v>0</v>
      </c>
      <c r="AI47" s="517">
        <f t="shared" si="45"/>
        <v>0</v>
      </c>
      <c r="AJ47" s="907"/>
      <c r="AK47" s="779"/>
      <c r="AP47" s="48"/>
      <c r="AQ47" s="49"/>
      <c r="AR47" s="44"/>
      <c r="AS47" s="44"/>
      <c r="AT47" s="44"/>
      <c r="AU47" s="44"/>
      <c r="AV47" s="44"/>
      <c r="AW47" s="44"/>
      <c r="AX47" s="44"/>
      <c r="AY47" s="44"/>
      <c r="AZ47" s="44"/>
      <c r="BA47" s="44"/>
      <c r="BB47" s="44"/>
      <c r="BC47" s="44"/>
      <c r="BD47" s="44"/>
      <c r="BE47" s="44"/>
      <c r="BF47" s="44"/>
      <c r="BG47" s="44"/>
      <c r="BH47" s="44"/>
      <c r="BI47" s="44"/>
      <c r="BJ47" s="45"/>
    </row>
    <row r="48" spans="2:62" ht="15.75">
      <c r="B48" s="913" t="s">
        <v>1157</v>
      </c>
      <c r="C48" s="491"/>
      <c r="D48" s="518"/>
      <c r="E48" s="493"/>
      <c r="F48" s="492"/>
      <c r="G48" s="493"/>
      <c r="H48" s="519"/>
      <c r="I48" s="520"/>
      <c r="J48" s="521"/>
      <c r="K48" s="526"/>
      <c r="L48" s="527"/>
      <c r="M48" s="528"/>
      <c r="N48" s="527"/>
      <c r="O48" s="529"/>
      <c r="P48" s="527"/>
      <c r="Q48" s="529"/>
      <c r="R48" s="527"/>
      <c r="S48" s="529"/>
      <c r="T48" s="527"/>
      <c r="U48" s="529"/>
      <c r="V48" s="527"/>
      <c r="W48" s="529"/>
      <c r="X48" s="527"/>
      <c r="Y48" s="529"/>
      <c r="Z48" s="527"/>
      <c r="AA48" s="529"/>
      <c r="AB48" s="527"/>
      <c r="AC48" s="529"/>
      <c r="AD48" s="527"/>
      <c r="AE48" s="529"/>
      <c r="AF48" s="527"/>
      <c r="AG48" s="529"/>
      <c r="AH48" s="527"/>
      <c r="AI48" s="529"/>
      <c r="AJ48" s="214"/>
      <c r="AK48" s="780"/>
      <c r="AP48" s="48"/>
      <c r="AQ48" s="49"/>
      <c r="AR48" s="44"/>
      <c r="AS48" s="44"/>
      <c r="AT48" s="44"/>
      <c r="AU48" s="44"/>
      <c r="AV48" s="44"/>
      <c r="AW48" s="44"/>
      <c r="AX48" s="44"/>
      <c r="AY48" s="44"/>
      <c r="AZ48" s="44"/>
      <c r="BA48" s="44"/>
      <c r="BB48" s="44"/>
      <c r="BC48" s="44"/>
      <c r="BD48" s="44"/>
      <c r="BE48" s="44"/>
      <c r="BF48" s="44"/>
      <c r="BG48" s="44"/>
      <c r="BH48" s="44"/>
      <c r="BI48" s="44"/>
      <c r="BJ48" s="45"/>
    </row>
    <row r="49" spans="2:62" ht="15.75">
      <c r="B49" s="910" t="s">
        <v>1158</v>
      </c>
      <c r="C49" s="491">
        <v>6510</v>
      </c>
      <c r="D49" s="501"/>
      <c r="E49" s="502">
        <f>IF('02_1_INCOME'!$F$38=0,0,D49/'02_1_INCOME'!$F$38)</f>
        <v>0</v>
      </c>
      <c r="F49" s="501"/>
      <c r="G49" s="502">
        <f>IF('02_1_INCOME'!$F$38=0,0,F49/'02_1_INCOME'!$F$38)</f>
        <v>0</v>
      </c>
      <c r="H49" s="503">
        <f t="shared" ref="H49:H74" si="46">IFERROR(AVERAGEIFS($L49:$AJ49,$L$6:$AJ$6,"Comparable",$L49:$AJ49, "&gt;0"),0)</f>
        <v>0</v>
      </c>
      <c r="I49" s="504">
        <f t="shared" ref="I49:I74" si="47">IF(AND(H49&lt;&gt;0, E49&lt;&gt;0),(H49-E49)/E49,0)</f>
        <v>0</v>
      </c>
      <c r="J49" s="505">
        <f t="shared" ref="J49:J74" si="48">IFERROR(AVERAGEIFS($L49:$AJ49,$L$6:$AJ$6,"Historical", $L49:$AJ49,"&gt;0"),0)</f>
        <v>0</v>
      </c>
      <c r="K49" s="509">
        <f t="shared" ref="K49:K74" si="49">IF(AND(J49&lt;&gt;0, $E49&lt;&gt;0),(J49-$E49)/$E49,0)</f>
        <v>0</v>
      </c>
      <c r="L49" s="1406"/>
      <c r="M49" s="507">
        <f t="shared" ref="M49:M74" si="50">IF(rng02_Projections_Unit_1&lt;&gt;0, (L49*(1+rng01_OpExRate)^(rng01_FirstYearProforma-rng02_Projections_Year_1))/rng02_Projections_Unit_1,0)</f>
        <v>0</v>
      </c>
      <c r="N49" s="1406"/>
      <c r="O49" s="508">
        <f t="shared" ref="O49:O74" si="51">IF(rng02_Projections_Unit_2&lt;&gt;0, (N49*(1+rng01_OpExRate)^(rng01_FirstYearProforma-rng02_Projections_Year_2))/rng02_Projections_Unit_2,0)</f>
        <v>0</v>
      </c>
      <c r="P49" s="1406"/>
      <c r="Q49" s="508">
        <f t="shared" ref="Q49:Q74" si="52">IF(rng02_Projections_Unit_3&lt;&gt;0, (P49*(1+rng01_OpExRate)^(rng01_FirstYearProforma-rng02_Projections_Year_3))/rng02_Projections_Unit_3,0)</f>
        <v>0</v>
      </c>
      <c r="R49" s="489"/>
      <c r="S49" s="508">
        <f t="shared" ref="S49:S74" si="53">IF(rng02_Projections_Unit_4&lt;&gt;0, (R49*(1+rng01_OpExRate)^(rng01_FirstYearProforma-rng02_Projections_Year_4))/rng02_Projections_Unit_4,0)</f>
        <v>0</v>
      </c>
      <c r="T49" s="489"/>
      <c r="U49" s="508">
        <f t="shared" ref="U49:U74" si="54">IF(rng02_Projections_Unit_5&lt;&gt;0, (T49*(1+rng01_OpExRate)^(rng01_FirstYearProforma-rng02_Projections_Year_5))/rng02_Projections_Unit_5,0)</f>
        <v>0</v>
      </c>
      <c r="V49" s="489"/>
      <c r="W49" s="508">
        <f t="shared" ref="W49:W74" si="55">IF(rng02_Projections_Unit_6&lt;&gt;0, (V49*(1+rng01_OpExRate)^(rng01_FirstYearProforma-rng02_Projections_Year_6))/rng02_Projections_Unit_6,0)</f>
        <v>0</v>
      </c>
      <c r="X49" s="489"/>
      <c r="Y49" s="508">
        <f t="shared" ref="Y49:Y74" si="56">IF(rng02_Projections_Unit_7&lt;&gt;0, (X49*(1+rng01_OpExRate)^(rng01_FirstYearProforma-rng02_Projections_Year_7))/rng02_Projections_Unit_7,0)</f>
        <v>0</v>
      </c>
      <c r="Z49" s="489"/>
      <c r="AA49" s="508">
        <f t="shared" ref="AA49:AA74" si="57">IF(rng02_Projections_Unit_8&lt;&gt;0, (Z49*(1+rng01_OpExRate)^(rng01_FirstYearProforma-rng02_Projections_Year_8))/rng02_Projections_Unit_8,0)</f>
        <v>0</v>
      </c>
      <c r="AB49" s="489"/>
      <c r="AC49" s="508">
        <f t="shared" ref="AC49:AC74" si="58">IF(rng02_Projections_Unit_9&lt;&gt;0, (AB49*(1+rng01_OpExRate)^(rng01_FirstYearProforma-rng02_Projections_Year_9))/rng02_Projections_Unit_9,0)</f>
        <v>0</v>
      </c>
      <c r="AD49" s="489"/>
      <c r="AE49" s="508">
        <f t="shared" ref="AE49:AE74" si="59">IF(rng02_Projections_Unit_10&lt;&gt;0, (AD49*(1+rng01_OpExRate)^(rng01_FirstYearProforma-rng02_Projections_Year_10))/rng02_Projections_Unit_10,0)</f>
        <v>0</v>
      </c>
      <c r="AF49" s="489"/>
      <c r="AG49" s="508">
        <f t="shared" ref="AG49:AG74" si="60">IF(rng02_Projections_Unit_10&lt;&gt;0, (AF49*(1+rng01_OpExRate)^(rng01_FirstYearProforma-rng02_Projections_Year_10))/rng02_Projections_Unit_10,0)</f>
        <v>0</v>
      </c>
      <c r="AH49" s="489"/>
      <c r="AI49" s="508">
        <f t="shared" ref="AI49:AI74" si="61">IF(rng02_Projections_Unit_10&lt;&gt;0, (AH49*(1+rng01_OpExRate)^(rng01_FirstYearProforma-rng02_Projections_Year_10))/rng02_Projections_Unit_10,0)</f>
        <v>0</v>
      </c>
      <c r="AJ49" s="214"/>
      <c r="AK49" s="779"/>
      <c r="AP49" s="46"/>
      <c r="AQ49" s="44"/>
      <c r="AR49" s="44"/>
      <c r="AS49" s="44"/>
      <c r="AT49" s="44"/>
      <c r="AU49" s="44"/>
      <c r="AV49" s="44"/>
      <c r="AW49" s="44"/>
      <c r="AX49" s="44"/>
      <c r="AY49" s="44"/>
      <c r="AZ49" s="44"/>
      <c r="BA49" s="44"/>
      <c r="BB49" s="44"/>
      <c r="BC49" s="44"/>
      <c r="BD49" s="44"/>
      <c r="BE49" s="44"/>
      <c r="BF49" s="44"/>
      <c r="BG49" s="44"/>
      <c r="BH49" s="44"/>
      <c r="BI49" s="44"/>
      <c r="BJ49" s="45"/>
    </row>
    <row r="50" spans="2:62" ht="15.75">
      <c r="B50" s="910" t="s">
        <v>1159</v>
      </c>
      <c r="C50" s="491">
        <v>6515</v>
      </c>
      <c r="D50" s="501"/>
      <c r="E50" s="502">
        <f>IF('02_1_INCOME'!$F$38=0,0,D50/'02_1_INCOME'!$F$38)</f>
        <v>0</v>
      </c>
      <c r="F50" s="501"/>
      <c r="G50" s="502">
        <f>IF('02_1_INCOME'!$F$38=0,0,F50/'02_1_INCOME'!$F$38)</f>
        <v>0</v>
      </c>
      <c r="H50" s="503">
        <f t="shared" si="46"/>
        <v>0</v>
      </c>
      <c r="I50" s="504">
        <f t="shared" si="47"/>
        <v>0</v>
      </c>
      <c r="J50" s="505">
        <f t="shared" si="48"/>
        <v>0</v>
      </c>
      <c r="K50" s="509">
        <f t="shared" si="49"/>
        <v>0</v>
      </c>
      <c r="L50" s="1406"/>
      <c r="M50" s="507">
        <f t="shared" si="50"/>
        <v>0</v>
      </c>
      <c r="N50" s="1406"/>
      <c r="O50" s="508">
        <f t="shared" si="51"/>
        <v>0</v>
      </c>
      <c r="P50" s="1406"/>
      <c r="Q50" s="508">
        <f t="shared" si="52"/>
        <v>0</v>
      </c>
      <c r="R50" s="489"/>
      <c r="S50" s="508">
        <f t="shared" si="53"/>
        <v>0</v>
      </c>
      <c r="T50" s="489"/>
      <c r="U50" s="508">
        <f t="shared" si="54"/>
        <v>0</v>
      </c>
      <c r="V50" s="489"/>
      <c r="W50" s="508">
        <f t="shared" si="55"/>
        <v>0</v>
      </c>
      <c r="X50" s="489"/>
      <c r="Y50" s="508">
        <f t="shared" si="56"/>
        <v>0</v>
      </c>
      <c r="Z50" s="489"/>
      <c r="AA50" s="508">
        <f t="shared" si="57"/>
        <v>0</v>
      </c>
      <c r="AB50" s="489"/>
      <c r="AC50" s="508">
        <f t="shared" si="58"/>
        <v>0</v>
      </c>
      <c r="AD50" s="489"/>
      <c r="AE50" s="508">
        <f t="shared" si="59"/>
        <v>0</v>
      </c>
      <c r="AF50" s="489"/>
      <c r="AG50" s="508">
        <f t="shared" si="60"/>
        <v>0</v>
      </c>
      <c r="AH50" s="489"/>
      <c r="AI50" s="508">
        <f t="shared" si="61"/>
        <v>0</v>
      </c>
      <c r="AJ50" s="214"/>
      <c r="AK50" s="779"/>
      <c r="AP50" s="46"/>
      <c r="AQ50" s="44"/>
      <c r="AR50" s="44"/>
      <c r="AS50" s="44"/>
      <c r="AT50" s="44"/>
      <c r="AU50" s="44"/>
      <c r="AV50" s="44"/>
      <c r="AW50" s="44"/>
      <c r="AX50" s="44"/>
      <c r="AY50" s="44"/>
      <c r="AZ50" s="44"/>
      <c r="BA50" s="44"/>
      <c r="BB50" s="44"/>
      <c r="BC50" s="44"/>
      <c r="BD50" s="44"/>
      <c r="BE50" s="44"/>
      <c r="BF50" s="44"/>
      <c r="BG50" s="44"/>
      <c r="BH50" s="44"/>
      <c r="BI50" s="44"/>
      <c r="BJ50" s="45"/>
    </row>
    <row r="51" spans="2:62" ht="15.75">
      <c r="B51" s="910" t="s">
        <v>1160</v>
      </c>
      <c r="C51" s="491">
        <v>6517</v>
      </c>
      <c r="D51" s="501"/>
      <c r="E51" s="502">
        <f>IF('02_1_INCOME'!$F$38=0,0,D51/'02_1_INCOME'!$F$38)</f>
        <v>0</v>
      </c>
      <c r="F51" s="501"/>
      <c r="G51" s="502">
        <f>IF('02_1_INCOME'!$F$38=0,0,F51/'02_1_INCOME'!$F$38)</f>
        <v>0</v>
      </c>
      <c r="H51" s="503">
        <f t="shared" si="46"/>
        <v>0</v>
      </c>
      <c r="I51" s="504">
        <f t="shared" si="47"/>
        <v>0</v>
      </c>
      <c r="J51" s="505">
        <f t="shared" si="48"/>
        <v>0</v>
      </c>
      <c r="K51" s="509">
        <f t="shared" si="49"/>
        <v>0</v>
      </c>
      <c r="L51" s="1406"/>
      <c r="M51" s="507">
        <f t="shared" si="50"/>
        <v>0</v>
      </c>
      <c r="N51" s="1406"/>
      <c r="O51" s="508">
        <f t="shared" si="51"/>
        <v>0</v>
      </c>
      <c r="P51" s="1406"/>
      <c r="Q51" s="508">
        <f t="shared" si="52"/>
        <v>0</v>
      </c>
      <c r="R51" s="489"/>
      <c r="S51" s="508">
        <f t="shared" si="53"/>
        <v>0</v>
      </c>
      <c r="T51" s="489"/>
      <c r="U51" s="508">
        <f t="shared" si="54"/>
        <v>0</v>
      </c>
      <c r="V51" s="489"/>
      <c r="W51" s="508">
        <f t="shared" si="55"/>
        <v>0</v>
      </c>
      <c r="X51" s="489"/>
      <c r="Y51" s="508">
        <f t="shared" si="56"/>
        <v>0</v>
      </c>
      <c r="Z51" s="489"/>
      <c r="AA51" s="508">
        <f t="shared" si="57"/>
        <v>0</v>
      </c>
      <c r="AB51" s="489"/>
      <c r="AC51" s="508">
        <f t="shared" si="58"/>
        <v>0</v>
      </c>
      <c r="AD51" s="489"/>
      <c r="AE51" s="508">
        <f t="shared" si="59"/>
        <v>0</v>
      </c>
      <c r="AF51" s="489"/>
      <c r="AG51" s="508">
        <f t="shared" si="60"/>
        <v>0</v>
      </c>
      <c r="AH51" s="489"/>
      <c r="AI51" s="508">
        <f t="shared" si="61"/>
        <v>0</v>
      </c>
      <c r="AJ51" s="214"/>
      <c r="AK51" s="779"/>
      <c r="AP51" s="46"/>
      <c r="AQ51" s="44"/>
      <c r="AR51" s="44"/>
      <c r="AS51" s="44"/>
      <c r="AT51" s="44"/>
      <c r="AU51" s="44"/>
      <c r="AV51" s="44"/>
      <c r="AW51" s="44"/>
      <c r="AX51" s="44"/>
      <c r="AY51" s="44"/>
      <c r="AZ51" s="44"/>
      <c r="BA51" s="44"/>
      <c r="BB51" s="44"/>
      <c r="BC51" s="44"/>
      <c r="BD51" s="44"/>
      <c r="BE51" s="44"/>
      <c r="BF51" s="44"/>
      <c r="BG51" s="44"/>
      <c r="BH51" s="44"/>
      <c r="BI51" s="44"/>
      <c r="BJ51" s="45"/>
    </row>
    <row r="52" spans="2:62" ht="15.75">
      <c r="B52" s="910" t="s">
        <v>1161</v>
      </c>
      <c r="C52" s="491">
        <v>6519</v>
      </c>
      <c r="D52" s="501"/>
      <c r="E52" s="502">
        <f>IF('02_1_INCOME'!$F$38=0,0,D52/'02_1_INCOME'!$F$38)</f>
        <v>0</v>
      </c>
      <c r="F52" s="501"/>
      <c r="G52" s="502">
        <f>IF('02_1_INCOME'!$F$38=0,0,F52/'02_1_INCOME'!$F$38)</f>
        <v>0</v>
      </c>
      <c r="H52" s="503">
        <f t="shared" si="46"/>
        <v>0</v>
      </c>
      <c r="I52" s="504">
        <f t="shared" si="47"/>
        <v>0</v>
      </c>
      <c r="J52" s="505">
        <f t="shared" si="48"/>
        <v>0</v>
      </c>
      <c r="K52" s="509">
        <f t="shared" si="49"/>
        <v>0</v>
      </c>
      <c r="L52" s="1406"/>
      <c r="M52" s="507">
        <f t="shared" si="50"/>
        <v>0</v>
      </c>
      <c r="N52" s="1406"/>
      <c r="O52" s="508">
        <f t="shared" si="51"/>
        <v>0</v>
      </c>
      <c r="P52" s="1406"/>
      <c r="Q52" s="508">
        <f t="shared" si="52"/>
        <v>0</v>
      </c>
      <c r="R52" s="489"/>
      <c r="S52" s="508">
        <f t="shared" si="53"/>
        <v>0</v>
      </c>
      <c r="T52" s="489"/>
      <c r="U52" s="508">
        <f t="shared" si="54"/>
        <v>0</v>
      </c>
      <c r="V52" s="489"/>
      <c r="W52" s="508">
        <f t="shared" si="55"/>
        <v>0</v>
      </c>
      <c r="X52" s="489"/>
      <c r="Y52" s="508">
        <f t="shared" si="56"/>
        <v>0</v>
      </c>
      <c r="Z52" s="489"/>
      <c r="AA52" s="508">
        <f t="shared" si="57"/>
        <v>0</v>
      </c>
      <c r="AB52" s="489"/>
      <c r="AC52" s="508">
        <f t="shared" si="58"/>
        <v>0</v>
      </c>
      <c r="AD52" s="489"/>
      <c r="AE52" s="508">
        <f t="shared" si="59"/>
        <v>0</v>
      </c>
      <c r="AF52" s="489"/>
      <c r="AG52" s="508">
        <f t="shared" si="60"/>
        <v>0</v>
      </c>
      <c r="AH52" s="489"/>
      <c r="AI52" s="508">
        <f t="shared" si="61"/>
        <v>0</v>
      </c>
      <c r="AJ52" s="214"/>
      <c r="AK52" s="779"/>
      <c r="AP52" s="46"/>
      <c r="AQ52" s="44"/>
      <c r="AR52" s="44"/>
      <c r="AS52" s="44"/>
      <c r="AT52" s="44"/>
      <c r="AU52" s="44"/>
      <c r="AV52" s="44"/>
      <c r="AW52" s="44"/>
      <c r="AX52" s="44"/>
      <c r="AY52" s="44"/>
      <c r="AZ52" s="44"/>
      <c r="BA52" s="44"/>
      <c r="BB52" s="44"/>
      <c r="BC52" s="44"/>
      <c r="BD52" s="44"/>
      <c r="BE52" s="44"/>
      <c r="BF52" s="44"/>
      <c r="BG52" s="44"/>
      <c r="BH52" s="44"/>
      <c r="BI52" s="44"/>
      <c r="BJ52" s="45"/>
    </row>
    <row r="53" spans="2:62" ht="15.75">
      <c r="B53" s="910" t="s">
        <v>1162</v>
      </c>
      <c r="C53" s="491">
        <v>6520</v>
      </c>
      <c r="D53" s="501"/>
      <c r="E53" s="502">
        <f>IF('02_1_INCOME'!$F$38=0,0,D53/'02_1_INCOME'!$F$38)</f>
        <v>0</v>
      </c>
      <c r="F53" s="501"/>
      <c r="G53" s="502">
        <f>IF('02_1_INCOME'!$F$38=0,0,F53/'02_1_INCOME'!$F$38)</f>
        <v>0</v>
      </c>
      <c r="H53" s="503">
        <f t="shared" si="46"/>
        <v>0</v>
      </c>
      <c r="I53" s="504">
        <f t="shared" si="47"/>
        <v>0</v>
      </c>
      <c r="J53" s="505">
        <f t="shared" si="48"/>
        <v>0</v>
      </c>
      <c r="K53" s="509">
        <f t="shared" si="49"/>
        <v>0</v>
      </c>
      <c r="L53" s="1406"/>
      <c r="M53" s="507">
        <f t="shared" si="50"/>
        <v>0</v>
      </c>
      <c r="N53" s="1406"/>
      <c r="O53" s="508">
        <f t="shared" si="51"/>
        <v>0</v>
      </c>
      <c r="P53" s="1406"/>
      <c r="Q53" s="508">
        <f t="shared" si="52"/>
        <v>0</v>
      </c>
      <c r="R53" s="489"/>
      <c r="S53" s="508">
        <f t="shared" si="53"/>
        <v>0</v>
      </c>
      <c r="T53" s="489"/>
      <c r="U53" s="508">
        <f t="shared" si="54"/>
        <v>0</v>
      </c>
      <c r="V53" s="489"/>
      <c r="W53" s="508">
        <f t="shared" si="55"/>
        <v>0</v>
      </c>
      <c r="X53" s="489"/>
      <c r="Y53" s="508">
        <f t="shared" si="56"/>
        <v>0</v>
      </c>
      <c r="Z53" s="489"/>
      <c r="AA53" s="508">
        <f t="shared" si="57"/>
        <v>0</v>
      </c>
      <c r="AB53" s="489"/>
      <c r="AC53" s="508">
        <f t="shared" si="58"/>
        <v>0</v>
      </c>
      <c r="AD53" s="489"/>
      <c r="AE53" s="508">
        <f t="shared" si="59"/>
        <v>0</v>
      </c>
      <c r="AF53" s="489"/>
      <c r="AG53" s="508">
        <f t="shared" si="60"/>
        <v>0</v>
      </c>
      <c r="AH53" s="489"/>
      <c r="AI53" s="508">
        <f t="shared" si="61"/>
        <v>0</v>
      </c>
      <c r="AJ53" s="214"/>
      <c r="AK53" s="779"/>
      <c r="AP53" s="46"/>
      <c r="AQ53" s="44"/>
      <c r="AR53" s="44"/>
      <c r="AS53" s="44"/>
      <c r="AT53" s="44"/>
      <c r="AU53" s="44"/>
      <c r="AV53" s="44"/>
      <c r="AW53" s="44"/>
      <c r="AX53" s="44"/>
      <c r="AY53" s="44"/>
      <c r="AZ53" s="44"/>
      <c r="BA53" s="44"/>
      <c r="BB53" s="44"/>
      <c r="BC53" s="44"/>
      <c r="BD53" s="44"/>
      <c r="BE53" s="44"/>
      <c r="BF53" s="44"/>
      <c r="BG53" s="44"/>
      <c r="BH53" s="44"/>
      <c r="BI53" s="44"/>
      <c r="BJ53" s="45"/>
    </row>
    <row r="54" spans="2:62" ht="15.75">
      <c r="B54" s="910" t="s">
        <v>1163</v>
      </c>
      <c r="C54" s="491">
        <v>6521</v>
      </c>
      <c r="D54" s="501"/>
      <c r="E54" s="502">
        <f>IF('02_1_INCOME'!$F$38=0,0,D54/'02_1_INCOME'!$F$38)</f>
        <v>0</v>
      </c>
      <c r="F54" s="501"/>
      <c r="G54" s="502">
        <f>IF('02_1_INCOME'!$F$38=0,0,F54/'02_1_INCOME'!$F$38)</f>
        <v>0</v>
      </c>
      <c r="H54" s="503">
        <f t="shared" si="46"/>
        <v>0</v>
      </c>
      <c r="I54" s="504">
        <f t="shared" si="47"/>
        <v>0</v>
      </c>
      <c r="J54" s="505">
        <f t="shared" si="48"/>
        <v>0</v>
      </c>
      <c r="K54" s="509">
        <f t="shared" si="49"/>
        <v>0</v>
      </c>
      <c r="L54" s="1406"/>
      <c r="M54" s="507">
        <f t="shared" si="50"/>
        <v>0</v>
      </c>
      <c r="N54" s="1406"/>
      <c r="O54" s="508">
        <f t="shared" si="51"/>
        <v>0</v>
      </c>
      <c r="P54" s="1406"/>
      <c r="Q54" s="508">
        <f t="shared" si="52"/>
        <v>0</v>
      </c>
      <c r="R54" s="489"/>
      <c r="S54" s="508">
        <f t="shared" si="53"/>
        <v>0</v>
      </c>
      <c r="T54" s="489"/>
      <c r="U54" s="508">
        <f t="shared" si="54"/>
        <v>0</v>
      </c>
      <c r="V54" s="489"/>
      <c r="W54" s="508">
        <f t="shared" si="55"/>
        <v>0</v>
      </c>
      <c r="X54" s="489"/>
      <c r="Y54" s="508">
        <f t="shared" si="56"/>
        <v>0</v>
      </c>
      <c r="Z54" s="489"/>
      <c r="AA54" s="508">
        <f t="shared" si="57"/>
        <v>0</v>
      </c>
      <c r="AB54" s="489"/>
      <c r="AC54" s="508">
        <f t="shared" si="58"/>
        <v>0</v>
      </c>
      <c r="AD54" s="489"/>
      <c r="AE54" s="508">
        <f t="shared" si="59"/>
        <v>0</v>
      </c>
      <c r="AF54" s="489"/>
      <c r="AG54" s="508">
        <f t="shared" si="60"/>
        <v>0</v>
      </c>
      <c r="AH54" s="489"/>
      <c r="AI54" s="508">
        <f t="shared" si="61"/>
        <v>0</v>
      </c>
      <c r="AJ54" s="214"/>
      <c r="AK54" s="779"/>
      <c r="AP54" s="46"/>
      <c r="AQ54" s="44"/>
      <c r="AR54" s="44"/>
      <c r="AS54" s="44"/>
      <c r="AT54" s="44"/>
      <c r="AU54" s="44"/>
      <c r="AV54" s="44"/>
      <c r="AW54" s="44"/>
      <c r="AX54" s="44"/>
      <c r="AY54" s="44"/>
      <c r="AZ54" s="44"/>
      <c r="BA54" s="44"/>
      <c r="BB54" s="44"/>
      <c r="BC54" s="44"/>
      <c r="BD54" s="44"/>
      <c r="BE54" s="44"/>
      <c r="BF54" s="44"/>
      <c r="BG54" s="44"/>
      <c r="BH54" s="44"/>
      <c r="BI54" s="44"/>
      <c r="BJ54" s="45"/>
    </row>
    <row r="55" spans="2:62" ht="15.75">
      <c r="B55" s="910" t="s">
        <v>986</v>
      </c>
      <c r="C55" s="491">
        <v>6525</v>
      </c>
      <c r="D55" s="501"/>
      <c r="E55" s="502">
        <f>IF('02_1_INCOME'!$F$38=0,0,D55/'02_1_INCOME'!$F$38)</f>
        <v>0</v>
      </c>
      <c r="F55" s="501"/>
      <c r="G55" s="502">
        <f>IF('02_1_INCOME'!$F$38=0,0,F55/'02_1_INCOME'!$F$38)</f>
        <v>0</v>
      </c>
      <c r="H55" s="503">
        <f t="shared" si="46"/>
        <v>0</v>
      </c>
      <c r="I55" s="504">
        <f>IF(AND(H55&lt;&gt;0, E55&lt;&gt;0),(H55-E55)/E55,0)</f>
        <v>0</v>
      </c>
      <c r="J55" s="505">
        <f t="shared" si="48"/>
        <v>0</v>
      </c>
      <c r="K55" s="509">
        <f>IF(AND(J55&lt;&gt;0, $E55&lt;&gt;0),(J55-$E55)/$E55,0)</f>
        <v>0</v>
      </c>
      <c r="L55" s="1406"/>
      <c r="M55" s="507">
        <f>IF(rng02_Projections_Unit_1&lt;&gt;0, (L55*(1+rng01_OpExRate)^(rng01_FirstYearProforma-rng02_Projections_Year_1))/rng02_Projections_Unit_1,0)</f>
        <v>0</v>
      </c>
      <c r="N55" s="1406"/>
      <c r="O55" s="508">
        <f>IF(rng02_Projections_Unit_2&lt;&gt;0, (N55*(1+rng01_OpExRate)^(rng01_FirstYearProforma-rng02_Projections_Year_2))/rng02_Projections_Unit_2,0)</f>
        <v>0</v>
      </c>
      <c r="P55" s="1406"/>
      <c r="Q55" s="508">
        <f>IF(rng02_Projections_Unit_3&lt;&gt;0, (P55*(1+rng01_OpExRate)^(rng01_FirstYearProforma-rng02_Projections_Year_3))/rng02_Projections_Unit_3,0)</f>
        <v>0</v>
      </c>
      <c r="R55" s="489"/>
      <c r="S55" s="508">
        <f>IF(rng02_Projections_Unit_4&lt;&gt;0, (R55*(1+rng01_OpExRate)^(rng01_FirstYearProforma-rng02_Projections_Year_4))/rng02_Projections_Unit_4,0)</f>
        <v>0</v>
      </c>
      <c r="T55" s="489"/>
      <c r="U55" s="508">
        <f>IF(rng02_Projections_Unit_5&lt;&gt;0, (T55*(1+rng01_OpExRate)^(rng01_FirstYearProforma-rng02_Projections_Year_5))/rng02_Projections_Unit_5,0)</f>
        <v>0</v>
      </c>
      <c r="V55" s="489"/>
      <c r="W55" s="508">
        <f>IF(rng02_Projections_Unit_6&lt;&gt;0, (V55*(1+rng01_OpExRate)^(rng01_FirstYearProforma-rng02_Projections_Year_6))/rng02_Projections_Unit_6,0)</f>
        <v>0</v>
      </c>
      <c r="X55" s="489"/>
      <c r="Y55" s="508">
        <f>IF(rng02_Projections_Unit_7&lt;&gt;0, (X55*(1+rng01_OpExRate)^(rng01_FirstYearProforma-rng02_Projections_Year_7))/rng02_Projections_Unit_7,0)</f>
        <v>0</v>
      </c>
      <c r="Z55" s="489"/>
      <c r="AA55" s="508">
        <f t="shared" si="57"/>
        <v>0</v>
      </c>
      <c r="AB55" s="489"/>
      <c r="AC55" s="508">
        <f t="shared" si="58"/>
        <v>0</v>
      </c>
      <c r="AD55" s="489"/>
      <c r="AE55" s="508">
        <f t="shared" si="59"/>
        <v>0</v>
      </c>
      <c r="AF55" s="489"/>
      <c r="AG55" s="508">
        <f t="shared" si="60"/>
        <v>0</v>
      </c>
      <c r="AH55" s="489"/>
      <c r="AI55" s="508">
        <f t="shared" si="61"/>
        <v>0</v>
      </c>
      <c r="AJ55" s="214"/>
      <c r="AK55" s="779"/>
      <c r="AP55" s="48"/>
      <c r="AQ55" s="49"/>
      <c r="AR55" s="44"/>
      <c r="AS55" s="44"/>
      <c r="AT55" s="44"/>
      <c r="AU55" s="44"/>
      <c r="AV55" s="44"/>
      <c r="AW55" s="44"/>
      <c r="AX55" s="44"/>
      <c r="AY55" s="44"/>
      <c r="AZ55" s="44"/>
      <c r="BA55" s="44"/>
      <c r="BB55" s="44"/>
      <c r="BC55" s="44"/>
      <c r="BD55" s="44"/>
      <c r="BE55" s="44"/>
      <c r="BF55" s="44"/>
      <c r="BG55" s="44"/>
      <c r="BH55" s="44"/>
      <c r="BI55" s="44"/>
      <c r="BJ55" s="45"/>
    </row>
    <row r="56" spans="2:62" ht="15.75">
      <c r="B56" s="910" t="s">
        <v>1164</v>
      </c>
      <c r="C56" s="491">
        <v>6530</v>
      </c>
      <c r="D56" s="501"/>
      <c r="E56" s="502">
        <f>IF('02_1_INCOME'!$F$38=0,0,D56/'02_1_INCOME'!$F$38)</f>
        <v>0</v>
      </c>
      <c r="F56" s="501"/>
      <c r="G56" s="502">
        <f>IF('02_1_INCOME'!$F$38=0,0,F56/'02_1_INCOME'!$F$38)</f>
        <v>0</v>
      </c>
      <c r="H56" s="503">
        <f t="shared" si="46"/>
        <v>0</v>
      </c>
      <c r="I56" s="504">
        <f t="shared" si="47"/>
        <v>0</v>
      </c>
      <c r="J56" s="505">
        <f t="shared" si="48"/>
        <v>0</v>
      </c>
      <c r="K56" s="509">
        <f t="shared" si="49"/>
        <v>0</v>
      </c>
      <c r="L56" s="1406"/>
      <c r="M56" s="507">
        <f t="shared" si="50"/>
        <v>0</v>
      </c>
      <c r="N56" s="1406"/>
      <c r="O56" s="508">
        <f t="shared" si="51"/>
        <v>0</v>
      </c>
      <c r="P56" s="1406"/>
      <c r="Q56" s="508">
        <f t="shared" si="52"/>
        <v>0</v>
      </c>
      <c r="R56" s="489"/>
      <c r="S56" s="508">
        <f t="shared" si="53"/>
        <v>0</v>
      </c>
      <c r="T56" s="489"/>
      <c r="U56" s="508">
        <f t="shared" si="54"/>
        <v>0</v>
      </c>
      <c r="V56" s="489"/>
      <c r="W56" s="508">
        <f t="shared" si="55"/>
        <v>0</v>
      </c>
      <c r="X56" s="489"/>
      <c r="Y56" s="508">
        <f t="shared" si="56"/>
        <v>0</v>
      </c>
      <c r="Z56" s="489"/>
      <c r="AA56" s="508">
        <f t="shared" si="57"/>
        <v>0</v>
      </c>
      <c r="AB56" s="489"/>
      <c r="AC56" s="508">
        <f t="shared" si="58"/>
        <v>0</v>
      </c>
      <c r="AD56" s="489"/>
      <c r="AE56" s="508">
        <f t="shared" si="59"/>
        <v>0</v>
      </c>
      <c r="AF56" s="489"/>
      <c r="AG56" s="508">
        <f t="shared" si="60"/>
        <v>0</v>
      </c>
      <c r="AH56" s="489"/>
      <c r="AI56" s="508">
        <f t="shared" si="61"/>
        <v>0</v>
      </c>
      <c r="AJ56" s="214"/>
      <c r="AK56" s="779"/>
      <c r="AP56" s="48"/>
      <c r="AQ56" s="49"/>
      <c r="AR56" s="44"/>
      <c r="AS56" s="44"/>
      <c r="AT56" s="44"/>
      <c r="AU56" s="44"/>
      <c r="AV56" s="44"/>
      <c r="AW56" s="44"/>
      <c r="AX56" s="44"/>
      <c r="AY56" s="44"/>
      <c r="AZ56" s="44"/>
      <c r="BA56" s="44"/>
      <c r="BB56" s="44"/>
      <c r="BC56" s="44"/>
      <c r="BD56" s="44"/>
      <c r="BE56" s="44"/>
      <c r="BF56" s="44"/>
      <c r="BG56" s="44"/>
      <c r="BH56" s="44"/>
      <c r="BI56" s="44"/>
      <c r="BJ56" s="45"/>
    </row>
    <row r="57" spans="2:62" ht="15.75">
      <c r="B57" s="910" t="s">
        <v>1165</v>
      </c>
      <c r="C57" s="491">
        <v>6535</v>
      </c>
      <c r="D57" s="501"/>
      <c r="E57" s="502">
        <f>IF('02_1_INCOME'!$F$38=0,0,D57/'02_1_INCOME'!$F$38)</f>
        <v>0</v>
      </c>
      <c r="F57" s="501"/>
      <c r="G57" s="502">
        <f>IF('02_1_INCOME'!$F$38=0,0,F57/'02_1_INCOME'!$F$38)</f>
        <v>0</v>
      </c>
      <c r="H57" s="503">
        <f t="shared" si="46"/>
        <v>0</v>
      </c>
      <c r="I57" s="504">
        <f t="shared" si="47"/>
        <v>0</v>
      </c>
      <c r="J57" s="505">
        <f t="shared" si="48"/>
        <v>0</v>
      </c>
      <c r="K57" s="509">
        <f t="shared" si="49"/>
        <v>0</v>
      </c>
      <c r="L57" s="1406"/>
      <c r="M57" s="507">
        <f t="shared" si="50"/>
        <v>0</v>
      </c>
      <c r="N57" s="1406"/>
      <c r="O57" s="508">
        <f t="shared" si="51"/>
        <v>0</v>
      </c>
      <c r="P57" s="1406"/>
      <c r="Q57" s="508">
        <f t="shared" si="52"/>
        <v>0</v>
      </c>
      <c r="R57" s="489"/>
      <c r="S57" s="508">
        <f t="shared" si="53"/>
        <v>0</v>
      </c>
      <c r="T57" s="489"/>
      <c r="U57" s="508">
        <f t="shared" si="54"/>
        <v>0</v>
      </c>
      <c r="V57" s="489"/>
      <c r="W57" s="508">
        <f t="shared" si="55"/>
        <v>0</v>
      </c>
      <c r="X57" s="489"/>
      <c r="Y57" s="508">
        <f t="shared" si="56"/>
        <v>0</v>
      </c>
      <c r="Z57" s="489"/>
      <c r="AA57" s="508">
        <f t="shared" si="57"/>
        <v>0</v>
      </c>
      <c r="AB57" s="489"/>
      <c r="AC57" s="508">
        <f t="shared" si="58"/>
        <v>0</v>
      </c>
      <c r="AD57" s="489"/>
      <c r="AE57" s="508">
        <f t="shared" si="59"/>
        <v>0</v>
      </c>
      <c r="AF57" s="489"/>
      <c r="AG57" s="508">
        <f t="shared" si="60"/>
        <v>0</v>
      </c>
      <c r="AH57" s="489"/>
      <c r="AI57" s="508">
        <f t="shared" si="61"/>
        <v>0</v>
      </c>
      <c r="AJ57" s="214"/>
      <c r="AK57" s="779"/>
      <c r="AP57" s="48"/>
      <c r="AQ57" s="49"/>
      <c r="AR57" s="44"/>
      <c r="AS57" s="44"/>
      <c r="AT57" s="44"/>
      <c r="AU57" s="44"/>
      <c r="AV57" s="44"/>
      <c r="AW57" s="44"/>
      <c r="AX57" s="44"/>
      <c r="AY57" s="44"/>
      <c r="AZ57" s="44"/>
      <c r="BA57" s="44"/>
      <c r="BB57" s="44"/>
      <c r="BC57" s="44"/>
      <c r="BD57" s="44"/>
      <c r="BE57" s="44"/>
      <c r="BF57" s="44"/>
      <c r="BG57" s="44"/>
      <c r="BH57" s="44"/>
      <c r="BI57" s="44"/>
      <c r="BJ57" s="45"/>
    </row>
    <row r="58" spans="2:62" ht="15.75">
      <c r="B58" s="910" t="s">
        <v>1166</v>
      </c>
      <c r="C58" s="491">
        <v>6536</v>
      </c>
      <c r="D58" s="501"/>
      <c r="E58" s="502">
        <f>IF('02_1_INCOME'!$F$38=0,0,D58/'02_1_INCOME'!$F$38)</f>
        <v>0</v>
      </c>
      <c r="F58" s="501"/>
      <c r="G58" s="502">
        <f>IF('02_1_INCOME'!$F$38=0,0,F58/'02_1_INCOME'!$F$38)</f>
        <v>0</v>
      </c>
      <c r="H58" s="503">
        <f t="shared" si="46"/>
        <v>0</v>
      </c>
      <c r="I58" s="504">
        <f t="shared" si="47"/>
        <v>0</v>
      </c>
      <c r="J58" s="505">
        <f t="shared" si="48"/>
        <v>0</v>
      </c>
      <c r="K58" s="509">
        <f t="shared" si="49"/>
        <v>0</v>
      </c>
      <c r="L58" s="1406"/>
      <c r="M58" s="507">
        <f t="shared" si="50"/>
        <v>0</v>
      </c>
      <c r="N58" s="1406"/>
      <c r="O58" s="508">
        <f t="shared" si="51"/>
        <v>0</v>
      </c>
      <c r="P58" s="1406"/>
      <c r="Q58" s="508">
        <f t="shared" si="52"/>
        <v>0</v>
      </c>
      <c r="R58" s="489"/>
      <c r="S58" s="508">
        <f t="shared" si="53"/>
        <v>0</v>
      </c>
      <c r="T58" s="489"/>
      <c r="U58" s="508">
        <f t="shared" si="54"/>
        <v>0</v>
      </c>
      <c r="V58" s="489"/>
      <c r="W58" s="508">
        <f t="shared" si="55"/>
        <v>0</v>
      </c>
      <c r="X58" s="489"/>
      <c r="Y58" s="508">
        <f t="shared" si="56"/>
        <v>0</v>
      </c>
      <c r="Z58" s="489"/>
      <c r="AA58" s="508">
        <f t="shared" si="57"/>
        <v>0</v>
      </c>
      <c r="AB58" s="489"/>
      <c r="AC58" s="508">
        <f t="shared" si="58"/>
        <v>0</v>
      </c>
      <c r="AD58" s="489"/>
      <c r="AE58" s="508">
        <f t="shared" si="59"/>
        <v>0</v>
      </c>
      <c r="AF58" s="489"/>
      <c r="AG58" s="508">
        <f t="shared" si="60"/>
        <v>0</v>
      </c>
      <c r="AH58" s="489"/>
      <c r="AI58" s="508">
        <f t="shared" si="61"/>
        <v>0</v>
      </c>
      <c r="AJ58" s="214"/>
      <c r="AK58" s="779"/>
      <c r="AP58" s="48"/>
      <c r="AQ58" s="49"/>
      <c r="AR58" s="44"/>
      <c r="AS58" s="44"/>
      <c r="AT58" s="44"/>
      <c r="AU58" s="44"/>
      <c r="AV58" s="44"/>
      <c r="AW58" s="44"/>
      <c r="AX58" s="44"/>
      <c r="AY58" s="44"/>
      <c r="AZ58" s="44"/>
      <c r="BA58" s="44"/>
      <c r="BB58" s="44"/>
      <c r="BC58" s="44"/>
      <c r="BD58" s="44"/>
      <c r="BE58" s="44"/>
      <c r="BF58" s="44"/>
      <c r="BG58" s="44"/>
      <c r="BH58" s="44"/>
      <c r="BI58" s="44"/>
      <c r="BJ58" s="45"/>
    </row>
    <row r="59" spans="2:62" ht="15.75">
      <c r="B59" s="910" t="s">
        <v>1167</v>
      </c>
      <c r="C59" s="491">
        <v>6537</v>
      </c>
      <c r="D59" s="501"/>
      <c r="E59" s="502">
        <f>IF('02_1_INCOME'!$F$38=0,0,D59/'02_1_INCOME'!$F$38)</f>
        <v>0</v>
      </c>
      <c r="F59" s="501"/>
      <c r="G59" s="502">
        <f>IF('02_1_INCOME'!$F$38=0,0,F59/'02_1_INCOME'!$F$38)</f>
        <v>0</v>
      </c>
      <c r="H59" s="503">
        <f t="shared" si="46"/>
        <v>0</v>
      </c>
      <c r="I59" s="504">
        <f t="shared" si="47"/>
        <v>0</v>
      </c>
      <c r="J59" s="505">
        <f t="shared" si="48"/>
        <v>0</v>
      </c>
      <c r="K59" s="509">
        <f t="shared" si="49"/>
        <v>0</v>
      </c>
      <c r="L59" s="1406"/>
      <c r="M59" s="507">
        <f t="shared" si="50"/>
        <v>0</v>
      </c>
      <c r="N59" s="1406"/>
      <c r="O59" s="508">
        <f t="shared" si="51"/>
        <v>0</v>
      </c>
      <c r="P59" s="1406"/>
      <c r="Q59" s="508">
        <f t="shared" si="52"/>
        <v>0</v>
      </c>
      <c r="R59" s="489"/>
      <c r="S59" s="508">
        <f t="shared" si="53"/>
        <v>0</v>
      </c>
      <c r="T59" s="489"/>
      <c r="U59" s="508">
        <f t="shared" si="54"/>
        <v>0</v>
      </c>
      <c r="V59" s="489"/>
      <c r="W59" s="508">
        <f t="shared" si="55"/>
        <v>0</v>
      </c>
      <c r="X59" s="489"/>
      <c r="Y59" s="508">
        <f t="shared" si="56"/>
        <v>0</v>
      </c>
      <c r="Z59" s="489"/>
      <c r="AA59" s="508">
        <f t="shared" si="57"/>
        <v>0</v>
      </c>
      <c r="AB59" s="489"/>
      <c r="AC59" s="508">
        <f t="shared" si="58"/>
        <v>0</v>
      </c>
      <c r="AD59" s="489"/>
      <c r="AE59" s="508">
        <f t="shared" si="59"/>
        <v>0</v>
      </c>
      <c r="AF59" s="489"/>
      <c r="AG59" s="508">
        <f t="shared" si="60"/>
        <v>0</v>
      </c>
      <c r="AH59" s="489"/>
      <c r="AI59" s="508">
        <f t="shared" si="61"/>
        <v>0</v>
      </c>
      <c r="AJ59" s="214"/>
      <c r="AK59" s="779"/>
      <c r="AP59" s="46"/>
      <c r="AQ59" s="44"/>
      <c r="AR59" s="44"/>
      <c r="AS59" s="44"/>
      <c r="AT59" s="44"/>
      <c r="AU59" s="44"/>
      <c r="AV59" s="44"/>
      <c r="AW59" s="44"/>
      <c r="AX59" s="44"/>
      <c r="AY59" s="44"/>
      <c r="AZ59" s="44"/>
      <c r="BA59" s="44"/>
      <c r="BB59" s="44"/>
      <c r="BC59" s="44"/>
      <c r="BD59" s="44"/>
      <c r="BE59" s="44"/>
      <c r="BF59" s="44"/>
      <c r="BG59" s="44"/>
      <c r="BH59" s="44"/>
      <c r="BI59" s="44"/>
      <c r="BJ59" s="45"/>
    </row>
    <row r="60" spans="2:62" ht="15.75">
      <c r="B60" s="910" t="s">
        <v>1168</v>
      </c>
      <c r="C60" s="491">
        <v>6540</v>
      </c>
      <c r="D60" s="501"/>
      <c r="E60" s="502">
        <f>IF('02_1_INCOME'!$F$38=0,0,D60/'02_1_INCOME'!$F$38)</f>
        <v>0</v>
      </c>
      <c r="F60" s="501"/>
      <c r="G60" s="502">
        <f>IF('02_1_INCOME'!$F$38=0,0,F60/'02_1_INCOME'!$F$38)</f>
        <v>0</v>
      </c>
      <c r="H60" s="503">
        <f t="shared" si="46"/>
        <v>0</v>
      </c>
      <c r="I60" s="504">
        <f t="shared" si="47"/>
        <v>0</v>
      </c>
      <c r="J60" s="505">
        <f t="shared" si="48"/>
        <v>0</v>
      </c>
      <c r="K60" s="509">
        <f t="shared" si="49"/>
        <v>0</v>
      </c>
      <c r="L60" s="1406"/>
      <c r="M60" s="507">
        <f t="shared" si="50"/>
        <v>0</v>
      </c>
      <c r="N60" s="1406"/>
      <c r="O60" s="508">
        <f t="shared" si="51"/>
        <v>0</v>
      </c>
      <c r="P60" s="1406"/>
      <c r="Q60" s="508">
        <f t="shared" si="52"/>
        <v>0</v>
      </c>
      <c r="R60" s="489"/>
      <c r="S60" s="508">
        <f t="shared" si="53"/>
        <v>0</v>
      </c>
      <c r="T60" s="489"/>
      <c r="U60" s="508">
        <f t="shared" si="54"/>
        <v>0</v>
      </c>
      <c r="V60" s="489"/>
      <c r="W60" s="508">
        <f t="shared" si="55"/>
        <v>0</v>
      </c>
      <c r="X60" s="489"/>
      <c r="Y60" s="508">
        <f t="shared" si="56"/>
        <v>0</v>
      </c>
      <c r="Z60" s="489"/>
      <c r="AA60" s="508">
        <f t="shared" si="57"/>
        <v>0</v>
      </c>
      <c r="AB60" s="489"/>
      <c r="AC60" s="508">
        <f t="shared" si="58"/>
        <v>0</v>
      </c>
      <c r="AD60" s="489"/>
      <c r="AE60" s="508">
        <f t="shared" si="59"/>
        <v>0</v>
      </c>
      <c r="AF60" s="489"/>
      <c r="AG60" s="508">
        <f t="shared" si="60"/>
        <v>0</v>
      </c>
      <c r="AH60" s="489"/>
      <c r="AI60" s="508">
        <f t="shared" si="61"/>
        <v>0</v>
      </c>
      <c r="AJ60" s="214"/>
      <c r="AK60" s="779"/>
      <c r="AP60" s="46"/>
      <c r="AQ60" s="44"/>
      <c r="AR60" s="44"/>
      <c r="AS60" s="44"/>
      <c r="AT60" s="44"/>
      <c r="AU60" s="44"/>
      <c r="AV60" s="44"/>
      <c r="AW60" s="44"/>
      <c r="AX60" s="44"/>
      <c r="AY60" s="44"/>
      <c r="AZ60" s="44"/>
      <c r="BA60" s="44"/>
      <c r="BB60" s="44"/>
      <c r="BC60" s="44"/>
      <c r="BD60" s="44"/>
      <c r="BE60" s="44"/>
      <c r="BF60" s="44"/>
      <c r="BG60" s="44"/>
      <c r="BH60" s="44"/>
      <c r="BI60" s="44"/>
      <c r="BJ60" s="45"/>
    </row>
    <row r="61" spans="2:62" ht="15.75">
      <c r="B61" s="910" t="s">
        <v>1169</v>
      </c>
      <c r="C61" s="491">
        <v>6541</v>
      </c>
      <c r="D61" s="501"/>
      <c r="E61" s="502">
        <f>IF('02_1_INCOME'!$F$38=0,0,D61/'02_1_INCOME'!$F$38)</f>
        <v>0</v>
      </c>
      <c r="F61" s="501"/>
      <c r="G61" s="502">
        <f>IF('02_1_INCOME'!$F$38=0,0,F61/'02_1_INCOME'!$F$38)</f>
        <v>0</v>
      </c>
      <c r="H61" s="503">
        <f t="shared" si="46"/>
        <v>0</v>
      </c>
      <c r="I61" s="504">
        <f t="shared" si="47"/>
        <v>0</v>
      </c>
      <c r="J61" s="505">
        <f t="shared" si="48"/>
        <v>0</v>
      </c>
      <c r="K61" s="509">
        <f t="shared" si="49"/>
        <v>0</v>
      </c>
      <c r="L61" s="1406"/>
      <c r="M61" s="507">
        <f t="shared" si="50"/>
        <v>0</v>
      </c>
      <c r="N61" s="1406"/>
      <c r="O61" s="508">
        <f t="shared" si="51"/>
        <v>0</v>
      </c>
      <c r="P61" s="1406"/>
      <c r="Q61" s="508">
        <f t="shared" si="52"/>
        <v>0</v>
      </c>
      <c r="R61" s="489"/>
      <c r="S61" s="508">
        <f t="shared" si="53"/>
        <v>0</v>
      </c>
      <c r="T61" s="489"/>
      <c r="U61" s="508">
        <f t="shared" si="54"/>
        <v>0</v>
      </c>
      <c r="V61" s="489"/>
      <c r="W61" s="508">
        <f t="shared" si="55"/>
        <v>0</v>
      </c>
      <c r="X61" s="489"/>
      <c r="Y61" s="508">
        <f t="shared" si="56"/>
        <v>0</v>
      </c>
      <c r="Z61" s="489"/>
      <c r="AA61" s="508">
        <f t="shared" si="57"/>
        <v>0</v>
      </c>
      <c r="AB61" s="489"/>
      <c r="AC61" s="508">
        <f t="shared" si="58"/>
        <v>0</v>
      </c>
      <c r="AD61" s="489"/>
      <c r="AE61" s="508">
        <f t="shared" si="59"/>
        <v>0</v>
      </c>
      <c r="AF61" s="489"/>
      <c r="AG61" s="508">
        <f t="shared" si="60"/>
        <v>0</v>
      </c>
      <c r="AH61" s="489"/>
      <c r="AI61" s="508">
        <f t="shared" si="61"/>
        <v>0</v>
      </c>
      <c r="AJ61" s="214"/>
      <c r="AK61" s="779"/>
      <c r="AP61" s="46"/>
      <c r="AQ61" s="44"/>
      <c r="AR61" s="44"/>
      <c r="AS61" s="44"/>
      <c r="AT61" s="44"/>
      <c r="AU61" s="44"/>
      <c r="AV61" s="44"/>
      <c r="AW61" s="44"/>
      <c r="AX61" s="44"/>
      <c r="AY61" s="44"/>
      <c r="AZ61" s="44"/>
      <c r="BA61" s="44"/>
      <c r="BB61" s="44"/>
      <c r="BC61" s="44"/>
      <c r="BD61" s="44"/>
      <c r="BE61" s="44"/>
      <c r="BF61" s="44"/>
      <c r="BG61" s="44"/>
      <c r="BH61" s="44"/>
      <c r="BI61" s="44"/>
      <c r="BJ61" s="45"/>
    </row>
    <row r="62" spans="2:62" ht="15.75">
      <c r="B62" s="910" t="s">
        <v>1170</v>
      </c>
      <c r="C62" s="491">
        <v>6542</v>
      </c>
      <c r="D62" s="501"/>
      <c r="E62" s="502">
        <f>IF('02_1_INCOME'!$F$38=0,0,D62/'02_1_INCOME'!$F$38)</f>
        <v>0</v>
      </c>
      <c r="F62" s="501"/>
      <c r="G62" s="502">
        <f>IF('02_1_INCOME'!$F$38=0,0,F62/'02_1_INCOME'!$F$38)</f>
        <v>0</v>
      </c>
      <c r="H62" s="503">
        <f t="shared" si="46"/>
        <v>0</v>
      </c>
      <c r="I62" s="504">
        <f t="shared" si="47"/>
        <v>0</v>
      </c>
      <c r="J62" s="505">
        <f t="shared" si="48"/>
        <v>0</v>
      </c>
      <c r="K62" s="509">
        <f t="shared" si="49"/>
        <v>0</v>
      </c>
      <c r="L62" s="1406"/>
      <c r="M62" s="507">
        <f t="shared" si="50"/>
        <v>0</v>
      </c>
      <c r="N62" s="1406"/>
      <c r="O62" s="508">
        <f t="shared" si="51"/>
        <v>0</v>
      </c>
      <c r="P62" s="1406"/>
      <c r="Q62" s="508">
        <f t="shared" si="52"/>
        <v>0</v>
      </c>
      <c r="R62" s="489"/>
      <c r="S62" s="508">
        <f t="shared" si="53"/>
        <v>0</v>
      </c>
      <c r="T62" s="489"/>
      <c r="U62" s="508">
        <f t="shared" si="54"/>
        <v>0</v>
      </c>
      <c r="V62" s="489"/>
      <c r="W62" s="508">
        <f t="shared" si="55"/>
        <v>0</v>
      </c>
      <c r="X62" s="489"/>
      <c r="Y62" s="508">
        <f t="shared" si="56"/>
        <v>0</v>
      </c>
      <c r="Z62" s="489"/>
      <c r="AA62" s="508">
        <f t="shared" si="57"/>
        <v>0</v>
      </c>
      <c r="AB62" s="489"/>
      <c r="AC62" s="508">
        <f t="shared" si="58"/>
        <v>0</v>
      </c>
      <c r="AD62" s="489"/>
      <c r="AE62" s="508">
        <f t="shared" si="59"/>
        <v>0</v>
      </c>
      <c r="AF62" s="489"/>
      <c r="AG62" s="508">
        <f t="shared" si="60"/>
        <v>0</v>
      </c>
      <c r="AH62" s="489"/>
      <c r="AI62" s="508">
        <f t="shared" si="61"/>
        <v>0</v>
      </c>
      <c r="AJ62" s="214"/>
      <c r="AK62" s="781"/>
      <c r="AP62" s="46"/>
      <c r="AQ62" s="44"/>
      <c r="AR62" s="44"/>
      <c r="AS62" s="44"/>
      <c r="AT62" s="44"/>
      <c r="AU62" s="44"/>
      <c r="AV62" s="44"/>
      <c r="AW62" s="44"/>
      <c r="AX62" s="44"/>
      <c r="AY62" s="44"/>
      <c r="AZ62" s="44"/>
      <c r="BA62" s="44"/>
      <c r="BB62" s="44"/>
      <c r="BC62" s="44"/>
      <c r="BD62" s="44"/>
      <c r="BE62" s="44"/>
      <c r="BF62" s="44"/>
      <c r="BG62" s="44"/>
      <c r="BH62" s="44"/>
      <c r="BI62" s="44"/>
      <c r="BJ62" s="45"/>
    </row>
    <row r="63" spans="2:62" ht="15.75">
      <c r="B63" s="910" t="s">
        <v>1171</v>
      </c>
      <c r="C63" s="491">
        <v>6543</v>
      </c>
      <c r="D63" s="501"/>
      <c r="E63" s="502">
        <f>IF('02_1_INCOME'!$F$38=0,0,D63/'02_1_INCOME'!$F$38)</f>
        <v>0</v>
      </c>
      <c r="F63" s="501"/>
      <c r="G63" s="502">
        <f>IF('02_1_INCOME'!$F$38=0,0,F63/'02_1_INCOME'!$F$38)</f>
        <v>0</v>
      </c>
      <c r="H63" s="503">
        <f t="shared" si="46"/>
        <v>0</v>
      </c>
      <c r="I63" s="504">
        <f>IF(AND(H63&lt;&gt;0, E63&lt;&gt;0),(H63-E63)/E63,0)</f>
        <v>0</v>
      </c>
      <c r="J63" s="505">
        <f t="shared" si="48"/>
        <v>0</v>
      </c>
      <c r="K63" s="509">
        <f>IF(AND(J63&lt;&gt;0, $E63&lt;&gt;0),(J63-$E63)/$E63,0)</f>
        <v>0</v>
      </c>
      <c r="L63" s="1406"/>
      <c r="M63" s="507">
        <f>IF(rng02_Projections_Unit_1&lt;&gt;0, (L63*(1+rng01_OpExRate)^(rng01_FirstYearProforma-rng02_Projections_Year_1))/rng02_Projections_Unit_1,0)</f>
        <v>0</v>
      </c>
      <c r="N63" s="1406"/>
      <c r="O63" s="508">
        <f>IF(rng02_Projections_Unit_2&lt;&gt;0, (N63*(1+rng01_OpExRate)^(rng01_FirstYearProforma-rng02_Projections_Year_2))/rng02_Projections_Unit_2,0)</f>
        <v>0</v>
      </c>
      <c r="P63" s="1406"/>
      <c r="Q63" s="508">
        <f>IF(rng02_Projections_Unit_3&lt;&gt;0, (P63*(1+rng01_OpExRate)^(rng01_FirstYearProforma-rng02_Projections_Year_3))/rng02_Projections_Unit_3,0)</f>
        <v>0</v>
      </c>
      <c r="R63" s="489"/>
      <c r="S63" s="508">
        <f>IF(rng02_Projections_Unit_4&lt;&gt;0, (R63*(1+rng01_OpExRate)^(rng01_FirstYearProforma-rng02_Projections_Year_4))/rng02_Projections_Unit_4,0)</f>
        <v>0</v>
      </c>
      <c r="T63" s="489"/>
      <c r="U63" s="508">
        <f>IF(rng02_Projections_Unit_5&lt;&gt;0, (T63*(1+rng01_OpExRate)^(rng01_FirstYearProforma-rng02_Projections_Year_5))/rng02_Projections_Unit_5,0)</f>
        <v>0</v>
      </c>
      <c r="V63" s="489"/>
      <c r="W63" s="508">
        <f>IF(rng02_Projections_Unit_6&lt;&gt;0, (V63*(1+rng01_OpExRate)^(rng01_FirstYearProforma-rng02_Projections_Year_6))/rng02_Projections_Unit_6,0)</f>
        <v>0</v>
      </c>
      <c r="X63" s="489"/>
      <c r="Y63" s="508">
        <f>IF(rng02_Projections_Unit_7&lt;&gt;0, (X63*(1+rng01_OpExRate)^(rng01_FirstYearProforma-rng02_Projections_Year_7))/rng02_Projections_Unit_7,0)</f>
        <v>0</v>
      </c>
      <c r="Z63" s="489"/>
      <c r="AA63" s="508">
        <f t="shared" si="57"/>
        <v>0</v>
      </c>
      <c r="AB63" s="489"/>
      <c r="AC63" s="508">
        <f t="shared" si="58"/>
        <v>0</v>
      </c>
      <c r="AD63" s="489"/>
      <c r="AE63" s="508">
        <f t="shared" si="59"/>
        <v>0</v>
      </c>
      <c r="AF63" s="489"/>
      <c r="AG63" s="508">
        <f t="shared" si="60"/>
        <v>0</v>
      </c>
      <c r="AH63" s="489"/>
      <c r="AI63" s="508">
        <f t="shared" si="61"/>
        <v>0</v>
      </c>
      <c r="AJ63" s="214"/>
      <c r="AK63" s="781"/>
      <c r="AP63" s="46"/>
      <c r="AQ63" s="44"/>
      <c r="AR63" s="44"/>
      <c r="AS63" s="44"/>
      <c r="AT63" s="44"/>
      <c r="AU63" s="44"/>
      <c r="AV63" s="44"/>
      <c r="AW63" s="44"/>
      <c r="AX63" s="44"/>
      <c r="AY63" s="44"/>
      <c r="AZ63" s="44"/>
      <c r="BA63" s="44"/>
      <c r="BB63" s="44"/>
      <c r="BC63" s="44"/>
      <c r="BD63" s="44"/>
      <c r="BE63" s="44"/>
      <c r="BF63" s="44"/>
      <c r="BG63" s="44"/>
      <c r="BH63" s="44"/>
      <c r="BI63" s="44"/>
      <c r="BJ63" s="45"/>
    </row>
    <row r="64" spans="2:62" ht="15.75">
      <c r="B64" s="910" t="s">
        <v>1172</v>
      </c>
      <c r="C64" s="491">
        <v>6544</v>
      </c>
      <c r="D64" s="501"/>
      <c r="E64" s="502">
        <f>IF('02_1_INCOME'!$F$38=0,0,D64/'02_1_INCOME'!$F$38)</f>
        <v>0</v>
      </c>
      <c r="F64" s="501"/>
      <c r="G64" s="502">
        <f>IF('02_1_INCOME'!$F$38=0,0,F64/'02_1_INCOME'!$F$38)</f>
        <v>0</v>
      </c>
      <c r="H64" s="503">
        <f t="shared" si="46"/>
        <v>0</v>
      </c>
      <c r="I64" s="504">
        <f>IF(AND(H64&lt;&gt;0, E64&lt;&gt;0),(H64-E64)/E64,0)</f>
        <v>0</v>
      </c>
      <c r="J64" s="505">
        <f t="shared" si="48"/>
        <v>0</v>
      </c>
      <c r="K64" s="509">
        <f>IF(AND(J64&lt;&gt;0, $E64&lt;&gt;0),(J64-$E64)/$E64,0)</f>
        <v>0</v>
      </c>
      <c r="L64" s="1406"/>
      <c r="M64" s="507">
        <f>IF(rng02_Projections_Unit_1&lt;&gt;0, (L64*(1+rng01_OpExRate)^(rng01_FirstYearProforma-rng02_Projections_Year_1))/rng02_Projections_Unit_1,0)</f>
        <v>0</v>
      </c>
      <c r="N64" s="1406"/>
      <c r="O64" s="508">
        <f>IF(rng02_Projections_Unit_2&lt;&gt;0, (N64*(1+rng01_OpExRate)^(rng01_FirstYearProforma-rng02_Projections_Year_2))/rng02_Projections_Unit_2,0)</f>
        <v>0</v>
      </c>
      <c r="P64" s="1406"/>
      <c r="Q64" s="508">
        <f>IF(rng02_Projections_Unit_3&lt;&gt;0, (P64*(1+rng01_OpExRate)^(rng01_FirstYearProforma-rng02_Projections_Year_3))/rng02_Projections_Unit_3,0)</f>
        <v>0</v>
      </c>
      <c r="R64" s="489"/>
      <c r="S64" s="508">
        <f>IF(rng02_Projections_Unit_4&lt;&gt;0, (R64*(1+rng01_OpExRate)^(rng01_FirstYearProforma-rng02_Projections_Year_4))/rng02_Projections_Unit_4,0)</f>
        <v>0</v>
      </c>
      <c r="T64" s="489"/>
      <c r="U64" s="508">
        <f>IF(rng02_Projections_Unit_5&lt;&gt;0, (T64*(1+rng01_OpExRate)^(rng01_FirstYearProforma-rng02_Projections_Year_5))/rng02_Projections_Unit_5,0)</f>
        <v>0</v>
      </c>
      <c r="V64" s="489"/>
      <c r="W64" s="508">
        <f>IF(rng02_Projections_Unit_6&lt;&gt;0, (V64*(1+rng01_OpExRate)^(rng01_FirstYearProforma-rng02_Projections_Year_6))/rng02_Projections_Unit_6,0)</f>
        <v>0</v>
      </c>
      <c r="X64" s="489"/>
      <c r="Y64" s="508">
        <f>IF(rng02_Projections_Unit_7&lt;&gt;0, (X64*(1+rng01_OpExRate)^(rng01_FirstYearProforma-rng02_Projections_Year_7))/rng02_Projections_Unit_7,0)</f>
        <v>0</v>
      </c>
      <c r="Z64" s="489"/>
      <c r="AA64" s="508">
        <f t="shared" si="57"/>
        <v>0</v>
      </c>
      <c r="AB64" s="489"/>
      <c r="AC64" s="508">
        <f t="shared" si="58"/>
        <v>0</v>
      </c>
      <c r="AD64" s="489"/>
      <c r="AE64" s="508">
        <f t="shared" si="59"/>
        <v>0</v>
      </c>
      <c r="AF64" s="489"/>
      <c r="AG64" s="508">
        <f t="shared" si="60"/>
        <v>0</v>
      </c>
      <c r="AH64" s="489"/>
      <c r="AI64" s="508">
        <f t="shared" si="61"/>
        <v>0</v>
      </c>
      <c r="AJ64" s="214"/>
      <c r="AK64" s="781"/>
      <c r="AP64" s="47"/>
      <c r="AQ64" s="44"/>
      <c r="AR64" s="44"/>
      <c r="AS64" s="44"/>
      <c r="AT64" s="44"/>
      <c r="AU64" s="44"/>
      <c r="AV64" s="44"/>
      <c r="AW64" s="44"/>
      <c r="AX64" s="44"/>
      <c r="AY64" s="44"/>
      <c r="AZ64" s="44"/>
      <c r="BA64" s="44"/>
      <c r="BB64" s="44"/>
      <c r="BC64" s="44"/>
      <c r="BD64" s="44"/>
      <c r="BE64" s="44"/>
      <c r="BF64" s="44"/>
      <c r="BG64" s="44"/>
      <c r="BH64" s="44"/>
      <c r="BI64" s="44"/>
      <c r="BJ64" s="45"/>
    </row>
    <row r="65" spans="2:62" ht="15.75">
      <c r="B65" s="910" t="s">
        <v>1173</v>
      </c>
      <c r="C65" s="491">
        <v>6545</v>
      </c>
      <c r="D65" s="501"/>
      <c r="E65" s="502">
        <f>IF('02_1_INCOME'!$F$38=0,0,D65/'02_1_INCOME'!$F$38)</f>
        <v>0</v>
      </c>
      <c r="F65" s="501"/>
      <c r="G65" s="502">
        <f>IF('02_1_INCOME'!$F$38=0,0,F65/'02_1_INCOME'!$F$38)</f>
        <v>0</v>
      </c>
      <c r="H65" s="503">
        <f t="shared" si="46"/>
        <v>0</v>
      </c>
      <c r="I65" s="504">
        <f t="shared" si="47"/>
        <v>0</v>
      </c>
      <c r="J65" s="505">
        <f t="shared" si="48"/>
        <v>0</v>
      </c>
      <c r="K65" s="509">
        <f t="shared" si="49"/>
        <v>0</v>
      </c>
      <c r="L65" s="1406"/>
      <c r="M65" s="507">
        <f t="shared" si="50"/>
        <v>0</v>
      </c>
      <c r="N65" s="1406"/>
      <c r="O65" s="508">
        <f t="shared" si="51"/>
        <v>0</v>
      </c>
      <c r="P65" s="1406"/>
      <c r="Q65" s="508">
        <f t="shared" si="52"/>
        <v>0</v>
      </c>
      <c r="R65" s="489"/>
      <c r="S65" s="508">
        <f t="shared" si="53"/>
        <v>0</v>
      </c>
      <c r="T65" s="489"/>
      <c r="U65" s="508">
        <f t="shared" si="54"/>
        <v>0</v>
      </c>
      <c r="V65" s="489"/>
      <c r="W65" s="508">
        <f t="shared" si="55"/>
        <v>0</v>
      </c>
      <c r="X65" s="489"/>
      <c r="Y65" s="508">
        <f t="shared" si="56"/>
        <v>0</v>
      </c>
      <c r="Z65" s="489"/>
      <c r="AA65" s="508">
        <f t="shared" si="57"/>
        <v>0</v>
      </c>
      <c r="AB65" s="489"/>
      <c r="AC65" s="508">
        <f t="shared" si="58"/>
        <v>0</v>
      </c>
      <c r="AD65" s="489"/>
      <c r="AE65" s="508">
        <f t="shared" si="59"/>
        <v>0</v>
      </c>
      <c r="AF65" s="489"/>
      <c r="AG65" s="508">
        <f t="shared" si="60"/>
        <v>0</v>
      </c>
      <c r="AH65" s="489"/>
      <c r="AI65" s="508">
        <f t="shared" si="61"/>
        <v>0</v>
      </c>
      <c r="AJ65" s="214"/>
      <c r="AK65" s="779"/>
      <c r="AP65" s="46"/>
      <c r="AQ65" s="44"/>
      <c r="AR65" s="44"/>
      <c r="AS65" s="44"/>
      <c r="AT65" s="44"/>
      <c r="AU65" s="44"/>
      <c r="AV65" s="44"/>
      <c r="AW65" s="44"/>
      <c r="AX65" s="44"/>
      <c r="AY65" s="44"/>
      <c r="AZ65" s="44"/>
      <c r="BA65" s="44"/>
      <c r="BB65" s="44"/>
      <c r="BC65" s="44"/>
      <c r="BD65" s="44"/>
      <c r="BE65" s="44"/>
      <c r="BF65" s="44"/>
      <c r="BG65" s="44"/>
      <c r="BH65" s="44"/>
      <c r="BI65" s="44"/>
      <c r="BJ65" s="45"/>
    </row>
    <row r="66" spans="2:62" ht="15.75">
      <c r="B66" s="910" t="s">
        <v>1174</v>
      </c>
      <c r="C66" s="491">
        <v>6546</v>
      </c>
      <c r="D66" s="501"/>
      <c r="E66" s="502">
        <f>IF('02_1_INCOME'!$F$38=0,0,D66/'02_1_INCOME'!$F$38)</f>
        <v>0</v>
      </c>
      <c r="F66" s="501"/>
      <c r="G66" s="502">
        <f>IF('02_1_INCOME'!$F$38=0,0,F66/'02_1_INCOME'!$F$38)</f>
        <v>0</v>
      </c>
      <c r="H66" s="503">
        <f t="shared" si="46"/>
        <v>0</v>
      </c>
      <c r="I66" s="504">
        <f t="shared" si="47"/>
        <v>0</v>
      </c>
      <c r="J66" s="505">
        <f t="shared" si="48"/>
        <v>0</v>
      </c>
      <c r="K66" s="509">
        <f t="shared" si="49"/>
        <v>0</v>
      </c>
      <c r="L66" s="1406"/>
      <c r="M66" s="507">
        <f t="shared" si="50"/>
        <v>0</v>
      </c>
      <c r="N66" s="1406"/>
      <c r="O66" s="508">
        <f t="shared" si="51"/>
        <v>0</v>
      </c>
      <c r="P66" s="1406"/>
      <c r="Q66" s="508">
        <f t="shared" si="52"/>
        <v>0</v>
      </c>
      <c r="R66" s="489"/>
      <c r="S66" s="508">
        <f t="shared" si="53"/>
        <v>0</v>
      </c>
      <c r="T66" s="489"/>
      <c r="U66" s="508">
        <f t="shared" si="54"/>
        <v>0</v>
      </c>
      <c r="V66" s="489"/>
      <c r="W66" s="508">
        <f t="shared" si="55"/>
        <v>0</v>
      </c>
      <c r="X66" s="489"/>
      <c r="Y66" s="508">
        <f t="shared" si="56"/>
        <v>0</v>
      </c>
      <c r="Z66" s="489"/>
      <c r="AA66" s="508">
        <f t="shared" si="57"/>
        <v>0</v>
      </c>
      <c r="AB66" s="489"/>
      <c r="AC66" s="508">
        <f t="shared" si="58"/>
        <v>0</v>
      </c>
      <c r="AD66" s="489"/>
      <c r="AE66" s="508">
        <f t="shared" si="59"/>
        <v>0</v>
      </c>
      <c r="AF66" s="489"/>
      <c r="AG66" s="508">
        <f t="shared" si="60"/>
        <v>0</v>
      </c>
      <c r="AH66" s="489"/>
      <c r="AI66" s="508">
        <f t="shared" si="61"/>
        <v>0</v>
      </c>
      <c r="AJ66" s="214"/>
      <c r="AK66" s="779"/>
      <c r="AP66" s="46"/>
      <c r="AQ66" s="44"/>
      <c r="AR66" s="44"/>
      <c r="AS66" s="44"/>
      <c r="AT66" s="44"/>
      <c r="AU66" s="44"/>
      <c r="AV66" s="44"/>
      <c r="AW66" s="44"/>
      <c r="AX66" s="44"/>
      <c r="AY66" s="44"/>
      <c r="AZ66" s="44"/>
      <c r="BA66" s="44"/>
      <c r="BB66" s="44"/>
      <c r="BC66" s="44"/>
      <c r="BD66" s="44"/>
      <c r="BE66" s="44"/>
      <c r="BF66" s="44"/>
      <c r="BG66" s="44"/>
      <c r="BH66" s="44"/>
      <c r="BI66" s="44"/>
      <c r="BJ66" s="45"/>
    </row>
    <row r="67" spans="2:62" ht="15.75">
      <c r="B67" s="910" t="s">
        <v>1175</v>
      </c>
      <c r="C67" s="491">
        <v>6547</v>
      </c>
      <c r="D67" s="501"/>
      <c r="E67" s="502">
        <f>IF('02_1_INCOME'!$F$38=0,0,D67/'02_1_INCOME'!$F$38)</f>
        <v>0</v>
      </c>
      <c r="F67" s="501"/>
      <c r="G67" s="502">
        <f>IF('02_1_INCOME'!$F$38=0,0,F67/'02_1_INCOME'!$F$38)</f>
        <v>0</v>
      </c>
      <c r="H67" s="503">
        <f t="shared" si="46"/>
        <v>0</v>
      </c>
      <c r="I67" s="504">
        <f>IF(AND(H67&lt;&gt;0, E67&lt;&gt;0),(H67-E67)/E67,0)</f>
        <v>0</v>
      </c>
      <c r="J67" s="505">
        <f t="shared" si="48"/>
        <v>0</v>
      </c>
      <c r="K67" s="509">
        <f>IF(AND(J67&lt;&gt;0, $E67&lt;&gt;0),(J67-$E67)/$E67,0)</f>
        <v>0</v>
      </c>
      <c r="L67" s="1406"/>
      <c r="M67" s="507">
        <f>IF(rng02_Projections_Unit_1&lt;&gt;0, (L67*(1+rng01_OpExRate)^(rng01_FirstYearProforma-rng02_Projections_Year_1))/rng02_Projections_Unit_1,0)</f>
        <v>0</v>
      </c>
      <c r="N67" s="1406"/>
      <c r="O67" s="508">
        <f>IF(rng02_Projections_Unit_2&lt;&gt;0, (N67*(1+rng01_OpExRate)^(rng01_FirstYearProforma-rng02_Projections_Year_2))/rng02_Projections_Unit_2,0)</f>
        <v>0</v>
      </c>
      <c r="P67" s="1406"/>
      <c r="Q67" s="508">
        <f>IF(rng02_Projections_Unit_3&lt;&gt;0, (P67*(1+rng01_OpExRate)^(rng01_FirstYearProforma-rng02_Projections_Year_3))/rng02_Projections_Unit_3,0)</f>
        <v>0</v>
      </c>
      <c r="R67" s="489"/>
      <c r="S67" s="508">
        <f>IF(rng02_Projections_Unit_4&lt;&gt;0, (R67*(1+rng01_OpExRate)^(rng01_FirstYearProforma-rng02_Projections_Year_4))/rng02_Projections_Unit_4,0)</f>
        <v>0</v>
      </c>
      <c r="T67" s="489"/>
      <c r="U67" s="508">
        <f>IF(rng02_Projections_Unit_5&lt;&gt;0, (T67*(1+rng01_OpExRate)^(rng01_FirstYearProforma-rng02_Projections_Year_5))/rng02_Projections_Unit_5,0)</f>
        <v>0</v>
      </c>
      <c r="V67" s="489"/>
      <c r="W67" s="508">
        <f>IF(rng02_Projections_Unit_6&lt;&gt;0, (V67*(1+rng01_OpExRate)^(rng01_FirstYearProforma-rng02_Projections_Year_6))/rng02_Projections_Unit_6,0)</f>
        <v>0</v>
      </c>
      <c r="X67" s="489"/>
      <c r="Y67" s="508">
        <f>IF(rng02_Projections_Unit_7&lt;&gt;0, (X67*(1+rng01_OpExRate)^(rng01_FirstYearProforma-rng02_Projections_Year_7))/rng02_Projections_Unit_7,0)</f>
        <v>0</v>
      </c>
      <c r="Z67" s="489"/>
      <c r="AA67" s="508">
        <f t="shared" si="57"/>
        <v>0</v>
      </c>
      <c r="AB67" s="489"/>
      <c r="AC67" s="508">
        <f t="shared" si="58"/>
        <v>0</v>
      </c>
      <c r="AD67" s="489"/>
      <c r="AE67" s="508">
        <f t="shared" si="59"/>
        <v>0</v>
      </c>
      <c r="AF67" s="489"/>
      <c r="AG67" s="508">
        <f t="shared" si="60"/>
        <v>0</v>
      </c>
      <c r="AH67" s="489"/>
      <c r="AI67" s="508">
        <f t="shared" si="61"/>
        <v>0</v>
      </c>
      <c r="AJ67" s="214"/>
      <c r="AK67" s="779"/>
      <c r="AP67" s="46"/>
      <c r="AQ67" s="44"/>
      <c r="AR67" s="44"/>
      <c r="AS67" s="44"/>
      <c r="AT67" s="44"/>
      <c r="AU67" s="44"/>
      <c r="AV67" s="44"/>
      <c r="AW67" s="44"/>
      <c r="AX67" s="44"/>
      <c r="AY67" s="44"/>
      <c r="AZ67" s="44"/>
      <c r="BA67" s="44"/>
      <c r="BB67" s="44"/>
      <c r="BC67" s="44"/>
      <c r="BD67" s="44"/>
      <c r="BE67" s="44"/>
      <c r="BF67" s="44"/>
      <c r="BG67" s="44"/>
      <c r="BH67" s="44"/>
      <c r="BI67" s="44"/>
      <c r="BJ67" s="45"/>
    </row>
    <row r="68" spans="2:62" ht="15.75">
      <c r="B68" s="910" t="s">
        <v>1176</v>
      </c>
      <c r="C68" s="491">
        <v>6548</v>
      </c>
      <c r="D68" s="501"/>
      <c r="E68" s="502">
        <f>IF('02_1_INCOME'!$F$38=0,0,D68/'02_1_INCOME'!$F$38)</f>
        <v>0</v>
      </c>
      <c r="F68" s="501"/>
      <c r="G68" s="502">
        <f>IF('02_1_INCOME'!$F$38=0,0,F68/'02_1_INCOME'!$F$38)</f>
        <v>0</v>
      </c>
      <c r="H68" s="503">
        <f t="shared" si="46"/>
        <v>0</v>
      </c>
      <c r="I68" s="504">
        <f>IF(AND(H68&lt;&gt;0, E68&lt;&gt;0),(H68-E68)/E68,0)</f>
        <v>0</v>
      </c>
      <c r="J68" s="505">
        <f t="shared" si="48"/>
        <v>0</v>
      </c>
      <c r="K68" s="509">
        <f>IF(AND(J68&lt;&gt;0, $E68&lt;&gt;0),(J68-$E68)/$E68,0)</f>
        <v>0</v>
      </c>
      <c r="L68" s="1406"/>
      <c r="M68" s="507">
        <f>IF(rng02_Projections_Unit_1&lt;&gt;0, (L68*(1+rng01_OpExRate)^(rng01_FirstYearProforma-rng02_Projections_Year_1))/rng02_Projections_Unit_1,0)</f>
        <v>0</v>
      </c>
      <c r="N68" s="1406"/>
      <c r="O68" s="508">
        <f>IF(rng02_Projections_Unit_2&lt;&gt;0, (N68*(1+rng01_OpExRate)^(rng01_FirstYearProforma-rng02_Projections_Year_2))/rng02_Projections_Unit_2,0)</f>
        <v>0</v>
      </c>
      <c r="P68" s="1406"/>
      <c r="Q68" s="508">
        <f>IF(rng02_Projections_Unit_3&lt;&gt;0, (P68*(1+rng01_OpExRate)^(rng01_FirstYearProforma-rng02_Projections_Year_3))/rng02_Projections_Unit_3,0)</f>
        <v>0</v>
      </c>
      <c r="R68" s="489"/>
      <c r="S68" s="508">
        <f>IF(rng02_Projections_Unit_4&lt;&gt;0, (R68*(1+rng01_OpExRate)^(rng01_FirstYearProforma-rng02_Projections_Year_4))/rng02_Projections_Unit_4,0)</f>
        <v>0</v>
      </c>
      <c r="T68" s="489"/>
      <c r="U68" s="508">
        <f>IF(rng02_Projections_Unit_5&lt;&gt;0, (T68*(1+rng01_OpExRate)^(rng01_FirstYearProforma-rng02_Projections_Year_5))/rng02_Projections_Unit_5,0)</f>
        <v>0</v>
      </c>
      <c r="V68" s="489"/>
      <c r="W68" s="508">
        <f>IF(rng02_Projections_Unit_6&lt;&gt;0, (V68*(1+rng01_OpExRate)^(rng01_FirstYearProforma-rng02_Projections_Year_6))/rng02_Projections_Unit_6,0)</f>
        <v>0</v>
      </c>
      <c r="X68" s="489"/>
      <c r="Y68" s="508">
        <f>IF(rng02_Projections_Unit_7&lt;&gt;0, (X68*(1+rng01_OpExRate)^(rng01_FirstYearProforma-rng02_Projections_Year_7))/rng02_Projections_Unit_7,0)</f>
        <v>0</v>
      </c>
      <c r="Z68" s="489"/>
      <c r="AA68" s="508">
        <f t="shared" si="57"/>
        <v>0</v>
      </c>
      <c r="AB68" s="489"/>
      <c r="AC68" s="508">
        <f t="shared" si="58"/>
        <v>0</v>
      </c>
      <c r="AD68" s="489"/>
      <c r="AE68" s="508">
        <f t="shared" si="59"/>
        <v>0</v>
      </c>
      <c r="AF68" s="489"/>
      <c r="AG68" s="508">
        <f t="shared" si="60"/>
        <v>0</v>
      </c>
      <c r="AH68" s="489"/>
      <c r="AI68" s="508">
        <f t="shared" si="61"/>
        <v>0</v>
      </c>
      <c r="AJ68" s="214"/>
      <c r="AK68" s="779"/>
      <c r="AP68" s="46"/>
      <c r="AQ68" s="44"/>
      <c r="AR68" s="44"/>
      <c r="AS68" s="44"/>
      <c r="AT68" s="44"/>
      <c r="AU68" s="44"/>
      <c r="AV68" s="44"/>
      <c r="AW68" s="44"/>
      <c r="AX68" s="44"/>
      <c r="AY68" s="44"/>
      <c r="AZ68" s="44"/>
      <c r="BA68" s="44"/>
      <c r="BB68" s="44"/>
      <c r="BC68" s="44"/>
      <c r="BD68" s="44"/>
      <c r="BE68" s="44"/>
      <c r="BF68" s="44"/>
      <c r="BG68" s="44"/>
      <c r="BH68" s="44"/>
      <c r="BI68" s="44"/>
      <c r="BJ68" s="45"/>
    </row>
    <row r="69" spans="2:62" ht="15.75">
      <c r="B69" s="910" t="s">
        <v>1177</v>
      </c>
      <c r="C69" s="491">
        <v>6550</v>
      </c>
      <c r="D69" s="501"/>
      <c r="E69" s="502">
        <f>IF('02_1_INCOME'!$F$38=0,0,D69/'02_1_INCOME'!$F$38)</f>
        <v>0</v>
      </c>
      <c r="F69" s="501"/>
      <c r="G69" s="502">
        <f>IF('02_1_INCOME'!$F$38=0,0,F69/'02_1_INCOME'!$F$38)</f>
        <v>0</v>
      </c>
      <c r="H69" s="503">
        <f t="shared" si="46"/>
        <v>0</v>
      </c>
      <c r="I69" s="504">
        <f>IF(AND(H69&lt;&gt;0, E69&lt;&gt;0),(H69-E69)/E69,0)</f>
        <v>0</v>
      </c>
      <c r="J69" s="505">
        <f t="shared" si="48"/>
        <v>0</v>
      </c>
      <c r="K69" s="509">
        <f>IF(AND(J69&lt;&gt;0, $E69&lt;&gt;0),(J69-$E69)/$E69,0)</f>
        <v>0</v>
      </c>
      <c r="L69" s="1406"/>
      <c r="M69" s="507">
        <f>IF(rng02_Projections_Unit_1&lt;&gt;0, (L69*(1+rng01_OpExRate)^(rng01_FirstYearProforma-rng02_Projections_Year_1))/rng02_Projections_Unit_1,0)</f>
        <v>0</v>
      </c>
      <c r="N69" s="1406"/>
      <c r="O69" s="508">
        <f>IF(rng02_Projections_Unit_2&lt;&gt;0, (N69*(1+rng01_OpExRate)^(rng01_FirstYearProforma-rng02_Projections_Year_2))/rng02_Projections_Unit_2,0)</f>
        <v>0</v>
      </c>
      <c r="P69" s="1406"/>
      <c r="Q69" s="508">
        <f>IF(rng02_Projections_Unit_3&lt;&gt;0, (P69*(1+rng01_OpExRate)^(rng01_FirstYearProforma-rng02_Projections_Year_3))/rng02_Projections_Unit_3,0)</f>
        <v>0</v>
      </c>
      <c r="R69" s="489"/>
      <c r="S69" s="508">
        <f>IF(rng02_Projections_Unit_4&lt;&gt;0, (R69*(1+rng01_OpExRate)^(rng01_FirstYearProforma-rng02_Projections_Year_4))/rng02_Projections_Unit_4,0)</f>
        <v>0</v>
      </c>
      <c r="T69" s="489"/>
      <c r="U69" s="508">
        <f>IF(rng02_Projections_Unit_5&lt;&gt;0, (T69*(1+rng01_OpExRate)^(rng01_FirstYearProforma-rng02_Projections_Year_5))/rng02_Projections_Unit_5,0)</f>
        <v>0</v>
      </c>
      <c r="V69" s="489"/>
      <c r="W69" s="508">
        <f>IF(rng02_Projections_Unit_6&lt;&gt;0, (V69*(1+rng01_OpExRate)^(rng01_FirstYearProforma-rng02_Projections_Year_6))/rng02_Projections_Unit_6,0)</f>
        <v>0</v>
      </c>
      <c r="X69" s="489"/>
      <c r="Y69" s="508">
        <f>IF(rng02_Projections_Unit_7&lt;&gt;0, (X69*(1+rng01_OpExRate)^(rng01_FirstYearProforma-rng02_Projections_Year_7))/rng02_Projections_Unit_7,0)</f>
        <v>0</v>
      </c>
      <c r="Z69" s="489"/>
      <c r="AA69" s="508">
        <f t="shared" si="57"/>
        <v>0</v>
      </c>
      <c r="AB69" s="489"/>
      <c r="AC69" s="508">
        <f t="shared" si="58"/>
        <v>0</v>
      </c>
      <c r="AD69" s="489"/>
      <c r="AE69" s="508">
        <f t="shared" si="59"/>
        <v>0</v>
      </c>
      <c r="AF69" s="489"/>
      <c r="AG69" s="508">
        <f t="shared" si="60"/>
        <v>0</v>
      </c>
      <c r="AH69" s="489"/>
      <c r="AI69" s="508">
        <f t="shared" si="61"/>
        <v>0</v>
      </c>
      <c r="AJ69" s="214"/>
      <c r="AK69" s="779"/>
      <c r="AP69" s="46"/>
      <c r="AQ69" s="44"/>
      <c r="AR69" s="44"/>
      <c r="AS69" s="44"/>
      <c r="AT69" s="44"/>
      <c r="AU69" s="44"/>
      <c r="AV69" s="44"/>
      <c r="AW69" s="44"/>
      <c r="AX69" s="44"/>
      <c r="AY69" s="44"/>
      <c r="AZ69" s="44"/>
      <c r="BA69" s="44"/>
      <c r="BB69" s="44"/>
      <c r="BC69" s="44"/>
      <c r="BD69" s="44"/>
      <c r="BE69" s="44"/>
      <c r="BF69" s="44"/>
      <c r="BG69" s="44"/>
      <c r="BH69" s="44"/>
      <c r="BI69" s="44"/>
      <c r="BJ69" s="45"/>
    </row>
    <row r="70" spans="2:62" ht="15.75">
      <c r="B70" s="910" t="s">
        <v>1178</v>
      </c>
      <c r="C70" s="491">
        <v>6560</v>
      </c>
      <c r="D70" s="501"/>
      <c r="E70" s="502">
        <f>IF('02_1_INCOME'!$F$38=0,0,D70/'02_1_INCOME'!$F$38)</f>
        <v>0</v>
      </c>
      <c r="F70" s="501"/>
      <c r="G70" s="502">
        <f>IF('02_1_INCOME'!$F$38=0,0,F70/'02_1_INCOME'!$F$38)</f>
        <v>0</v>
      </c>
      <c r="H70" s="503">
        <f t="shared" si="46"/>
        <v>0</v>
      </c>
      <c r="I70" s="504">
        <f t="shared" si="47"/>
        <v>0</v>
      </c>
      <c r="J70" s="505">
        <f t="shared" si="48"/>
        <v>0</v>
      </c>
      <c r="K70" s="509">
        <f t="shared" si="49"/>
        <v>0</v>
      </c>
      <c r="L70" s="1406"/>
      <c r="M70" s="507">
        <f t="shared" si="50"/>
        <v>0</v>
      </c>
      <c r="N70" s="1406"/>
      <c r="O70" s="508">
        <f t="shared" si="51"/>
        <v>0</v>
      </c>
      <c r="P70" s="1406"/>
      <c r="Q70" s="508">
        <f t="shared" si="52"/>
        <v>0</v>
      </c>
      <c r="R70" s="489"/>
      <c r="S70" s="508">
        <f t="shared" si="53"/>
        <v>0</v>
      </c>
      <c r="T70" s="489"/>
      <c r="U70" s="508">
        <f t="shared" si="54"/>
        <v>0</v>
      </c>
      <c r="V70" s="489"/>
      <c r="W70" s="508">
        <f t="shared" si="55"/>
        <v>0</v>
      </c>
      <c r="X70" s="489"/>
      <c r="Y70" s="508">
        <f t="shared" si="56"/>
        <v>0</v>
      </c>
      <c r="Z70" s="489"/>
      <c r="AA70" s="508">
        <f t="shared" si="57"/>
        <v>0</v>
      </c>
      <c r="AB70" s="489"/>
      <c r="AC70" s="508">
        <f t="shared" si="58"/>
        <v>0</v>
      </c>
      <c r="AD70" s="489"/>
      <c r="AE70" s="508">
        <f t="shared" si="59"/>
        <v>0</v>
      </c>
      <c r="AF70" s="489"/>
      <c r="AG70" s="508">
        <f t="shared" si="60"/>
        <v>0</v>
      </c>
      <c r="AH70" s="489"/>
      <c r="AI70" s="508">
        <f t="shared" si="61"/>
        <v>0</v>
      </c>
      <c r="AJ70" s="214"/>
      <c r="AK70" s="779"/>
      <c r="AP70" s="46"/>
      <c r="AQ70" s="44"/>
      <c r="AR70" s="44"/>
      <c r="AS70" s="44"/>
      <c r="AT70" s="44"/>
      <c r="AU70" s="44"/>
      <c r="AV70" s="44"/>
      <c r="AW70" s="44"/>
      <c r="AX70" s="44"/>
      <c r="AY70" s="44"/>
      <c r="AZ70" s="44"/>
      <c r="BA70" s="44"/>
      <c r="BB70" s="44"/>
      <c r="BC70" s="44"/>
      <c r="BD70" s="44"/>
      <c r="BE70" s="44"/>
      <c r="BF70" s="44"/>
      <c r="BG70" s="44"/>
      <c r="BH70" s="44"/>
      <c r="BI70" s="44"/>
      <c r="BJ70" s="45"/>
    </row>
    <row r="71" spans="2:62" ht="15.75">
      <c r="B71" s="910" t="s">
        <v>1179</v>
      </c>
      <c r="C71" s="491">
        <v>6561</v>
      </c>
      <c r="D71" s="501"/>
      <c r="E71" s="502">
        <f>IF('02_1_INCOME'!$F$38=0,0,D71/'02_1_INCOME'!$F$38)</f>
        <v>0</v>
      </c>
      <c r="F71" s="501"/>
      <c r="G71" s="502">
        <f>IF('02_1_INCOME'!$F$38=0,0,F71/'02_1_INCOME'!$F$38)</f>
        <v>0</v>
      </c>
      <c r="H71" s="503">
        <f t="shared" si="46"/>
        <v>0</v>
      </c>
      <c r="I71" s="504">
        <f t="shared" si="47"/>
        <v>0</v>
      </c>
      <c r="J71" s="505">
        <f t="shared" si="48"/>
        <v>0</v>
      </c>
      <c r="K71" s="509">
        <f t="shared" si="49"/>
        <v>0</v>
      </c>
      <c r="L71" s="1406"/>
      <c r="M71" s="507">
        <f t="shared" si="50"/>
        <v>0</v>
      </c>
      <c r="N71" s="1406"/>
      <c r="O71" s="508">
        <f t="shared" si="51"/>
        <v>0</v>
      </c>
      <c r="P71" s="1406"/>
      <c r="Q71" s="508">
        <f t="shared" si="52"/>
        <v>0</v>
      </c>
      <c r="R71" s="489"/>
      <c r="S71" s="508">
        <f t="shared" si="53"/>
        <v>0</v>
      </c>
      <c r="T71" s="489"/>
      <c r="U71" s="508">
        <f t="shared" si="54"/>
        <v>0</v>
      </c>
      <c r="V71" s="489"/>
      <c r="W71" s="508">
        <f t="shared" si="55"/>
        <v>0</v>
      </c>
      <c r="X71" s="489"/>
      <c r="Y71" s="508">
        <f t="shared" si="56"/>
        <v>0</v>
      </c>
      <c r="Z71" s="489"/>
      <c r="AA71" s="508">
        <f t="shared" si="57"/>
        <v>0</v>
      </c>
      <c r="AB71" s="489"/>
      <c r="AC71" s="508">
        <f t="shared" si="58"/>
        <v>0</v>
      </c>
      <c r="AD71" s="489"/>
      <c r="AE71" s="508">
        <f t="shared" si="59"/>
        <v>0</v>
      </c>
      <c r="AF71" s="489"/>
      <c r="AG71" s="508">
        <f t="shared" si="60"/>
        <v>0</v>
      </c>
      <c r="AH71" s="489"/>
      <c r="AI71" s="508">
        <f t="shared" si="61"/>
        <v>0</v>
      </c>
      <c r="AJ71" s="214"/>
      <c r="AK71" s="779"/>
      <c r="AP71" s="46"/>
      <c r="AQ71" s="44"/>
      <c r="AR71" s="44"/>
      <c r="AS71" s="44"/>
      <c r="AT71" s="44"/>
      <c r="AU71" s="44"/>
      <c r="AV71" s="44"/>
      <c r="AW71" s="44"/>
      <c r="AX71" s="44"/>
      <c r="AY71" s="44"/>
      <c r="AZ71" s="44"/>
      <c r="BA71" s="44"/>
      <c r="BB71" s="44"/>
      <c r="BC71" s="44"/>
      <c r="BD71" s="44"/>
      <c r="BE71" s="44"/>
      <c r="BF71" s="44"/>
      <c r="BG71" s="44"/>
      <c r="BH71" s="44"/>
      <c r="BI71" s="44"/>
      <c r="BJ71" s="45"/>
    </row>
    <row r="72" spans="2:62" ht="15.75">
      <c r="B72" s="910" t="s">
        <v>1180</v>
      </c>
      <c r="C72" s="491">
        <v>6570</v>
      </c>
      <c r="D72" s="501"/>
      <c r="E72" s="502">
        <f>IF('02_1_INCOME'!$F$38=0,0,D72/'02_1_INCOME'!$F$38)</f>
        <v>0</v>
      </c>
      <c r="F72" s="501"/>
      <c r="G72" s="502">
        <f>IF('02_1_INCOME'!$F$38=0,0,F72/'02_1_INCOME'!$F$38)</f>
        <v>0</v>
      </c>
      <c r="H72" s="503">
        <f t="shared" si="46"/>
        <v>0</v>
      </c>
      <c r="I72" s="504">
        <f t="shared" si="47"/>
        <v>0</v>
      </c>
      <c r="J72" s="505">
        <f t="shared" si="48"/>
        <v>0</v>
      </c>
      <c r="K72" s="509">
        <f t="shared" si="49"/>
        <v>0</v>
      </c>
      <c r="L72" s="1406"/>
      <c r="M72" s="507">
        <f t="shared" si="50"/>
        <v>0</v>
      </c>
      <c r="N72" s="1406"/>
      <c r="O72" s="508">
        <f t="shared" si="51"/>
        <v>0</v>
      </c>
      <c r="P72" s="1406"/>
      <c r="Q72" s="508">
        <f t="shared" si="52"/>
        <v>0</v>
      </c>
      <c r="R72" s="489"/>
      <c r="S72" s="508">
        <f t="shared" si="53"/>
        <v>0</v>
      </c>
      <c r="T72" s="489"/>
      <c r="U72" s="508">
        <f t="shared" si="54"/>
        <v>0</v>
      </c>
      <c r="V72" s="489"/>
      <c r="W72" s="508">
        <f t="shared" si="55"/>
        <v>0</v>
      </c>
      <c r="X72" s="489"/>
      <c r="Y72" s="508">
        <f t="shared" si="56"/>
        <v>0</v>
      </c>
      <c r="Z72" s="489"/>
      <c r="AA72" s="508">
        <f t="shared" si="57"/>
        <v>0</v>
      </c>
      <c r="AB72" s="489"/>
      <c r="AC72" s="508">
        <f t="shared" si="58"/>
        <v>0</v>
      </c>
      <c r="AD72" s="489"/>
      <c r="AE72" s="508">
        <f t="shared" si="59"/>
        <v>0</v>
      </c>
      <c r="AF72" s="489"/>
      <c r="AG72" s="508">
        <f t="shared" si="60"/>
        <v>0</v>
      </c>
      <c r="AH72" s="489"/>
      <c r="AI72" s="508">
        <f t="shared" si="61"/>
        <v>0</v>
      </c>
      <c r="AJ72" s="214"/>
      <c r="AK72" s="779"/>
      <c r="AP72" s="48"/>
      <c r="AQ72" s="49"/>
      <c r="AR72" s="44"/>
      <c r="AS72" s="44"/>
      <c r="AT72" s="44"/>
      <c r="AU72" s="44"/>
      <c r="AV72" s="44"/>
      <c r="AW72" s="44"/>
      <c r="AX72" s="44"/>
      <c r="AY72" s="44"/>
      <c r="AZ72" s="44"/>
      <c r="BA72" s="44"/>
      <c r="BB72" s="44"/>
      <c r="BC72" s="44"/>
      <c r="BD72" s="44"/>
      <c r="BE72" s="44"/>
      <c r="BF72" s="44"/>
      <c r="BG72" s="44"/>
      <c r="BH72" s="44"/>
      <c r="BI72" s="44"/>
      <c r="BJ72" s="45"/>
    </row>
    <row r="73" spans="2:62" ht="15.75">
      <c r="B73" s="910" t="s">
        <v>1181</v>
      </c>
      <c r="C73" s="491">
        <v>6590</v>
      </c>
      <c r="D73" s="501"/>
      <c r="E73" s="502">
        <f>IF('02_1_INCOME'!$F$38=0,0,D73/'02_1_INCOME'!$F$38)</f>
        <v>0</v>
      </c>
      <c r="F73" s="501"/>
      <c r="G73" s="502">
        <f>IF('02_1_INCOME'!$F$38=0,0,F73/'02_1_INCOME'!$F$38)</f>
        <v>0</v>
      </c>
      <c r="H73" s="503">
        <f t="shared" si="46"/>
        <v>0</v>
      </c>
      <c r="I73" s="504">
        <f t="shared" si="47"/>
        <v>0</v>
      </c>
      <c r="J73" s="505">
        <f t="shared" si="48"/>
        <v>0</v>
      </c>
      <c r="K73" s="509">
        <f t="shared" si="49"/>
        <v>0</v>
      </c>
      <c r="L73" s="1406"/>
      <c r="M73" s="507">
        <f t="shared" si="50"/>
        <v>0</v>
      </c>
      <c r="N73" s="1406"/>
      <c r="O73" s="508">
        <f t="shared" si="51"/>
        <v>0</v>
      </c>
      <c r="P73" s="1406"/>
      <c r="Q73" s="508">
        <f t="shared" si="52"/>
        <v>0</v>
      </c>
      <c r="R73" s="489"/>
      <c r="S73" s="508">
        <f t="shared" si="53"/>
        <v>0</v>
      </c>
      <c r="T73" s="489"/>
      <c r="U73" s="508">
        <f t="shared" si="54"/>
        <v>0</v>
      </c>
      <c r="V73" s="489"/>
      <c r="W73" s="508">
        <f t="shared" si="55"/>
        <v>0</v>
      </c>
      <c r="X73" s="489"/>
      <c r="Y73" s="508">
        <f t="shared" si="56"/>
        <v>0</v>
      </c>
      <c r="Z73" s="489"/>
      <c r="AA73" s="508">
        <f t="shared" si="57"/>
        <v>0</v>
      </c>
      <c r="AB73" s="489"/>
      <c r="AC73" s="508">
        <f t="shared" si="58"/>
        <v>0</v>
      </c>
      <c r="AD73" s="489"/>
      <c r="AE73" s="508">
        <f t="shared" si="59"/>
        <v>0</v>
      </c>
      <c r="AF73" s="489"/>
      <c r="AG73" s="508">
        <f t="shared" si="60"/>
        <v>0</v>
      </c>
      <c r="AH73" s="489"/>
      <c r="AI73" s="508">
        <f t="shared" si="61"/>
        <v>0</v>
      </c>
      <c r="AJ73" s="214"/>
      <c r="AK73" s="779"/>
      <c r="AP73" s="48"/>
      <c r="AQ73" s="49"/>
      <c r="AR73" s="44"/>
      <c r="AS73" s="44"/>
      <c r="AT73" s="44"/>
      <c r="AU73" s="44"/>
      <c r="AV73" s="44"/>
      <c r="AW73" s="44"/>
      <c r="AX73" s="44"/>
      <c r="AY73" s="44"/>
      <c r="AZ73" s="44"/>
      <c r="BA73" s="44"/>
      <c r="BB73" s="44"/>
      <c r="BC73" s="44"/>
      <c r="BD73" s="44"/>
      <c r="BE73" s="44"/>
      <c r="BF73" s="44"/>
      <c r="BG73" s="44"/>
      <c r="BH73" s="44"/>
      <c r="BI73" s="44"/>
      <c r="BJ73" s="45"/>
    </row>
    <row r="74" spans="2:62" ht="15.75">
      <c r="B74" s="914" t="s">
        <v>1182</v>
      </c>
      <c r="C74" s="530"/>
      <c r="D74" s="531">
        <f>SUM(D49:D73)</f>
        <v>0</v>
      </c>
      <c r="E74" s="532">
        <f>IF('02_1_INCOME'!$F$38=0,0,D74/'02_1_INCOME'!$F$38)</f>
        <v>0</v>
      </c>
      <c r="F74" s="531">
        <f>SUM(F49:F73)</f>
        <v>0</v>
      </c>
      <c r="G74" s="532">
        <f>IF('02_1_INCOME'!$F$38=0,0,F74/'02_1_INCOME'!$F$38)</f>
        <v>0</v>
      </c>
      <c r="H74" s="511">
        <f t="shared" si="46"/>
        <v>0</v>
      </c>
      <c r="I74" s="512">
        <f t="shared" si="47"/>
        <v>0</v>
      </c>
      <c r="J74" s="513">
        <f t="shared" si="48"/>
        <v>0</v>
      </c>
      <c r="K74" s="514">
        <f t="shared" si="49"/>
        <v>0</v>
      </c>
      <c r="L74" s="515">
        <f>SUM(L49:L73)</f>
        <v>0</v>
      </c>
      <c r="M74" s="516">
        <f t="shared" si="50"/>
        <v>0</v>
      </c>
      <c r="N74" s="515">
        <f>SUM(N49:N73)</f>
        <v>0</v>
      </c>
      <c r="O74" s="517">
        <f t="shared" si="51"/>
        <v>0</v>
      </c>
      <c r="P74" s="515">
        <f>SUM(P49:P73)</f>
        <v>0</v>
      </c>
      <c r="Q74" s="517">
        <f t="shared" si="52"/>
        <v>0</v>
      </c>
      <c r="R74" s="515">
        <f>SUM(R49:R73)</f>
        <v>0</v>
      </c>
      <c r="S74" s="517">
        <f t="shared" si="53"/>
        <v>0</v>
      </c>
      <c r="T74" s="515">
        <f>SUM(T49:T73)</f>
        <v>0</v>
      </c>
      <c r="U74" s="517">
        <f t="shared" si="54"/>
        <v>0</v>
      </c>
      <c r="V74" s="515">
        <f>SUM(V49:V73)</f>
        <v>0</v>
      </c>
      <c r="W74" s="517">
        <f t="shared" si="55"/>
        <v>0</v>
      </c>
      <c r="X74" s="515">
        <f>SUM(X49:X73)</f>
        <v>0</v>
      </c>
      <c r="Y74" s="517">
        <f t="shared" si="56"/>
        <v>0</v>
      </c>
      <c r="Z74" s="515">
        <f>SUM(Z49:Z73)</f>
        <v>0</v>
      </c>
      <c r="AA74" s="517">
        <f t="shared" si="57"/>
        <v>0</v>
      </c>
      <c r="AB74" s="515">
        <f>SUM(AB49:AB73)</f>
        <v>0</v>
      </c>
      <c r="AC74" s="517">
        <f t="shared" si="58"/>
        <v>0</v>
      </c>
      <c r="AD74" s="515">
        <f>SUM(AD49:AD73)</f>
        <v>0</v>
      </c>
      <c r="AE74" s="517">
        <f t="shared" si="59"/>
        <v>0</v>
      </c>
      <c r="AF74" s="515">
        <f>SUM(AF49:AF73)</f>
        <v>0</v>
      </c>
      <c r="AG74" s="517">
        <f t="shared" si="60"/>
        <v>0</v>
      </c>
      <c r="AH74" s="515">
        <f>SUM(AH49:AH73)</f>
        <v>0</v>
      </c>
      <c r="AI74" s="517">
        <f t="shared" si="61"/>
        <v>0</v>
      </c>
      <c r="AJ74" s="907"/>
      <c r="AK74" s="781"/>
      <c r="AP74" s="46"/>
      <c r="AQ74" s="44"/>
      <c r="AR74" s="44"/>
      <c r="AS74" s="44"/>
      <c r="AT74" s="44"/>
      <c r="AU74" s="44"/>
      <c r="AV74" s="44"/>
      <c r="AW74" s="44"/>
      <c r="AX74" s="44"/>
      <c r="AY74" s="44"/>
      <c r="AZ74" s="44"/>
      <c r="BA74" s="44"/>
      <c r="BB74" s="44"/>
      <c r="BC74" s="44"/>
      <c r="BD74" s="44"/>
      <c r="BE74" s="44"/>
      <c r="BF74" s="44"/>
      <c r="BG74" s="44"/>
      <c r="BH74" s="44"/>
      <c r="BI74" s="44"/>
      <c r="BJ74" s="45"/>
    </row>
    <row r="75" spans="2:62" ht="15.75">
      <c r="B75" s="913" t="s">
        <v>1183</v>
      </c>
      <c r="C75" s="491"/>
      <c r="D75" s="492"/>
      <c r="E75" s="493"/>
      <c r="F75" s="492"/>
      <c r="G75" s="493"/>
      <c r="H75" s="519"/>
      <c r="I75" s="520"/>
      <c r="J75" s="521"/>
      <c r="K75" s="526"/>
      <c r="L75" s="527"/>
      <c r="M75" s="528"/>
      <c r="N75" s="527"/>
      <c r="O75" s="529"/>
      <c r="P75" s="527"/>
      <c r="Q75" s="529"/>
      <c r="R75" s="527"/>
      <c r="S75" s="529"/>
      <c r="T75" s="527"/>
      <c r="U75" s="529"/>
      <c r="V75" s="527"/>
      <c r="W75" s="529"/>
      <c r="X75" s="527"/>
      <c r="Y75" s="529"/>
      <c r="Z75" s="527"/>
      <c r="AA75" s="529"/>
      <c r="AB75" s="527"/>
      <c r="AC75" s="529"/>
      <c r="AD75" s="527"/>
      <c r="AE75" s="529"/>
      <c r="AF75" s="527"/>
      <c r="AG75" s="529"/>
      <c r="AH75" s="527"/>
      <c r="AI75" s="529"/>
      <c r="AJ75" s="214"/>
      <c r="AK75" s="780"/>
      <c r="AP75" s="46"/>
      <c r="AQ75" s="44"/>
      <c r="AR75" s="44"/>
      <c r="AS75" s="44"/>
      <c r="AT75" s="44"/>
      <c r="AU75" s="44"/>
      <c r="AV75" s="44"/>
      <c r="AW75" s="44"/>
      <c r="AX75" s="44"/>
      <c r="AY75" s="44"/>
      <c r="AZ75" s="44"/>
      <c r="BA75" s="44"/>
      <c r="BB75" s="44"/>
      <c r="BC75" s="44"/>
      <c r="BD75" s="44"/>
      <c r="BE75" s="44"/>
      <c r="BF75" s="44"/>
      <c r="BG75" s="44"/>
      <c r="BH75" s="44"/>
      <c r="BI75" s="44"/>
      <c r="BJ75" s="45"/>
    </row>
    <row r="76" spans="2:62" ht="15.75">
      <c r="B76" s="910" t="s">
        <v>1184</v>
      </c>
      <c r="C76" s="491">
        <v>6710</v>
      </c>
      <c r="D76" s="501"/>
      <c r="E76" s="502">
        <f>IF('02_1_INCOME'!$F$38=0,0,D76/'02_1_INCOME'!$F$38)</f>
        <v>0</v>
      </c>
      <c r="F76" s="501"/>
      <c r="G76" s="502">
        <f>IF('02_1_INCOME'!$F$38=0,0,F76/'02_1_INCOME'!$F$38)</f>
        <v>0</v>
      </c>
      <c r="H76" s="503">
        <f t="shared" ref="H76:H85" si="62">IFERROR(AVERAGEIFS($L76:$AJ76,$L$6:$AJ$6,"Comparable",$L76:$AJ76, "&gt;0"),0)</f>
        <v>0</v>
      </c>
      <c r="I76" s="504">
        <f t="shared" ref="I76:I85" si="63">IF(AND(H76&lt;&gt;0, E76&lt;&gt;0),(H76-E76)/E76,0)</f>
        <v>0</v>
      </c>
      <c r="J76" s="505">
        <f t="shared" ref="J76:J85" si="64">IFERROR(AVERAGEIFS($L76:$AJ76,$L$6:$AJ$6,"Historical", $L76:$AJ76,"&gt;0"),0)</f>
        <v>0</v>
      </c>
      <c r="K76" s="509">
        <f t="shared" ref="K76:K85" si="65">IF(AND(J76&lt;&gt;0, $E76&lt;&gt;0),(J76-$E76)/$E76,0)</f>
        <v>0</v>
      </c>
      <c r="L76" s="1406"/>
      <c r="M76" s="507">
        <f t="shared" ref="M76:M85" si="66">IF(rng02_Projections_Unit_1&lt;&gt;0, (L76*(1+rng01_OpExRate)^(rng01_FirstYearProforma-rng02_Projections_Year_1))/rng02_Projections_Unit_1,0)</f>
        <v>0</v>
      </c>
      <c r="N76" s="1406"/>
      <c r="O76" s="508">
        <f t="shared" ref="O76:O85" si="67">IF(rng02_Projections_Unit_2&lt;&gt;0, (N76*(1+rng01_OpExRate)^(rng01_FirstYearProforma-rng02_Projections_Year_2))/rng02_Projections_Unit_2,0)</f>
        <v>0</v>
      </c>
      <c r="P76" s="1406"/>
      <c r="Q76" s="508">
        <f t="shared" ref="Q76:Q85" si="68">IF(rng02_Projections_Unit_3&lt;&gt;0, (P76*(1+rng01_OpExRate)^(rng01_FirstYearProforma-rng02_Projections_Year_3))/rng02_Projections_Unit_3,0)</f>
        <v>0</v>
      </c>
      <c r="R76" s="489"/>
      <c r="S76" s="508">
        <f t="shared" ref="S76:S85" si="69">IF(rng02_Projections_Unit_4&lt;&gt;0, (R76*(1+rng01_OpExRate)^(rng01_FirstYearProforma-rng02_Projections_Year_4))/rng02_Projections_Unit_4,0)</f>
        <v>0</v>
      </c>
      <c r="T76" s="489"/>
      <c r="U76" s="508">
        <f t="shared" ref="U76:U85" si="70">IF(rng02_Projections_Unit_5&lt;&gt;0, (T76*(1+rng01_OpExRate)^(rng01_FirstYearProforma-rng02_Projections_Year_5))/rng02_Projections_Unit_5,0)</f>
        <v>0</v>
      </c>
      <c r="V76" s="489"/>
      <c r="W76" s="508">
        <f t="shared" ref="W76:W87" si="71">IF(rng02_Projections_Unit_6&lt;&gt;0, (V76*(1+rng01_OpExRate)^(rng01_FirstYearProforma-rng02_Projections_Year_6))/rng02_Projections_Unit_6,0)</f>
        <v>0</v>
      </c>
      <c r="X76" s="489"/>
      <c r="Y76" s="508">
        <f t="shared" ref="Y76:Y87" si="72">IF(rng02_Projections_Unit_7&lt;&gt;0, (X76*(1+rng01_OpExRate)^(rng01_FirstYearProforma-rng02_Projections_Year_7))/rng02_Projections_Unit_7,0)</f>
        <v>0</v>
      </c>
      <c r="Z76" s="489"/>
      <c r="AA76" s="508">
        <f t="shared" ref="AA76:AA85" si="73">IF(rng02_Projections_Unit_8&lt;&gt;0, (Z76*(1+rng01_OpExRate)^(rng01_FirstYearProforma-rng02_Projections_Year_8))/rng02_Projections_Unit_8,0)</f>
        <v>0</v>
      </c>
      <c r="AB76" s="489"/>
      <c r="AC76" s="508">
        <f t="shared" ref="AC76:AC85" si="74">IF(rng02_Projections_Unit_9&lt;&gt;0, (AB76*(1+rng01_OpExRate)^(rng01_FirstYearProforma-rng02_Projections_Year_9))/rng02_Projections_Unit_9,0)</f>
        <v>0</v>
      </c>
      <c r="AD76" s="489"/>
      <c r="AE76" s="508">
        <f t="shared" ref="AE76:AE85" si="75">IF(rng02_Projections_Unit_10&lt;&gt;0, (AD76*(1+rng01_OpExRate)^(rng01_FirstYearProforma-rng02_Projections_Year_10))/rng02_Projections_Unit_10,0)</f>
        <v>0</v>
      </c>
      <c r="AF76" s="489"/>
      <c r="AG76" s="508">
        <f t="shared" ref="AG76:AG85" si="76">IF(rng02_Projections_Unit_10&lt;&gt;0, (AF76*(1+rng01_OpExRate)^(rng01_FirstYearProforma-rng02_Projections_Year_10))/rng02_Projections_Unit_10,0)</f>
        <v>0</v>
      </c>
      <c r="AH76" s="489"/>
      <c r="AI76" s="508">
        <f t="shared" ref="AI76:AI85" si="77">IF(rng02_Projections_Unit_10&lt;&gt;0, (AH76*(1+rng01_OpExRate)^(rng01_FirstYearProforma-rng02_Projections_Year_10))/rng02_Projections_Unit_10,0)</f>
        <v>0</v>
      </c>
      <c r="AJ76" s="214"/>
      <c r="AK76" s="779"/>
      <c r="AP76" s="46"/>
      <c r="AQ76" s="44"/>
      <c r="AR76" s="44"/>
      <c r="AS76" s="44"/>
      <c r="AT76" s="44"/>
      <c r="AU76" s="44"/>
      <c r="AV76" s="44"/>
      <c r="AW76" s="44"/>
      <c r="AX76" s="44"/>
      <c r="AY76" s="44"/>
      <c r="AZ76" s="44"/>
      <c r="BA76" s="44"/>
      <c r="BB76" s="44"/>
      <c r="BC76" s="44"/>
      <c r="BD76" s="44"/>
      <c r="BE76" s="44"/>
      <c r="BF76" s="44"/>
      <c r="BG76" s="44"/>
      <c r="BH76" s="44"/>
      <c r="BI76" s="44"/>
      <c r="BJ76" s="45"/>
    </row>
    <row r="77" spans="2:62" ht="15.75">
      <c r="B77" s="910" t="s">
        <v>1185</v>
      </c>
      <c r="C77" s="491">
        <v>6711</v>
      </c>
      <c r="D77" s="501"/>
      <c r="E77" s="502">
        <f>IF('02_1_INCOME'!$F$38=0,0,D77/'02_1_INCOME'!$F$38)</f>
        <v>0</v>
      </c>
      <c r="F77" s="501"/>
      <c r="G77" s="502">
        <f>IF('02_1_INCOME'!$F$38=0,0,F77/'02_1_INCOME'!$F$38)</f>
        <v>0</v>
      </c>
      <c r="H77" s="503">
        <f t="shared" si="62"/>
        <v>0</v>
      </c>
      <c r="I77" s="504">
        <f t="shared" si="63"/>
        <v>0</v>
      </c>
      <c r="J77" s="505">
        <f t="shared" si="64"/>
        <v>0</v>
      </c>
      <c r="K77" s="509">
        <f t="shared" si="65"/>
        <v>0</v>
      </c>
      <c r="L77" s="1406"/>
      <c r="M77" s="507">
        <f t="shared" si="66"/>
        <v>0</v>
      </c>
      <c r="N77" s="1406"/>
      <c r="O77" s="508">
        <f t="shared" si="67"/>
        <v>0</v>
      </c>
      <c r="P77" s="1406"/>
      <c r="Q77" s="508">
        <f t="shared" si="68"/>
        <v>0</v>
      </c>
      <c r="R77" s="489"/>
      <c r="S77" s="508">
        <f t="shared" si="69"/>
        <v>0</v>
      </c>
      <c r="T77" s="489"/>
      <c r="U77" s="508">
        <f t="shared" si="70"/>
        <v>0</v>
      </c>
      <c r="V77" s="489"/>
      <c r="W77" s="508">
        <f t="shared" si="71"/>
        <v>0</v>
      </c>
      <c r="X77" s="489"/>
      <c r="Y77" s="508">
        <f t="shared" si="72"/>
        <v>0</v>
      </c>
      <c r="Z77" s="489"/>
      <c r="AA77" s="508">
        <f t="shared" si="73"/>
        <v>0</v>
      </c>
      <c r="AB77" s="489"/>
      <c r="AC77" s="508">
        <f t="shared" si="74"/>
        <v>0</v>
      </c>
      <c r="AD77" s="489"/>
      <c r="AE77" s="508">
        <f t="shared" si="75"/>
        <v>0</v>
      </c>
      <c r="AF77" s="489"/>
      <c r="AG77" s="508">
        <f t="shared" si="76"/>
        <v>0</v>
      </c>
      <c r="AH77" s="489"/>
      <c r="AI77" s="508">
        <f t="shared" si="77"/>
        <v>0</v>
      </c>
      <c r="AJ77" s="214"/>
      <c r="AK77" s="779"/>
      <c r="AP77" s="46"/>
      <c r="AQ77" s="44"/>
      <c r="AR77" s="44"/>
      <c r="AS77" s="44"/>
      <c r="AT77" s="44"/>
      <c r="AU77" s="44"/>
      <c r="AV77" s="44"/>
      <c r="AW77" s="44"/>
      <c r="AX77" s="44"/>
      <c r="AY77" s="44"/>
      <c r="AZ77" s="44"/>
      <c r="BA77" s="44"/>
      <c r="BB77" s="44"/>
      <c r="BC77" s="44"/>
      <c r="BD77" s="44"/>
      <c r="BE77" s="44"/>
      <c r="BF77" s="44"/>
      <c r="BG77" s="44"/>
      <c r="BH77" s="44"/>
      <c r="BI77" s="44"/>
      <c r="BJ77" s="45"/>
    </row>
    <row r="78" spans="2:62" ht="15.75">
      <c r="B78" s="910" t="s">
        <v>1186</v>
      </c>
      <c r="C78" s="491">
        <v>6719</v>
      </c>
      <c r="D78" s="501"/>
      <c r="E78" s="502">
        <f>IF('02_1_INCOME'!$F$38=0,0,D78/'02_1_INCOME'!$F$38)</f>
        <v>0</v>
      </c>
      <c r="F78" s="501"/>
      <c r="G78" s="502">
        <f>IF('02_1_INCOME'!$F$38=0,0,F78/'02_1_INCOME'!$F$38)</f>
        <v>0</v>
      </c>
      <c r="H78" s="503">
        <f t="shared" si="62"/>
        <v>0</v>
      </c>
      <c r="I78" s="504">
        <f t="shared" si="63"/>
        <v>0</v>
      </c>
      <c r="J78" s="505">
        <f t="shared" si="64"/>
        <v>0</v>
      </c>
      <c r="K78" s="509">
        <f t="shared" si="65"/>
        <v>0</v>
      </c>
      <c r="L78" s="1406"/>
      <c r="M78" s="507">
        <f t="shared" si="66"/>
        <v>0</v>
      </c>
      <c r="N78" s="1406"/>
      <c r="O78" s="508">
        <f t="shared" si="67"/>
        <v>0</v>
      </c>
      <c r="P78" s="1406"/>
      <c r="Q78" s="508">
        <f t="shared" si="68"/>
        <v>0</v>
      </c>
      <c r="R78" s="489"/>
      <c r="S78" s="508">
        <f t="shared" si="69"/>
        <v>0</v>
      </c>
      <c r="T78" s="489"/>
      <c r="U78" s="508">
        <f t="shared" si="70"/>
        <v>0</v>
      </c>
      <c r="V78" s="489"/>
      <c r="W78" s="508">
        <f t="shared" si="71"/>
        <v>0</v>
      </c>
      <c r="X78" s="489"/>
      <c r="Y78" s="508">
        <f t="shared" si="72"/>
        <v>0</v>
      </c>
      <c r="Z78" s="489"/>
      <c r="AA78" s="508">
        <f t="shared" si="73"/>
        <v>0</v>
      </c>
      <c r="AB78" s="489"/>
      <c r="AC78" s="508">
        <f t="shared" si="74"/>
        <v>0</v>
      </c>
      <c r="AD78" s="489"/>
      <c r="AE78" s="508">
        <f t="shared" si="75"/>
        <v>0</v>
      </c>
      <c r="AF78" s="489"/>
      <c r="AG78" s="508">
        <f t="shared" si="76"/>
        <v>0</v>
      </c>
      <c r="AH78" s="489"/>
      <c r="AI78" s="508">
        <f t="shared" si="77"/>
        <v>0</v>
      </c>
      <c r="AJ78" s="214"/>
      <c r="AK78" s="779"/>
      <c r="AP78" s="48"/>
      <c r="AQ78" s="49"/>
      <c r="AR78" s="44"/>
      <c r="AS78" s="44"/>
      <c r="AT78" s="44"/>
      <c r="AU78" s="44"/>
      <c r="AV78" s="44"/>
      <c r="AW78" s="44"/>
      <c r="AX78" s="44"/>
      <c r="AY78" s="44"/>
      <c r="AZ78" s="44"/>
      <c r="BA78" s="44"/>
      <c r="BB78" s="44"/>
      <c r="BC78" s="44"/>
      <c r="BD78" s="44"/>
      <c r="BE78" s="44"/>
      <c r="BF78" s="44"/>
      <c r="BG78" s="44"/>
      <c r="BH78" s="44"/>
      <c r="BI78" s="44"/>
      <c r="BJ78" s="45"/>
    </row>
    <row r="79" spans="2:62" ht="15.75">
      <c r="B79" s="910" t="s">
        <v>1187</v>
      </c>
      <c r="C79" s="491">
        <v>6720</v>
      </c>
      <c r="D79" s="501"/>
      <c r="E79" s="502">
        <f>IF('02_1_INCOME'!$F$38=0,0,D79/'02_1_INCOME'!$F$38)</f>
        <v>0</v>
      </c>
      <c r="F79" s="501"/>
      <c r="G79" s="502">
        <f>IF('02_1_INCOME'!$F$38=0,0,F79/'02_1_INCOME'!$F$38)</f>
        <v>0</v>
      </c>
      <c r="H79" s="503">
        <f t="shared" si="62"/>
        <v>0</v>
      </c>
      <c r="I79" s="504">
        <f t="shared" si="63"/>
        <v>0</v>
      </c>
      <c r="J79" s="505">
        <f t="shared" si="64"/>
        <v>0</v>
      </c>
      <c r="K79" s="509">
        <f t="shared" si="65"/>
        <v>0</v>
      </c>
      <c r="L79" s="1406"/>
      <c r="M79" s="507">
        <f t="shared" si="66"/>
        <v>0</v>
      </c>
      <c r="N79" s="1406"/>
      <c r="O79" s="508">
        <f t="shared" si="67"/>
        <v>0</v>
      </c>
      <c r="P79" s="1406"/>
      <c r="Q79" s="508">
        <f t="shared" si="68"/>
        <v>0</v>
      </c>
      <c r="R79" s="489"/>
      <c r="S79" s="508">
        <f t="shared" si="69"/>
        <v>0</v>
      </c>
      <c r="T79" s="489"/>
      <c r="U79" s="508">
        <f t="shared" si="70"/>
        <v>0</v>
      </c>
      <c r="V79" s="489"/>
      <c r="W79" s="508">
        <f t="shared" si="71"/>
        <v>0</v>
      </c>
      <c r="X79" s="489"/>
      <c r="Y79" s="508">
        <f t="shared" si="72"/>
        <v>0</v>
      </c>
      <c r="Z79" s="489"/>
      <c r="AA79" s="508">
        <f t="shared" si="73"/>
        <v>0</v>
      </c>
      <c r="AB79" s="489"/>
      <c r="AC79" s="508">
        <f t="shared" si="74"/>
        <v>0</v>
      </c>
      <c r="AD79" s="489"/>
      <c r="AE79" s="508">
        <f t="shared" si="75"/>
        <v>0</v>
      </c>
      <c r="AF79" s="489"/>
      <c r="AG79" s="508">
        <f t="shared" si="76"/>
        <v>0</v>
      </c>
      <c r="AH79" s="489"/>
      <c r="AI79" s="508">
        <f t="shared" si="77"/>
        <v>0</v>
      </c>
      <c r="AJ79" s="214"/>
      <c r="AK79" s="779"/>
      <c r="AP79" s="46"/>
      <c r="AQ79" s="44"/>
      <c r="AR79" s="44"/>
      <c r="AS79" s="44"/>
      <c r="AT79" s="44"/>
      <c r="AU79" s="44"/>
      <c r="AV79" s="44"/>
      <c r="AW79" s="44"/>
      <c r="AX79" s="44"/>
      <c r="AY79" s="44"/>
      <c r="AZ79" s="44"/>
      <c r="BA79" s="44"/>
      <c r="BB79" s="44"/>
      <c r="BC79" s="44"/>
      <c r="BD79" s="44"/>
      <c r="BE79" s="44"/>
      <c r="BF79" s="44"/>
      <c r="BG79" s="44"/>
      <c r="BH79" s="44"/>
      <c r="BI79" s="44"/>
      <c r="BJ79" s="45"/>
    </row>
    <row r="80" spans="2:62" ht="15.75">
      <c r="B80" s="910" t="s">
        <v>1188</v>
      </c>
      <c r="C80" s="491">
        <v>6721</v>
      </c>
      <c r="D80" s="501"/>
      <c r="E80" s="502">
        <f>IF('02_1_INCOME'!$F$38=0,0,D80/'02_1_INCOME'!$F$38)</f>
        <v>0</v>
      </c>
      <c r="F80" s="501"/>
      <c r="G80" s="502">
        <f>IF('02_1_INCOME'!$F$38=0,0,F80/'02_1_INCOME'!$F$38)</f>
        <v>0</v>
      </c>
      <c r="H80" s="503">
        <f t="shared" si="62"/>
        <v>0</v>
      </c>
      <c r="I80" s="504">
        <f>IF(AND(H80&lt;&gt;0, E80&lt;&gt;0),(H80-E80)/E80,0)</f>
        <v>0</v>
      </c>
      <c r="J80" s="505">
        <f t="shared" si="64"/>
        <v>0</v>
      </c>
      <c r="K80" s="509">
        <f t="shared" si="65"/>
        <v>0</v>
      </c>
      <c r="L80" s="1406"/>
      <c r="M80" s="507">
        <f t="shared" si="66"/>
        <v>0</v>
      </c>
      <c r="N80" s="1406"/>
      <c r="O80" s="508">
        <f t="shared" si="67"/>
        <v>0</v>
      </c>
      <c r="P80" s="1406"/>
      <c r="Q80" s="508">
        <f t="shared" si="68"/>
        <v>0</v>
      </c>
      <c r="R80" s="489"/>
      <c r="S80" s="508">
        <f t="shared" si="69"/>
        <v>0</v>
      </c>
      <c r="T80" s="489"/>
      <c r="U80" s="508">
        <f t="shared" si="70"/>
        <v>0</v>
      </c>
      <c r="V80" s="489"/>
      <c r="W80" s="508">
        <f t="shared" si="71"/>
        <v>0</v>
      </c>
      <c r="X80" s="489"/>
      <c r="Y80" s="508">
        <f t="shared" si="72"/>
        <v>0</v>
      </c>
      <c r="Z80" s="489"/>
      <c r="AA80" s="508">
        <f t="shared" si="73"/>
        <v>0</v>
      </c>
      <c r="AB80" s="489"/>
      <c r="AC80" s="508">
        <f t="shared" si="74"/>
        <v>0</v>
      </c>
      <c r="AD80" s="489"/>
      <c r="AE80" s="508">
        <f t="shared" si="75"/>
        <v>0</v>
      </c>
      <c r="AF80" s="489"/>
      <c r="AG80" s="508">
        <f t="shared" si="76"/>
        <v>0</v>
      </c>
      <c r="AH80" s="489"/>
      <c r="AI80" s="508">
        <f t="shared" si="77"/>
        <v>0</v>
      </c>
      <c r="AJ80" s="214"/>
      <c r="AK80" s="779"/>
      <c r="AP80" s="46"/>
      <c r="AQ80" s="44"/>
      <c r="AR80" s="44"/>
      <c r="AS80" s="44"/>
      <c r="AT80" s="44"/>
      <c r="AU80" s="44"/>
      <c r="AV80" s="44"/>
      <c r="AW80" s="44"/>
      <c r="AX80" s="44"/>
      <c r="AY80" s="44"/>
      <c r="AZ80" s="44"/>
      <c r="BA80" s="44"/>
      <c r="BB80" s="44"/>
      <c r="BC80" s="44"/>
      <c r="BD80" s="44"/>
      <c r="BE80" s="44"/>
      <c r="BF80" s="44"/>
      <c r="BG80" s="44"/>
      <c r="BH80" s="44"/>
      <c r="BI80" s="44"/>
      <c r="BJ80" s="45"/>
    </row>
    <row r="81" spans="2:62" ht="15.75">
      <c r="B81" s="910" t="s">
        <v>1189</v>
      </c>
      <c r="C81" s="491">
        <v>6722</v>
      </c>
      <c r="D81" s="501"/>
      <c r="E81" s="502">
        <f>IF('02_1_INCOME'!$F$38=0,0,D81/'02_1_INCOME'!$F$38)</f>
        <v>0</v>
      </c>
      <c r="F81" s="501"/>
      <c r="G81" s="502">
        <f>IF('02_1_INCOME'!$F$38=0,0,F81/'02_1_INCOME'!$F$38)</f>
        <v>0</v>
      </c>
      <c r="H81" s="503">
        <f t="shared" si="62"/>
        <v>0</v>
      </c>
      <c r="I81" s="504">
        <f t="shared" si="63"/>
        <v>0</v>
      </c>
      <c r="J81" s="505">
        <f t="shared" si="64"/>
        <v>0</v>
      </c>
      <c r="K81" s="509">
        <f t="shared" si="65"/>
        <v>0</v>
      </c>
      <c r="L81" s="1406"/>
      <c r="M81" s="507">
        <f t="shared" si="66"/>
        <v>0</v>
      </c>
      <c r="N81" s="1406"/>
      <c r="O81" s="508">
        <f t="shared" si="67"/>
        <v>0</v>
      </c>
      <c r="P81" s="1406"/>
      <c r="Q81" s="508">
        <f t="shared" si="68"/>
        <v>0</v>
      </c>
      <c r="R81" s="489"/>
      <c r="S81" s="508">
        <f t="shared" si="69"/>
        <v>0</v>
      </c>
      <c r="T81" s="489"/>
      <c r="U81" s="508">
        <f t="shared" si="70"/>
        <v>0</v>
      </c>
      <c r="V81" s="489"/>
      <c r="W81" s="508">
        <f t="shared" si="71"/>
        <v>0</v>
      </c>
      <c r="X81" s="489"/>
      <c r="Y81" s="508">
        <f t="shared" si="72"/>
        <v>0</v>
      </c>
      <c r="Z81" s="489"/>
      <c r="AA81" s="508">
        <f t="shared" si="73"/>
        <v>0</v>
      </c>
      <c r="AB81" s="489"/>
      <c r="AC81" s="508">
        <f t="shared" si="74"/>
        <v>0</v>
      </c>
      <c r="AD81" s="489"/>
      <c r="AE81" s="508">
        <f t="shared" si="75"/>
        <v>0</v>
      </c>
      <c r="AF81" s="489"/>
      <c r="AG81" s="508">
        <f t="shared" si="76"/>
        <v>0</v>
      </c>
      <c r="AH81" s="489"/>
      <c r="AI81" s="508">
        <f t="shared" si="77"/>
        <v>0</v>
      </c>
      <c r="AJ81" s="214"/>
      <c r="AK81" s="779"/>
      <c r="AP81" s="46"/>
      <c r="AQ81" s="44"/>
      <c r="AR81" s="44"/>
      <c r="AS81" s="44"/>
      <c r="AT81" s="44"/>
      <c r="AU81" s="44"/>
      <c r="AV81" s="44"/>
      <c r="AW81" s="44"/>
      <c r="AX81" s="44"/>
      <c r="AY81" s="44"/>
      <c r="AZ81" s="44"/>
      <c r="BA81" s="44"/>
      <c r="BB81" s="44"/>
      <c r="BC81" s="44"/>
      <c r="BD81" s="44"/>
      <c r="BE81" s="44"/>
      <c r="BF81" s="44"/>
      <c r="BG81" s="44"/>
      <c r="BH81" s="44"/>
      <c r="BI81" s="44"/>
      <c r="BJ81" s="45"/>
    </row>
    <row r="82" spans="2:62" ht="15.75">
      <c r="B82" s="910" t="s">
        <v>1190</v>
      </c>
      <c r="C82" s="491">
        <v>6723</v>
      </c>
      <c r="D82" s="501"/>
      <c r="E82" s="502">
        <f>IF('02_1_INCOME'!$F$38=0,0,D82/'02_1_INCOME'!$F$38)</f>
        <v>0</v>
      </c>
      <c r="F82" s="501"/>
      <c r="G82" s="502">
        <f>IF('02_1_INCOME'!$F$38=0,0,F82/'02_1_INCOME'!$F$38)</f>
        <v>0</v>
      </c>
      <c r="H82" s="503">
        <f t="shared" si="62"/>
        <v>0</v>
      </c>
      <c r="I82" s="504">
        <f t="shared" si="63"/>
        <v>0</v>
      </c>
      <c r="J82" s="505">
        <f t="shared" si="64"/>
        <v>0</v>
      </c>
      <c r="K82" s="509">
        <f t="shared" si="65"/>
        <v>0</v>
      </c>
      <c r="L82" s="1406"/>
      <c r="M82" s="507">
        <f t="shared" si="66"/>
        <v>0</v>
      </c>
      <c r="N82" s="1406"/>
      <c r="O82" s="508">
        <f t="shared" si="67"/>
        <v>0</v>
      </c>
      <c r="P82" s="1406"/>
      <c r="Q82" s="508">
        <f t="shared" si="68"/>
        <v>0</v>
      </c>
      <c r="R82" s="489"/>
      <c r="S82" s="508">
        <f t="shared" si="69"/>
        <v>0</v>
      </c>
      <c r="T82" s="489"/>
      <c r="U82" s="508">
        <f t="shared" si="70"/>
        <v>0</v>
      </c>
      <c r="V82" s="489"/>
      <c r="W82" s="508">
        <f t="shared" si="71"/>
        <v>0</v>
      </c>
      <c r="X82" s="489"/>
      <c r="Y82" s="508">
        <f t="shared" si="72"/>
        <v>0</v>
      </c>
      <c r="Z82" s="489"/>
      <c r="AA82" s="508">
        <f t="shared" si="73"/>
        <v>0</v>
      </c>
      <c r="AB82" s="489"/>
      <c r="AC82" s="508">
        <f t="shared" si="74"/>
        <v>0</v>
      </c>
      <c r="AD82" s="489"/>
      <c r="AE82" s="508">
        <f t="shared" si="75"/>
        <v>0</v>
      </c>
      <c r="AF82" s="489"/>
      <c r="AG82" s="508">
        <f t="shared" si="76"/>
        <v>0</v>
      </c>
      <c r="AH82" s="489"/>
      <c r="AI82" s="508">
        <f t="shared" si="77"/>
        <v>0</v>
      </c>
      <c r="AJ82" s="214"/>
      <c r="AK82" s="779"/>
      <c r="AP82" s="46"/>
      <c r="AQ82" s="44"/>
      <c r="AR82" s="44"/>
      <c r="AS82" s="44"/>
      <c r="AT82" s="44"/>
      <c r="AU82" s="44"/>
      <c r="AV82" s="44"/>
      <c r="AW82" s="44"/>
      <c r="AX82" s="44"/>
      <c r="AY82" s="44"/>
      <c r="AZ82" s="44"/>
      <c r="BA82" s="44"/>
      <c r="BB82" s="44"/>
      <c r="BC82" s="44"/>
      <c r="BD82" s="44"/>
      <c r="BE82" s="44"/>
      <c r="BF82" s="44"/>
      <c r="BG82" s="44"/>
      <c r="BH82" s="44"/>
      <c r="BI82" s="44"/>
      <c r="BJ82" s="45"/>
    </row>
    <row r="83" spans="2:62" ht="15.75">
      <c r="B83" s="910" t="s">
        <v>1191</v>
      </c>
      <c r="C83" s="491">
        <v>6729</v>
      </c>
      <c r="D83" s="501"/>
      <c r="E83" s="502">
        <f>IF('02_1_INCOME'!$F$38=0,0,D83/'02_1_INCOME'!$F$38)</f>
        <v>0</v>
      </c>
      <c r="F83" s="501"/>
      <c r="G83" s="502">
        <f>IF('02_1_INCOME'!$F$38=0,0,F83/'02_1_INCOME'!$F$38)</f>
        <v>0</v>
      </c>
      <c r="H83" s="503">
        <f t="shared" si="62"/>
        <v>0</v>
      </c>
      <c r="I83" s="504">
        <f t="shared" si="63"/>
        <v>0</v>
      </c>
      <c r="J83" s="505">
        <f t="shared" si="64"/>
        <v>0</v>
      </c>
      <c r="K83" s="509">
        <f t="shared" si="65"/>
        <v>0</v>
      </c>
      <c r="L83" s="1406"/>
      <c r="M83" s="507">
        <f t="shared" si="66"/>
        <v>0</v>
      </c>
      <c r="N83" s="1406"/>
      <c r="O83" s="508">
        <f t="shared" si="67"/>
        <v>0</v>
      </c>
      <c r="P83" s="1406"/>
      <c r="Q83" s="508">
        <f t="shared" si="68"/>
        <v>0</v>
      </c>
      <c r="R83" s="489"/>
      <c r="S83" s="508">
        <f t="shared" si="69"/>
        <v>0</v>
      </c>
      <c r="T83" s="489"/>
      <c r="U83" s="508">
        <f t="shared" si="70"/>
        <v>0</v>
      </c>
      <c r="V83" s="489"/>
      <c r="W83" s="508">
        <f t="shared" si="71"/>
        <v>0</v>
      </c>
      <c r="X83" s="489"/>
      <c r="Y83" s="508">
        <f t="shared" si="72"/>
        <v>0</v>
      </c>
      <c r="Z83" s="489"/>
      <c r="AA83" s="508">
        <f t="shared" si="73"/>
        <v>0</v>
      </c>
      <c r="AB83" s="489"/>
      <c r="AC83" s="508">
        <f t="shared" si="74"/>
        <v>0</v>
      </c>
      <c r="AD83" s="489"/>
      <c r="AE83" s="508">
        <f t="shared" si="75"/>
        <v>0</v>
      </c>
      <c r="AF83" s="489"/>
      <c r="AG83" s="508">
        <f t="shared" si="76"/>
        <v>0</v>
      </c>
      <c r="AH83" s="489"/>
      <c r="AI83" s="508">
        <f t="shared" si="77"/>
        <v>0</v>
      </c>
      <c r="AJ83" s="214"/>
      <c r="AK83" s="779"/>
      <c r="AP83" s="48"/>
      <c r="AQ83" s="49"/>
      <c r="AR83" s="44"/>
      <c r="AS83" s="44"/>
      <c r="AT83" s="44"/>
      <c r="AU83" s="44"/>
      <c r="AV83" s="44"/>
      <c r="AW83" s="44"/>
      <c r="AX83" s="44"/>
      <c r="AY83" s="44"/>
      <c r="AZ83" s="44"/>
      <c r="BA83" s="44"/>
      <c r="BB83" s="44"/>
      <c r="BC83" s="44"/>
      <c r="BD83" s="44"/>
      <c r="BE83" s="44"/>
      <c r="BF83" s="44"/>
      <c r="BG83" s="44"/>
      <c r="BH83" s="44"/>
      <c r="BI83" s="44"/>
      <c r="BJ83" s="45"/>
    </row>
    <row r="84" spans="2:62" ht="15.75">
      <c r="B84" s="910" t="s">
        <v>1192</v>
      </c>
      <c r="C84" s="491">
        <v>6790</v>
      </c>
      <c r="D84" s="501"/>
      <c r="E84" s="502">
        <f>IF('02_1_INCOME'!F39=0,0,D84/'02_1_INCOME'!F39)</f>
        <v>0</v>
      </c>
      <c r="F84" s="501"/>
      <c r="G84" s="502">
        <f>IF('02_1_INCOME'!$F$38=0,0,F84/'02_1_INCOME'!$F$38)</f>
        <v>0</v>
      </c>
      <c r="H84" s="503">
        <f t="shared" si="62"/>
        <v>0</v>
      </c>
      <c r="I84" s="504">
        <f>IF(AND(H84&lt;&gt;0, E84&lt;&gt;0),(H84-E84)/E84,0)</f>
        <v>0</v>
      </c>
      <c r="J84" s="505">
        <f t="shared" si="64"/>
        <v>0</v>
      </c>
      <c r="K84" s="509">
        <f>IF(AND(J84&lt;&gt;0, $E84&lt;&gt;0),(J84-$E84)/$E84,0)</f>
        <v>0</v>
      </c>
      <c r="L84" s="1406"/>
      <c r="M84" s="507">
        <f>IF(rng02_Projections_Unit_1&lt;&gt;0, (L84*(1+rng01_OpExRate)^(rng01_FirstYearProforma-rng02_Projections_Year_1))/rng02_Projections_Unit_1,0)</f>
        <v>0</v>
      </c>
      <c r="N84" s="1406"/>
      <c r="O84" s="508">
        <f>IF(rng02_Projections_Unit_2&lt;&gt;0, (N84*(1+rng01_OpExRate)^(rng01_FirstYearProforma-rng02_Projections_Year_2))/rng02_Projections_Unit_2,0)</f>
        <v>0</v>
      </c>
      <c r="P84" s="1406"/>
      <c r="Q84" s="508">
        <f>IF(rng02_Projections_Unit_3&lt;&gt;0, (P84*(1+rng01_OpExRate)^(rng01_FirstYearProforma-rng02_Projections_Year_3))/rng02_Projections_Unit_3,0)</f>
        <v>0</v>
      </c>
      <c r="R84" s="489"/>
      <c r="S84" s="508">
        <f>IF(rng02_Projections_Unit_4&lt;&gt;0, (R84*(1+rng01_OpExRate)^(rng01_FirstYearProforma-rng02_Projections_Year_4))/rng02_Projections_Unit_4,0)</f>
        <v>0</v>
      </c>
      <c r="T84" s="489"/>
      <c r="U84" s="508">
        <f>IF(rng02_Projections_Unit_5&lt;&gt;0, (T84*(1+rng01_OpExRate)^(rng01_FirstYearProforma-rng02_Projections_Year_5))/rng02_Projections_Unit_5,0)</f>
        <v>0</v>
      </c>
      <c r="V84" s="489"/>
      <c r="W84" s="508">
        <f>IF(rng02_Projections_Unit_6&lt;&gt;0, (V84*(1+rng01_OpExRate)^(rng01_FirstYearProforma-rng02_Projections_Year_6))/rng02_Projections_Unit_6,0)</f>
        <v>0</v>
      </c>
      <c r="X84" s="489"/>
      <c r="Y84" s="508">
        <f>IF(rng02_Projections_Unit_7&lt;&gt;0, (X84*(1+rng01_OpExRate)^(rng01_FirstYearProforma-rng02_Projections_Year_7))/rng02_Projections_Unit_7,0)</f>
        <v>0</v>
      </c>
      <c r="Z84" s="489"/>
      <c r="AA84" s="508">
        <f t="shared" si="73"/>
        <v>0</v>
      </c>
      <c r="AB84" s="489"/>
      <c r="AC84" s="508">
        <f t="shared" si="74"/>
        <v>0</v>
      </c>
      <c r="AD84" s="489"/>
      <c r="AE84" s="508">
        <f t="shared" si="75"/>
        <v>0</v>
      </c>
      <c r="AF84" s="489"/>
      <c r="AG84" s="508">
        <f t="shared" si="76"/>
        <v>0</v>
      </c>
      <c r="AH84" s="489"/>
      <c r="AI84" s="508">
        <f t="shared" si="77"/>
        <v>0</v>
      </c>
      <c r="AJ84" s="214"/>
      <c r="AK84" s="779"/>
      <c r="AP84" s="48"/>
      <c r="AQ84" s="49"/>
      <c r="AR84" s="44"/>
      <c r="AS84" s="44"/>
      <c r="AT84" s="44"/>
      <c r="AU84" s="44"/>
      <c r="AV84" s="44"/>
      <c r="AW84" s="44"/>
      <c r="AX84" s="44"/>
      <c r="AY84" s="44"/>
      <c r="AZ84" s="44"/>
      <c r="BA84" s="44"/>
      <c r="BB84" s="44"/>
      <c r="BC84" s="44"/>
      <c r="BD84" s="44"/>
      <c r="BE84" s="44"/>
      <c r="BF84" s="44"/>
      <c r="BG84" s="44"/>
      <c r="BH84" s="44"/>
      <c r="BI84" s="44"/>
      <c r="BJ84" s="45"/>
    </row>
    <row r="85" spans="2:62" ht="15.75">
      <c r="B85" s="914" t="s">
        <v>1193</v>
      </c>
      <c r="C85" s="530"/>
      <c r="D85" s="531">
        <f>SUM(D76:D84)</f>
        <v>0</v>
      </c>
      <c r="E85" s="532">
        <f>IF('02_1_INCOME'!$F$38=0,0,D85/'02_1_INCOME'!$F$38)</f>
        <v>0</v>
      </c>
      <c r="F85" s="531">
        <f>SUM(F76:F84)</f>
        <v>0</v>
      </c>
      <c r="G85" s="532">
        <f>IF('02_1_INCOME'!$F$38=0,0,F85/'02_1_INCOME'!$F$38)</f>
        <v>0</v>
      </c>
      <c r="H85" s="511">
        <f t="shared" si="62"/>
        <v>0</v>
      </c>
      <c r="I85" s="512">
        <f t="shared" si="63"/>
        <v>0</v>
      </c>
      <c r="J85" s="513">
        <f t="shared" si="64"/>
        <v>0</v>
      </c>
      <c r="K85" s="514">
        <f t="shared" si="65"/>
        <v>0</v>
      </c>
      <c r="L85" s="515">
        <f>SUM(L76:L84)</f>
        <v>0</v>
      </c>
      <c r="M85" s="516">
        <f t="shared" si="66"/>
        <v>0</v>
      </c>
      <c r="N85" s="515">
        <f>SUM(N76:N84)</f>
        <v>0</v>
      </c>
      <c r="O85" s="517">
        <f t="shared" si="67"/>
        <v>0</v>
      </c>
      <c r="P85" s="515">
        <f>SUM(P76:P84)</f>
        <v>0</v>
      </c>
      <c r="Q85" s="517">
        <f t="shared" si="68"/>
        <v>0</v>
      </c>
      <c r="R85" s="515">
        <f>SUM(R76:R84)</f>
        <v>0</v>
      </c>
      <c r="S85" s="517">
        <f t="shared" si="69"/>
        <v>0</v>
      </c>
      <c r="T85" s="515">
        <f>SUM(T76:T84)</f>
        <v>0</v>
      </c>
      <c r="U85" s="517">
        <f t="shared" si="70"/>
        <v>0</v>
      </c>
      <c r="V85" s="515">
        <f>SUM(V76:V84)</f>
        <v>0</v>
      </c>
      <c r="W85" s="517">
        <f t="shared" si="71"/>
        <v>0</v>
      </c>
      <c r="X85" s="515">
        <f>SUM(X76:X84)</f>
        <v>0</v>
      </c>
      <c r="Y85" s="517">
        <f t="shared" si="72"/>
        <v>0</v>
      </c>
      <c r="Z85" s="515">
        <f>SUM(Z76:Z84)</f>
        <v>0</v>
      </c>
      <c r="AA85" s="517">
        <f t="shared" si="73"/>
        <v>0</v>
      </c>
      <c r="AB85" s="515">
        <f>SUM(AB76:AB84)</f>
        <v>0</v>
      </c>
      <c r="AC85" s="517">
        <f t="shared" si="74"/>
        <v>0</v>
      </c>
      <c r="AD85" s="515">
        <f>SUM(AD76:AD84)</f>
        <v>0</v>
      </c>
      <c r="AE85" s="517">
        <f t="shared" si="75"/>
        <v>0</v>
      </c>
      <c r="AF85" s="515">
        <f>SUM(AF76:AF84)</f>
        <v>0</v>
      </c>
      <c r="AG85" s="517">
        <f t="shared" si="76"/>
        <v>0</v>
      </c>
      <c r="AH85" s="515">
        <f>SUM(AH76:AH84)</f>
        <v>0</v>
      </c>
      <c r="AI85" s="517">
        <f t="shared" si="77"/>
        <v>0</v>
      </c>
      <c r="AJ85" s="907"/>
      <c r="AK85" s="781"/>
      <c r="AP85" s="46"/>
      <c r="AQ85" s="44"/>
      <c r="AR85" s="44"/>
      <c r="AS85" s="44"/>
      <c r="AT85" s="44"/>
      <c r="AU85" s="44"/>
      <c r="AV85" s="44"/>
      <c r="AW85" s="44"/>
      <c r="AX85" s="44"/>
      <c r="AY85" s="44"/>
      <c r="AZ85" s="44"/>
      <c r="BA85" s="44"/>
      <c r="BB85" s="44"/>
      <c r="BC85" s="44"/>
      <c r="BD85" s="44"/>
      <c r="BE85" s="44"/>
      <c r="BF85" s="44"/>
      <c r="BG85" s="44"/>
      <c r="BH85" s="44"/>
      <c r="BI85" s="44"/>
      <c r="BJ85" s="45"/>
    </row>
    <row r="86" spans="2:62" ht="15" hidden="1">
      <c r="B86" s="915"/>
      <c r="C86" s="208"/>
      <c r="D86" s="222"/>
      <c r="E86" s="213"/>
      <c r="F86" s="222"/>
      <c r="G86" s="213"/>
      <c r="H86" s="215"/>
      <c r="I86" s="216"/>
      <c r="J86" s="217"/>
      <c r="K86" s="223"/>
      <c r="L86" s="219"/>
      <c r="M86" s="220"/>
      <c r="N86" s="219"/>
      <c r="O86" s="221"/>
      <c r="P86" s="219"/>
      <c r="Q86" s="221"/>
      <c r="R86" s="219"/>
      <c r="S86" s="221"/>
      <c r="T86" s="219"/>
      <c r="U86" s="221"/>
      <c r="V86" s="219"/>
      <c r="W86" s="221"/>
      <c r="X86" s="219"/>
      <c r="Y86" s="221"/>
      <c r="Z86" s="219"/>
      <c r="AA86" s="221"/>
      <c r="AB86" s="219"/>
      <c r="AC86" s="221"/>
      <c r="AD86" s="219"/>
      <c r="AE86" s="221"/>
      <c r="AF86" s="219"/>
      <c r="AG86" s="221"/>
      <c r="AH86" s="219"/>
      <c r="AI86" s="221"/>
      <c r="AJ86" s="214"/>
      <c r="AK86" s="780"/>
      <c r="AP86" s="46"/>
      <c r="AQ86" s="44"/>
      <c r="AR86" s="44"/>
      <c r="AS86" s="44"/>
      <c r="AT86" s="44"/>
      <c r="AU86" s="44"/>
      <c r="AV86" s="44"/>
      <c r="AW86" s="44"/>
      <c r="AX86" s="44"/>
      <c r="AY86" s="44"/>
      <c r="AZ86" s="44"/>
      <c r="BA86" s="44"/>
      <c r="BB86" s="44"/>
      <c r="BC86" s="44"/>
      <c r="BD86" s="44"/>
      <c r="BE86" s="44"/>
      <c r="BF86" s="44"/>
      <c r="BG86" s="44"/>
      <c r="BH86" s="44"/>
      <c r="BI86" s="44"/>
      <c r="BJ86" s="45"/>
    </row>
    <row r="87" spans="2:62" ht="15.75" hidden="1">
      <c r="B87" s="914" t="s">
        <v>1123</v>
      </c>
      <c r="C87" s="510">
        <v>6900</v>
      </c>
      <c r="D87" s="531">
        <f>'03_4_NH-Assisted Living Data'!C73</f>
        <v>0</v>
      </c>
      <c r="E87" s="532">
        <f>IF('02_1_INCOME'!$F$38=0,0,D87/'02_1_INCOME'!$F$38)</f>
        <v>0</v>
      </c>
      <c r="F87" s="531">
        <f>'03_4_NH-Assisted Living Data'!D73</f>
        <v>0</v>
      </c>
      <c r="G87" s="532">
        <f>IF('02_1_INCOME'!$F$38=0,0,F87/'02_1_INCOME'!$F$38)</f>
        <v>0</v>
      </c>
      <c r="H87" s="511">
        <f>IFERROR(AVERAGEIFS($L87:$AJ87,$L$6:$AJ$6,"Comparable",$L87:$AJ87, "&gt;0"),0)</f>
        <v>0</v>
      </c>
      <c r="I87" s="512">
        <f>IF(AND(H87&lt;&gt;0, E87&lt;&gt;0),(H87-E87)/E87,0)</f>
        <v>0</v>
      </c>
      <c r="J87" s="513">
        <f>IFERROR(AVERAGEIFS($L87:$AJ87,$L$6:$AJ$6,"Historical", $L87:$AJ87,"&gt;0"),0)</f>
        <v>0</v>
      </c>
      <c r="K87" s="960">
        <f>IF(AND(J87&lt;&gt;0, $E87&lt;&gt;0),(J87-$E87)/$E87,0)</f>
        <v>0</v>
      </c>
      <c r="L87" s="961">
        <f>'03_4_NH-Assisted Living Data'!E73</f>
        <v>0</v>
      </c>
      <c r="M87" s="516">
        <f>IF(rng02_Projections_Unit_1&lt;&gt;0, (L87*(1+rng01_OpExRate)^(rng01_FirstYearProforma-rng02_Projections_Year_1))/rng02_Projections_Unit_1,0)</f>
        <v>0</v>
      </c>
      <c r="N87" s="961">
        <f>'03_4_NH-Assisted Living Data'!F73</f>
        <v>0</v>
      </c>
      <c r="O87" s="517">
        <f>IF(rng02_Projections_Unit_2&lt;&gt;0, (N87*(1+rng01_OpExRate)^(rng01_FirstYearProforma-rng02_Projections_Year_2))/rng02_Projections_Unit_2,0)</f>
        <v>0</v>
      </c>
      <c r="P87" s="961">
        <f>'03_4_NH-Assisted Living Data'!G73</f>
        <v>0</v>
      </c>
      <c r="Q87" s="517">
        <f>IF(rng02_Projections_Unit_3&lt;&gt;0, (P87*(1+rng01_OpExRate)^(rng01_FirstYearProforma-rng02_Projections_Year_3))/rng02_Projections_Unit_3,0)</f>
        <v>0</v>
      </c>
      <c r="R87" s="961">
        <f>'03_4_NH-Assisted Living Data'!H73</f>
        <v>0</v>
      </c>
      <c r="S87" s="517">
        <f>IF(rng02_Projections_Unit_4&lt;&gt;0, (R87*(1+rng01_OpExRate)^(rng01_FirstYearProforma-rng02_Projections_Year_4))/rng02_Projections_Unit_4,0)</f>
        <v>0</v>
      </c>
      <c r="T87" s="961">
        <f>'03_4_NH-Assisted Living Data'!I73</f>
        <v>0</v>
      </c>
      <c r="U87" s="517">
        <f>IF(rng02_Projections_Unit_5&lt;&gt;0, (T87*(1+rng01_OpExRate)^(rng01_FirstYearProforma-rng02_Projections_Year_5))/rng02_Projections_Unit_5,0)</f>
        <v>0</v>
      </c>
      <c r="V87" s="961">
        <f>'03_4_NH-Assisted Living Data'!J73</f>
        <v>0</v>
      </c>
      <c r="W87" s="517">
        <f t="shared" si="71"/>
        <v>0</v>
      </c>
      <c r="X87" s="961">
        <f>'03_4_NH-Assisted Living Data'!K73</f>
        <v>0</v>
      </c>
      <c r="Y87" s="517">
        <f t="shared" si="72"/>
        <v>0</v>
      </c>
      <c r="Z87" s="961">
        <f>'03_4_NH-Assisted Living Data'!L73</f>
        <v>0</v>
      </c>
      <c r="AA87" s="517">
        <f>IF(rng02_Projections_Unit_8&lt;&gt;0, (Z87*(1+rng01_OpExRate)^(rng01_FirstYearProforma-rng02_Projections_Year_8))/rng02_Projections_Unit_8,0)</f>
        <v>0</v>
      </c>
      <c r="AB87" s="961">
        <f>'03_4_NH-Assisted Living Data'!M73</f>
        <v>0</v>
      </c>
      <c r="AC87" s="517">
        <f>IF(rng02_Projections_Unit_9&lt;&gt;0, (AB87*(1+rng01_OpExRate)^(rng01_FirstYearProforma-rng02_Projections_Year_9))/rng02_Projections_Unit_9,0)</f>
        <v>0</v>
      </c>
      <c r="AD87" s="961">
        <f>'03_4_NH-Assisted Living Data'!N73</f>
        <v>0</v>
      </c>
      <c r="AE87" s="517">
        <f>IF(rng02_Projections_Unit_10&lt;&gt;0, (AD87*(1+rng01_OpExRate)^(rng01_FirstYearProforma-rng02_Projections_Year_10))/rng02_Projections_Unit_10,0)</f>
        <v>0</v>
      </c>
      <c r="AF87" s="961">
        <f>'03_4_NH-Assisted Living Data'!O73</f>
        <v>0</v>
      </c>
      <c r="AG87" s="517">
        <f>IF(rng02_Projections_Unit_10&lt;&gt;0, (AF87*(1+rng01_OpExRate)^(rng01_FirstYearProforma-rng02_Projections_Year_10))/rng02_Projections_Unit_10,0)</f>
        <v>0</v>
      </c>
      <c r="AH87" s="961">
        <f>'03_4_NH-Assisted Living Data'!P73</f>
        <v>0</v>
      </c>
      <c r="AI87" s="517">
        <f>IF(rng02_Projections_Unit_10&lt;&gt;0, (AH87*(1+rng01_OpExRate)^(rng01_FirstYearProforma-rng02_Projections_Year_10))/rng02_Projections_Unit_10,0)</f>
        <v>0</v>
      </c>
      <c r="AJ87" s="214"/>
      <c r="AK87" s="779"/>
      <c r="AP87" s="46"/>
      <c r="AQ87" s="44"/>
      <c r="AR87" s="44"/>
      <c r="AS87" s="44"/>
      <c r="AT87" s="44"/>
      <c r="AU87" s="44"/>
      <c r="AV87" s="44"/>
      <c r="AW87" s="44"/>
      <c r="AX87" s="44"/>
      <c r="AY87" s="44"/>
      <c r="AZ87" s="44"/>
      <c r="BA87" s="44"/>
      <c r="BB87" s="44"/>
      <c r="BC87" s="44"/>
      <c r="BD87" s="44"/>
      <c r="BE87" s="44"/>
      <c r="BF87" s="44"/>
      <c r="BG87" s="44"/>
      <c r="BH87" s="44"/>
      <c r="BI87" s="44"/>
      <c r="BJ87" s="45"/>
    </row>
    <row r="88" spans="2:62" ht="15">
      <c r="B88" s="916"/>
      <c r="C88" s="137"/>
      <c r="D88" s="209"/>
      <c r="E88" s="210"/>
      <c r="F88" s="209"/>
      <c r="G88" s="210"/>
      <c r="H88" s="215"/>
      <c r="I88" s="216"/>
      <c r="J88" s="217"/>
      <c r="K88" s="224"/>
      <c r="L88" s="219"/>
      <c r="M88" s="225"/>
      <c r="N88" s="219"/>
      <c r="O88" s="226"/>
      <c r="P88" s="219"/>
      <c r="Q88" s="226"/>
      <c r="R88" s="219"/>
      <c r="S88" s="226"/>
      <c r="T88" s="219"/>
      <c r="U88" s="226"/>
      <c r="V88" s="219"/>
      <c r="W88" s="226"/>
      <c r="X88" s="219"/>
      <c r="Y88" s="226"/>
      <c r="Z88" s="219"/>
      <c r="AA88" s="226"/>
      <c r="AB88" s="219"/>
      <c r="AC88" s="226"/>
      <c r="AD88" s="219"/>
      <c r="AE88" s="226"/>
      <c r="AF88" s="219"/>
      <c r="AG88" s="226"/>
      <c r="AH88" s="219"/>
      <c r="AI88" s="226"/>
      <c r="AJ88" s="227"/>
      <c r="AK88" s="782"/>
      <c r="AP88" s="46"/>
      <c r="AQ88" s="44"/>
      <c r="AR88" s="44"/>
      <c r="AS88" s="44"/>
      <c r="AT88" s="44"/>
      <c r="AU88" s="44"/>
      <c r="AV88" s="44"/>
      <c r="AW88" s="44"/>
      <c r="AX88" s="44"/>
      <c r="AY88" s="44"/>
      <c r="AZ88" s="44"/>
      <c r="BA88" s="44"/>
      <c r="BB88" s="44"/>
      <c r="BC88" s="44"/>
      <c r="BD88" s="44"/>
      <c r="BE88" s="44"/>
      <c r="BF88" s="44"/>
      <c r="BG88" s="44"/>
      <c r="BH88" s="44"/>
      <c r="BI88" s="44"/>
      <c r="BJ88" s="45"/>
    </row>
    <row r="89" spans="2:62" s="1305" customFormat="1" ht="15.75">
      <c r="B89" s="913" t="s">
        <v>1194</v>
      </c>
      <c r="C89" s="1306"/>
      <c r="D89" s="501"/>
      <c r="E89" s="502">
        <f>IF('02_1_INCOME'!$F$38=0,0,D89/'02_1_INCOME'!$F$38)</f>
        <v>0</v>
      </c>
      <c r="F89" s="501"/>
      <c r="G89" s="502">
        <f>IF('02_1_INCOME'!$F$38=0,0,F89/'02_1_INCOME'!$F$38)</f>
        <v>0</v>
      </c>
      <c r="H89" s="503">
        <f>IFERROR(AVERAGEIFS($L89:$AJ89,$L$6:$AJ$6,"Comparable",$L89:$AJ89, "&gt;0"),0)</f>
        <v>0</v>
      </c>
      <c r="I89" s="504">
        <f>IF(AND(H89&lt;&gt;0, E89&lt;&gt;0),(H89-E89)/E89,0)</f>
        <v>0</v>
      </c>
      <c r="J89" s="505">
        <f>IFERROR(AVERAGEIFS($L89:$AJ89,$L$6:$AJ$6,"Historical", $L89:$AJ89,"&gt;0"),0)</f>
        <v>0</v>
      </c>
      <c r="K89" s="506">
        <f>IF(AND(J89&lt;&gt;0, $E89&lt;&gt;0),(J89-$E89)/$E89,0)</f>
        <v>0</v>
      </c>
      <c r="L89" s="489"/>
      <c r="M89" s="507">
        <f>IF(rng02_Projections_Unit_1&lt;&gt;0, (L89*(1+rng01_OpExRate)^(rng01_FirstYearProforma-rng02_Projections_Year_1))/rng02_Projections_Unit_1,0)</f>
        <v>0</v>
      </c>
      <c r="N89" s="489"/>
      <c r="O89" s="508">
        <f>IF(rng02_Projections_Unit_2&lt;&gt;0, (N89*(1+rng01_OpExRate)^(rng01_FirstYearProforma-rng02_Projections_Year_2))/rng02_Projections_Unit_2,0)</f>
        <v>0</v>
      </c>
      <c r="P89" s="489"/>
      <c r="Q89" s="508">
        <f>IF(rng02_Projections_Unit_3&lt;&gt;0, (P89*(1+rng01_OpExRate)^(rng01_FirstYearProforma-rng02_Projections_Year_3))/rng02_Projections_Unit_3,0)</f>
        <v>0</v>
      </c>
      <c r="R89" s="489"/>
      <c r="S89" s="508">
        <f>IF(rng02_Projections_Unit_4&lt;&gt;0, (R89*(1+rng01_OpExRate)^(rng01_FirstYearProforma-rng02_Projections_Year_4))/rng02_Projections_Unit_4,0)</f>
        <v>0</v>
      </c>
      <c r="T89" s="489"/>
      <c r="U89" s="508">
        <f>IF(rng02_Projections_Unit_5&lt;&gt;0, (T89*(1+rng01_OpExRate)^(rng01_FirstYearProforma-rng02_Projections_Year_5))/rng02_Projections_Unit_5,0)</f>
        <v>0</v>
      </c>
      <c r="V89" s="489"/>
      <c r="W89" s="508">
        <f>IF(rng02_Projections_Unit_6&lt;&gt;0, (V89*(1+rng01_OpExRate)^(rng01_FirstYearProforma-rng02_Projections_Year_6))/rng02_Projections_Unit_6,0)</f>
        <v>0</v>
      </c>
      <c r="X89" s="489"/>
      <c r="Y89" s="508">
        <f>IF(rng02_Projections_Unit_7&lt;&gt;0, (X89*(1+rng01_OpExRate)^(rng01_FirstYearProforma-rng02_Projections_Year_7))/rng02_Projections_Unit_7,0)</f>
        <v>0</v>
      </c>
      <c r="Z89" s="489"/>
      <c r="AA89" s="508">
        <f>IF(rng02_Projections_Unit_8&lt;&gt;0, (Z89*(1+rng01_OpExRate)^(rng01_FirstYearProforma-rng02_Projections_Year_8))/rng02_Projections_Unit_8,0)</f>
        <v>0</v>
      </c>
      <c r="AB89" s="489"/>
      <c r="AC89" s="508">
        <f>IF(rng02_Projections_Unit_9&lt;&gt;0, (AB89*(1+rng01_OpExRate)^(rng01_FirstYearProforma-rng02_Projections_Year_9))/rng02_Projections_Unit_9,0)</f>
        <v>0</v>
      </c>
      <c r="AD89" s="489"/>
      <c r="AE89" s="508">
        <f>IF(rng02_Projections_Unit_10&lt;&gt;0, (AD89*(1+rng01_OpExRate)^(rng01_FirstYearProforma-rng02_Projections_Year_10))/rng02_Projections_Unit_10,0)</f>
        <v>0</v>
      </c>
      <c r="AF89" s="489"/>
      <c r="AG89" s="508">
        <f>IF(rng02_Projections_Unit_10&lt;&gt;0, (AF89*(1+rng01_OpExRate)^(rng01_FirstYearProforma-rng02_Projections_Year_10))/rng02_Projections_Unit_10,0)</f>
        <v>0</v>
      </c>
      <c r="AH89" s="489"/>
      <c r="AI89" s="508">
        <f>IF(rng02_Projections_Unit_10&lt;&gt;0, (AH89*(1+rng01_OpExRate)^(rng01_FirstYearProforma-rng02_Projections_Year_10))/rng02_Projections_Unit_10,0)</f>
        <v>0</v>
      </c>
      <c r="AJ89" s="1307"/>
      <c r="AK89" s="1308"/>
      <c r="AP89" s="1309"/>
      <c r="AQ89" s="1310"/>
      <c r="AR89" s="1310"/>
      <c r="AS89" s="1310"/>
      <c r="AT89" s="1310"/>
      <c r="AU89" s="1310"/>
      <c r="AV89" s="1310"/>
      <c r="AW89" s="1310"/>
      <c r="AX89" s="1310"/>
      <c r="AY89" s="1310"/>
      <c r="AZ89" s="1310"/>
      <c r="BA89" s="1310"/>
      <c r="BB89" s="1310"/>
      <c r="BC89" s="1310"/>
      <c r="BD89" s="1310"/>
      <c r="BE89" s="1310"/>
      <c r="BF89" s="1310"/>
      <c r="BG89" s="1310"/>
      <c r="BH89" s="1310"/>
      <c r="BI89" s="1310"/>
      <c r="BJ89" s="1311"/>
    </row>
    <row r="90" spans="2:62" ht="15">
      <c r="B90" s="916"/>
      <c r="C90" s="137"/>
      <c r="D90" s="209"/>
      <c r="E90" s="210"/>
      <c r="F90" s="209"/>
      <c r="G90" s="210"/>
      <c r="H90" s="215"/>
      <c r="I90" s="216"/>
      <c r="J90" s="217"/>
      <c r="K90" s="224"/>
      <c r="L90" s="219"/>
      <c r="M90" s="225"/>
      <c r="N90" s="219"/>
      <c r="O90" s="226"/>
      <c r="P90" s="219"/>
      <c r="Q90" s="226"/>
      <c r="R90" s="219"/>
      <c r="S90" s="226"/>
      <c r="T90" s="219"/>
      <c r="U90" s="226"/>
      <c r="V90" s="219"/>
      <c r="W90" s="226"/>
      <c r="X90" s="219"/>
      <c r="Y90" s="226"/>
      <c r="Z90" s="219"/>
      <c r="AA90" s="226"/>
      <c r="AB90" s="219"/>
      <c r="AC90" s="226"/>
      <c r="AD90" s="219"/>
      <c r="AE90" s="226"/>
      <c r="AF90" s="219"/>
      <c r="AG90" s="226"/>
      <c r="AH90" s="219"/>
      <c r="AI90" s="226"/>
      <c r="AJ90" s="227"/>
      <c r="AK90" s="782"/>
      <c r="AP90" s="46"/>
      <c r="AQ90" s="44"/>
      <c r="AR90" s="44"/>
      <c r="AS90" s="44"/>
      <c r="AT90" s="44"/>
      <c r="AU90" s="44"/>
      <c r="AV90" s="44"/>
      <c r="AW90" s="44"/>
      <c r="AX90" s="44"/>
      <c r="AY90" s="44"/>
      <c r="AZ90" s="44"/>
      <c r="BA90" s="44"/>
      <c r="BB90" s="44"/>
      <c r="BC90" s="44"/>
      <c r="BD90" s="44"/>
      <c r="BE90" s="44"/>
      <c r="BF90" s="44"/>
      <c r="BG90" s="44"/>
      <c r="BH90" s="44"/>
      <c r="BI90" s="44"/>
      <c r="BJ90" s="45"/>
    </row>
    <row r="91" spans="2:62" ht="16.5" thickBot="1">
      <c r="B91" s="915" t="s">
        <v>1195</v>
      </c>
      <c r="C91" s="228"/>
      <c r="D91" s="869">
        <f>D39+D47+D74+D85+D87+D89</f>
        <v>0</v>
      </c>
      <c r="E91" s="870">
        <f>IF('02_1_INCOME'!$F$38=0,0,D91/'02_1_INCOME'!$F$38)</f>
        <v>0</v>
      </c>
      <c r="F91" s="869">
        <f>F39+F47+F74+F85+F87+F89</f>
        <v>0</v>
      </c>
      <c r="G91" s="870">
        <f>IF('02_1_INCOME'!$F$38=0,0,F91/'02_1_INCOME'!$F$38)</f>
        <v>0</v>
      </c>
      <c r="H91" s="962">
        <f>IFERROR(AVERAGEIFS($L91:$AJ91,$L$6:$AJ$6,"Comparable",$L91:$AJ91, "&gt;0"),0)</f>
        <v>0</v>
      </c>
      <c r="I91" s="963">
        <f>IF(AND(H91&lt;&gt;0, E91&lt;&gt;0),(H91-E91)/E91,0)</f>
        <v>0</v>
      </c>
      <c r="J91" s="964">
        <f>IFERROR(AVERAGEIFS($L91:$AJ91,$L$6:$AJ$6,"Historical", $L91:$AJ91,"&gt;0"),0)</f>
        <v>0</v>
      </c>
      <c r="K91" s="965">
        <f>IF(AND(J91&lt;&gt;0, $E91&lt;&gt;0),(J91-$E91)/$E91,0)</f>
        <v>0</v>
      </c>
      <c r="L91" s="966">
        <f>L39+L47+L74+L85+L87+L89</f>
        <v>0</v>
      </c>
      <c r="M91" s="967">
        <f>IF(rng02_Projections_Unit_1&lt;&gt;0, (L91*(1+rng01_OpExRate)^(rng01_FirstYearProforma-rng02_Projections_Year_1))/rng02_Projections_Unit_1,0)</f>
        <v>0</v>
      </c>
      <c r="N91" s="966">
        <f>N39+N47+N74+N85+N87+N89</f>
        <v>0</v>
      </c>
      <c r="O91" s="968">
        <f>IF(rng02_Projections_Unit_2&lt;&gt;0, (N91*(1+rng01_OpExRate)^(rng01_FirstYearProforma-rng02_Projections_Year_2))/rng02_Projections_Unit_2,0)</f>
        <v>0</v>
      </c>
      <c r="P91" s="966">
        <f>P39+P47+P74+P85+P87+P89</f>
        <v>0</v>
      </c>
      <c r="Q91" s="968">
        <f>IF(rng02_Projections_Unit_3&lt;&gt;0, (P91*(1+rng01_OpExRate)^(rng01_FirstYearProforma-rng02_Projections_Year_3))/rng02_Projections_Unit_3,0)</f>
        <v>0</v>
      </c>
      <c r="R91" s="966">
        <f>R39+R47+R74+R85+R87+R89</f>
        <v>0</v>
      </c>
      <c r="S91" s="968">
        <f>IF(rng02_Projections_Unit_4&lt;&gt;0, (R91*(1+rng01_OpExRate)^(rng01_FirstYearProforma-rng02_Projections_Year_4))/rng02_Projections_Unit_4,0)</f>
        <v>0</v>
      </c>
      <c r="T91" s="966">
        <f>T39+T47+T74+T85+T87+T89</f>
        <v>0</v>
      </c>
      <c r="U91" s="968">
        <f>IF(rng02_Projections_Unit_5&lt;&gt;0, (T91*(1+rng01_OpExRate)^(rng01_FirstYearProforma-rng02_Projections_Year_5))/rng02_Projections_Unit_5,0)</f>
        <v>0</v>
      </c>
      <c r="V91" s="966">
        <f>V39+V47+V74+V85+V87+V89</f>
        <v>0</v>
      </c>
      <c r="W91" s="968">
        <f>IF(rng02_Projections_Unit_6&lt;&gt;0, (V91*(1+rng01_OpExRate)^(rng01_FirstYearProforma-rng02_Projections_Year_6))/rng02_Projections_Unit_6,0)</f>
        <v>0</v>
      </c>
      <c r="X91" s="966">
        <f>X39+X47+X74+X85+X87+X89</f>
        <v>0</v>
      </c>
      <c r="Y91" s="968">
        <f>IF(rng02_Projections_Unit_7&lt;&gt;0, (X91*(1+rng01_OpExRate)^(rng01_FirstYearProforma-rng02_Projections_Year_7))/rng02_Projections_Unit_7,0)</f>
        <v>0</v>
      </c>
      <c r="Z91" s="966">
        <f>Z39+Z47+Z74+Z85+Z87+Z89</f>
        <v>0</v>
      </c>
      <c r="AA91" s="968">
        <f>IF(rng02_Projections_Unit_8&lt;&gt;0, (Z91*(1+rng01_OpExRate)^(rng01_FirstYearProforma-rng02_Projections_Year_8))/rng02_Projections_Unit_8,0)</f>
        <v>0</v>
      </c>
      <c r="AB91" s="966">
        <f>AB39+AB47+AB74+AB85+AB87+AB89</f>
        <v>0</v>
      </c>
      <c r="AC91" s="968">
        <f>IF(rng02_Projections_Unit_9&lt;&gt;0, (AB91*(1+rng01_OpExRate)^(rng01_FirstYearProforma-rng02_Projections_Year_9))/rng02_Projections_Unit_9,0)</f>
        <v>0</v>
      </c>
      <c r="AD91" s="966">
        <f>AD39+AD47+AD74+AD85+AD87+AD89</f>
        <v>0</v>
      </c>
      <c r="AE91" s="968">
        <f>IF(rng02_Projections_Unit_10&lt;&gt;0, (AD91*(1+rng01_OpExRate)^(rng01_FirstYearProforma-rng02_Projections_Year_10))/rng02_Projections_Unit_10,0)</f>
        <v>0</v>
      </c>
      <c r="AF91" s="966">
        <f>AF39+AF47+AF74+AF85+AF87+AF89</f>
        <v>0</v>
      </c>
      <c r="AG91" s="968">
        <f>IF(rng02_Projections_Unit_10&lt;&gt;0, (AF91*(1+rng01_OpExRate)^(rng01_FirstYearProforma-rng02_Projections_Year_10))/rng02_Projections_Unit_10,0)</f>
        <v>0</v>
      </c>
      <c r="AH91" s="966">
        <f>AH39+AH47+AH74+AH85+AH87+AH89</f>
        <v>0</v>
      </c>
      <c r="AI91" s="968">
        <f>IF(rng02_Projections_Unit_10&lt;&gt;0, (AH91*(1+rng01_OpExRate)^(rng01_FirstYearProforma-rng02_Projections_Year_10))/rng02_Projections_Unit_10,0)</f>
        <v>0</v>
      </c>
      <c r="AJ91" s="229"/>
      <c r="AK91" s="783"/>
      <c r="AP91" s="46"/>
      <c r="AQ91" s="44"/>
      <c r="AR91" s="44"/>
      <c r="AS91" s="44"/>
      <c r="AT91" s="44"/>
      <c r="AU91" s="44"/>
      <c r="AV91" s="44"/>
      <c r="AW91" s="44"/>
      <c r="AX91" s="44"/>
      <c r="AY91" s="44"/>
      <c r="AZ91" s="44"/>
      <c r="BA91" s="44"/>
      <c r="BB91" s="44"/>
      <c r="BC91" s="44"/>
      <c r="BD91" s="44"/>
      <c r="BE91" s="44"/>
      <c r="BF91" s="44"/>
      <c r="BG91" s="44"/>
      <c r="BH91" s="44"/>
      <c r="BI91" s="44"/>
      <c r="BJ91" s="45"/>
    </row>
    <row r="92" spans="2:62" s="28" customFormat="1" ht="16.5" thickBot="1">
      <c r="B92" s="917" t="s">
        <v>1196</v>
      </c>
      <c r="C92" s="906"/>
      <c r="D92" s="969">
        <f>D17-D91</f>
        <v>0</v>
      </c>
      <c r="E92" s="970">
        <f>E17-E91-E89</f>
        <v>0</v>
      </c>
      <c r="F92" s="969">
        <f>F17-F91</f>
        <v>0</v>
      </c>
      <c r="G92" s="970">
        <f>G17-G91-G89</f>
        <v>0</v>
      </c>
      <c r="H92" s="971"/>
      <c r="I92" s="972"/>
      <c r="J92" s="973">
        <f>IFERROR(AVERAGEIFS($L92:$AJ92,$L$6:$AJ$6,"Historical", $L92:$AJ92,"&gt;0"),0)</f>
        <v>0</v>
      </c>
      <c r="K92" s="974">
        <f>IF(AND(J92&lt;&gt;0, $E92&lt;&gt;0),(J92-$E92)/$E92,0)</f>
        <v>0</v>
      </c>
      <c r="L92" s="975">
        <f>L17-L91</f>
        <v>0</v>
      </c>
      <c r="M92" s="1655">
        <f>M17-M91-M89</f>
        <v>0</v>
      </c>
      <c r="N92" s="975">
        <f>N17-N91</f>
        <v>0</v>
      </c>
      <c r="O92" s="976">
        <f>O17-O91-O89</f>
        <v>0</v>
      </c>
      <c r="P92" s="1514">
        <f>P17-P91</f>
        <v>0</v>
      </c>
      <c r="Q92" s="1518">
        <f>Q17-Q91-Q89</f>
        <v>0</v>
      </c>
      <c r="R92" s="975">
        <f>R17-R91</f>
        <v>0</v>
      </c>
      <c r="S92" s="976">
        <f>S17-S91-S89</f>
        <v>0</v>
      </c>
      <c r="T92" s="975">
        <f>T17-T91</f>
        <v>0</v>
      </c>
      <c r="U92" s="976">
        <f>U17-U91-U89</f>
        <v>0</v>
      </c>
      <c r="V92" s="975">
        <f>V17-V91</f>
        <v>0</v>
      </c>
      <c r="W92" s="976">
        <f>W17-W91-W89</f>
        <v>0</v>
      </c>
      <c r="X92" s="975">
        <f>X17-X91</f>
        <v>0</v>
      </c>
      <c r="Y92" s="977">
        <f>Y17-Y91-Y89</f>
        <v>0</v>
      </c>
      <c r="Z92" s="975">
        <f>Z17-Z91</f>
        <v>0</v>
      </c>
      <c r="AA92" s="977">
        <f>IF(rng02_Projections_Unit_8&lt;&gt;0, (Z92*(1+rng01_OpExRate)^(rng01_FirstYearProforma-rng02_Projections_Year_8))/rng02_Projections_Unit_8,0)</f>
        <v>0</v>
      </c>
      <c r="AB92" s="975">
        <f>AB17-AB91</f>
        <v>0</v>
      </c>
      <c r="AC92" s="977">
        <f>IF(rng02_Projections_Unit_9&lt;&gt;0, (AB92*(1+rng01_OpExRate)^(rng01_FirstYearProforma-rng02_Projections_Year_9))/rng02_Projections_Unit_9,0)</f>
        <v>0</v>
      </c>
      <c r="AD92" s="975">
        <f>AD17-AD91</f>
        <v>0</v>
      </c>
      <c r="AE92" s="977">
        <f>IF(rng02_Projections_Unit_10&lt;&gt;0, (AD92*(1+rng01_OpExRate)^(rng01_FirstYearProforma-rng02_Projections_Year_10))/rng02_Projections_Unit_10,0)</f>
        <v>0</v>
      </c>
      <c r="AF92" s="975">
        <f>AF17-AF91</f>
        <v>0</v>
      </c>
      <c r="AG92" s="977">
        <f>IF(rng02_Projections_Unit_10&lt;&gt;0, (AF92*(1+rng01_OpExRate)^(rng01_FirstYearProforma-rng02_Projections_Year_10))/rng02_Projections_Unit_10,0)</f>
        <v>0</v>
      </c>
      <c r="AH92" s="975">
        <f>AH17-AH91</f>
        <v>0</v>
      </c>
      <c r="AI92" s="977">
        <f>IF(rng02_Projections_Unit_10&lt;&gt;0, (AH92*(1+rng01_OpExRate)^(rng01_FirstYearProforma-rng02_Projections_Year_10))/rng02_Projections_Unit_10,0)</f>
        <v>0</v>
      </c>
      <c r="AJ92" s="230"/>
      <c r="AK92" s="779"/>
      <c r="AP92" s="46"/>
      <c r="AQ92" s="44"/>
      <c r="AR92" s="44"/>
      <c r="AS92" s="44"/>
      <c r="AT92" s="44"/>
      <c r="AU92" s="44"/>
      <c r="AV92" s="44"/>
      <c r="AW92" s="44"/>
      <c r="AX92" s="44"/>
      <c r="AY92" s="44"/>
      <c r="AZ92" s="44"/>
      <c r="BA92" s="44"/>
      <c r="BB92" s="44"/>
      <c r="BC92" s="44"/>
      <c r="BD92" s="44"/>
      <c r="BE92" s="44"/>
      <c r="BF92" s="44"/>
      <c r="BG92" s="44"/>
      <c r="BH92" s="44"/>
      <c r="BI92" s="44"/>
      <c r="BJ92" s="45"/>
    </row>
    <row r="93" spans="2:62" ht="15">
      <c r="B93" s="916"/>
      <c r="C93" s="137"/>
      <c r="D93" s="211"/>
      <c r="E93" s="210"/>
      <c r="F93" s="211"/>
      <c r="G93" s="210"/>
      <c r="H93" s="103"/>
      <c r="I93" s="101"/>
      <c r="J93" s="231"/>
      <c r="K93" s="232"/>
      <c r="L93" s="106"/>
      <c r="M93" s="1656"/>
      <c r="N93" s="106"/>
      <c r="O93" s="109"/>
      <c r="P93" s="1662"/>
      <c r="Q93" s="1663"/>
      <c r="R93" s="106"/>
      <c r="S93" s="109"/>
      <c r="T93" s="106"/>
      <c r="U93" s="109"/>
      <c r="V93" s="106"/>
      <c r="W93" s="109"/>
      <c r="X93" s="106"/>
      <c r="Y93" s="109"/>
      <c r="Z93" s="106"/>
      <c r="AA93" s="109"/>
      <c r="AB93" s="106"/>
      <c r="AC93" s="109"/>
      <c r="AD93" s="106"/>
      <c r="AE93" s="109"/>
      <c r="AF93" s="106"/>
      <c r="AG93" s="109"/>
      <c r="AH93" s="106"/>
      <c r="AI93" s="109"/>
      <c r="AJ93" s="212"/>
      <c r="AK93" s="780"/>
      <c r="AP93" s="46"/>
      <c r="AQ93" s="44"/>
      <c r="AR93" s="44"/>
      <c r="AS93" s="44"/>
      <c r="AT93" s="44"/>
      <c r="AU93" s="44"/>
      <c r="AV93" s="44"/>
      <c r="AW93" s="44"/>
      <c r="AX93" s="44"/>
      <c r="AY93" s="44"/>
      <c r="AZ93" s="44"/>
      <c r="BA93" s="44"/>
      <c r="BB93" s="44"/>
      <c r="BC93" s="44"/>
      <c r="BD93" s="44"/>
      <c r="BE93" s="44"/>
      <c r="BF93" s="44"/>
      <c r="BG93" s="44"/>
      <c r="BH93" s="44"/>
      <c r="BI93" s="44"/>
      <c r="BJ93" s="45"/>
    </row>
    <row r="94" spans="2:62" ht="15.75">
      <c r="B94" s="986" t="s">
        <v>1197</v>
      </c>
      <c r="C94" s="137"/>
      <c r="D94" s="211"/>
      <c r="E94" s="210"/>
      <c r="F94" s="233"/>
      <c r="G94" s="210"/>
      <c r="H94" s="103"/>
      <c r="I94" s="101"/>
      <c r="J94" s="231"/>
      <c r="K94" s="232"/>
      <c r="L94" s="107"/>
      <c r="M94" s="1656"/>
      <c r="N94" s="107"/>
      <c r="O94" s="109"/>
      <c r="P94" s="1664"/>
      <c r="Q94" s="1663"/>
      <c r="R94" s="107"/>
      <c r="S94" s="109"/>
      <c r="T94" s="107"/>
      <c r="U94" s="109"/>
      <c r="V94" s="107"/>
      <c r="W94" s="109"/>
      <c r="X94" s="107"/>
      <c r="Y94" s="109"/>
      <c r="Z94" s="107"/>
      <c r="AA94" s="109"/>
      <c r="AB94" s="107"/>
      <c r="AC94" s="109"/>
      <c r="AD94" s="107"/>
      <c r="AE94" s="109"/>
      <c r="AF94" s="107"/>
      <c r="AG94" s="109"/>
      <c r="AH94" s="107"/>
      <c r="AI94" s="109"/>
      <c r="AJ94" s="212"/>
      <c r="AK94" s="780"/>
      <c r="AP94" s="46"/>
      <c r="AQ94" s="44"/>
      <c r="AR94" s="44"/>
      <c r="AS94" s="44"/>
      <c r="AT94" s="44"/>
      <c r="AU94" s="44"/>
      <c r="AV94" s="44"/>
      <c r="AW94" s="44"/>
      <c r="AX94" s="44"/>
      <c r="AY94" s="44"/>
      <c r="AZ94" s="44"/>
      <c r="BA94" s="44"/>
      <c r="BB94" s="44"/>
      <c r="BC94" s="44"/>
      <c r="BD94" s="44"/>
      <c r="BE94" s="44"/>
      <c r="BF94" s="44"/>
      <c r="BG94" s="44"/>
      <c r="BH94" s="44"/>
      <c r="BI94" s="44"/>
      <c r="BJ94" s="45"/>
    </row>
    <row r="95" spans="2:62" ht="15.75">
      <c r="B95" s="910" t="s">
        <v>1198</v>
      </c>
      <c r="C95" s="137"/>
      <c r="D95" s="1499">
        <f>'02_3_SOURCES'!L9</f>
        <v>0</v>
      </c>
      <c r="E95" s="502">
        <f>IF('02_1_INCOME'!$F$111=0,0,D95/'02_1_INCOME'!$F$111)</f>
        <v>0</v>
      </c>
      <c r="F95" s="501"/>
      <c r="G95" s="502">
        <f>IF('02_1_INCOME'!$F$38=0,0,F95/'02_1_INCOME'!$F$38)</f>
        <v>0</v>
      </c>
      <c r="H95" s="978"/>
      <c r="I95" s="979"/>
      <c r="J95" s="742">
        <f>IFERROR(AVERAGEIFS($L95:$AJ95,$L$6:$AJ$6,"Historical", $L95:$AJ95,"&gt;0"),0)</f>
        <v>0</v>
      </c>
      <c r="K95" s="980">
        <f>IF(AND(J95&lt;&gt;0, $E95&lt;&gt;0),(J95-$E95)/$E95,0)</f>
        <v>0</v>
      </c>
      <c r="L95" s="981"/>
      <c r="M95" s="1657">
        <f>IF(rng02_Projections_Unit_1=0,0,L95/rng02_Projections_Unit_1)</f>
        <v>0</v>
      </c>
      <c r="N95" s="981"/>
      <c r="O95" s="982">
        <f>IF(rng02_Projections_Unit_2=0,0,N95/rng02_Projections_Unit_2)</f>
        <v>0</v>
      </c>
      <c r="P95" s="1515">
        <v>0</v>
      </c>
      <c r="Q95" s="499">
        <f>IF(rng02_Projections_Unit_3=0,0,P95/rng02_Projections_Unit_3)</f>
        <v>0</v>
      </c>
      <c r="R95" s="981">
        <v>0</v>
      </c>
      <c r="S95" s="982">
        <f>IF(rng02_Projections_Unit_4=0,0,R95/rng02_Projections_Unit_4)</f>
        <v>0</v>
      </c>
      <c r="T95" s="981">
        <v>0</v>
      </c>
      <c r="U95" s="982">
        <f>IF(rng02_Projections_Unit_5=0,0,T95/rng02_Projections_Unit_5)</f>
        <v>0</v>
      </c>
      <c r="V95" s="981">
        <v>0</v>
      </c>
      <c r="W95" s="982">
        <f>IF(rng02_Projections_Unit_6=0,0,V95/rng02_Projections_Unit_6)</f>
        <v>0</v>
      </c>
      <c r="X95" s="981">
        <v>0</v>
      </c>
      <c r="Y95" s="982">
        <f>IF(rng02_Projections_Unit_7=0,0,X95/rng02_Projections_Unit_7)</f>
        <v>0</v>
      </c>
      <c r="Z95" s="981">
        <v>0</v>
      </c>
      <c r="AA95" s="982">
        <f>IF(rng02_Projections_Unit_8=0,0,Z95/rng02_Projections_Unit_8)</f>
        <v>0</v>
      </c>
      <c r="AB95" s="981">
        <v>0</v>
      </c>
      <c r="AC95" s="982">
        <f>IF(rng02_Projections_Unit_9=0,0,AB95/rng02_Projections_Unit_9)</f>
        <v>0</v>
      </c>
      <c r="AD95" s="981">
        <v>0</v>
      </c>
      <c r="AE95" s="982">
        <f>IF(rng02_Projections_Unit_10=0,0,AD95/rng02_Projections_Unit_10)</f>
        <v>0</v>
      </c>
      <c r="AF95" s="981">
        <v>0</v>
      </c>
      <c r="AG95" s="982">
        <f>IF(rng02_Projections_Unit_10=0,0,AF95/rng02_Projections_Unit_10)</f>
        <v>0</v>
      </c>
      <c r="AH95" s="981">
        <v>0</v>
      </c>
      <c r="AI95" s="982">
        <f>IF(rng02_Projections_Unit_10=0,0,AH95/rng02_Projections_Unit_10)</f>
        <v>0</v>
      </c>
      <c r="AJ95" s="212"/>
      <c r="AK95" s="779"/>
      <c r="AP95" s="46"/>
      <c r="AQ95" s="44"/>
      <c r="AR95" s="44"/>
      <c r="AS95" s="44"/>
      <c r="AT95" s="44"/>
      <c r="AU95" s="44"/>
      <c r="AV95" s="44"/>
      <c r="AW95" s="44"/>
      <c r="AX95" s="44"/>
      <c r="AY95" s="44"/>
      <c r="AZ95" s="44"/>
      <c r="BA95" s="44"/>
      <c r="BB95" s="44"/>
      <c r="BC95" s="44"/>
      <c r="BD95" s="44"/>
      <c r="BE95" s="44"/>
      <c r="BF95" s="44"/>
      <c r="BG95" s="44"/>
      <c r="BH95" s="44"/>
      <c r="BI95" s="44"/>
      <c r="BJ95" s="45"/>
    </row>
    <row r="96" spans="2:62" ht="15.75">
      <c r="B96" s="910" t="s">
        <v>1199</v>
      </c>
      <c r="C96" s="137"/>
      <c r="D96" s="1499">
        <f>'04_1_Pro Forma'!C34</f>
        <v>0</v>
      </c>
      <c r="E96" s="502">
        <f>IF('02_1_INCOME'!$F$111=0,0,D96/'02_1_INCOME'!$F$111)</f>
        <v>0</v>
      </c>
      <c r="F96" s="501"/>
      <c r="G96" s="502">
        <f>IF('02_1_INCOME'!$F$38=0,0,F96/'02_1_INCOME'!$F$38)</f>
        <v>0</v>
      </c>
      <c r="H96" s="978"/>
      <c r="I96" s="979"/>
      <c r="J96" s="742">
        <f>IFERROR(AVERAGEIFS($L96:$AJ96,$L$6:$AJ$6,"Historical", $L96:$AJ96,"&gt;0"),0)</f>
        <v>0</v>
      </c>
      <c r="K96" s="980">
        <f>IF(AND(J96&lt;&gt;0, $E96&lt;&gt;0),(J96-$E96)/$E96,0)</f>
        <v>0</v>
      </c>
      <c r="L96" s="981"/>
      <c r="M96" s="1657">
        <f>IF(rng02_Projections_Unit_1=0,0,L96/rng02_Projections_Unit_1)</f>
        <v>0</v>
      </c>
      <c r="N96" s="981"/>
      <c r="O96" s="982">
        <f>IF(rng02_Projections_Unit_2=0,0,N96/rng02_Projections_Unit_2)</f>
        <v>0</v>
      </c>
      <c r="P96" s="1515">
        <v>0</v>
      </c>
      <c r="Q96" s="499">
        <f>IF(rng02_Projections_Unit_3=0,0,P96/rng02_Projections_Unit_3)</f>
        <v>0</v>
      </c>
      <c r="R96" s="981">
        <v>0</v>
      </c>
      <c r="S96" s="982">
        <f>IF(rng02_Projections_Unit_4=0,0,R96/rng02_Projections_Unit_4)</f>
        <v>0</v>
      </c>
      <c r="T96" s="981">
        <v>0</v>
      </c>
      <c r="U96" s="982">
        <f>IF(rng02_Projections_Unit_5=0,0,T96/rng02_Projections_Unit_5)</f>
        <v>0</v>
      </c>
      <c r="V96" s="981">
        <v>0</v>
      </c>
      <c r="W96" s="982">
        <f>IF(rng02_Projections_Unit_6=0,0,V96/rng02_Projections_Unit_6)</f>
        <v>0</v>
      </c>
      <c r="X96" s="981">
        <v>0</v>
      </c>
      <c r="Y96" s="982">
        <f>IF(rng02_Projections_Unit_7=0,0,X96/rng02_Projections_Unit_7)</f>
        <v>0</v>
      </c>
      <c r="Z96" s="981">
        <v>0</v>
      </c>
      <c r="AA96" s="982">
        <f>IF(rng02_Projections_Unit_8=0,0,Z96/rng02_Projections_Unit_8)</f>
        <v>0</v>
      </c>
      <c r="AB96" s="981">
        <v>0</v>
      </c>
      <c r="AC96" s="982">
        <f>IF(rng02_Projections_Unit_9=0,0,AB96/rng02_Projections_Unit_9)</f>
        <v>0</v>
      </c>
      <c r="AD96" s="981">
        <v>0</v>
      </c>
      <c r="AE96" s="982">
        <f>IF(rng02_Projections_Unit_10=0,0,AD96/rng02_Projections_Unit_10)</f>
        <v>0</v>
      </c>
      <c r="AF96" s="981">
        <v>0</v>
      </c>
      <c r="AG96" s="982">
        <f>IF(rng02_Projections_Unit_10=0,0,AF96/rng02_Projections_Unit_10)</f>
        <v>0</v>
      </c>
      <c r="AH96" s="981">
        <v>0</v>
      </c>
      <c r="AI96" s="982">
        <f>IF(rng02_Projections_Unit_10=0,0,AH96/rng02_Projections_Unit_10)</f>
        <v>0</v>
      </c>
      <c r="AJ96" s="212"/>
      <c r="AK96" s="779"/>
      <c r="AP96" s="46"/>
      <c r="AQ96" s="44"/>
      <c r="AR96" s="44"/>
      <c r="AS96" s="44"/>
      <c r="AT96" s="44"/>
      <c r="AU96" s="44"/>
      <c r="AV96" s="44"/>
      <c r="AW96" s="44"/>
      <c r="AX96" s="44"/>
      <c r="AY96" s="44"/>
      <c r="AZ96" s="44"/>
      <c r="BA96" s="44"/>
      <c r="BB96" s="44"/>
      <c r="BC96" s="44"/>
      <c r="BD96" s="44"/>
      <c r="BE96" s="44"/>
      <c r="BF96" s="44"/>
      <c r="BG96" s="44"/>
      <c r="BH96" s="44"/>
      <c r="BI96" s="44"/>
      <c r="BJ96" s="45"/>
    </row>
    <row r="97" spans="2:62" ht="15.75">
      <c r="B97" s="910" t="s">
        <v>1200</v>
      </c>
      <c r="C97" s="137"/>
      <c r="D97" s="1499">
        <f>'02_3_SOURCES'!L10</f>
        <v>0</v>
      </c>
      <c r="E97" s="502">
        <f>IF('02_1_INCOME'!$F$111=0,0,D97/'02_1_INCOME'!$F$111)</f>
        <v>0</v>
      </c>
      <c r="F97" s="501"/>
      <c r="G97" s="502">
        <f>IF('02_1_INCOME'!$F$38=0,0,F97/'02_1_INCOME'!$F$38)</f>
        <v>0</v>
      </c>
      <c r="H97" s="978"/>
      <c r="I97" s="979"/>
      <c r="J97" s="742">
        <f>IFERROR(AVERAGEIFS($L97:$AJ97,$L$6:$AJ$6,"Historical", $L97:$AJ97,"&gt;0"),0)</f>
        <v>0</v>
      </c>
      <c r="K97" s="980">
        <f>IF(AND(J97&lt;&gt;0, $E97&lt;&gt;0),(J97-$E97)/$E97,0)</f>
        <v>0</v>
      </c>
      <c r="L97" s="981"/>
      <c r="M97" s="1657">
        <f>IF(rng02_Projections_Unit_1=0,0,L97/rng02_Projections_Unit_1)</f>
        <v>0</v>
      </c>
      <c r="N97" s="981"/>
      <c r="O97" s="982">
        <f>IF(rng02_Projections_Unit_2=0,0,N97/rng02_Projections_Unit_2)</f>
        <v>0</v>
      </c>
      <c r="P97" s="1515">
        <v>0</v>
      </c>
      <c r="Q97" s="499">
        <f>IF(rng02_Projections_Unit_3=0,0,P97/rng02_Projections_Unit_3)</f>
        <v>0</v>
      </c>
      <c r="R97" s="981">
        <v>0</v>
      </c>
      <c r="S97" s="982">
        <f>IF(rng02_Projections_Unit_4=0,0,R97/rng02_Projections_Unit_4)</f>
        <v>0</v>
      </c>
      <c r="T97" s="981">
        <v>0</v>
      </c>
      <c r="U97" s="982">
        <f>IF(rng02_Projections_Unit_5=0,0,T97/rng02_Projections_Unit_5)</f>
        <v>0</v>
      </c>
      <c r="V97" s="981">
        <v>0</v>
      </c>
      <c r="W97" s="982">
        <f>IF(rng02_Projections_Unit_6=0,0,V97/rng02_Projections_Unit_6)</f>
        <v>0</v>
      </c>
      <c r="X97" s="981">
        <v>0</v>
      </c>
      <c r="Y97" s="982">
        <f>IF(rng02_Projections_Unit_7=0,0,X97/rng02_Projections_Unit_7)</f>
        <v>0</v>
      </c>
      <c r="Z97" s="981">
        <v>0</v>
      </c>
      <c r="AA97" s="982">
        <f>IF(rng02_Projections_Unit_8=0,0,Z97/rng02_Projections_Unit_8)</f>
        <v>0</v>
      </c>
      <c r="AB97" s="981">
        <v>0</v>
      </c>
      <c r="AC97" s="982">
        <f>IF(rng02_Projections_Unit_9=0,0,AB97/rng02_Projections_Unit_9)</f>
        <v>0</v>
      </c>
      <c r="AD97" s="981">
        <v>0</v>
      </c>
      <c r="AE97" s="982">
        <f>IF(rng02_Projections_Unit_10=0,0,AD97/rng02_Projections_Unit_10)</f>
        <v>0</v>
      </c>
      <c r="AF97" s="981">
        <v>0</v>
      </c>
      <c r="AG97" s="982">
        <f>IF(rng02_Projections_Unit_10=0,0,AF97/rng02_Projections_Unit_10)</f>
        <v>0</v>
      </c>
      <c r="AH97" s="981">
        <v>0</v>
      </c>
      <c r="AI97" s="982">
        <f>IF(rng02_Projections_Unit_10=0,0,AH97/rng02_Projections_Unit_10)</f>
        <v>0</v>
      </c>
      <c r="AJ97" s="212"/>
      <c r="AK97" s="779"/>
      <c r="AP97" s="46"/>
      <c r="AQ97" s="44"/>
      <c r="AR97" s="44"/>
      <c r="AS97" s="44"/>
      <c r="AT97" s="44"/>
      <c r="AU97" s="44"/>
      <c r="AV97" s="44"/>
      <c r="AW97" s="44"/>
      <c r="AX97" s="44"/>
      <c r="AY97" s="44"/>
      <c r="AZ97" s="44"/>
      <c r="BA97" s="44"/>
      <c r="BB97" s="44"/>
      <c r="BC97" s="44"/>
      <c r="BD97" s="44"/>
      <c r="BE97" s="44"/>
      <c r="BF97" s="44"/>
      <c r="BG97" s="44"/>
      <c r="BH97" s="44"/>
      <c r="BI97" s="44"/>
      <c r="BJ97" s="45"/>
    </row>
    <row r="98" spans="2:62" ht="15.75">
      <c r="B98" s="910" t="s">
        <v>1201</v>
      </c>
      <c r="C98" s="137"/>
      <c r="D98" s="1499">
        <f>SUMIF('02_3_SOURCES'!G11:G16,"Debt Service",'02_3_SOURCES'!L11:L16)</f>
        <v>0</v>
      </c>
      <c r="E98" s="502">
        <f>IF('02_1_INCOME'!$F$111=0,0,D98/'02_1_INCOME'!$F$111)</f>
        <v>0</v>
      </c>
      <c r="F98" s="501"/>
      <c r="G98" s="502">
        <f>IF('02_1_INCOME'!$F$38=0,0,F98/'02_1_INCOME'!$F$38)</f>
        <v>0</v>
      </c>
      <c r="H98" s="978"/>
      <c r="I98" s="979"/>
      <c r="J98" s="742">
        <f>IFERROR(AVERAGEIFS($L98:$AJ98,$L$6:$AJ$6,"Historical", $L98:$AJ98,"&gt;0"),0)</f>
        <v>0</v>
      </c>
      <c r="K98" s="980">
        <f>IF(AND(J98&lt;&gt;0, $E98&lt;&gt;0),(J98-$E98)/$E98,0)</f>
        <v>0</v>
      </c>
      <c r="L98" s="981"/>
      <c r="M98" s="1657">
        <f>IF(rng02_Projections_Unit_1=0,0,L98/rng02_Projections_Unit_1)</f>
        <v>0</v>
      </c>
      <c r="N98" s="981"/>
      <c r="O98" s="982">
        <f>IF(rng02_Projections_Unit_2=0,0,N98/rng02_Projections_Unit_2)</f>
        <v>0</v>
      </c>
      <c r="P98" s="1515">
        <v>0</v>
      </c>
      <c r="Q98" s="499">
        <f>IF(rng02_Projections_Unit_3=0,0,P98/rng02_Projections_Unit_3)</f>
        <v>0</v>
      </c>
      <c r="R98" s="981">
        <v>0</v>
      </c>
      <c r="S98" s="982">
        <f>IF(rng02_Projections_Unit_4=0,0,R98/rng02_Projections_Unit_4)</f>
        <v>0</v>
      </c>
      <c r="T98" s="981">
        <v>0</v>
      </c>
      <c r="U98" s="982">
        <f>IF(rng02_Projections_Unit_5=0,0,T98/rng02_Projections_Unit_5)</f>
        <v>0</v>
      </c>
      <c r="V98" s="981">
        <v>0</v>
      </c>
      <c r="W98" s="982">
        <f>IF(rng02_Projections_Unit_6=0,0,V98/rng02_Projections_Unit_6)</f>
        <v>0</v>
      </c>
      <c r="X98" s="981">
        <v>0</v>
      </c>
      <c r="Y98" s="982">
        <f>IF(rng02_Projections_Unit_7=0,0,X98/rng02_Projections_Unit_7)</f>
        <v>0</v>
      </c>
      <c r="Z98" s="981">
        <v>0</v>
      </c>
      <c r="AA98" s="982">
        <f>IF(rng02_Projections_Unit_8=0,0,Z98/rng02_Projections_Unit_8)</f>
        <v>0</v>
      </c>
      <c r="AB98" s="981">
        <v>0</v>
      </c>
      <c r="AC98" s="982">
        <f>IF(rng02_Projections_Unit_9=0,0,AB98/rng02_Projections_Unit_9)</f>
        <v>0</v>
      </c>
      <c r="AD98" s="981">
        <v>0</v>
      </c>
      <c r="AE98" s="982">
        <f>IF(rng02_Projections_Unit_10=0,0,AD98/rng02_Projections_Unit_10)</f>
        <v>0</v>
      </c>
      <c r="AF98" s="981">
        <v>0</v>
      </c>
      <c r="AG98" s="982">
        <f>IF(rng02_Projections_Unit_10=0,0,AF98/rng02_Projections_Unit_10)</f>
        <v>0</v>
      </c>
      <c r="AH98" s="981">
        <v>0</v>
      </c>
      <c r="AI98" s="982">
        <f>IF(rng02_Projections_Unit_10=0,0,AH98/rng02_Projections_Unit_10)</f>
        <v>0</v>
      </c>
      <c r="AJ98" s="212"/>
      <c r="AK98" s="779"/>
      <c r="AP98" s="46"/>
      <c r="AQ98" s="44"/>
      <c r="AR98" s="44"/>
      <c r="AS98" s="44"/>
      <c r="AT98" s="44"/>
      <c r="AU98" s="44"/>
      <c r="AV98" s="44"/>
      <c r="AW98" s="44"/>
      <c r="AX98" s="44"/>
      <c r="AY98" s="44"/>
      <c r="AZ98" s="44"/>
      <c r="BA98" s="44"/>
      <c r="BB98" s="44"/>
      <c r="BC98" s="44"/>
      <c r="BD98" s="44"/>
      <c r="BE98" s="44"/>
      <c r="BF98" s="44"/>
      <c r="BG98" s="44"/>
      <c r="BH98" s="44"/>
      <c r="BI98" s="44"/>
      <c r="BJ98" s="45"/>
    </row>
    <row r="99" spans="2:62" ht="15.75">
      <c r="B99" s="913" t="s">
        <v>1202</v>
      </c>
      <c r="C99" s="137"/>
      <c r="D99" s="869">
        <f>SUM(D95:D98)</f>
        <v>0</v>
      </c>
      <c r="E99" s="870">
        <f>IF('02_1_INCOME'!$F$111=0,0,D99/'02_1_INCOME'!$F$111)</f>
        <v>0</v>
      </c>
      <c r="F99" s="869">
        <f>SUM(F95:F98)</f>
        <v>0</v>
      </c>
      <c r="G99" s="870">
        <f>IF('02_1_INCOME'!$F$38=0,0,F99/'02_1_INCOME'!$F$38)</f>
        <v>0</v>
      </c>
      <c r="H99" s="978"/>
      <c r="I99" s="979"/>
      <c r="J99" s="869">
        <f>IFERROR(AVERAGEIFS($L99:$AJ99,$L$6:$AJ$6,"Historical", $L99:$AJ99,"&gt;0"),0)</f>
        <v>0</v>
      </c>
      <c r="K99" s="983">
        <f>IF(AND(J99&lt;&gt;0, $E99&lt;&gt;0),(J99-$E99)/$E99,0)</f>
        <v>0</v>
      </c>
      <c r="L99" s="984">
        <f>SUM(L95:L98)</f>
        <v>0</v>
      </c>
      <c r="M99" s="1658">
        <f>IF(rng02_Projections_Unit_1=0,0,L99/rng02_Projections_Unit_1)</f>
        <v>0</v>
      </c>
      <c r="N99" s="984">
        <f>SUM(N95:N98)</f>
        <v>0</v>
      </c>
      <c r="O99" s="985">
        <f>IF(rng02_Projections_Unit_2=0,0,N99/rng02_Projections_Unit_2)</f>
        <v>0</v>
      </c>
      <c r="P99" s="1665">
        <f>SUM(P95:P98)</f>
        <v>0</v>
      </c>
      <c r="Q99" s="1666">
        <f>IF(rng02_Projections_Unit_3=0,0,P99/rng02_Projections_Unit_3)</f>
        <v>0</v>
      </c>
      <c r="R99" s="984">
        <f>SUM(R95:R98)</f>
        <v>0</v>
      </c>
      <c r="S99" s="985">
        <f>IF(rng02_Projections_Unit_4=0,0,R99/rng02_Projections_Unit_4)</f>
        <v>0</v>
      </c>
      <c r="T99" s="984">
        <f>SUM(T95:T98)</f>
        <v>0</v>
      </c>
      <c r="U99" s="985">
        <f>IF(rng02_Projections_Unit_5=0,0,T99/rng02_Projections_Unit_5)</f>
        <v>0</v>
      </c>
      <c r="V99" s="984">
        <f>SUM(V95:V98)</f>
        <v>0</v>
      </c>
      <c r="W99" s="985">
        <f>IF(rng02_Projections_Unit_6=0,0,V99/rng02_Projections_Unit_6)</f>
        <v>0</v>
      </c>
      <c r="X99" s="984">
        <f>SUM(X95:X98)</f>
        <v>0</v>
      </c>
      <c r="Y99" s="985">
        <f>IF(rng02_Projections_Unit_7=0,0,X99/rng02_Projections_Unit_7)</f>
        <v>0</v>
      </c>
      <c r="Z99" s="984">
        <f>SUM(Z95:Z98)</f>
        <v>0</v>
      </c>
      <c r="AA99" s="985">
        <f>IF(rng02_Projections_Unit_8&lt;&gt;0, (Z99*(1+rng01_OpExRate)^(rng01_FirstYearProforma-rng02_Projections_Year_8))/rng02_Projections_Unit_8,0)</f>
        <v>0</v>
      </c>
      <c r="AB99" s="984">
        <f>SUM(AB95:AB98)</f>
        <v>0</v>
      </c>
      <c r="AC99" s="985">
        <f>IF(rng02_Projections_Unit_8&lt;&gt;0, (AB99*(1+rng01_OpExRate)^(rng01_FirstYearProforma-rng02_Projections_Year_8))/rng02_Projections_Unit_8,0)</f>
        <v>0</v>
      </c>
      <c r="AD99" s="984">
        <f>SUM(AD95:AD98)</f>
        <v>0</v>
      </c>
      <c r="AE99" s="985">
        <f>IF(rng02_Projections_Unit_8&lt;&gt;0, (AD99*(1+rng01_OpExRate)^(rng01_FirstYearProforma-rng02_Projections_Year_8))/rng02_Projections_Unit_8,0)</f>
        <v>0</v>
      </c>
      <c r="AF99" s="984">
        <f>SUM(AF95:AF98)</f>
        <v>0</v>
      </c>
      <c r="AG99" s="985">
        <f>IF(rng02_Projections_Unit_8&lt;&gt;0, (AF99*(1+rng01_OpExRate)^(rng01_FirstYearProforma-rng02_Projections_Year_8))/rng02_Projections_Unit_8,0)</f>
        <v>0</v>
      </c>
      <c r="AH99" s="984">
        <f>SUM(AH95:AH98)</f>
        <v>0</v>
      </c>
      <c r="AI99" s="985">
        <f>IF(rng02_Projections_Unit_8&lt;&gt;0, (AH99*(1+rng01_OpExRate)^(rng01_FirstYearProforma-rng02_Projections_Year_8))/rng02_Projections_Unit_8,0)</f>
        <v>0</v>
      </c>
      <c r="AJ99" s="234"/>
      <c r="AK99" s="779"/>
      <c r="AP99" s="46"/>
      <c r="AQ99" s="44"/>
      <c r="AR99" s="44"/>
      <c r="AS99" s="44"/>
      <c r="AT99" s="44"/>
      <c r="AU99" s="44"/>
      <c r="AV99" s="44"/>
      <c r="AW99" s="44"/>
      <c r="AX99" s="44"/>
      <c r="AY99" s="44"/>
      <c r="AZ99" s="44"/>
      <c r="BA99" s="44"/>
      <c r="BB99" s="44"/>
      <c r="BC99" s="44"/>
      <c r="BD99" s="44"/>
      <c r="BE99" s="44"/>
      <c r="BF99" s="44"/>
      <c r="BG99" s="44"/>
      <c r="BH99" s="44"/>
      <c r="BI99" s="44"/>
      <c r="BJ99" s="45"/>
    </row>
    <row r="100" spans="2:62" ht="15.75">
      <c r="B100" s="987"/>
      <c r="C100" s="137"/>
      <c r="D100" s="233"/>
      <c r="E100" s="235"/>
      <c r="F100" s="233"/>
      <c r="G100" s="235"/>
      <c r="H100" s="103"/>
      <c r="I100" s="101"/>
      <c r="J100" s="233"/>
      <c r="K100" s="235"/>
      <c r="L100" s="107"/>
      <c r="M100" s="1659"/>
      <c r="N100" s="107"/>
      <c r="O100" s="110"/>
      <c r="P100" s="1664"/>
      <c r="Q100" s="1667"/>
      <c r="R100" s="107"/>
      <c r="S100" s="110"/>
      <c r="T100" s="107"/>
      <c r="U100" s="110"/>
      <c r="V100" s="107"/>
      <c r="W100" s="110"/>
      <c r="X100" s="107"/>
      <c r="Y100" s="110"/>
      <c r="Z100" s="107"/>
      <c r="AA100" s="110"/>
      <c r="AB100" s="107"/>
      <c r="AC100" s="110"/>
      <c r="AD100" s="107"/>
      <c r="AE100" s="110"/>
      <c r="AF100" s="107"/>
      <c r="AG100" s="110"/>
      <c r="AH100" s="107"/>
      <c r="AI100" s="110"/>
      <c r="AJ100" s="236"/>
      <c r="AK100" s="780"/>
      <c r="AP100" s="46"/>
      <c r="AQ100" s="44"/>
      <c r="AR100" s="44"/>
      <c r="AS100" s="44"/>
      <c r="AT100" s="44"/>
      <c r="AU100" s="44"/>
      <c r="AV100" s="44"/>
      <c r="AW100" s="44"/>
      <c r="AX100" s="44"/>
      <c r="AY100" s="44"/>
      <c r="AZ100" s="44"/>
      <c r="BA100" s="44"/>
      <c r="BB100" s="44"/>
      <c r="BC100" s="44"/>
      <c r="BD100" s="44"/>
      <c r="BE100" s="44"/>
      <c r="BF100" s="44"/>
      <c r="BG100" s="44"/>
      <c r="BH100" s="44"/>
      <c r="BI100" s="44"/>
      <c r="BJ100" s="45"/>
    </row>
    <row r="101" spans="2:62" ht="16.5" thickBot="1">
      <c r="B101" s="988" t="s">
        <v>1203</v>
      </c>
      <c r="C101" s="908"/>
      <c r="D101" s="237" t="str">
        <f>IF(SUM(D95:D96)=0,"NAP",D92/SUM(D95:D96))</f>
        <v>NAP</v>
      </c>
      <c r="E101" s="238" t="s">
        <v>1204</v>
      </c>
      <c r="F101" s="237" t="str">
        <f>IF(SUM(F95:F96)=0,"NAP",F92/SUM(F95:F96))</f>
        <v>NAP</v>
      </c>
      <c r="G101" s="238" t="s">
        <v>1204</v>
      </c>
      <c r="H101" s="104"/>
      <c r="I101" s="102"/>
      <c r="J101" s="237" t="str">
        <f>IF(SUM(J95:J96)=0,"NAP",J92/SUM(J95:J96))</f>
        <v>NAP</v>
      </c>
      <c r="K101" s="238"/>
      <c r="L101" s="108" t="str">
        <f>IF(SUM(L95:L96)=0,"NAP",L92/SUM(L95:L96))</f>
        <v>NAP</v>
      </c>
      <c r="M101" s="1660" t="s">
        <v>1204</v>
      </c>
      <c r="N101" s="108" t="str">
        <f>IF(SUM(N95:N96)=0,"NAP",N92/SUM(N95:N96))</f>
        <v>NAP</v>
      </c>
      <c r="O101" s="111" t="s">
        <v>1204</v>
      </c>
      <c r="P101" s="1668" t="str">
        <f>IF(SUM(P95:P96)=0,"NAP",P92/SUM(P95:P96))</f>
        <v>NAP</v>
      </c>
      <c r="Q101" s="1669" t="s">
        <v>1204</v>
      </c>
      <c r="R101" s="108" t="str">
        <f>IF(SUM(R95:R96)=0,"NAP",R92/SUM(R95:R96))</f>
        <v>NAP</v>
      </c>
      <c r="S101" s="111" t="s">
        <v>1204</v>
      </c>
      <c r="T101" s="108" t="str">
        <f>IF(SUM(T95:T96)=0,"NAP",T92/SUM(T95:T96))</f>
        <v>NAP</v>
      </c>
      <c r="U101" s="111" t="s">
        <v>1204</v>
      </c>
      <c r="V101" s="108" t="str">
        <f>IF(SUM(V95:V96)=0,"NAP",V92/SUM(V95:V96))</f>
        <v>NAP</v>
      </c>
      <c r="W101" s="111" t="s">
        <v>1204</v>
      </c>
      <c r="X101" s="108" t="str">
        <f>IF(SUM(X95:X96)=0,"NAP",X92/SUM(X95:X96))</f>
        <v>NAP</v>
      </c>
      <c r="Y101" s="111" t="s">
        <v>1204</v>
      </c>
      <c r="Z101" s="108" t="str">
        <f>IF(SUM(Z95:Z96)=0,"NAP",Z92/SUM(Z95:Z96))</f>
        <v>NAP</v>
      </c>
      <c r="AA101" s="111" t="s">
        <v>1204</v>
      </c>
      <c r="AB101" s="108" t="str">
        <f>IF(SUM(AB95:AB96)=0,"NAP",AB92/SUM(AB95:AB96))</f>
        <v>NAP</v>
      </c>
      <c r="AC101" s="111" t="s">
        <v>1204</v>
      </c>
      <c r="AD101" s="108" t="str">
        <f>IF(SUM(AD95:AD96)=0,"NAP",AD92/SUM(AD95:AD96))</f>
        <v>NAP</v>
      </c>
      <c r="AE101" s="111" t="s">
        <v>1204</v>
      </c>
      <c r="AF101" s="108" t="str">
        <f>IF(SUM(AF95:AF96)=0,"NAP",AF92/SUM(AF95:AF96))</f>
        <v>NAP</v>
      </c>
      <c r="AG101" s="111" t="s">
        <v>1204</v>
      </c>
      <c r="AH101" s="108" t="str">
        <f>IF(SUM(AH95:AH96)=0,"NAP",AH92/SUM(AH95:AH96))</f>
        <v>NAP</v>
      </c>
      <c r="AI101" s="111" t="s">
        <v>1204</v>
      </c>
      <c r="AJ101" s="239"/>
      <c r="AK101" s="784"/>
      <c r="AP101" s="50"/>
      <c r="AQ101" s="51"/>
      <c r="AR101" s="51"/>
      <c r="AS101" s="51"/>
      <c r="AT101" s="51"/>
      <c r="AU101" s="51"/>
      <c r="AV101" s="51"/>
      <c r="AW101" s="51"/>
      <c r="AX101" s="51"/>
      <c r="AY101" s="51"/>
      <c r="AZ101" s="51"/>
      <c r="BA101" s="51"/>
      <c r="BB101" s="51"/>
      <c r="BC101" s="51"/>
      <c r="BD101" s="51"/>
      <c r="BE101" s="51"/>
      <c r="BF101" s="51"/>
      <c r="BG101" s="51"/>
      <c r="BH101" s="51"/>
      <c r="BI101" s="51"/>
      <c r="BJ101" s="52"/>
    </row>
    <row r="102" spans="2:62">
      <c r="B102" s="240"/>
      <c r="C102" s="240"/>
      <c r="E102" s="241"/>
      <c r="F102" s="241"/>
      <c r="G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row>
    <row r="103" spans="2:62">
      <c r="B103" s="240"/>
      <c r="C103" s="240"/>
      <c r="E103" s="241"/>
      <c r="F103" s="241"/>
      <c r="G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row>
    <row r="104" spans="2:62" ht="18.75">
      <c r="B104" s="134" t="s">
        <v>1509</v>
      </c>
      <c r="C104" s="242"/>
      <c r="D104" s="164"/>
      <c r="E104" s="164"/>
      <c r="F104" s="243"/>
      <c r="G104" s="243"/>
      <c r="L104" s="244"/>
      <c r="N104" s="244"/>
      <c r="P104" s="244"/>
      <c r="R104" s="244"/>
      <c r="T104" s="244"/>
      <c r="V104" s="244"/>
      <c r="X104" s="244"/>
      <c r="Z104" s="244"/>
      <c r="AB104" s="244"/>
      <c r="AD104" s="244"/>
      <c r="AF104" s="244"/>
      <c r="AH104" s="244"/>
    </row>
    <row r="105" spans="2:62">
      <c r="B105" s="11"/>
      <c r="C105" s="165"/>
      <c r="D105" s="165"/>
      <c r="E105" s="165"/>
      <c r="F105" s="165"/>
      <c r="G105" s="165"/>
    </row>
    <row r="106" spans="2:62" ht="30">
      <c r="B106" s="711" t="s">
        <v>1510</v>
      </c>
      <c r="C106" s="712" t="s">
        <v>1511</v>
      </c>
      <c r="D106" s="712" t="s">
        <v>1512</v>
      </c>
      <c r="E106" s="712" t="s">
        <v>1513</v>
      </c>
      <c r="F106" s="712" t="s">
        <v>1514</v>
      </c>
      <c r="G106" s="712" t="s">
        <v>1515</v>
      </c>
    </row>
    <row r="107" spans="2:62" ht="15">
      <c r="B107" s="245" t="s">
        <v>1516</v>
      </c>
      <c r="C107" s="89"/>
      <c r="D107" s="89"/>
      <c r="E107" s="90"/>
      <c r="F107" s="90"/>
      <c r="G107" s="246">
        <f>SUM(E107:F107)</f>
        <v>0</v>
      </c>
    </row>
    <row r="108" spans="2:62" ht="15">
      <c r="B108" s="245" t="s">
        <v>1517</v>
      </c>
      <c r="C108" s="89"/>
      <c r="D108" s="89"/>
      <c r="E108" s="90"/>
      <c r="F108" s="90"/>
      <c r="G108" s="246">
        <f>SUM(E108:F108)</f>
        <v>0</v>
      </c>
    </row>
    <row r="109" spans="2:62" ht="15">
      <c r="B109" s="245" t="s">
        <v>1518</v>
      </c>
      <c r="C109" s="89"/>
      <c r="D109" s="89"/>
      <c r="E109" s="90"/>
      <c r="F109" s="90"/>
      <c r="G109" s="246">
        <f>SUM(E109:F109)</f>
        <v>0</v>
      </c>
    </row>
    <row r="110" spans="2:62" ht="15">
      <c r="B110" s="245" t="s">
        <v>1519</v>
      </c>
      <c r="C110" s="89"/>
      <c r="D110" s="89"/>
      <c r="E110" s="90"/>
      <c r="F110" s="90"/>
      <c r="G110" s="246">
        <f>SUM(E110:F110)</f>
        <v>0</v>
      </c>
    </row>
    <row r="111" spans="2:62" ht="15">
      <c r="B111" s="713" t="s">
        <v>1520</v>
      </c>
      <c r="C111" s="714"/>
      <c r="D111" s="714"/>
      <c r="E111" s="715"/>
      <c r="F111" s="715"/>
      <c r="G111" s="716"/>
    </row>
    <row r="112" spans="2:62" ht="15">
      <c r="B112" s="245" t="s">
        <v>1521</v>
      </c>
      <c r="C112" s="89"/>
      <c r="D112" s="89"/>
      <c r="E112" s="90"/>
      <c r="F112" s="90"/>
      <c r="G112" s="246">
        <f>SUM(E112:F112)</f>
        <v>0</v>
      </c>
    </row>
    <row r="113" spans="2:7" ht="15">
      <c r="B113" s="713" t="s">
        <v>1522</v>
      </c>
      <c r="C113" s="714"/>
      <c r="D113" s="714"/>
      <c r="E113" s="715"/>
      <c r="F113" s="715"/>
      <c r="G113" s="716"/>
    </row>
    <row r="114" spans="2:7" ht="15">
      <c r="B114" s="245" t="s">
        <v>1521</v>
      </c>
      <c r="C114" s="89"/>
      <c r="D114" s="89"/>
      <c r="E114" s="90"/>
      <c r="F114" s="90"/>
      <c r="G114" s="246">
        <f>SUM(E114:F114)</f>
        <v>0</v>
      </c>
    </row>
    <row r="115" spans="2:7" ht="15">
      <c r="B115" s="245" t="s">
        <v>1523</v>
      </c>
      <c r="C115" s="89"/>
      <c r="D115" s="89"/>
      <c r="E115" s="90"/>
      <c r="F115" s="90"/>
      <c r="G115" s="246">
        <f>SUM(E115:F115)</f>
        <v>0</v>
      </c>
    </row>
    <row r="116" spans="2:7" ht="15">
      <c r="B116" s="713" t="s">
        <v>1524</v>
      </c>
      <c r="C116" s="714"/>
      <c r="D116" s="714"/>
      <c r="E116" s="715"/>
      <c r="F116" s="715"/>
      <c r="G116" s="716"/>
    </row>
    <row r="117" spans="2:7" ht="15">
      <c r="B117" s="245" t="s">
        <v>1525</v>
      </c>
      <c r="C117" s="89"/>
      <c r="D117" s="89"/>
      <c r="E117" s="90"/>
      <c r="F117" s="90"/>
      <c r="G117" s="246">
        <f>SUM(E117:F117)</f>
        <v>0</v>
      </c>
    </row>
    <row r="118" spans="2:7" ht="15">
      <c r="B118" s="713" t="s">
        <v>1526</v>
      </c>
      <c r="C118" s="714"/>
      <c r="D118" s="714"/>
      <c r="E118" s="715"/>
      <c r="F118" s="715"/>
      <c r="G118" s="716"/>
    </row>
    <row r="119" spans="2:7" ht="15">
      <c r="B119" s="245" t="s">
        <v>1527</v>
      </c>
      <c r="C119" s="89"/>
      <c r="D119" s="89"/>
      <c r="E119" s="90"/>
      <c r="F119" s="90"/>
      <c r="G119" s="246">
        <f>SUM(E119:F119)</f>
        <v>0</v>
      </c>
    </row>
    <row r="120" spans="2:7" ht="15">
      <c r="B120" s="713" t="s">
        <v>1528</v>
      </c>
      <c r="C120" s="714"/>
      <c r="D120" s="714"/>
      <c r="E120" s="715"/>
      <c r="F120" s="715"/>
      <c r="G120" s="716"/>
    </row>
    <row r="121" spans="2:7" ht="15">
      <c r="B121" s="245" t="s">
        <v>1529</v>
      </c>
      <c r="C121" s="89"/>
      <c r="D121" s="89"/>
      <c r="E121" s="90"/>
      <c r="F121" s="90"/>
      <c r="G121" s="246">
        <f>SUM(E121:F121)</f>
        <v>0</v>
      </c>
    </row>
    <row r="122" spans="2:7" ht="15">
      <c r="B122" s="245" t="s">
        <v>1530</v>
      </c>
      <c r="C122" s="89"/>
      <c r="D122" s="89"/>
      <c r="E122" s="90"/>
      <c r="F122" s="90"/>
      <c r="G122" s="246">
        <f>SUM(E122:F122)</f>
        <v>0</v>
      </c>
    </row>
    <row r="123" spans="2:7" ht="15">
      <c r="B123" s="245" t="s">
        <v>1531</v>
      </c>
      <c r="C123" s="89"/>
      <c r="D123" s="89"/>
      <c r="E123" s="90"/>
      <c r="F123" s="90"/>
      <c r="G123" s="246">
        <f>SUM(E123:F123)</f>
        <v>0</v>
      </c>
    </row>
    <row r="124" spans="2:7" ht="15">
      <c r="B124" s="713" t="s">
        <v>1532</v>
      </c>
      <c r="C124" s="714"/>
      <c r="D124" s="714"/>
      <c r="E124" s="715"/>
      <c r="F124" s="715"/>
      <c r="G124" s="716"/>
    </row>
    <row r="125" spans="2:7" ht="15">
      <c r="B125" s="245" t="s">
        <v>1533</v>
      </c>
      <c r="C125" s="89"/>
      <c r="D125" s="89"/>
      <c r="E125" s="90"/>
      <c r="F125" s="90"/>
      <c r="G125" s="246">
        <f>SUM(E125:F125)</f>
        <v>0</v>
      </c>
    </row>
    <row r="126" spans="2:7" ht="15">
      <c r="B126" s="245" t="s">
        <v>1534</v>
      </c>
      <c r="C126" s="89"/>
      <c r="D126" s="89"/>
      <c r="E126" s="90"/>
      <c r="F126" s="90"/>
      <c r="G126" s="246">
        <f>SUM(E126:F126)</f>
        <v>0</v>
      </c>
    </row>
    <row r="127" spans="2:7" ht="15">
      <c r="B127" s="245" t="s">
        <v>1535</v>
      </c>
      <c r="C127" s="89"/>
      <c r="D127" s="89"/>
      <c r="E127" s="90"/>
      <c r="F127" s="90"/>
      <c r="G127" s="246">
        <f>SUM(E127:F127)</f>
        <v>0</v>
      </c>
    </row>
    <row r="128" spans="2:7" ht="15">
      <c r="B128" s="245" t="s">
        <v>1536</v>
      </c>
      <c r="C128" s="89"/>
      <c r="D128" s="89"/>
      <c r="E128" s="90"/>
      <c r="F128" s="90"/>
      <c r="G128" s="246">
        <f>SUM(E128:F128)</f>
        <v>0</v>
      </c>
    </row>
    <row r="129" spans="2:36" ht="15">
      <c r="B129" s="245" t="s">
        <v>1537</v>
      </c>
      <c r="C129" s="89"/>
      <c r="D129" s="89"/>
      <c r="E129" s="90"/>
      <c r="F129" s="90"/>
      <c r="G129" s="246">
        <f>SUM(E129:F129)</f>
        <v>0</v>
      </c>
    </row>
    <row r="130" spans="2:36" ht="15">
      <c r="B130" s="713" t="s">
        <v>1538</v>
      </c>
      <c r="C130" s="714"/>
      <c r="D130" s="714"/>
      <c r="E130" s="715"/>
      <c r="F130" s="715"/>
      <c r="G130" s="716"/>
    </row>
    <row r="131" spans="2:36" ht="15">
      <c r="B131" s="245" t="s">
        <v>1539</v>
      </c>
      <c r="C131" s="89"/>
      <c r="D131" s="89"/>
      <c r="E131" s="90"/>
      <c r="F131" s="90"/>
      <c r="G131" s="246">
        <f>SUM(E131:F131)</f>
        <v>0</v>
      </c>
    </row>
    <row r="132" spans="2:36" ht="15">
      <c r="B132" s="245" t="s">
        <v>1540</v>
      </c>
      <c r="C132" s="89"/>
      <c r="D132" s="89"/>
      <c r="E132" s="90"/>
      <c r="F132" s="90"/>
      <c r="G132" s="246">
        <f>SUM(E132:F132)</f>
        <v>0</v>
      </c>
    </row>
    <row r="133" spans="2:36" ht="15.75" thickBot="1">
      <c r="B133" s="247" t="s">
        <v>1541</v>
      </c>
      <c r="C133" s="91"/>
      <c r="D133" s="91"/>
      <c r="E133" s="92"/>
      <c r="F133" s="92"/>
      <c r="G133" s="248">
        <f>SUM(E133:F133)</f>
        <v>0</v>
      </c>
    </row>
    <row r="134" spans="2:36" ht="15">
      <c r="B134" s="717" t="s">
        <v>1542</v>
      </c>
      <c r="C134" s="719"/>
      <c r="D134" s="719"/>
      <c r="E134" s="720"/>
      <c r="F134" s="720"/>
      <c r="G134" s="718">
        <f>SUM(G107:G133)</f>
        <v>0</v>
      </c>
    </row>
    <row r="135" spans="2:36">
      <c r="E135" s="29"/>
      <c r="F135" s="29"/>
      <c r="G135" s="29"/>
    </row>
    <row r="136" spans="2:36">
      <c r="E136" s="29"/>
      <c r="F136" s="29"/>
      <c r="G136" s="29"/>
    </row>
    <row r="137" spans="2:36">
      <c r="E137" s="29"/>
      <c r="F137" s="29"/>
      <c r="G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row>
    <row r="138" spans="2:36" hidden="1">
      <c r="C138" s="249"/>
      <c r="D138" s="249"/>
      <c r="F138" s="249"/>
      <c r="L138" s="249"/>
      <c r="N138" s="249"/>
      <c r="P138" s="249"/>
      <c r="R138" s="249"/>
      <c r="T138" s="249"/>
      <c r="V138" s="249"/>
      <c r="X138" s="249"/>
      <c r="Z138" s="249"/>
      <c r="AB138" s="249"/>
      <c r="AD138" s="249"/>
      <c r="AF138" s="249"/>
      <c r="AH138" s="249"/>
    </row>
    <row r="139" spans="2:36" hidden="1">
      <c r="C139" s="250"/>
      <c r="D139" s="249"/>
      <c r="F139" s="249"/>
      <c r="L139" s="249"/>
      <c r="N139" s="249"/>
      <c r="P139" s="249"/>
      <c r="R139" s="249"/>
      <c r="T139" s="249"/>
      <c r="V139" s="249"/>
      <c r="X139" s="249"/>
      <c r="Z139" s="249"/>
      <c r="AB139" s="249"/>
      <c r="AD139" s="249"/>
      <c r="AF139" s="249"/>
      <c r="AH139" s="249"/>
    </row>
    <row r="140" spans="2:36" hidden="1">
      <c r="C140" s="249"/>
      <c r="D140" s="249"/>
      <c r="F140" s="249"/>
      <c r="L140" s="249"/>
      <c r="N140" s="249"/>
      <c r="P140" s="249"/>
      <c r="R140" s="249"/>
      <c r="T140" s="249"/>
      <c r="V140" s="249"/>
      <c r="X140" s="249"/>
      <c r="Z140" s="249"/>
      <c r="AB140" s="249"/>
      <c r="AD140" s="249"/>
      <c r="AF140" s="249"/>
      <c r="AH140" s="249"/>
    </row>
    <row r="141" spans="2:36" hidden="1">
      <c r="C141" s="249"/>
      <c r="D141" s="249"/>
      <c r="F141" s="249"/>
      <c r="L141" s="249"/>
      <c r="N141" s="249"/>
      <c r="P141" s="249"/>
      <c r="R141" s="249"/>
      <c r="T141" s="249"/>
      <c r="V141" s="249"/>
      <c r="X141" s="249"/>
      <c r="Z141" s="249"/>
      <c r="AB141" s="249"/>
      <c r="AD141" s="249"/>
      <c r="AF141" s="249"/>
      <c r="AH141" s="249"/>
    </row>
    <row r="142" spans="2:36" hidden="1">
      <c r="C142" s="249"/>
      <c r="D142" s="249"/>
      <c r="F142" s="249"/>
      <c r="L142" s="249"/>
      <c r="N142" s="249"/>
      <c r="P142" s="249"/>
      <c r="R142" s="249"/>
      <c r="T142" s="249"/>
      <c r="V142" s="249"/>
      <c r="X142" s="249"/>
      <c r="Z142" s="249"/>
      <c r="AB142" s="249"/>
      <c r="AD142" s="249"/>
      <c r="AF142" s="249"/>
      <c r="AH142" s="249"/>
    </row>
    <row r="143" spans="2:36" hidden="1">
      <c r="C143" s="250"/>
      <c r="D143" s="249"/>
      <c r="F143" s="249"/>
      <c r="L143" s="249"/>
      <c r="N143" s="249"/>
      <c r="P143" s="249"/>
      <c r="R143" s="249"/>
      <c r="T143" s="249"/>
      <c r="V143" s="249"/>
      <c r="X143" s="249"/>
      <c r="Z143" s="249"/>
      <c r="AB143" s="249"/>
      <c r="AD143" s="249"/>
      <c r="AF143" s="249"/>
      <c r="AH143" s="249"/>
    </row>
    <row r="144" spans="2:36" hidden="1">
      <c r="C144" s="249"/>
      <c r="D144" s="249"/>
      <c r="F144" s="249"/>
      <c r="L144" s="249"/>
      <c r="N144" s="249"/>
      <c r="P144" s="249"/>
      <c r="R144" s="249"/>
      <c r="T144" s="249"/>
      <c r="V144" s="249"/>
      <c r="X144" s="249"/>
      <c r="Z144" s="249"/>
      <c r="AB144" s="249"/>
      <c r="AD144" s="249"/>
      <c r="AF144" s="249"/>
      <c r="AH144" s="249"/>
    </row>
    <row r="145" spans="3:34" hidden="1">
      <c r="C145" s="249"/>
      <c r="D145" s="249"/>
      <c r="F145" s="249"/>
      <c r="L145" s="249"/>
      <c r="N145" s="249"/>
      <c r="P145" s="249"/>
      <c r="R145" s="249"/>
      <c r="T145" s="249"/>
      <c r="V145" s="249"/>
      <c r="X145" s="249"/>
      <c r="Z145" s="249"/>
      <c r="AB145" s="249"/>
      <c r="AD145" s="249"/>
      <c r="AF145" s="249"/>
      <c r="AH145" s="249"/>
    </row>
    <row r="146" spans="3:34" hidden="1">
      <c r="C146" s="249"/>
      <c r="D146" s="249"/>
      <c r="F146" s="249"/>
      <c r="L146" s="249"/>
      <c r="N146" s="249"/>
      <c r="P146" s="249"/>
      <c r="R146" s="249"/>
      <c r="T146" s="249"/>
      <c r="V146" s="249"/>
      <c r="X146" s="249"/>
      <c r="Z146" s="249"/>
      <c r="AB146" s="249"/>
      <c r="AD146" s="249"/>
      <c r="AF146" s="249"/>
      <c r="AH146" s="249"/>
    </row>
    <row r="147" spans="3:34" hidden="1">
      <c r="C147" s="249"/>
      <c r="D147" s="249"/>
      <c r="F147" s="249"/>
      <c r="L147" s="249"/>
      <c r="N147" s="249"/>
      <c r="P147" s="249"/>
      <c r="R147" s="249"/>
      <c r="T147" s="249"/>
      <c r="V147" s="249"/>
      <c r="X147" s="249"/>
      <c r="Z147" s="249"/>
      <c r="AB147" s="249"/>
      <c r="AD147" s="249"/>
      <c r="AF147" s="249"/>
      <c r="AH147" s="249"/>
    </row>
    <row r="148" spans="3:34" hidden="1">
      <c r="C148" s="249"/>
      <c r="D148" s="249"/>
      <c r="F148" s="249"/>
      <c r="L148" s="249"/>
      <c r="N148" s="249"/>
      <c r="P148" s="249"/>
      <c r="R148" s="249"/>
      <c r="T148" s="249"/>
      <c r="V148" s="249"/>
      <c r="X148" s="249"/>
      <c r="Z148" s="249"/>
      <c r="AB148" s="249"/>
      <c r="AD148" s="249"/>
      <c r="AF148" s="249"/>
      <c r="AH148" s="249"/>
    </row>
    <row r="149" spans="3:34" hidden="1">
      <c r="C149" s="249"/>
      <c r="D149" s="249"/>
      <c r="F149" s="249"/>
      <c r="L149" s="249"/>
      <c r="N149" s="249"/>
      <c r="P149" s="249"/>
      <c r="R149" s="249"/>
      <c r="T149" s="249"/>
      <c r="V149" s="249"/>
      <c r="X149" s="249"/>
      <c r="Z149" s="249"/>
      <c r="AB149" s="249"/>
      <c r="AD149" s="249"/>
      <c r="AF149" s="249"/>
      <c r="AH149" s="249"/>
    </row>
    <row r="150" spans="3:34" hidden="1">
      <c r="C150" s="249"/>
      <c r="D150" s="249"/>
      <c r="F150" s="249"/>
      <c r="L150" s="249"/>
      <c r="N150" s="249"/>
      <c r="P150" s="249"/>
      <c r="R150" s="249"/>
      <c r="T150" s="249"/>
      <c r="V150" s="249"/>
      <c r="X150" s="249"/>
      <c r="Z150" s="249"/>
      <c r="AB150" s="249"/>
      <c r="AD150" s="249"/>
      <c r="AF150" s="249"/>
      <c r="AH150" s="249"/>
    </row>
    <row r="151" spans="3:34" hidden="1">
      <c r="C151" s="249"/>
      <c r="D151" s="249"/>
      <c r="F151" s="249"/>
      <c r="L151" s="249"/>
      <c r="N151" s="249"/>
      <c r="P151" s="249"/>
      <c r="R151" s="249"/>
      <c r="T151" s="249"/>
      <c r="V151" s="249"/>
      <c r="X151" s="249"/>
      <c r="Z151" s="249"/>
      <c r="AB151" s="249"/>
      <c r="AD151" s="249"/>
      <c r="AF151" s="249"/>
      <c r="AH151" s="249"/>
    </row>
    <row r="152" spans="3:34" hidden="1">
      <c r="C152" s="249"/>
      <c r="D152" s="249"/>
      <c r="F152" s="249"/>
      <c r="L152" s="249"/>
      <c r="N152" s="249"/>
      <c r="P152" s="249"/>
      <c r="R152" s="249"/>
      <c r="T152" s="249"/>
      <c r="V152" s="249"/>
      <c r="X152" s="249"/>
      <c r="Z152" s="249"/>
      <c r="AB152" s="249"/>
      <c r="AD152" s="249"/>
      <c r="AF152" s="249"/>
      <c r="AH152" s="249"/>
    </row>
    <row r="153" spans="3:34" hidden="1">
      <c r="C153" s="249"/>
      <c r="D153" s="249"/>
      <c r="F153" s="249"/>
      <c r="L153" s="249"/>
      <c r="N153" s="249"/>
      <c r="P153" s="249"/>
      <c r="R153" s="249"/>
      <c r="T153" s="249"/>
      <c r="V153" s="249"/>
      <c r="X153" s="249"/>
      <c r="Z153" s="249"/>
      <c r="AB153" s="249"/>
      <c r="AD153" s="249"/>
      <c r="AF153" s="249"/>
      <c r="AH153" s="249"/>
    </row>
    <row r="154" spans="3:34" hidden="1">
      <c r="C154" s="249"/>
      <c r="D154" s="249"/>
      <c r="F154" s="249"/>
      <c r="L154" s="249"/>
      <c r="N154" s="249"/>
      <c r="P154" s="249"/>
      <c r="R154" s="249"/>
      <c r="T154" s="249"/>
      <c r="V154" s="249"/>
      <c r="X154" s="249"/>
      <c r="Z154" s="249"/>
      <c r="AB154" s="249"/>
      <c r="AD154" s="249"/>
      <c r="AF154" s="249"/>
      <c r="AH154" s="249"/>
    </row>
    <row r="155" spans="3:34" hidden="1">
      <c r="C155" s="249"/>
      <c r="D155" s="249"/>
      <c r="F155" s="249"/>
      <c r="L155" s="249"/>
      <c r="N155" s="249"/>
      <c r="P155" s="249"/>
      <c r="R155" s="249"/>
      <c r="T155" s="249"/>
      <c r="V155" s="249"/>
      <c r="X155" s="249"/>
      <c r="Z155" s="249"/>
      <c r="AB155" s="249"/>
      <c r="AD155" s="249"/>
      <c r="AF155" s="249"/>
      <c r="AH155" s="249"/>
    </row>
    <row r="156" spans="3:34" hidden="1">
      <c r="C156" s="249"/>
      <c r="D156" s="249"/>
      <c r="F156" s="249"/>
      <c r="L156" s="249"/>
      <c r="N156" s="249"/>
      <c r="P156" s="249"/>
      <c r="R156" s="249"/>
      <c r="T156" s="249"/>
      <c r="V156" s="249"/>
      <c r="X156" s="249"/>
      <c r="Z156" s="249"/>
      <c r="AB156" s="249"/>
      <c r="AD156" s="249"/>
      <c r="AF156" s="249"/>
      <c r="AH156" s="249"/>
    </row>
    <row r="157" spans="3:34" hidden="1">
      <c r="C157" s="249"/>
      <c r="D157" s="249"/>
      <c r="F157" s="249"/>
      <c r="L157" s="249"/>
      <c r="N157" s="249"/>
      <c r="P157" s="249"/>
      <c r="R157" s="249"/>
      <c r="T157" s="249"/>
      <c r="V157" s="249"/>
      <c r="X157" s="249"/>
      <c r="Z157" s="249"/>
      <c r="AB157" s="249"/>
      <c r="AD157" s="249"/>
      <c r="AF157" s="249"/>
      <c r="AH157" s="249"/>
    </row>
    <row r="158" spans="3:34" hidden="1">
      <c r="C158" s="249"/>
      <c r="D158" s="249"/>
      <c r="F158" s="249"/>
      <c r="L158" s="249"/>
      <c r="N158" s="249"/>
      <c r="P158" s="249"/>
      <c r="R158" s="249"/>
      <c r="T158" s="249"/>
      <c r="V158" s="249"/>
      <c r="X158" s="249"/>
      <c r="Z158" s="249"/>
      <c r="AB158" s="249"/>
      <c r="AD158" s="249"/>
      <c r="AF158" s="249"/>
      <c r="AH158" s="249"/>
    </row>
    <row r="159" spans="3:34" hidden="1">
      <c r="C159" s="249"/>
      <c r="D159" s="249"/>
      <c r="F159" s="249"/>
      <c r="L159" s="249"/>
      <c r="N159" s="249"/>
      <c r="P159" s="249"/>
      <c r="R159" s="249"/>
      <c r="T159" s="249"/>
      <c r="V159" s="249"/>
      <c r="X159" s="249"/>
      <c r="Z159" s="249"/>
      <c r="AB159" s="249"/>
      <c r="AD159" s="249"/>
      <c r="AF159" s="249"/>
      <c r="AH159" s="249"/>
    </row>
    <row r="160" spans="3:34" hidden="1">
      <c r="C160" s="249"/>
      <c r="D160" s="249"/>
      <c r="F160" s="249"/>
      <c r="L160" s="249"/>
      <c r="N160" s="249"/>
      <c r="P160" s="249"/>
      <c r="R160" s="249"/>
      <c r="T160" s="249"/>
      <c r="V160" s="249"/>
      <c r="X160" s="249"/>
      <c r="Z160" s="249"/>
      <c r="AB160" s="249"/>
      <c r="AD160" s="249"/>
      <c r="AF160" s="249"/>
      <c r="AH160" s="249"/>
    </row>
    <row r="161" spans="3:34" hidden="1">
      <c r="C161" s="249"/>
      <c r="D161" s="249"/>
      <c r="F161" s="249"/>
      <c r="L161" s="249"/>
      <c r="N161" s="249"/>
      <c r="P161" s="249"/>
      <c r="R161" s="249"/>
      <c r="T161" s="249"/>
      <c r="V161" s="249"/>
      <c r="X161" s="249"/>
      <c r="Z161" s="249"/>
      <c r="AB161" s="249"/>
      <c r="AD161" s="249"/>
      <c r="AF161" s="249"/>
      <c r="AH161" s="249"/>
    </row>
    <row r="162" spans="3:34" hidden="1">
      <c r="C162" s="249"/>
      <c r="D162" s="249"/>
      <c r="F162" s="249"/>
      <c r="L162" s="249"/>
      <c r="N162" s="249"/>
      <c r="P162" s="249"/>
      <c r="R162" s="249"/>
      <c r="T162" s="249"/>
      <c r="V162" s="249"/>
      <c r="X162" s="249"/>
      <c r="Z162" s="249"/>
      <c r="AB162" s="249"/>
      <c r="AD162" s="249"/>
      <c r="AF162" s="249"/>
      <c r="AH162" s="249"/>
    </row>
    <row r="163" spans="3:34" hidden="1">
      <c r="C163" s="249"/>
      <c r="D163" s="249"/>
      <c r="F163" s="249"/>
      <c r="L163" s="249"/>
      <c r="N163" s="249"/>
      <c r="P163" s="249"/>
      <c r="R163" s="249"/>
      <c r="T163" s="249"/>
      <c r="V163" s="249"/>
      <c r="X163" s="249"/>
      <c r="Z163" s="249"/>
      <c r="AB163" s="249"/>
      <c r="AD163" s="249"/>
      <c r="AF163" s="249"/>
      <c r="AH163" s="249"/>
    </row>
    <row r="164" spans="3:34" hidden="1">
      <c r="C164" s="249"/>
      <c r="D164" s="249"/>
      <c r="F164" s="249"/>
      <c r="L164" s="249"/>
      <c r="N164" s="249"/>
      <c r="P164" s="249"/>
      <c r="R164" s="249"/>
      <c r="T164" s="249"/>
      <c r="V164" s="249"/>
      <c r="X164" s="249"/>
      <c r="Z164" s="249"/>
      <c r="AB164" s="249"/>
      <c r="AD164" s="249"/>
      <c r="AF164" s="249"/>
      <c r="AH164" s="249"/>
    </row>
    <row r="165" spans="3:34" hidden="1">
      <c r="C165" s="249"/>
      <c r="D165" s="249"/>
      <c r="F165" s="249"/>
      <c r="L165" s="249"/>
      <c r="N165" s="249"/>
      <c r="P165" s="249"/>
      <c r="R165" s="249"/>
      <c r="T165" s="249"/>
      <c r="V165" s="249"/>
      <c r="X165" s="249"/>
      <c r="Z165" s="249"/>
      <c r="AB165" s="249"/>
      <c r="AD165" s="249"/>
      <c r="AF165" s="249"/>
      <c r="AH165" s="249"/>
    </row>
    <row r="166" spans="3:34" hidden="1">
      <c r="C166" s="249"/>
      <c r="D166" s="249"/>
      <c r="F166" s="249"/>
      <c r="L166" s="249"/>
      <c r="N166" s="249"/>
      <c r="P166" s="249"/>
      <c r="R166" s="249"/>
      <c r="T166" s="249"/>
      <c r="V166" s="249"/>
      <c r="X166" s="249"/>
      <c r="Z166" s="249"/>
      <c r="AB166" s="249"/>
      <c r="AD166" s="249"/>
      <c r="AF166" s="249"/>
      <c r="AH166" s="249"/>
    </row>
    <row r="167" spans="3:34" hidden="1">
      <c r="C167" s="249"/>
      <c r="D167" s="249"/>
      <c r="F167" s="249"/>
      <c r="L167" s="249"/>
      <c r="N167" s="249"/>
      <c r="P167" s="249"/>
      <c r="R167" s="249"/>
      <c r="T167" s="249"/>
      <c r="V167" s="249"/>
      <c r="X167" s="249"/>
      <c r="Z167" s="249"/>
      <c r="AB167" s="249"/>
      <c r="AD167" s="249"/>
      <c r="AF167" s="249"/>
      <c r="AH167" s="249"/>
    </row>
    <row r="168" spans="3:34" hidden="1">
      <c r="C168" s="249"/>
      <c r="D168" s="249"/>
      <c r="F168" s="249"/>
      <c r="L168" s="249"/>
      <c r="N168" s="249"/>
      <c r="P168" s="249"/>
      <c r="R168" s="249"/>
      <c r="T168" s="249"/>
      <c r="V168" s="249"/>
      <c r="X168" s="249"/>
      <c r="Z168" s="249"/>
      <c r="AB168" s="249"/>
      <c r="AD168" s="249"/>
      <c r="AF168" s="249"/>
      <c r="AH168" s="249"/>
    </row>
    <row r="169" spans="3:34" hidden="1">
      <c r="C169" s="249"/>
      <c r="D169" s="249"/>
      <c r="F169" s="249"/>
      <c r="L169" s="249"/>
      <c r="N169" s="249"/>
      <c r="P169" s="249"/>
      <c r="R169" s="249"/>
      <c r="T169" s="249"/>
      <c r="V169" s="249"/>
      <c r="X169" s="249"/>
      <c r="Z169" s="249"/>
      <c r="AB169" s="249"/>
      <c r="AD169" s="249"/>
      <c r="AF169" s="249"/>
      <c r="AH169" s="249"/>
    </row>
    <row r="170" spans="3:34" hidden="1">
      <c r="C170" s="249"/>
      <c r="D170" s="249"/>
      <c r="F170" s="249"/>
      <c r="L170" s="249"/>
      <c r="N170" s="249"/>
      <c r="P170" s="249"/>
      <c r="R170" s="249"/>
      <c r="T170" s="249"/>
      <c r="V170" s="249"/>
      <c r="X170" s="249"/>
      <c r="Z170" s="249"/>
      <c r="AB170" s="249"/>
      <c r="AD170" s="249"/>
      <c r="AF170" s="249"/>
      <c r="AH170" s="249"/>
    </row>
    <row r="171" spans="3:34" hidden="1">
      <c r="C171" s="249"/>
      <c r="D171" s="249"/>
      <c r="F171" s="249"/>
      <c r="L171" s="249"/>
      <c r="N171" s="249"/>
      <c r="P171" s="249"/>
      <c r="R171" s="249"/>
      <c r="T171" s="249"/>
      <c r="V171" s="249"/>
      <c r="X171" s="249"/>
      <c r="Z171" s="249"/>
      <c r="AB171" s="249"/>
      <c r="AD171" s="249"/>
      <c r="AF171" s="249"/>
      <c r="AH171" s="249"/>
    </row>
    <row r="172" spans="3:34" hidden="1">
      <c r="C172" s="249"/>
      <c r="D172" s="249"/>
      <c r="F172" s="249"/>
      <c r="L172" s="249"/>
      <c r="N172" s="249"/>
      <c r="P172" s="249"/>
      <c r="R172" s="249"/>
      <c r="T172" s="249"/>
      <c r="V172" s="249"/>
      <c r="X172" s="249"/>
      <c r="Z172" s="249"/>
      <c r="AB172" s="249"/>
      <c r="AD172" s="249"/>
      <c r="AF172" s="249"/>
      <c r="AH172" s="249"/>
    </row>
    <row r="173" spans="3:34" hidden="1">
      <c r="C173" s="249"/>
      <c r="D173" s="249"/>
      <c r="F173" s="249"/>
      <c r="L173" s="249"/>
      <c r="N173" s="249"/>
      <c r="P173" s="249"/>
      <c r="R173" s="249"/>
      <c r="T173" s="249"/>
      <c r="V173" s="249"/>
      <c r="X173" s="249"/>
      <c r="Z173" s="249"/>
      <c r="AB173" s="249"/>
      <c r="AD173" s="249"/>
      <c r="AF173" s="249"/>
      <c r="AH173" s="249"/>
    </row>
    <row r="174" spans="3:34" hidden="1">
      <c r="C174" s="249"/>
      <c r="D174" s="249"/>
      <c r="F174" s="249"/>
      <c r="L174" s="249"/>
      <c r="N174" s="249"/>
      <c r="P174" s="249"/>
      <c r="R174" s="249"/>
      <c r="T174" s="249"/>
      <c r="V174" s="249"/>
      <c r="X174" s="249"/>
      <c r="Z174" s="249"/>
      <c r="AB174" s="249"/>
      <c r="AD174" s="249"/>
      <c r="AF174" s="249"/>
      <c r="AH174" s="249"/>
    </row>
    <row r="175" spans="3:34" hidden="1">
      <c r="C175" s="249"/>
      <c r="D175" s="249"/>
      <c r="F175" s="249"/>
      <c r="L175" s="249"/>
      <c r="N175" s="249"/>
      <c r="P175" s="249"/>
      <c r="R175" s="249"/>
      <c r="T175" s="249"/>
      <c r="V175" s="249"/>
      <c r="X175" s="249"/>
      <c r="Z175" s="249"/>
      <c r="AB175" s="249"/>
      <c r="AD175" s="249"/>
      <c r="AF175" s="249"/>
      <c r="AH175" s="249"/>
    </row>
    <row r="176" spans="3:34" hidden="1">
      <c r="C176" s="249"/>
      <c r="D176" s="249"/>
      <c r="F176" s="249"/>
      <c r="L176" s="249"/>
      <c r="N176" s="249"/>
      <c r="P176" s="249"/>
      <c r="R176" s="249"/>
      <c r="T176" s="249"/>
      <c r="V176" s="249"/>
      <c r="X176" s="249"/>
      <c r="Z176" s="249"/>
      <c r="AB176" s="249"/>
      <c r="AD176" s="249"/>
      <c r="AF176" s="249"/>
      <c r="AH176" s="249"/>
    </row>
    <row r="177" spans="3:34" hidden="1">
      <c r="C177" s="249"/>
      <c r="D177" s="249"/>
      <c r="F177" s="249"/>
      <c r="L177" s="249"/>
      <c r="N177" s="249"/>
      <c r="P177" s="249"/>
      <c r="R177" s="249"/>
      <c r="T177" s="249"/>
      <c r="V177" s="249"/>
      <c r="X177" s="249"/>
      <c r="Z177" s="249"/>
      <c r="AB177" s="249"/>
      <c r="AD177" s="249"/>
      <c r="AF177" s="249"/>
      <c r="AH177" s="249"/>
    </row>
    <row r="178" spans="3:34" hidden="1">
      <c r="C178" s="249"/>
      <c r="D178" s="249"/>
      <c r="F178" s="249"/>
      <c r="L178" s="249"/>
      <c r="N178" s="249"/>
      <c r="P178" s="249"/>
      <c r="R178" s="249"/>
      <c r="T178" s="249"/>
      <c r="V178" s="249"/>
      <c r="X178" s="249"/>
      <c r="Z178" s="249"/>
      <c r="AB178" s="249"/>
      <c r="AD178" s="249"/>
      <c r="AF178" s="249"/>
      <c r="AH178" s="249"/>
    </row>
    <row r="179" spans="3:34" hidden="1">
      <c r="C179" s="249"/>
      <c r="D179" s="249"/>
      <c r="F179" s="249"/>
      <c r="L179" s="249"/>
      <c r="N179" s="249"/>
      <c r="P179" s="249"/>
      <c r="R179" s="249"/>
      <c r="T179" s="249"/>
      <c r="V179" s="249"/>
      <c r="X179" s="249"/>
      <c r="Z179" s="249"/>
      <c r="AB179" s="249"/>
      <c r="AD179" s="249"/>
      <c r="AF179" s="249"/>
      <c r="AH179" s="249"/>
    </row>
    <row r="180" spans="3:34" hidden="1">
      <c r="C180" s="249"/>
      <c r="D180" s="249"/>
      <c r="F180" s="249"/>
      <c r="L180" s="249"/>
      <c r="N180" s="249"/>
      <c r="P180" s="249"/>
      <c r="R180" s="249"/>
      <c r="T180" s="249"/>
      <c r="V180" s="249"/>
      <c r="X180" s="249"/>
      <c r="Z180" s="249"/>
      <c r="AB180" s="249"/>
      <c r="AD180" s="249"/>
      <c r="AF180" s="249"/>
      <c r="AH180" s="249"/>
    </row>
    <row r="181" spans="3:34" hidden="1">
      <c r="C181" s="249"/>
      <c r="D181" s="249"/>
      <c r="F181" s="249"/>
      <c r="L181" s="249"/>
      <c r="N181" s="249"/>
      <c r="P181" s="249"/>
      <c r="R181" s="249"/>
      <c r="T181" s="249"/>
      <c r="V181" s="249"/>
      <c r="X181" s="249"/>
      <c r="Z181" s="249"/>
      <c r="AB181" s="249"/>
      <c r="AD181" s="249"/>
      <c r="AF181" s="249"/>
      <c r="AH181" s="249"/>
    </row>
    <row r="182" spans="3:34" hidden="1">
      <c r="C182" s="249"/>
      <c r="D182" s="249"/>
      <c r="F182" s="249"/>
      <c r="L182" s="249"/>
      <c r="N182" s="249"/>
      <c r="P182" s="249"/>
      <c r="R182" s="249"/>
      <c r="T182" s="249"/>
      <c r="V182" s="249"/>
      <c r="X182" s="249"/>
      <c r="Z182" s="249"/>
      <c r="AB182" s="249"/>
      <c r="AD182" s="249"/>
      <c r="AF182" s="249"/>
      <c r="AH182" s="249"/>
    </row>
    <row r="183" spans="3:34" hidden="1">
      <c r="C183" s="249"/>
      <c r="D183" s="249"/>
      <c r="F183" s="249"/>
      <c r="L183" s="249"/>
      <c r="N183" s="249"/>
      <c r="P183" s="249"/>
      <c r="R183" s="249"/>
      <c r="T183" s="249"/>
      <c r="V183" s="249"/>
      <c r="X183" s="249"/>
      <c r="Z183" s="249"/>
      <c r="AB183" s="249"/>
      <c r="AD183" s="249"/>
      <c r="AF183" s="249"/>
      <c r="AH183" s="249"/>
    </row>
    <row r="184" spans="3:34" hidden="1">
      <c r="C184" s="249"/>
      <c r="D184" s="249"/>
      <c r="F184" s="249"/>
      <c r="L184" s="249"/>
      <c r="N184" s="249"/>
      <c r="P184" s="249"/>
      <c r="R184" s="249"/>
      <c r="T184" s="249"/>
      <c r="V184" s="249"/>
      <c r="X184" s="249"/>
      <c r="Z184" s="249"/>
      <c r="AB184" s="249"/>
      <c r="AD184" s="249"/>
      <c r="AF184" s="249"/>
      <c r="AH184" s="249"/>
    </row>
    <row r="185" spans="3:34" hidden="1">
      <c r="C185" s="249"/>
      <c r="D185" s="249"/>
      <c r="F185" s="249"/>
      <c r="L185" s="249"/>
      <c r="N185" s="249"/>
      <c r="P185" s="249"/>
      <c r="R185" s="249"/>
      <c r="T185" s="249"/>
      <c r="V185" s="249"/>
      <c r="X185" s="249"/>
      <c r="Z185" s="249"/>
      <c r="AB185" s="249"/>
      <c r="AD185" s="249"/>
      <c r="AF185" s="249"/>
      <c r="AH185" s="249"/>
    </row>
    <row r="186" spans="3:34" hidden="1">
      <c r="C186" s="249"/>
      <c r="D186" s="249"/>
      <c r="F186" s="249"/>
      <c r="L186" s="249"/>
      <c r="N186" s="249"/>
      <c r="P186" s="249"/>
      <c r="R186" s="249"/>
      <c r="T186" s="249"/>
      <c r="V186" s="249"/>
      <c r="X186" s="249"/>
      <c r="Z186" s="249"/>
      <c r="AB186" s="249"/>
      <c r="AD186" s="249"/>
      <c r="AF186" s="249"/>
      <c r="AH186" s="249"/>
    </row>
    <row r="187" spans="3:34" hidden="1">
      <c r="C187" s="249"/>
      <c r="D187" s="249"/>
      <c r="F187" s="249"/>
      <c r="L187" s="249"/>
      <c r="N187" s="249"/>
      <c r="P187" s="249"/>
      <c r="R187" s="249"/>
      <c r="T187" s="249"/>
      <c r="V187" s="249"/>
      <c r="X187" s="249"/>
      <c r="Z187" s="249"/>
      <c r="AB187" s="249"/>
      <c r="AD187" s="249"/>
      <c r="AF187" s="249"/>
      <c r="AH187" s="249"/>
    </row>
    <row r="188" spans="3:34" hidden="1">
      <c r="C188" s="249"/>
      <c r="D188" s="249"/>
      <c r="F188" s="249"/>
      <c r="L188" s="249"/>
      <c r="N188" s="249"/>
      <c r="P188" s="249"/>
      <c r="R188" s="249"/>
      <c r="T188" s="249"/>
      <c r="V188" s="249"/>
      <c r="X188" s="249"/>
      <c r="Z188" s="249"/>
      <c r="AB188" s="249"/>
      <c r="AD188" s="249"/>
      <c r="AF188" s="249"/>
      <c r="AH188" s="249"/>
    </row>
    <row r="189" spans="3:34" hidden="1">
      <c r="C189" s="249"/>
      <c r="D189" s="249"/>
      <c r="F189" s="249"/>
      <c r="L189" s="249"/>
      <c r="N189" s="249"/>
      <c r="P189" s="249"/>
      <c r="R189" s="249"/>
      <c r="T189" s="249"/>
      <c r="V189" s="249"/>
      <c r="X189" s="249"/>
      <c r="Z189" s="249"/>
      <c r="AB189" s="249"/>
      <c r="AD189" s="249"/>
      <c r="AF189" s="249"/>
      <c r="AH189" s="249"/>
    </row>
    <row r="190" spans="3:34" hidden="1">
      <c r="C190" s="249"/>
      <c r="D190" s="249"/>
      <c r="F190" s="249"/>
      <c r="L190" s="249"/>
      <c r="N190" s="249"/>
      <c r="P190" s="249"/>
      <c r="R190" s="249"/>
      <c r="T190" s="249"/>
      <c r="V190" s="249"/>
      <c r="X190" s="249"/>
      <c r="Z190" s="249"/>
      <c r="AB190" s="249"/>
      <c r="AD190" s="249"/>
      <c r="AF190" s="249"/>
      <c r="AH190" s="249"/>
    </row>
    <row r="191" spans="3:34" hidden="1">
      <c r="C191" s="249"/>
      <c r="D191" s="249"/>
      <c r="F191" s="249"/>
      <c r="L191" s="249"/>
      <c r="N191" s="249"/>
      <c r="P191" s="249"/>
      <c r="R191" s="249"/>
      <c r="T191" s="249"/>
      <c r="V191" s="249"/>
      <c r="X191" s="249"/>
      <c r="Z191" s="249"/>
      <c r="AB191" s="249"/>
      <c r="AD191" s="249"/>
      <c r="AF191" s="249"/>
      <c r="AH191" s="249"/>
    </row>
    <row r="192" spans="3:34" hidden="1">
      <c r="C192" s="249"/>
      <c r="D192" s="249"/>
      <c r="F192" s="249"/>
      <c r="L192" s="249"/>
      <c r="N192" s="249"/>
      <c r="P192" s="249"/>
      <c r="R192" s="249"/>
      <c r="T192" s="249"/>
      <c r="V192" s="249"/>
      <c r="X192" s="249"/>
      <c r="Z192" s="249"/>
      <c r="AB192" s="249"/>
      <c r="AD192" s="249"/>
      <c r="AF192" s="249"/>
      <c r="AH192" s="249"/>
    </row>
    <row r="193" spans="3:34" hidden="1">
      <c r="C193" s="249"/>
      <c r="D193" s="249"/>
      <c r="F193" s="249"/>
      <c r="L193" s="249"/>
      <c r="N193" s="249"/>
      <c r="P193" s="249"/>
      <c r="R193" s="249"/>
      <c r="T193" s="249"/>
      <c r="V193" s="249"/>
      <c r="X193" s="249"/>
      <c r="Z193" s="249"/>
      <c r="AB193" s="249"/>
      <c r="AD193" s="249"/>
      <c r="AF193" s="249"/>
      <c r="AH193" s="249"/>
    </row>
    <row r="194" spans="3:34" hidden="1">
      <c r="C194" s="249"/>
      <c r="D194" s="249"/>
      <c r="F194" s="249"/>
      <c r="L194" s="249"/>
      <c r="N194" s="249"/>
      <c r="P194" s="249"/>
      <c r="R194" s="249"/>
      <c r="T194" s="249"/>
      <c r="V194" s="249"/>
      <c r="X194" s="249"/>
      <c r="Z194" s="249"/>
      <c r="AB194" s="249"/>
      <c r="AD194" s="249"/>
      <c r="AF194" s="249"/>
      <c r="AH194" s="249"/>
    </row>
    <row r="195" spans="3:34" hidden="1">
      <c r="C195" s="249"/>
      <c r="D195" s="249"/>
      <c r="F195" s="249"/>
      <c r="L195" s="249"/>
      <c r="N195" s="249"/>
      <c r="P195" s="249"/>
      <c r="R195" s="249"/>
      <c r="T195" s="249"/>
      <c r="V195" s="249"/>
      <c r="X195" s="249"/>
      <c r="Z195" s="249"/>
      <c r="AB195" s="249"/>
      <c r="AD195" s="249"/>
      <c r="AF195" s="249"/>
      <c r="AH195" s="249"/>
    </row>
    <row r="196" spans="3:34" hidden="1">
      <c r="C196" s="249"/>
      <c r="D196" s="249"/>
      <c r="F196" s="249"/>
      <c r="L196" s="249"/>
      <c r="N196" s="249"/>
      <c r="P196" s="249"/>
      <c r="R196" s="249"/>
      <c r="T196" s="249"/>
      <c r="V196" s="249"/>
      <c r="X196" s="249"/>
      <c r="Z196" s="249"/>
      <c r="AB196" s="249"/>
      <c r="AD196" s="249"/>
      <c r="AF196" s="249"/>
      <c r="AH196" s="249"/>
    </row>
    <row r="197" spans="3:34" hidden="1">
      <c r="C197" s="249"/>
      <c r="D197" s="249"/>
      <c r="F197" s="249"/>
      <c r="L197" s="249"/>
      <c r="N197" s="249"/>
      <c r="P197" s="249"/>
      <c r="R197" s="249"/>
      <c r="T197" s="249"/>
      <c r="V197" s="249"/>
      <c r="X197" s="249"/>
      <c r="Z197" s="249"/>
      <c r="AB197" s="249"/>
      <c r="AD197" s="249"/>
      <c r="AF197" s="249"/>
      <c r="AH197" s="249"/>
    </row>
    <row r="198" spans="3:34" hidden="1">
      <c r="C198" s="249"/>
      <c r="D198" s="249"/>
      <c r="F198" s="249"/>
      <c r="L198" s="249"/>
      <c r="N198" s="249"/>
      <c r="P198" s="249"/>
      <c r="R198" s="249"/>
      <c r="T198" s="249"/>
      <c r="V198" s="249"/>
      <c r="X198" s="249"/>
      <c r="Z198" s="249"/>
      <c r="AB198" s="249"/>
      <c r="AD198" s="249"/>
      <c r="AF198" s="249"/>
      <c r="AH198" s="249"/>
    </row>
    <row r="199" spans="3:34" hidden="1">
      <c r="C199" s="249"/>
      <c r="D199" s="249"/>
      <c r="F199" s="249"/>
      <c r="L199" s="249"/>
      <c r="N199" s="249"/>
      <c r="P199" s="249"/>
      <c r="R199" s="249"/>
      <c r="T199" s="249"/>
      <c r="V199" s="249"/>
      <c r="X199" s="249"/>
      <c r="Z199" s="249"/>
      <c r="AB199" s="249"/>
      <c r="AD199" s="249"/>
      <c r="AF199" s="249"/>
      <c r="AH199" s="249"/>
    </row>
    <row r="200" spans="3:34" hidden="1">
      <c r="C200" s="249"/>
      <c r="D200" s="249"/>
      <c r="F200" s="249"/>
      <c r="L200" s="249"/>
      <c r="N200" s="249"/>
      <c r="P200" s="249"/>
      <c r="R200" s="249"/>
      <c r="T200" s="249"/>
      <c r="V200" s="249"/>
      <c r="X200" s="249"/>
      <c r="Z200" s="249"/>
      <c r="AB200" s="249"/>
      <c r="AD200" s="249"/>
      <c r="AF200" s="249"/>
      <c r="AH200" s="249"/>
    </row>
    <row r="201" spans="3:34" hidden="1">
      <c r="C201" s="249"/>
      <c r="D201" s="249"/>
      <c r="F201" s="249"/>
      <c r="L201" s="249"/>
      <c r="N201" s="249"/>
      <c r="P201" s="249"/>
      <c r="R201" s="249"/>
      <c r="T201" s="249"/>
      <c r="V201" s="249"/>
      <c r="X201" s="249"/>
      <c r="Z201" s="249"/>
      <c r="AB201" s="249"/>
      <c r="AD201" s="249"/>
      <c r="AF201" s="249"/>
      <c r="AH201" s="249"/>
    </row>
    <row r="202" spans="3:34" hidden="1">
      <c r="C202" s="249"/>
      <c r="D202" s="249"/>
      <c r="F202" s="249"/>
      <c r="L202" s="249"/>
      <c r="N202" s="249"/>
      <c r="P202" s="249"/>
      <c r="R202" s="249"/>
      <c r="T202" s="249"/>
      <c r="V202" s="249"/>
      <c r="X202" s="249"/>
      <c r="Z202" s="249"/>
      <c r="AB202" s="249"/>
      <c r="AD202" s="249"/>
      <c r="AF202" s="249"/>
      <c r="AH202" s="249"/>
    </row>
    <row r="203" spans="3:34" hidden="1">
      <c r="C203" s="249"/>
      <c r="D203" s="249"/>
      <c r="F203" s="249"/>
      <c r="L203" s="249"/>
      <c r="N203" s="249"/>
      <c r="P203" s="249"/>
      <c r="R203" s="249"/>
      <c r="T203" s="249"/>
      <c r="V203" s="249"/>
      <c r="X203" s="249"/>
      <c r="Z203" s="249"/>
      <c r="AB203" s="249"/>
      <c r="AD203" s="249"/>
      <c r="AF203" s="249"/>
      <c r="AH203" s="249"/>
    </row>
    <row r="204" spans="3:34" hidden="1">
      <c r="C204" s="249"/>
      <c r="D204" s="249"/>
      <c r="F204" s="249"/>
      <c r="L204" s="249"/>
      <c r="N204" s="249"/>
      <c r="P204" s="249"/>
      <c r="R204" s="249"/>
      <c r="T204" s="249"/>
      <c r="V204" s="249"/>
      <c r="X204" s="249"/>
      <c r="Z204" s="249"/>
      <c r="AB204" s="249"/>
      <c r="AD204" s="249"/>
      <c r="AF204" s="249"/>
      <c r="AH204" s="249"/>
    </row>
    <row r="205" spans="3:34" hidden="1">
      <c r="C205" s="249"/>
      <c r="D205" s="249"/>
      <c r="F205" s="249"/>
      <c r="L205" s="249"/>
      <c r="N205" s="249"/>
      <c r="P205" s="249"/>
      <c r="R205" s="249"/>
      <c r="T205" s="249"/>
      <c r="V205" s="249"/>
      <c r="X205" s="249"/>
      <c r="Z205" s="249"/>
      <c r="AB205" s="249"/>
      <c r="AD205" s="249"/>
      <c r="AF205" s="249"/>
      <c r="AH205" s="249"/>
    </row>
    <row r="206" spans="3:34" hidden="1">
      <c r="C206" s="249"/>
      <c r="D206" s="249"/>
      <c r="F206" s="249"/>
      <c r="L206" s="249"/>
      <c r="N206" s="249"/>
      <c r="P206" s="249"/>
      <c r="R206" s="249"/>
      <c r="T206" s="249"/>
      <c r="V206" s="249"/>
      <c r="X206" s="249"/>
      <c r="Z206" s="249"/>
      <c r="AB206" s="249"/>
      <c r="AD206" s="249"/>
      <c r="AF206" s="249"/>
      <c r="AH206" s="249"/>
    </row>
    <row r="207" spans="3:34" hidden="1">
      <c r="C207" s="249"/>
      <c r="D207" s="249"/>
      <c r="F207" s="249"/>
      <c r="L207" s="249"/>
      <c r="N207" s="249"/>
      <c r="P207" s="249"/>
      <c r="R207" s="249"/>
      <c r="T207" s="249"/>
      <c r="V207" s="249"/>
      <c r="X207" s="249"/>
      <c r="Z207" s="249"/>
      <c r="AB207" s="249"/>
      <c r="AD207" s="249"/>
      <c r="AF207" s="249"/>
      <c r="AH207" s="249"/>
    </row>
    <row r="208" spans="3:34" hidden="1">
      <c r="C208" s="249"/>
      <c r="D208" s="249"/>
      <c r="F208" s="249"/>
      <c r="L208" s="249"/>
      <c r="N208" s="249"/>
      <c r="P208" s="249"/>
      <c r="R208" s="249"/>
      <c r="T208" s="249"/>
      <c r="V208" s="249"/>
      <c r="X208" s="249"/>
      <c r="Z208" s="249"/>
      <c r="AB208" s="249"/>
      <c r="AD208" s="249"/>
      <c r="AF208" s="249"/>
      <c r="AH208" s="249"/>
    </row>
    <row r="209" spans="3:34" hidden="1">
      <c r="C209" s="249"/>
      <c r="D209" s="249"/>
      <c r="F209" s="249"/>
      <c r="L209" s="249"/>
      <c r="N209" s="249"/>
      <c r="P209" s="249"/>
      <c r="R209" s="249"/>
      <c r="T209" s="249"/>
      <c r="V209" s="249"/>
      <c r="X209" s="249"/>
      <c r="Z209" s="249"/>
      <c r="AB209" s="249"/>
      <c r="AD209" s="249"/>
      <c r="AF209" s="249"/>
      <c r="AH209" s="249"/>
    </row>
    <row r="210" spans="3:34" hidden="1">
      <c r="C210" s="249"/>
      <c r="D210" s="249"/>
      <c r="F210" s="249"/>
      <c r="L210" s="249"/>
      <c r="N210" s="249"/>
      <c r="P210" s="249"/>
      <c r="R210" s="249"/>
      <c r="T210" s="249"/>
      <c r="V210" s="249"/>
      <c r="X210" s="249"/>
      <c r="Z210" s="249"/>
      <c r="AB210" s="249"/>
      <c r="AD210" s="249"/>
      <c r="AF210" s="249"/>
      <c r="AH210" s="249"/>
    </row>
    <row r="211" spans="3:34" hidden="1">
      <c r="C211" s="249"/>
      <c r="D211" s="249"/>
      <c r="F211" s="249"/>
      <c r="L211" s="249"/>
      <c r="N211" s="249"/>
      <c r="P211" s="249"/>
      <c r="R211" s="249"/>
      <c r="T211" s="249"/>
      <c r="V211" s="249"/>
      <c r="X211" s="249"/>
      <c r="Z211" s="249"/>
      <c r="AB211" s="249"/>
      <c r="AD211" s="249"/>
      <c r="AF211" s="249"/>
      <c r="AH211" s="249"/>
    </row>
    <row r="212" spans="3:34" hidden="1">
      <c r="C212" s="249"/>
      <c r="D212" s="249"/>
      <c r="F212" s="249"/>
      <c r="L212" s="249"/>
      <c r="N212" s="249"/>
      <c r="P212" s="249"/>
      <c r="R212" s="249"/>
      <c r="T212" s="249"/>
      <c r="V212" s="249"/>
      <c r="X212" s="249"/>
      <c r="Z212" s="249"/>
      <c r="AB212" s="249"/>
      <c r="AD212" s="249"/>
      <c r="AF212" s="249"/>
      <c r="AH212" s="249"/>
    </row>
    <row r="213" spans="3:34" hidden="1">
      <c r="C213" s="249"/>
      <c r="D213" s="249"/>
      <c r="F213" s="249"/>
      <c r="L213" s="249"/>
      <c r="N213" s="249"/>
      <c r="P213" s="249"/>
      <c r="R213" s="249"/>
      <c r="T213" s="249"/>
      <c r="V213" s="249"/>
      <c r="X213" s="249"/>
      <c r="Z213" s="249"/>
      <c r="AB213" s="249"/>
      <c r="AD213" s="249"/>
      <c r="AF213" s="249"/>
      <c r="AH213" s="249"/>
    </row>
    <row r="214" spans="3:34" hidden="1">
      <c r="C214" s="249"/>
      <c r="D214" s="249"/>
      <c r="F214" s="249"/>
      <c r="L214" s="249"/>
      <c r="N214" s="249"/>
      <c r="P214" s="249"/>
      <c r="R214" s="249"/>
      <c r="T214" s="249"/>
      <c r="V214" s="249"/>
      <c r="X214" s="249"/>
      <c r="Z214" s="249"/>
      <c r="AB214" s="249"/>
      <c r="AD214" s="249"/>
      <c r="AF214" s="249"/>
      <c r="AH214" s="249"/>
    </row>
    <row r="215" spans="3:34" hidden="1">
      <c r="C215" s="25"/>
      <c r="D215" s="25"/>
      <c r="F215" s="25"/>
      <c r="L215" s="25"/>
      <c r="N215" s="25"/>
      <c r="P215" s="25"/>
      <c r="R215" s="25"/>
      <c r="T215" s="25"/>
      <c r="V215" s="25"/>
      <c r="X215" s="25"/>
      <c r="Z215" s="25"/>
      <c r="AB215" s="25"/>
      <c r="AD215" s="25"/>
      <c r="AF215" s="25"/>
      <c r="AH215" s="25"/>
    </row>
    <row r="216" spans="3:34" hidden="1">
      <c r="C216" s="25"/>
      <c r="D216" s="25"/>
      <c r="F216" s="25"/>
      <c r="L216" s="25"/>
      <c r="N216" s="25"/>
      <c r="P216" s="25"/>
      <c r="R216" s="25"/>
      <c r="T216" s="25"/>
      <c r="V216" s="25"/>
      <c r="X216" s="25"/>
      <c r="Z216" s="25"/>
      <c r="AB216" s="25"/>
      <c r="AD216" s="25"/>
      <c r="AF216" s="25"/>
      <c r="AH216" s="25"/>
    </row>
    <row r="217" spans="3:34" hidden="1">
      <c r="C217" s="25"/>
      <c r="D217" s="25"/>
      <c r="F217" s="25"/>
      <c r="L217" s="25"/>
      <c r="N217" s="25"/>
      <c r="P217" s="25"/>
      <c r="R217" s="25"/>
      <c r="T217" s="25"/>
      <c r="V217" s="25"/>
      <c r="X217" s="25"/>
      <c r="Z217" s="25"/>
      <c r="AB217" s="25"/>
      <c r="AD217" s="25"/>
      <c r="AF217" s="25"/>
      <c r="AH217" s="25"/>
    </row>
    <row r="218" spans="3:34" hidden="1">
      <c r="C218" s="25"/>
      <c r="D218" s="25"/>
      <c r="F218" s="25"/>
      <c r="L218" s="25"/>
      <c r="N218" s="25"/>
      <c r="P218" s="25"/>
      <c r="R218" s="25"/>
      <c r="T218" s="25"/>
      <c r="V218" s="25"/>
      <c r="X218" s="25"/>
      <c r="Z218" s="25"/>
      <c r="AB218" s="25"/>
      <c r="AD218" s="25"/>
      <c r="AF218" s="25"/>
      <c r="AH218" s="25"/>
    </row>
    <row r="219" spans="3:34" hidden="1">
      <c r="C219" s="25"/>
      <c r="D219" s="25"/>
      <c r="F219" s="25"/>
      <c r="L219" s="25"/>
      <c r="N219" s="25"/>
      <c r="P219" s="25"/>
      <c r="R219" s="25"/>
      <c r="T219" s="25"/>
      <c r="V219" s="25"/>
      <c r="X219" s="25"/>
      <c r="Z219" s="25"/>
      <c r="AB219" s="25"/>
      <c r="AD219" s="25"/>
      <c r="AF219" s="25"/>
      <c r="AH219" s="25"/>
    </row>
    <row r="220" spans="3:34" hidden="1">
      <c r="C220" s="25"/>
      <c r="D220" s="25"/>
      <c r="F220" s="25"/>
      <c r="L220" s="25"/>
      <c r="N220" s="25"/>
      <c r="P220" s="25"/>
      <c r="R220" s="25"/>
      <c r="T220" s="25"/>
      <c r="V220" s="25"/>
      <c r="X220" s="25"/>
      <c r="Z220" s="25"/>
      <c r="AB220" s="25"/>
      <c r="AD220" s="25"/>
      <c r="AF220" s="25"/>
      <c r="AH220" s="25"/>
    </row>
    <row r="221" spans="3:34" hidden="1">
      <c r="C221" s="25"/>
      <c r="D221" s="25"/>
      <c r="F221" s="25"/>
      <c r="L221" s="25"/>
      <c r="N221" s="25"/>
      <c r="P221" s="25"/>
      <c r="R221" s="25"/>
      <c r="T221" s="25"/>
      <c r="V221" s="25"/>
      <c r="X221" s="25"/>
      <c r="Z221" s="25"/>
      <c r="AB221" s="25"/>
      <c r="AD221" s="25"/>
      <c r="AF221" s="25"/>
      <c r="AH221" s="25"/>
    </row>
    <row r="222" spans="3:34" hidden="1">
      <c r="C222" s="25"/>
      <c r="D222" s="25"/>
      <c r="F222" s="25"/>
      <c r="L222" s="25"/>
      <c r="N222" s="25"/>
      <c r="P222" s="25"/>
      <c r="R222" s="25"/>
      <c r="T222" s="25"/>
      <c r="V222" s="25"/>
      <c r="X222" s="25"/>
      <c r="Z222" s="25"/>
      <c r="AB222" s="25"/>
      <c r="AD222" s="25"/>
      <c r="AF222" s="25"/>
      <c r="AH222" s="25"/>
    </row>
    <row r="223" spans="3:34" hidden="1">
      <c r="C223" s="25"/>
      <c r="D223" s="25"/>
      <c r="F223" s="25"/>
      <c r="L223" s="25"/>
      <c r="N223" s="25"/>
      <c r="P223" s="25"/>
      <c r="R223" s="25"/>
      <c r="T223" s="25"/>
      <c r="V223" s="25"/>
      <c r="X223" s="25"/>
      <c r="Z223" s="25"/>
      <c r="AB223" s="25"/>
      <c r="AD223" s="25"/>
      <c r="AF223" s="25"/>
      <c r="AH223" s="25"/>
    </row>
    <row r="224" spans="3:34" hidden="1">
      <c r="C224" s="25"/>
      <c r="D224" s="25"/>
      <c r="F224" s="25"/>
      <c r="L224" s="25"/>
      <c r="N224" s="25"/>
      <c r="P224" s="25"/>
      <c r="R224" s="25"/>
      <c r="T224" s="25"/>
      <c r="V224" s="25"/>
      <c r="X224" s="25"/>
      <c r="Z224" s="25"/>
      <c r="AB224" s="25"/>
      <c r="AD224" s="25"/>
      <c r="AF224" s="25"/>
      <c r="AH224" s="25"/>
    </row>
    <row r="225" spans="3:34" hidden="1">
      <c r="C225" s="25"/>
      <c r="D225" s="25"/>
      <c r="F225" s="25"/>
      <c r="L225" s="25"/>
      <c r="N225" s="25"/>
      <c r="P225" s="25"/>
      <c r="R225" s="25"/>
      <c r="T225" s="25"/>
      <c r="V225" s="25"/>
      <c r="X225" s="25"/>
      <c r="Z225" s="25"/>
      <c r="AB225" s="25"/>
      <c r="AD225" s="25"/>
      <c r="AF225" s="25"/>
      <c r="AH225" s="25"/>
    </row>
    <row r="226" spans="3:34" hidden="1">
      <c r="C226" s="25"/>
      <c r="D226" s="25"/>
      <c r="F226" s="25"/>
      <c r="L226" s="25"/>
      <c r="N226" s="25"/>
      <c r="P226" s="25"/>
      <c r="R226" s="25"/>
      <c r="T226" s="25"/>
      <c r="V226" s="25"/>
      <c r="X226" s="25"/>
      <c r="Z226" s="25"/>
      <c r="AB226" s="25"/>
      <c r="AD226" s="25"/>
      <c r="AF226" s="25"/>
      <c r="AH226" s="25"/>
    </row>
    <row r="227" spans="3:34" hidden="1">
      <c r="C227" s="25"/>
      <c r="D227" s="25"/>
      <c r="F227" s="25"/>
      <c r="L227" s="25"/>
      <c r="N227" s="25"/>
      <c r="P227" s="25"/>
      <c r="R227" s="25"/>
      <c r="T227" s="25"/>
      <c r="V227" s="25"/>
      <c r="X227" s="25"/>
      <c r="Z227" s="25"/>
      <c r="AB227" s="25"/>
      <c r="AD227" s="25"/>
      <c r="AF227" s="25"/>
      <c r="AH227" s="25"/>
    </row>
    <row r="228" spans="3:34" hidden="1">
      <c r="C228" s="25"/>
      <c r="D228" s="25"/>
      <c r="F228" s="25"/>
      <c r="L228" s="25"/>
      <c r="N228" s="25"/>
      <c r="P228" s="25"/>
      <c r="R228" s="25"/>
      <c r="T228" s="25"/>
      <c r="V228" s="25"/>
      <c r="X228" s="25"/>
      <c r="Z228" s="25"/>
      <c r="AB228" s="25"/>
      <c r="AD228" s="25"/>
      <c r="AF228" s="25"/>
      <c r="AH228" s="25"/>
    </row>
    <row r="229" spans="3:34" hidden="1">
      <c r="C229" s="25"/>
      <c r="D229" s="25"/>
      <c r="F229" s="25"/>
      <c r="L229" s="25"/>
      <c r="N229" s="25"/>
      <c r="P229" s="25"/>
      <c r="R229" s="25"/>
      <c r="T229" s="25"/>
      <c r="V229" s="25"/>
      <c r="X229" s="25"/>
      <c r="Z229" s="25"/>
      <c r="AB229" s="25"/>
      <c r="AD229" s="25"/>
      <c r="AF229" s="25"/>
      <c r="AH229" s="25"/>
    </row>
    <row r="230" spans="3:34" hidden="1">
      <c r="C230" s="25"/>
      <c r="D230" s="25"/>
      <c r="F230" s="25"/>
      <c r="L230" s="25"/>
      <c r="N230" s="25"/>
      <c r="P230" s="25"/>
      <c r="R230" s="25"/>
      <c r="T230" s="25"/>
      <c r="V230" s="25"/>
      <c r="X230" s="25"/>
      <c r="Z230" s="25"/>
      <c r="AB230" s="25"/>
      <c r="AD230" s="25"/>
      <c r="AF230" s="25"/>
      <c r="AH230" s="25"/>
    </row>
    <row r="231" spans="3:34" hidden="1">
      <c r="C231" s="25"/>
      <c r="D231" s="25"/>
      <c r="F231" s="25"/>
      <c r="L231" s="25"/>
      <c r="N231" s="25"/>
      <c r="P231" s="25"/>
      <c r="R231" s="25"/>
      <c r="T231" s="25"/>
      <c r="V231" s="25"/>
      <c r="X231" s="25"/>
      <c r="Z231" s="25"/>
      <c r="AB231" s="25"/>
      <c r="AD231" s="25"/>
      <c r="AF231" s="25"/>
      <c r="AH231" s="25"/>
    </row>
    <row r="232" spans="3:34" hidden="1">
      <c r="C232" s="25"/>
      <c r="D232" s="25"/>
      <c r="F232" s="25"/>
      <c r="L232" s="25"/>
      <c r="N232" s="25"/>
      <c r="P232" s="25"/>
      <c r="R232" s="25"/>
      <c r="T232" s="25"/>
      <c r="V232" s="25"/>
      <c r="X232" s="25"/>
      <c r="Z232" s="25"/>
      <c r="AB232" s="25"/>
      <c r="AD232" s="25"/>
      <c r="AF232" s="25"/>
      <c r="AH232" s="25"/>
    </row>
    <row r="233" spans="3:34" hidden="1">
      <c r="C233" s="25"/>
      <c r="D233" s="25"/>
      <c r="F233" s="25"/>
      <c r="L233" s="25"/>
      <c r="N233" s="25"/>
      <c r="P233" s="25"/>
      <c r="R233" s="25"/>
      <c r="T233" s="25"/>
      <c r="V233" s="25"/>
      <c r="X233" s="25"/>
      <c r="Z233" s="25"/>
      <c r="AB233" s="25"/>
      <c r="AD233" s="25"/>
      <c r="AF233" s="25"/>
      <c r="AH233" s="25"/>
    </row>
    <row r="234" spans="3:34" hidden="1">
      <c r="C234" s="25"/>
      <c r="D234" s="25"/>
      <c r="F234" s="25"/>
      <c r="L234" s="25"/>
      <c r="N234" s="25"/>
      <c r="P234" s="25"/>
      <c r="R234" s="25"/>
      <c r="T234" s="25"/>
      <c r="V234" s="25"/>
      <c r="X234" s="25"/>
      <c r="Z234" s="25"/>
      <c r="AB234" s="25"/>
      <c r="AD234" s="25"/>
      <c r="AF234" s="25"/>
      <c r="AH234" s="25"/>
    </row>
    <row r="235" spans="3:34" hidden="1">
      <c r="C235" s="25"/>
      <c r="D235" s="25"/>
      <c r="F235" s="25"/>
      <c r="L235" s="25"/>
      <c r="N235" s="25"/>
      <c r="P235" s="25"/>
      <c r="R235" s="25"/>
      <c r="T235" s="25"/>
      <c r="V235" s="25"/>
      <c r="X235" s="25"/>
      <c r="Z235" s="25"/>
      <c r="AB235" s="25"/>
      <c r="AD235" s="25"/>
      <c r="AF235" s="25"/>
      <c r="AH235" s="25"/>
    </row>
    <row r="236" spans="3:34" hidden="1">
      <c r="C236" s="25"/>
      <c r="D236" s="25"/>
      <c r="F236" s="25"/>
      <c r="L236" s="25"/>
      <c r="N236" s="25"/>
      <c r="P236" s="25"/>
      <c r="R236" s="25"/>
      <c r="T236" s="25"/>
      <c r="V236" s="25"/>
      <c r="X236" s="25"/>
      <c r="Z236" s="25"/>
      <c r="AB236" s="25"/>
      <c r="AD236" s="25"/>
      <c r="AF236" s="25"/>
      <c r="AH236" s="25"/>
    </row>
    <row r="237" spans="3:34" hidden="1">
      <c r="C237" s="25"/>
      <c r="D237" s="25"/>
      <c r="F237" s="25"/>
      <c r="L237" s="25"/>
      <c r="N237" s="25"/>
      <c r="P237" s="25"/>
      <c r="R237" s="25"/>
      <c r="T237" s="25"/>
      <c r="V237" s="25"/>
      <c r="X237" s="25"/>
      <c r="Z237" s="25"/>
      <c r="AB237" s="25"/>
      <c r="AD237" s="25"/>
      <c r="AF237" s="25"/>
      <c r="AH237" s="25"/>
    </row>
    <row r="238" spans="3:34" hidden="1">
      <c r="C238" s="25"/>
      <c r="D238" s="25"/>
      <c r="F238" s="25"/>
      <c r="L238" s="25"/>
      <c r="N238" s="25"/>
      <c r="P238" s="25"/>
      <c r="R238" s="25"/>
      <c r="T238" s="25"/>
      <c r="V238" s="25"/>
      <c r="X238" s="25"/>
      <c r="Z238" s="25"/>
      <c r="AB238" s="25"/>
      <c r="AD238" s="25"/>
      <c r="AF238" s="25"/>
      <c r="AH238" s="25"/>
    </row>
    <row r="239" spans="3:34" hidden="1">
      <c r="C239" s="25"/>
      <c r="D239" s="25"/>
      <c r="F239" s="25"/>
      <c r="L239" s="25"/>
      <c r="N239" s="25"/>
      <c r="P239" s="25"/>
      <c r="R239" s="25"/>
      <c r="T239" s="25"/>
      <c r="V239" s="25"/>
      <c r="X239" s="25"/>
      <c r="Z239" s="25"/>
      <c r="AB239" s="25"/>
      <c r="AD239" s="25"/>
      <c r="AF239" s="25"/>
      <c r="AH239" s="25"/>
    </row>
    <row r="240" spans="3:34" hidden="1">
      <c r="C240" s="25"/>
      <c r="D240" s="25"/>
      <c r="F240" s="25"/>
      <c r="L240" s="25"/>
      <c r="N240" s="25"/>
      <c r="P240" s="25"/>
      <c r="R240" s="25"/>
      <c r="T240" s="25"/>
      <c r="V240" s="25"/>
      <c r="X240" s="25"/>
      <c r="Z240" s="25"/>
      <c r="AB240" s="25"/>
      <c r="AD240" s="25"/>
      <c r="AF240" s="25"/>
      <c r="AH240" s="25"/>
    </row>
    <row r="241" spans="3:34" hidden="1">
      <c r="C241" s="25"/>
      <c r="D241" s="25"/>
      <c r="F241" s="25"/>
      <c r="L241" s="25"/>
      <c r="N241" s="25"/>
      <c r="P241" s="25"/>
      <c r="R241" s="25"/>
      <c r="T241" s="25"/>
      <c r="V241" s="25"/>
      <c r="X241" s="25"/>
      <c r="Z241" s="25"/>
      <c r="AB241" s="25"/>
      <c r="AD241" s="25"/>
      <c r="AF241" s="25"/>
      <c r="AH241" s="25"/>
    </row>
    <row r="242" spans="3:34" hidden="1">
      <c r="C242" s="25"/>
      <c r="D242" s="25"/>
      <c r="F242" s="25"/>
      <c r="L242" s="25"/>
      <c r="N242" s="25"/>
      <c r="P242" s="25"/>
      <c r="R242" s="25"/>
      <c r="T242" s="25"/>
      <c r="V242" s="25"/>
      <c r="X242" s="25"/>
      <c r="Z242" s="25"/>
      <c r="AB242" s="25"/>
      <c r="AD242" s="25"/>
      <c r="AF242" s="25"/>
      <c r="AH242" s="25"/>
    </row>
    <row r="243" spans="3:34" hidden="1">
      <c r="C243" s="25"/>
      <c r="D243" s="25"/>
      <c r="F243" s="25"/>
      <c r="L243" s="25"/>
      <c r="N243" s="25"/>
      <c r="P243" s="25"/>
      <c r="R243" s="25"/>
      <c r="T243" s="25"/>
      <c r="V243" s="25"/>
      <c r="X243" s="25"/>
      <c r="Z243" s="25"/>
      <c r="AB243" s="25"/>
      <c r="AD243" s="25"/>
      <c r="AF243" s="25"/>
      <c r="AH243" s="25"/>
    </row>
    <row r="244" spans="3:34" hidden="1">
      <c r="C244" s="25"/>
      <c r="D244" s="25"/>
      <c r="F244" s="25"/>
      <c r="L244" s="25"/>
      <c r="N244" s="25"/>
      <c r="P244" s="25"/>
      <c r="R244" s="25"/>
      <c r="T244" s="25"/>
      <c r="V244" s="25"/>
      <c r="X244" s="25"/>
      <c r="Z244" s="25"/>
      <c r="AB244" s="25"/>
      <c r="AD244" s="25"/>
      <c r="AF244" s="25"/>
      <c r="AH244" s="25"/>
    </row>
    <row r="245" spans="3:34" hidden="1">
      <c r="C245" s="25"/>
      <c r="D245" s="25"/>
      <c r="F245" s="25"/>
      <c r="L245" s="25"/>
      <c r="N245" s="25"/>
      <c r="P245" s="25"/>
      <c r="R245" s="25"/>
      <c r="T245" s="25"/>
      <c r="V245" s="25"/>
      <c r="X245" s="25"/>
      <c r="Z245" s="25"/>
      <c r="AB245" s="25"/>
      <c r="AD245" s="25"/>
      <c r="AF245" s="25"/>
      <c r="AH245" s="25"/>
    </row>
    <row r="246" spans="3:34" hidden="1">
      <c r="C246" s="25"/>
      <c r="D246" s="25"/>
      <c r="F246" s="25"/>
      <c r="L246" s="25"/>
      <c r="N246" s="25"/>
      <c r="P246" s="25"/>
      <c r="R246" s="25"/>
      <c r="T246" s="25"/>
      <c r="V246" s="25"/>
      <c r="X246" s="25"/>
      <c r="Z246" s="25"/>
      <c r="AB246" s="25"/>
      <c r="AD246" s="25"/>
      <c r="AF246" s="25"/>
      <c r="AH246" s="25"/>
    </row>
    <row r="247" spans="3:34" hidden="1">
      <c r="C247" s="25"/>
      <c r="D247" s="25"/>
      <c r="F247" s="25"/>
      <c r="L247" s="25"/>
      <c r="N247" s="25"/>
      <c r="P247" s="25"/>
      <c r="R247" s="25"/>
      <c r="T247" s="25"/>
      <c r="V247" s="25"/>
      <c r="X247" s="25"/>
      <c r="Z247" s="25"/>
      <c r="AB247" s="25"/>
      <c r="AD247" s="25"/>
      <c r="AF247" s="25"/>
      <c r="AH247" s="25"/>
    </row>
    <row r="248" spans="3:34" hidden="1">
      <c r="C248" s="25"/>
      <c r="D248" s="25"/>
      <c r="F248" s="25"/>
      <c r="L248" s="25"/>
      <c r="N248" s="25"/>
      <c r="P248" s="25"/>
      <c r="R248" s="25"/>
      <c r="T248" s="25"/>
      <c r="V248" s="25"/>
      <c r="X248" s="25"/>
      <c r="Z248" s="25"/>
      <c r="AB248" s="25"/>
      <c r="AD248" s="25"/>
      <c r="AF248" s="25"/>
      <c r="AH248" s="25"/>
    </row>
    <row r="249" spans="3:34" hidden="1">
      <c r="C249" s="25"/>
      <c r="D249" s="25"/>
      <c r="F249" s="25"/>
      <c r="L249" s="25"/>
      <c r="N249" s="25"/>
      <c r="P249" s="25"/>
      <c r="R249" s="25"/>
      <c r="T249" s="25"/>
      <c r="V249" s="25"/>
      <c r="X249" s="25"/>
      <c r="Z249" s="25"/>
      <c r="AB249" s="25"/>
      <c r="AD249" s="25"/>
      <c r="AF249" s="25"/>
      <c r="AH249" s="25"/>
    </row>
    <row r="250" spans="3:34" hidden="1">
      <c r="C250" s="25"/>
      <c r="D250" s="25"/>
      <c r="F250" s="25"/>
      <c r="L250" s="25"/>
      <c r="N250" s="25"/>
      <c r="P250" s="25"/>
      <c r="R250" s="25"/>
      <c r="T250" s="25"/>
      <c r="V250" s="25"/>
      <c r="X250" s="25"/>
      <c r="Z250" s="25"/>
      <c r="AB250" s="25"/>
      <c r="AD250" s="25"/>
      <c r="AF250" s="25"/>
      <c r="AH250" s="25"/>
    </row>
    <row r="251" spans="3:34" hidden="1">
      <c r="C251" s="25"/>
      <c r="D251" s="25"/>
      <c r="F251" s="25"/>
      <c r="L251" s="25"/>
      <c r="N251" s="25"/>
      <c r="P251" s="25"/>
      <c r="R251" s="25"/>
      <c r="T251" s="25"/>
      <c r="V251" s="25"/>
      <c r="X251" s="25"/>
      <c r="Z251" s="25"/>
      <c r="AB251" s="25"/>
      <c r="AD251" s="25"/>
      <c r="AF251" s="25"/>
      <c r="AH251" s="25"/>
    </row>
    <row r="252" spans="3:34" hidden="1">
      <c r="C252" s="25"/>
      <c r="D252" s="25"/>
      <c r="F252" s="25"/>
      <c r="L252" s="25"/>
      <c r="N252" s="25"/>
      <c r="P252" s="25"/>
      <c r="R252" s="25"/>
      <c r="T252" s="25"/>
      <c r="V252" s="25"/>
      <c r="X252" s="25"/>
      <c r="Z252" s="25"/>
      <c r="AB252" s="25"/>
      <c r="AD252" s="25"/>
      <c r="AF252" s="25"/>
      <c r="AH252" s="25"/>
    </row>
    <row r="253" spans="3:34" hidden="1">
      <c r="C253" s="25"/>
      <c r="D253" s="25"/>
      <c r="F253" s="25"/>
      <c r="L253" s="25"/>
      <c r="N253" s="25"/>
      <c r="P253" s="25"/>
      <c r="R253" s="25"/>
      <c r="T253" s="25"/>
      <c r="V253" s="25"/>
      <c r="X253" s="25"/>
      <c r="Z253" s="25"/>
      <c r="AB253" s="25"/>
      <c r="AD253" s="25"/>
      <c r="AF253" s="25"/>
      <c r="AH253" s="25"/>
    </row>
    <row r="254" spans="3:34" hidden="1">
      <c r="C254" s="25"/>
      <c r="D254" s="25"/>
      <c r="F254" s="25"/>
      <c r="L254" s="25"/>
      <c r="N254" s="25"/>
      <c r="P254" s="25"/>
      <c r="R254" s="25"/>
      <c r="T254" s="25"/>
      <c r="V254" s="25"/>
      <c r="X254" s="25"/>
      <c r="Z254" s="25"/>
      <c r="AB254" s="25"/>
      <c r="AD254" s="25"/>
      <c r="AF254" s="25"/>
      <c r="AH254" s="25"/>
    </row>
    <row r="255" spans="3:34" hidden="1">
      <c r="C255" s="25"/>
      <c r="D255" s="25"/>
      <c r="F255" s="25"/>
      <c r="L255" s="25"/>
      <c r="N255" s="25"/>
      <c r="P255" s="25"/>
      <c r="R255" s="25"/>
      <c r="T255" s="25"/>
      <c r="V255" s="25"/>
      <c r="X255" s="25"/>
      <c r="Z255" s="25"/>
      <c r="AB255" s="25"/>
      <c r="AD255" s="25"/>
      <c r="AF255" s="25"/>
      <c r="AH255" s="25"/>
    </row>
    <row r="256" spans="3:34" hidden="1">
      <c r="C256" s="25"/>
      <c r="D256" s="25"/>
      <c r="F256" s="25"/>
      <c r="L256" s="25"/>
      <c r="N256" s="25"/>
      <c r="P256" s="25"/>
      <c r="R256" s="25"/>
      <c r="T256" s="25"/>
      <c r="V256" s="25"/>
      <c r="X256" s="25"/>
      <c r="Z256" s="25"/>
      <c r="AB256" s="25"/>
      <c r="AD256" s="25"/>
      <c r="AF256" s="25"/>
      <c r="AH256" s="25"/>
    </row>
    <row r="257" spans="3:34" hidden="1">
      <c r="C257" s="25"/>
      <c r="D257" s="25"/>
      <c r="F257" s="25"/>
      <c r="L257" s="25"/>
      <c r="N257" s="25"/>
      <c r="P257" s="25"/>
      <c r="R257" s="25"/>
      <c r="T257" s="25"/>
      <c r="V257" s="25"/>
      <c r="X257" s="25"/>
      <c r="Z257" s="25"/>
      <c r="AB257" s="25"/>
      <c r="AD257" s="25"/>
      <c r="AF257" s="25"/>
      <c r="AH257" s="25"/>
    </row>
    <row r="258" spans="3:34" hidden="1">
      <c r="C258" s="25"/>
      <c r="D258" s="25"/>
      <c r="F258" s="25"/>
      <c r="L258" s="25"/>
      <c r="N258" s="25"/>
      <c r="P258" s="25"/>
      <c r="R258" s="25"/>
      <c r="T258" s="25"/>
      <c r="V258" s="25"/>
      <c r="X258" s="25"/>
      <c r="Z258" s="25"/>
      <c r="AB258" s="25"/>
      <c r="AD258" s="25"/>
      <c r="AF258" s="25"/>
      <c r="AH258" s="25"/>
    </row>
    <row r="259" spans="3:34" hidden="1">
      <c r="C259" s="25"/>
      <c r="D259" s="25"/>
      <c r="F259" s="25"/>
      <c r="L259" s="25"/>
      <c r="N259" s="25"/>
      <c r="P259" s="25"/>
      <c r="R259" s="25"/>
      <c r="T259" s="25"/>
      <c r="V259" s="25"/>
      <c r="X259" s="25"/>
      <c r="Z259" s="25"/>
      <c r="AB259" s="25"/>
      <c r="AD259" s="25"/>
      <c r="AF259" s="25"/>
      <c r="AH259" s="25"/>
    </row>
    <row r="260" spans="3:34" hidden="1">
      <c r="C260" s="25"/>
      <c r="D260" s="25"/>
      <c r="F260" s="25"/>
      <c r="L260" s="25"/>
      <c r="N260" s="25"/>
      <c r="P260" s="25"/>
      <c r="R260" s="25"/>
      <c r="T260" s="25"/>
      <c r="V260" s="25"/>
      <c r="X260" s="25"/>
      <c r="Z260" s="25"/>
      <c r="AB260" s="25"/>
      <c r="AD260" s="25"/>
      <c r="AF260" s="25"/>
      <c r="AH260" s="25"/>
    </row>
    <row r="261" spans="3:34" hidden="1">
      <c r="C261" s="25"/>
      <c r="D261" s="25"/>
      <c r="F261" s="25"/>
      <c r="L261" s="25"/>
      <c r="N261" s="25"/>
      <c r="P261" s="25"/>
      <c r="R261" s="25"/>
      <c r="T261" s="25"/>
      <c r="V261" s="25"/>
      <c r="X261" s="25"/>
      <c r="Z261" s="25"/>
      <c r="AB261" s="25"/>
      <c r="AD261" s="25"/>
      <c r="AF261" s="25"/>
      <c r="AH261" s="25"/>
    </row>
    <row r="262" spans="3:34" hidden="1">
      <c r="C262" s="25"/>
      <c r="D262" s="25"/>
      <c r="F262" s="25"/>
      <c r="L262" s="25"/>
      <c r="N262" s="25"/>
      <c r="P262" s="25"/>
      <c r="R262" s="25"/>
      <c r="T262" s="25"/>
      <c r="V262" s="25"/>
      <c r="X262" s="25"/>
      <c r="Z262" s="25"/>
      <c r="AB262" s="25"/>
      <c r="AD262" s="25"/>
      <c r="AF262" s="25"/>
      <c r="AH262" s="25"/>
    </row>
    <row r="263" spans="3:34" hidden="1">
      <c r="C263" s="25"/>
      <c r="D263" s="25"/>
      <c r="F263" s="25"/>
      <c r="L263" s="25"/>
      <c r="N263" s="25"/>
      <c r="P263" s="25"/>
      <c r="R263" s="25"/>
      <c r="T263" s="25"/>
      <c r="V263" s="25"/>
      <c r="X263" s="25"/>
      <c r="Z263" s="25"/>
      <c r="AB263" s="25"/>
      <c r="AD263" s="25"/>
      <c r="AF263" s="25"/>
      <c r="AH263" s="25"/>
    </row>
    <row r="264" spans="3:34" hidden="1">
      <c r="C264" s="25"/>
      <c r="D264" s="25"/>
      <c r="F264" s="25"/>
      <c r="L264" s="25"/>
      <c r="N264" s="25"/>
      <c r="P264" s="25"/>
      <c r="R264" s="25"/>
      <c r="T264" s="25"/>
      <c r="V264" s="25"/>
      <c r="X264" s="25"/>
      <c r="Z264" s="25"/>
      <c r="AB264" s="25"/>
      <c r="AD264" s="25"/>
      <c r="AF264" s="25"/>
      <c r="AH264" s="25"/>
    </row>
    <row r="265" spans="3:34" hidden="1">
      <c r="C265" s="25"/>
      <c r="D265" s="25"/>
      <c r="F265" s="25"/>
      <c r="L265" s="25"/>
      <c r="N265" s="25"/>
      <c r="P265" s="25"/>
      <c r="R265" s="25"/>
      <c r="T265" s="25"/>
      <c r="V265" s="25"/>
      <c r="X265" s="25"/>
      <c r="Z265" s="25"/>
      <c r="AB265" s="25"/>
      <c r="AD265" s="25"/>
      <c r="AF265" s="25"/>
      <c r="AH265" s="25"/>
    </row>
    <row r="266" spans="3:34" hidden="1">
      <c r="C266" s="25"/>
      <c r="D266" s="25"/>
      <c r="F266" s="25"/>
      <c r="L266" s="25"/>
      <c r="N266" s="25"/>
      <c r="P266" s="25"/>
      <c r="R266" s="25"/>
      <c r="T266" s="25"/>
      <c r="V266" s="25"/>
      <c r="X266" s="25"/>
      <c r="Z266" s="25"/>
      <c r="AB266" s="25"/>
      <c r="AD266" s="25"/>
      <c r="AF266" s="25"/>
      <c r="AH266" s="25"/>
    </row>
    <row r="267" spans="3:34" hidden="1">
      <c r="C267" s="25"/>
      <c r="D267" s="25"/>
      <c r="F267" s="25"/>
      <c r="L267" s="25"/>
      <c r="N267" s="25"/>
      <c r="P267" s="25"/>
      <c r="R267" s="25"/>
      <c r="T267" s="25"/>
      <c r="V267" s="25"/>
      <c r="X267" s="25"/>
      <c r="Z267" s="25"/>
      <c r="AB267" s="25"/>
      <c r="AD267" s="25"/>
      <c r="AF267" s="25"/>
      <c r="AH267" s="25"/>
    </row>
    <row r="268" spans="3:34" hidden="1">
      <c r="C268" s="25"/>
      <c r="D268" s="25"/>
      <c r="F268" s="25"/>
      <c r="L268" s="25"/>
      <c r="N268" s="25"/>
      <c r="P268" s="25"/>
      <c r="R268" s="25"/>
      <c r="T268" s="25"/>
      <c r="V268" s="25"/>
      <c r="X268" s="25"/>
      <c r="Z268" s="25"/>
      <c r="AB268" s="25"/>
      <c r="AD268" s="25"/>
      <c r="AF268" s="25"/>
      <c r="AH268" s="25"/>
    </row>
    <row r="269" spans="3:34" hidden="1">
      <c r="C269" s="25"/>
      <c r="D269" s="25"/>
      <c r="F269" s="25"/>
      <c r="L269" s="25"/>
      <c r="N269" s="25"/>
      <c r="P269" s="25"/>
      <c r="R269" s="25"/>
      <c r="T269" s="25"/>
      <c r="V269" s="25"/>
      <c r="X269" s="25"/>
      <c r="Z269" s="25"/>
      <c r="AB269" s="25"/>
      <c r="AD269" s="25"/>
      <c r="AF269" s="25"/>
      <c r="AH269" s="25"/>
    </row>
    <row r="270" spans="3:34" hidden="1">
      <c r="C270" s="25"/>
      <c r="D270" s="25"/>
      <c r="F270" s="25"/>
      <c r="L270" s="25"/>
      <c r="N270" s="25"/>
      <c r="P270" s="25"/>
      <c r="R270" s="25"/>
      <c r="T270" s="25"/>
      <c r="V270" s="25"/>
      <c r="X270" s="25"/>
      <c r="Z270" s="25"/>
      <c r="AB270" s="25"/>
      <c r="AD270" s="25"/>
      <c r="AF270" s="25"/>
      <c r="AH270" s="25"/>
    </row>
    <row r="271" spans="3:34" hidden="1">
      <c r="C271" s="25"/>
      <c r="D271" s="25"/>
      <c r="F271" s="25"/>
      <c r="L271" s="25"/>
      <c r="N271" s="25"/>
      <c r="P271" s="25"/>
      <c r="R271" s="25"/>
      <c r="T271" s="25"/>
      <c r="V271" s="25"/>
      <c r="X271" s="25"/>
      <c r="Z271" s="25"/>
      <c r="AB271" s="25"/>
      <c r="AD271" s="25"/>
      <c r="AF271" s="25"/>
      <c r="AH271" s="25"/>
    </row>
    <row r="272" spans="3:34" hidden="1">
      <c r="C272" s="25"/>
      <c r="D272" s="25"/>
      <c r="F272" s="25"/>
      <c r="L272" s="25"/>
      <c r="N272" s="25"/>
      <c r="P272" s="25"/>
      <c r="R272" s="25"/>
      <c r="T272" s="25"/>
      <c r="V272" s="25"/>
      <c r="X272" s="25"/>
      <c r="Z272" s="25"/>
      <c r="AB272" s="25"/>
      <c r="AD272" s="25"/>
      <c r="AF272" s="25"/>
      <c r="AH272" s="25"/>
    </row>
    <row r="273" spans="3:36" hidden="1">
      <c r="C273" s="25"/>
      <c r="D273" s="25"/>
      <c r="F273" s="25"/>
      <c r="L273" s="25"/>
      <c r="N273" s="25"/>
      <c r="P273" s="25"/>
      <c r="R273" s="25"/>
      <c r="T273" s="25"/>
      <c r="V273" s="25"/>
      <c r="X273" s="25"/>
      <c r="Z273" s="25"/>
      <c r="AB273" s="25"/>
      <c r="AD273" s="25"/>
      <c r="AF273" s="25"/>
      <c r="AH273" s="25"/>
    </row>
    <row r="274" spans="3:36" hidden="1">
      <c r="C274" s="25"/>
      <c r="D274" s="25"/>
      <c r="F274" s="25"/>
      <c r="L274" s="25"/>
      <c r="N274" s="25"/>
      <c r="P274" s="25"/>
      <c r="R274" s="25"/>
      <c r="T274" s="25"/>
      <c r="V274" s="25"/>
      <c r="X274" s="25"/>
      <c r="Z274" s="25"/>
      <c r="AB274" s="25"/>
      <c r="AD274" s="25"/>
      <c r="AF274" s="25"/>
      <c r="AH274" s="25"/>
    </row>
    <row r="275" spans="3:36" hidden="1">
      <c r="C275" s="25"/>
      <c r="D275" s="25"/>
      <c r="F275" s="25"/>
      <c r="L275" s="25"/>
      <c r="N275" s="25"/>
      <c r="P275" s="25"/>
      <c r="R275" s="25"/>
      <c r="T275" s="25"/>
      <c r="V275" s="25"/>
      <c r="X275" s="25"/>
      <c r="Z275" s="25"/>
      <c r="AB275" s="25"/>
      <c r="AD275" s="25"/>
      <c r="AF275" s="25"/>
      <c r="AH275" s="25"/>
    </row>
    <row r="276" spans="3:36" hidden="1">
      <c r="C276" s="25"/>
      <c r="D276" s="25"/>
      <c r="F276" s="25"/>
      <c r="L276" s="25"/>
      <c r="N276" s="25"/>
      <c r="P276" s="25"/>
      <c r="R276" s="25"/>
      <c r="T276" s="25"/>
      <c r="V276" s="25"/>
      <c r="X276" s="25"/>
      <c r="Z276" s="25"/>
      <c r="AB276" s="25"/>
      <c r="AD276" s="25"/>
      <c r="AF276" s="25"/>
      <c r="AH276" s="25"/>
    </row>
    <row r="277" spans="3:36" hidden="1">
      <c r="C277" s="25"/>
      <c r="D277" s="25"/>
      <c r="F277" s="25"/>
      <c r="L277" s="25"/>
      <c r="N277" s="25"/>
      <c r="P277" s="25"/>
      <c r="R277" s="25"/>
      <c r="T277" s="25"/>
      <c r="V277" s="25"/>
      <c r="X277" s="25"/>
      <c r="Z277" s="25"/>
      <c r="AB277" s="25"/>
      <c r="AD277" s="25"/>
      <c r="AF277" s="25"/>
      <c r="AH277" s="25"/>
    </row>
    <row r="278" spans="3:36" hidden="1">
      <c r="C278" s="25"/>
      <c r="D278" s="25"/>
      <c r="F278" s="25"/>
      <c r="L278" s="25"/>
      <c r="N278" s="25"/>
      <c r="P278" s="25"/>
      <c r="R278" s="25"/>
      <c r="T278" s="25"/>
      <c r="V278" s="25"/>
      <c r="X278" s="25"/>
      <c r="Z278" s="25"/>
      <c r="AB278" s="25"/>
      <c r="AD278" s="25"/>
      <c r="AF278" s="25"/>
      <c r="AH278" s="25"/>
    </row>
    <row r="279" spans="3:36" hidden="1">
      <c r="C279" s="25"/>
      <c r="D279" s="25"/>
      <c r="F279" s="25"/>
      <c r="L279" s="25"/>
      <c r="N279" s="25"/>
      <c r="P279" s="25"/>
      <c r="R279" s="25"/>
      <c r="T279" s="25"/>
      <c r="V279" s="25"/>
      <c r="X279" s="25"/>
      <c r="Z279" s="25"/>
      <c r="AB279" s="25"/>
      <c r="AD279" s="25"/>
      <c r="AF279" s="25"/>
      <c r="AH279" s="25"/>
    </row>
    <row r="280" spans="3:36" hidden="1">
      <c r="C280" s="25"/>
      <c r="D280" s="25"/>
      <c r="F280" s="25"/>
      <c r="L280" s="25"/>
      <c r="N280" s="25"/>
      <c r="P280" s="25"/>
      <c r="R280" s="25"/>
      <c r="T280" s="25"/>
      <c r="V280" s="25"/>
      <c r="X280" s="25"/>
      <c r="Z280" s="25"/>
      <c r="AB280" s="25"/>
      <c r="AD280" s="25"/>
      <c r="AF280" s="25"/>
      <c r="AH280" s="25"/>
    </row>
    <row r="281" spans="3:36" hidden="1">
      <c r="C281" s="25"/>
      <c r="D281" s="25"/>
      <c r="F281" s="25"/>
      <c r="L281" s="25"/>
      <c r="N281" s="25"/>
      <c r="P281" s="25"/>
      <c r="R281" s="25"/>
      <c r="T281" s="25"/>
      <c r="V281" s="25"/>
      <c r="X281" s="25"/>
      <c r="Z281" s="25"/>
      <c r="AB281" s="25"/>
      <c r="AD281" s="25"/>
      <c r="AF281" s="25"/>
      <c r="AH281" s="25"/>
    </row>
    <row r="282" spans="3:36" hidden="1">
      <c r="C282" s="25"/>
      <c r="D282" s="25"/>
      <c r="F282" s="25"/>
      <c r="L282" s="25"/>
      <c r="N282" s="25"/>
      <c r="P282" s="25"/>
      <c r="R282" s="25"/>
      <c r="T282" s="25"/>
      <c r="V282" s="25"/>
      <c r="X282" s="25"/>
      <c r="Z282" s="25"/>
      <c r="AB282" s="25"/>
      <c r="AD282" s="25"/>
      <c r="AF282" s="25"/>
      <c r="AH282" s="25"/>
    </row>
    <row r="283" spans="3:36" hidden="1">
      <c r="C283" s="25"/>
      <c r="D283" s="25"/>
      <c r="F283" s="25"/>
      <c r="L283" s="25"/>
      <c r="N283" s="25"/>
      <c r="P283" s="25"/>
      <c r="R283" s="25"/>
      <c r="T283" s="25"/>
      <c r="V283" s="25"/>
      <c r="X283" s="25"/>
      <c r="Z283" s="25"/>
      <c r="AB283" s="25"/>
      <c r="AD283" s="25"/>
      <c r="AF283" s="25"/>
      <c r="AH283" s="25"/>
    </row>
    <row r="284" spans="3:36" hidden="1">
      <c r="E284" s="29"/>
      <c r="F284" s="29"/>
      <c r="G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row>
    <row r="285" spans="3:36" hidden="1">
      <c r="E285" s="29"/>
      <c r="F285" s="29"/>
      <c r="G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row>
    <row r="286" spans="3:36" hidden="1">
      <c r="E286" s="29"/>
      <c r="F286" s="29"/>
      <c r="G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row>
    <row r="287" spans="3:36" hidden="1">
      <c r="E287" s="29"/>
      <c r="F287" s="29"/>
      <c r="G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row>
    <row r="288" spans="3:36" hidden="1">
      <c r="E288" s="29"/>
      <c r="F288" s="29"/>
      <c r="G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row>
    <row r="289" spans="5:36" hidden="1">
      <c r="E289" s="29"/>
      <c r="F289" s="29"/>
      <c r="G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row>
    <row r="290" spans="5:36" hidden="1">
      <c r="E290" s="29"/>
      <c r="F290" s="29"/>
      <c r="G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row>
    <row r="291" spans="5:36" hidden="1">
      <c r="E291" s="29"/>
      <c r="F291" s="29"/>
      <c r="G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row>
    <row r="292" spans="5:36" hidden="1">
      <c r="E292" s="29"/>
      <c r="F292" s="29"/>
      <c r="G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row>
    <row r="293" spans="5:36" hidden="1">
      <c r="E293" s="29"/>
      <c r="F293" s="29"/>
      <c r="G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row>
    <row r="294" spans="5:36" hidden="1">
      <c r="E294" s="29"/>
      <c r="F294" s="29"/>
      <c r="G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row>
    <row r="295" spans="5:36" hidden="1">
      <c r="E295" s="29"/>
      <c r="F295" s="29"/>
      <c r="G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row>
    <row r="296" spans="5:36" hidden="1">
      <c r="E296" s="29"/>
      <c r="F296" s="29"/>
      <c r="G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row>
    <row r="297" spans="5:36" hidden="1">
      <c r="E297" s="29"/>
      <c r="F297" s="29"/>
      <c r="G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row>
    <row r="298" spans="5:36" hidden="1">
      <c r="E298" s="29"/>
      <c r="F298" s="29"/>
      <c r="G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row>
    <row r="299" spans="5:36" hidden="1">
      <c r="E299" s="29"/>
      <c r="F299" s="29"/>
      <c r="G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row>
    <row r="300" spans="5:36" hidden="1">
      <c r="E300" s="29"/>
      <c r="F300" s="29"/>
      <c r="G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row>
    <row r="301" spans="5:36" hidden="1">
      <c r="E301" s="29"/>
      <c r="F301" s="29"/>
      <c r="G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row>
    <row r="302" spans="5:36" hidden="1">
      <c r="E302" s="29"/>
      <c r="F302" s="29"/>
      <c r="G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row>
    <row r="303" spans="5:36" hidden="1">
      <c r="E303" s="29"/>
      <c r="F303" s="29"/>
      <c r="G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row>
    <row r="304" spans="5:36" hidden="1">
      <c r="E304" s="29"/>
      <c r="F304" s="29"/>
      <c r="G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row>
    <row r="305" spans="5:36" hidden="1">
      <c r="E305" s="29"/>
      <c r="F305" s="29"/>
      <c r="G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row>
    <row r="306" spans="5:36" hidden="1">
      <c r="E306" s="29"/>
      <c r="F306" s="29"/>
      <c r="G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row>
    <row r="307" spans="5:36" hidden="1">
      <c r="E307" s="29"/>
      <c r="F307" s="29"/>
      <c r="G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row>
    <row r="308" spans="5:36" hidden="1">
      <c r="E308" s="29"/>
      <c r="F308" s="29"/>
      <c r="G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row>
    <row r="309" spans="5:36" hidden="1">
      <c r="E309" s="29"/>
      <c r="F309" s="29"/>
      <c r="G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row>
    <row r="310" spans="5:36" hidden="1">
      <c r="E310" s="29"/>
      <c r="F310" s="29"/>
      <c r="G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row>
    <row r="311" spans="5:36" hidden="1">
      <c r="E311" s="29"/>
      <c r="F311" s="29"/>
      <c r="G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row>
    <row r="312" spans="5:36" hidden="1">
      <c r="E312" s="29"/>
      <c r="F312" s="29"/>
      <c r="G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row>
    <row r="313" spans="5:36" hidden="1">
      <c r="E313" s="29"/>
      <c r="F313" s="29"/>
      <c r="G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row>
    <row r="314" spans="5:36" hidden="1">
      <c r="E314" s="29"/>
      <c r="F314" s="29"/>
      <c r="G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row>
    <row r="315" spans="5:36" hidden="1">
      <c r="E315" s="29"/>
      <c r="F315" s="29"/>
      <c r="G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row>
    <row r="316" spans="5:36" hidden="1">
      <c r="E316" s="29"/>
      <c r="F316" s="29"/>
      <c r="G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row>
    <row r="317" spans="5:36" hidden="1">
      <c r="E317" s="29"/>
      <c r="F317" s="29"/>
      <c r="G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row>
    <row r="318" spans="5:36" hidden="1">
      <c r="E318" s="29"/>
      <c r="F318" s="29"/>
      <c r="G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row>
    <row r="319" spans="5:36" hidden="1">
      <c r="E319" s="29"/>
      <c r="F319" s="29"/>
      <c r="G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row>
    <row r="320" spans="5:36" hidden="1">
      <c r="E320" s="29"/>
      <c r="F320" s="29"/>
      <c r="G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row>
    <row r="321" spans="5:36" hidden="1">
      <c r="E321" s="29"/>
      <c r="F321" s="29"/>
      <c r="G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row>
    <row r="322" spans="5:36" hidden="1">
      <c r="E322" s="29"/>
      <c r="F322" s="29"/>
      <c r="G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row>
    <row r="323" spans="5:36" hidden="1">
      <c r="E323" s="29"/>
      <c r="F323" s="29"/>
      <c r="G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row>
    <row r="324" spans="5:36" hidden="1">
      <c r="E324" s="29"/>
      <c r="F324" s="29"/>
      <c r="G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row>
    <row r="325" spans="5:36" hidden="1">
      <c r="E325" s="29"/>
      <c r="F325" s="29"/>
      <c r="G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row>
    <row r="326" spans="5:36" hidden="1">
      <c r="E326" s="29"/>
      <c r="F326" s="29"/>
      <c r="G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row>
    <row r="327" spans="5:36" hidden="1">
      <c r="E327" s="29"/>
      <c r="F327" s="29"/>
      <c r="G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row>
    <row r="328" spans="5:36" hidden="1">
      <c r="E328" s="29"/>
      <c r="F328" s="29"/>
      <c r="G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row>
    <row r="329" spans="5:36" hidden="1">
      <c r="E329" s="29"/>
      <c r="F329" s="29"/>
      <c r="G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row>
    <row r="330" spans="5:36" hidden="1">
      <c r="E330" s="29"/>
      <c r="F330" s="29"/>
      <c r="G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row>
    <row r="331" spans="5:36" hidden="1">
      <c r="E331" s="29"/>
      <c r="F331" s="29"/>
      <c r="G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row>
    <row r="332" spans="5:36" hidden="1">
      <c r="E332" s="29"/>
      <c r="F332" s="29"/>
      <c r="G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row>
    <row r="333" spans="5:36" hidden="1">
      <c r="E333" s="29"/>
      <c r="F333" s="29"/>
      <c r="G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row>
    <row r="334" spans="5:36" hidden="1">
      <c r="E334" s="29"/>
      <c r="F334" s="29"/>
      <c r="G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row>
    <row r="335" spans="5:36" hidden="1">
      <c r="E335" s="29"/>
      <c r="F335" s="29"/>
      <c r="G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row>
    <row r="336" spans="5:36" hidden="1">
      <c r="E336" s="29"/>
      <c r="F336" s="29"/>
      <c r="G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row>
    <row r="337" spans="5:36" hidden="1">
      <c r="E337" s="29"/>
      <c r="F337" s="29"/>
      <c r="G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row>
    <row r="338" spans="5:36" hidden="1">
      <c r="E338" s="29"/>
      <c r="F338" s="29"/>
      <c r="G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row>
    <row r="339" spans="5:36" hidden="1">
      <c r="E339" s="29"/>
      <c r="F339" s="29"/>
      <c r="G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row>
    <row r="340" spans="5:36" hidden="1">
      <c r="E340" s="29"/>
      <c r="F340" s="29"/>
      <c r="G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row>
    <row r="341" spans="5:36" hidden="1">
      <c r="E341" s="29"/>
      <c r="F341" s="29"/>
      <c r="G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row>
    <row r="342" spans="5:36" hidden="1">
      <c r="E342" s="29"/>
      <c r="F342" s="29"/>
      <c r="G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row>
    <row r="343" spans="5:36" hidden="1">
      <c r="E343" s="29"/>
      <c r="F343" s="29"/>
      <c r="G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row>
    <row r="344" spans="5:36" hidden="1">
      <c r="E344" s="29"/>
      <c r="F344" s="29"/>
      <c r="G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row>
    <row r="345" spans="5:36" hidden="1">
      <c r="E345" s="29"/>
      <c r="F345" s="29"/>
      <c r="G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row>
    <row r="346" spans="5:36" hidden="1">
      <c r="E346" s="29"/>
      <c r="F346" s="29"/>
      <c r="G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row>
    <row r="347" spans="5:36" hidden="1">
      <c r="E347" s="29"/>
      <c r="F347" s="29"/>
      <c r="G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row>
    <row r="348" spans="5:36" hidden="1">
      <c r="E348" s="29"/>
      <c r="F348" s="29"/>
      <c r="G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row>
    <row r="349" spans="5:36" hidden="1">
      <c r="E349" s="29"/>
      <c r="F349" s="29"/>
      <c r="G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row>
    <row r="350" spans="5:36" hidden="1">
      <c r="E350" s="29"/>
      <c r="F350" s="29"/>
      <c r="G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row>
    <row r="351" spans="5:36" hidden="1">
      <c r="E351" s="29"/>
      <c r="F351" s="29"/>
      <c r="G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row>
    <row r="352" spans="5:36" hidden="1">
      <c r="E352" s="29"/>
      <c r="F352" s="29"/>
      <c r="G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row>
    <row r="353" spans="5:36" hidden="1">
      <c r="E353" s="29"/>
      <c r="F353" s="29"/>
      <c r="G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row>
    <row r="354" spans="5:36" hidden="1">
      <c r="E354" s="29"/>
      <c r="F354" s="29"/>
      <c r="G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row>
    <row r="355" spans="5:36" hidden="1">
      <c r="E355" s="29"/>
      <c r="F355" s="29"/>
      <c r="G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row>
    <row r="356" spans="5:36" hidden="1">
      <c r="E356" s="29"/>
      <c r="F356" s="29"/>
      <c r="G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row>
    <row r="357" spans="5:36" hidden="1">
      <c r="E357" s="29"/>
      <c r="F357" s="29"/>
      <c r="G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row>
    <row r="358" spans="5:36" hidden="1">
      <c r="E358" s="29"/>
      <c r="F358" s="29"/>
      <c r="G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row>
    <row r="359" spans="5:36" hidden="1">
      <c r="E359" s="29"/>
      <c r="F359" s="29"/>
      <c r="G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row>
    <row r="360" spans="5:36" hidden="1">
      <c r="E360" s="29"/>
      <c r="F360" s="29"/>
      <c r="G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row>
    <row r="361" spans="5:36" hidden="1">
      <c r="E361" s="29"/>
      <c r="F361" s="29"/>
      <c r="G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row>
    <row r="362" spans="5:36" hidden="1">
      <c r="E362" s="29"/>
      <c r="F362" s="29"/>
      <c r="G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row>
    <row r="363" spans="5:36" hidden="1">
      <c r="E363" s="29"/>
      <c r="F363" s="29"/>
      <c r="G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row>
    <row r="364" spans="5:36" hidden="1">
      <c r="E364" s="29"/>
      <c r="F364" s="29"/>
      <c r="G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row>
    <row r="365" spans="5:36" hidden="1">
      <c r="E365" s="29"/>
      <c r="F365" s="29"/>
      <c r="G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row>
    <row r="366" spans="5:36" hidden="1">
      <c r="E366" s="29"/>
      <c r="F366" s="29"/>
      <c r="G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row>
    <row r="367" spans="5:36" hidden="1">
      <c r="E367" s="29"/>
      <c r="F367" s="29"/>
      <c r="G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row>
    <row r="368" spans="5:36" hidden="1">
      <c r="E368" s="29"/>
      <c r="F368" s="29"/>
      <c r="G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row>
    <row r="369" spans="5:36" hidden="1">
      <c r="E369" s="29"/>
      <c r="F369" s="29"/>
      <c r="G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row>
    <row r="370" spans="5:36" hidden="1">
      <c r="E370" s="29"/>
      <c r="F370" s="29"/>
      <c r="G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row>
    <row r="371" spans="5:36" hidden="1">
      <c r="E371" s="29"/>
      <c r="F371" s="29"/>
      <c r="G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row>
    <row r="372" spans="5:36" hidden="1">
      <c r="E372" s="29"/>
      <c r="F372" s="29"/>
      <c r="G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row>
    <row r="373" spans="5:36" hidden="1">
      <c r="E373" s="29"/>
      <c r="F373" s="29"/>
      <c r="G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row>
    <row r="374" spans="5:36" hidden="1">
      <c r="E374" s="29"/>
      <c r="F374" s="29"/>
      <c r="G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row>
    <row r="375" spans="5:36" hidden="1">
      <c r="E375" s="29"/>
      <c r="F375" s="29"/>
      <c r="G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row>
    <row r="376" spans="5:36" hidden="1">
      <c r="E376" s="29"/>
      <c r="F376" s="29"/>
      <c r="G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row>
    <row r="377" spans="5:36" hidden="1">
      <c r="E377" s="29"/>
      <c r="F377" s="29"/>
      <c r="G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row>
    <row r="378" spans="5:36" hidden="1">
      <c r="E378" s="29"/>
      <c r="F378" s="29"/>
      <c r="G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row>
    <row r="379" spans="5:36" hidden="1">
      <c r="E379" s="29"/>
      <c r="F379" s="29"/>
      <c r="G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row>
    <row r="380" spans="5:36" hidden="1">
      <c r="E380" s="29"/>
      <c r="F380" s="29"/>
      <c r="G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row>
    <row r="381" spans="5:36" hidden="1">
      <c r="E381" s="29"/>
      <c r="F381" s="29"/>
      <c r="G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row>
    <row r="382" spans="5:36" hidden="1">
      <c r="E382" s="29"/>
      <c r="F382" s="29"/>
      <c r="G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row>
    <row r="383" spans="5:36" hidden="1">
      <c r="E383" s="29"/>
      <c r="F383" s="29"/>
      <c r="G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row>
    <row r="384" spans="5:36" hidden="1">
      <c r="E384" s="29"/>
      <c r="F384" s="29"/>
      <c r="G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row>
    <row r="385" spans="5:36" hidden="1">
      <c r="E385" s="29"/>
      <c r="F385" s="29"/>
      <c r="G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row>
    <row r="386" spans="5:36" hidden="1">
      <c r="E386" s="29"/>
      <c r="F386" s="29"/>
      <c r="G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row>
    <row r="387" spans="5:36" hidden="1">
      <c r="E387" s="29"/>
      <c r="F387" s="29"/>
      <c r="G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row>
    <row r="388" spans="5:36" hidden="1">
      <c r="E388" s="29"/>
      <c r="F388" s="29"/>
      <c r="G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row>
    <row r="389" spans="5:36" hidden="1">
      <c r="E389" s="29"/>
      <c r="F389" s="29"/>
      <c r="G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row>
    <row r="390" spans="5:36" hidden="1">
      <c r="E390" s="29"/>
      <c r="F390" s="29"/>
      <c r="G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row>
    <row r="391" spans="5:36" hidden="1">
      <c r="E391" s="29"/>
      <c r="F391" s="29"/>
      <c r="G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row>
    <row r="392" spans="5:36" hidden="1">
      <c r="E392" s="29"/>
      <c r="F392" s="29"/>
      <c r="G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row>
    <row r="393" spans="5:36" hidden="1">
      <c r="E393" s="29"/>
      <c r="F393" s="29"/>
      <c r="G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row>
    <row r="394" spans="5:36" hidden="1">
      <c r="E394" s="29"/>
      <c r="F394" s="29"/>
      <c r="G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row>
    <row r="395" spans="5:36" hidden="1">
      <c r="E395" s="29"/>
      <c r="F395" s="29"/>
      <c r="G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row>
    <row r="396" spans="5:36" hidden="1">
      <c r="E396" s="29"/>
      <c r="F396" s="29"/>
      <c r="G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row>
    <row r="397" spans="5:36" hidden="1">
      <c r="E397" s="29"/>
      <c r="F397" s="29"/>
      <c r="G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row>
    <row r="398" spans="5:36" hidden="1">
      <c r="E398" s="29"/>
      <c r="F398" s="29"/>
      <c r="G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row>
    <row r="399" spans="5:36" hidden="1">
      <c r="E399" s="29"/>
      <c r="F399" s="29"/>
      <c r="G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row>
    <row r="400" spans="5:36"/>
    <row r="401"/>
    <row r="402"/>
    <row r="403"/>
    <row r="404"/>
    <row r="405"/>
  </sheetData>
  <sheetProtection algorithmName="SHA-512" hashValue="5Ky2uJ26Rz921mc+yRVzQhcHzVaWCZhuTlrH9nyaQ8lodoKEwKaEkbRcZkyDLQ6vXtKZnahezuPpRUrsDDRvgA==" saltValue="xPt5h4aLerRoYgS2Wt+CDQ==" spinCount="100000" sheet="1" objects="1" scenarios="1" formatCells="0" formatColumns="0" formatRows="0"/>
  <mergeCells count="6">
    <mergeCell ref="K6:K10"/>
    <mergeCell ref="B5:B10"/>
    <mergeCell ref="C5:C10"/>
    <mergeCell ref="I6:I10"/>
    <mergeCell ref="H6:H10"/>
    <mergeCell ref="J6:J10"/>
  </mergeCells>
  <phoneticPr fontId="58" type="noConversion"/>
  <conditionalFormatting sqref="BA74:BA78 BA62:BA72">
    <cfRule type="colorScale" priority="30">
      <colorScale>
        <cfvo type="min"/>
        <cfvo type="percentile" val="50"/>
        <cfvo type="max"/>
        <color rgb="FF63CD7B"/>
        <color rgb="FFFCFCFF"/>
        <color rgb="FFF8696B"/>
      </colorScale>
    </cfRule>
  </conditionalFormatting>
  <conditionalFormatting sqref="BC74:BC78 BC62:BC72">
    <cfRule type="colorScale" priority="31">
      <colorScale>
        <cfvo type="min"/>
        <cfvo type="num" val="0"/>
        <cfvo type="max"/>
        <color rgb="FF63CD7B"/>
        <color theme="0"/>
        <color rgb="FFF8696B"/>
      </colorScale>
    </cfRule>
  </conditionalFormatting>
  <conditionalFormatting sqref="BA79:BA84">
    <cfRule type="colorScale" priority="28">
      <colorScale>
        <cfvo type="min"/>
        <cfvo type="percentile" val="50"/>
        <cfvo type="max"/>
        <color rgb="FF63CD7B"/>
        <color rgb="FFFCFCFF"/>
        <color rgb="FFF8696B"/>
      </colorScale>
    </cfRule>
  </conditionalFormatting>
  <conditionalFormatting sqref="BC79:BC84">
    <cfRule type="colorScale" priority="29">
      <colorScale>
        <cfvo type="min"/>
        <cfvo type="num" val="0"/>
        <cfvo type="max"/>
        <color rgb="FF63CD7B"/>
        <color theme="0"/>
        <color rgb="FFF8696B"/>
      </colorScale>
    </cfRule>
  </conditionalFormatting>
  <conditionalFormatting sqref="BA85:BA88">
    <cfRule type="colorScale" priority="49">
      <colorScale>
        <cfvo type="min"/>
        <cfvo type="percentile" val="50"/>
        <cfvo type="max"/>
        <color rgb="FF63CD7B"/>
        <color rgb="FFFCFCFF"/>
        <color rgb="FFF8696B"/>
      </colorScale>
    </cfRule>
  </conditionalFormatting>
  <conditionalFormatting sqref="BC85:BC88">
    <cfRule type="colorScale" priority="50">
      <colorScale>
        <cfvo type="min"/>
        <cfvo type="num" val="0"/>
        <cfvo type="max"/>
        <color rgb="FF63CD7B"/>
        <color theme="0"/>
        <color rgb="FFF8696B"/>
      </colorScale>
    </cfRule>
  </conditionalFormatting>
  <conditionalFormatting sqref="K93:K101 K18:K91">
    <cfRule type="colorScale" priority="54">
      <colorScale>
        <cfvo type="min"/>
        <cfvo type="num" val="0"/>
        <cfvo type="max"/>
        <color rgb="FF63CD7B"/>
        <color theme="0"/>
        <color rgb="FFF8696B"/>
      </colorScale>
    </cfRule>
  </conditionalFormatting>
  <conditionalFormatting sqref="BA73">
    <cfRule type="colorScale" priority="7">
      <colorScale>
        <cfvo type="min"/>
        <cfvo type="percentile" val="50"/>
        <cfvo type="max"/>
        <color rgb="FF63CD7B"/>
        <color rgb="FFFCFCFF"/>
        <color rgb="FFF8696B"/>
      </colorScale>
    </cfRule>
  </conditionalFormatting>
  <conditionalFormatting sqref="BC73">
    <cfRule type="colorScale" priority="8">
      <colorScale>
        <cfvo type="min"/>
        <cfvo type="num" val="0"/>
        <cfvo type="max"/>
        <color rgb="FF63CD7B"/>
        <color theme="0"/>
        <color rgb="FFF8696B"/>
      </colorScale>
    </cfRule>
  </conditionalFormatting>
  <conditionalFormatting sqref="BA101 BA89">
    <cfRule type="colorScale" priority="84">
      <colorScale>
        <cfvo type="min"/>
        <cfvo type="percentile" val="50"/>
        <cfvo type="max"/>
        <color rgb="FF63CD7B"/>
        <color rgb="FFFCFCFF"/>
        <color rgb="FFF8696B"/>
      </colorScale>
    </cfRule>
  </conditionalFormatting>
  <conditionalFormatting sqref="BC101 BC89">
    <cfRule type="colorScale" priority="86">
      <colorScale>
        <cfvo type="min"/>
        <cfvo type="num" val="0"/>
        <cfvo type="max"/>
        <color rgb="FF63CD7B"/>
        <color theme="0"/>
        <color rgb="FFF8696B"/>
      </colorScale>
    </cfRule>
  </conditionalFormatting>
  <conditionalFormatting sqref="BA90:BA100">
    <cfRule type="colorScale" priority="1">
      <colorScale>
        <cfvo type="min"/>
        <cfvo type="percentile" val="50"/>
        <cfvo type="max"/>
        <color rgb="FF63CD7B"/>
        <color rgb="FFFCFCFF"/>
        <color rgb="FFF8696B"/>
      </colorScale>
    </cfRule>
  </conditionalFormatting>
  <conditionalFormatting sqref="BC90:BC100">
    <cfRule type="colorScale" priority="2">
      <colorScale>
        <cfvo type="min"/>
        <cfvo type="num" val="0"/>
        <cfvo type="max"/>
        <color rgb="FF63CD7B"/>
        <color theme="0"/>
        <color rgb="FFF8696B"/>
      </colorScale>
    </cfRule>
  </conditionalFormatting>
  <conditionalFormatting sqref="K12:K17">
    <cfRule type="colorScale" priority="99">
      <colorScale>
        <cfvo type="min"/>
        <cfvo type="num" val="0"/>
        <cfvo type="max"/>
        <color rgb="FFF8696B"/>
        <color theme="0"/>
        <color rgb="FF63BE7B"/>
      </colorScale>
    </cfRule>
  </conditionalFormatting>
  <conditionalFormatting sqref="I18:I91">
    <cfRule type="colorScale" priority="106">
      <colorScale>
        <cfvo type="min"/>
        <cfvo type="num" val="0"/>
        <cfvo type="max"/>
        <color rgb="FF63CD7B"/>
        <color theme="0"/>
        <color rgb="FFF8696B"/>
      </colorScale>
    </cfRule>
  </conditionalFormatting>
  <dataValidations disablePrompts="1" count="2">
    <dataValidation type="list" allowBlank="1" showInputMessage="1" showErrorMessage="1" sqref="Q6 S6 U6 W6 Y6 AA6 AC6 AE6 AG6 AI6" xr:uid="{00000000-0002-0000-0A00-000000000000}">
      <formula1>INDIRECT("tbl01_OpEx[Operating Expense]")</formula1>
    </dataValidation>
    <dataValidation type="list" allowBlank="1" showInputMessage="1" showErrorMessage="1" errorTitle="Comparable Type" error="Please choose one of the two comparable types." sqref="M6 O6" xr:uid="{00000000-0002-0000-0A00-000001000000}">
      <formula1>INDIRECT("tbl01_OpEx[Operating Expense]")</formula1>
    </dataValidation>
  </dataValidations>
  <pageMargins left="0.7" right="0.7" top="0.75" bottom="0.75" header="0.3" footer="0.3"/>
  <pageSetup paperSize="5" scale="47" fitToHeight="3" orientation="landscape" r:id="rId1"/>
  <headerFooter alignWithMargins="0">
    <oddFooter>&amp;L&amp;A&amp;C&amp;P of &amp;N</oddFooter>
  </headerFooter>
  <rowBreaks count="1" manualBreakCount="1">
    <brk id="47" max="36" man="1"/>
  </rowBreaks>
  <colBreaks count="1" manualBreakCount="1">
    <brk id="21" max="101"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st02_3_Sources">
    <tabColor theme="5" tint="-0.249977111117893"/>
    <pageSetUpPr autoPageBreaks="0" fitToPage="1"/>
  </sheetPr>
  <dimension ref="A1:XEP94"/>
  <sheetViews>
    <sheetView zoomScale="85" zoomScaleNormal="85" workbookViewId="0"/>
  </sheetViews>
  <sheetFormatPr defaultColWidth="0" defaultRowHeight="15" zeroHeight="1"/>
  <cols>
    <col min="1" max="1" width="3" style="9" customWidth="1"/>
    <col min="2" max="2" width="45" style="9" customWidth="1"/>
    <col min="3" max="3" width="31" style="9" customWidth="1"/>
    <col min="4" max="4" width="11.5" style="9" customWidth="1"/>
    <col min="5" max="5" width="11" style="9" customWidth="1"/>
    <col min="6" max="7" width="19.5" style="9" customWidth="1"/>
    <col min="8" max="8" width="20.5" style="9" customWidth="1"/>
    <col min="9" max="9" width="23" style="9" customWidth="1"/>
    <col min="10" max="10" width="21.5" style="9" customWidth="1"/>
    <col min="11" max="11" width="21" style="9" customWidth="1"/>
    <col min="12" max="12" width="21.5" style="9" bestFit="1" customWidth="1"/>
    <col min="13" max="13" width="20" style="30" customWidth="1"/>
    <col min="14" max="14" width="60.5" style="30" bestFit="1" customWidth="1"/>
    <col min="15" max="15" width="16.5" style="9" customWidth="1"/>
    <col min="16" max="16" width="16" style="9" customWidth="1"/>
    <col min="17" max="37" width="9" style="9" customWidth="1"/>
    <col min="38" max="38" width="9" style="1481" hidden="1" customWidth="1"/>
    <col min="39" max="16384" width="9" style="9" hidden="1"/>
  </cols>
  <sheetData>
    <row r="1" spans="1:16370" ht="27.75" thickTop="1" thickBot="1">
      <c r="A1" s="61" t="s">
        <v>1206</v>
      </c>
      <c r="B1" s="60"/>
      <c r="C1" s="60"/>
      <c r="D1" s="60"/>
      <c r="E1" s="60"/>
      <c r="F1" s="60"/>
      <c r="G1" s="60"/>
      <c r="H1" s="60"/>
      <c r="I1" s="60"/>
      <c r="J1" s="60"/>
      <c r="K1" s="60"/>
      <c r="L1" s="60"/>
      <c r="M1" s="59"/>
      <c r="N1" s="59"/>
      <c r="O1" s="59"/>
      <c r="P1" s="59"/>
      <c r="Q1" s="73" t="s">
        <v>1483</v>
      </c>
      <c r="R1" s="74"/>
      <c r="S1" s="75"/>
      <c r="T1" s="75"/>
      <c r="U1" s="75"/>
      <c r="V1" s="75"/>
      <c r="W1" s="75"/>
      <c r="X1" s="75"/>
      <c r="Y1" s="75"/>
      <c r="Z1" s="75"/>
      <c r="AA1" s="75"/>
      <c r="AB1" s="75"/>
      <c r="AC1" s="75"/>
      <c r="AD1" s="75"/>
      <c r="AE1" s="75"/>
      <c r="AF1" s="75"/>
      <c r="AG1" s="75"/>
      <c r="AH1" s="75"/>
      <c r="AI1" s="75"/>
      <c r="AJ1" s="75"/>
      <c r="AK1" s="75"/>
      <c r="AL1" s="1497"/>
      <c r="AM1" s="630"/>
      <c r="AN1" s="630"/>
      <c r="AO1" s="630"/>
      <c r="AP1" s="630"/>
      <c r="AQ1" s="630"/>
      <c r="AR1" s="630"/>
      <c r="AS1" s="630"/>
      <c r="AT1" s="630"/>
      <c r="AU1" s="630"/>
      <c r="AV1" s="630"/>
      <c r="AW1" s="630"/>
      <c r="AX1" s="630"/>
      <c r="AY1" s="630"/>
      <c r="AZ1" s="631"/>
      <c r="BA1" s="631"/>
      <c r="BB1" s="631"/>
      <c r="BC1" s="631"/>
      <c r="BD1" s="631"/>
      <c r="BE1" s="631"/>
      <c r="BF1" s="631"/>
      <c r="BG1" s="631"/>
      <c r="BH1" s="631"/>
      <c r="BI1" s="631"/>
      <c r="BJ1" s="631"/>
      <c r="BK1" s="631"/>
      <c r="BL1" s="631"/>
      <c r="BM1" s="631"/>
      <c r="BN1" s="631"/>
      <c r="BO1" s="631"/>
      <c r="BP1" s="631"/>
      <c r="BQ1" s="631"/>
      <c r="BR1" s="631"/>
      <c r="BS1" s="631"/>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2"/>
      <c r="DR1" s="631"/>
      <c r="DS1" s="631"/>
      <c r="DT1" s="631"/>
      <c r="DU1" s="631"/>
      <c r="DV1" s="631"/>
      <c r="DW1" s="631"/>
      <c r="DX1" s="631"/>
      <c r="DY1" s="631"/>
      <c r="DZ1" s="631"/>
      <c r="EA1" s="631"/>
      <c r="EB1" s="631"/>
      <c r="EC1" s="631"/>
      <c r="ED1" s="631"/>
      <c r="EE1" s="631"/>
      <c r="EF1" s="631"/>
      <c r="EG1" s="631"/>
      <c r="EH1" s="631"/>
      <c r="EI1" s="630"/>
      <c r="EJ1" s="630"/>
      <c r="EK1" s="630"/>
      <c r="EL1" s="630"/>
      <c r="EM1" s="630"/>
      <c r="EN1" s="630"/>
      <c r="EO1" s="630"/>
      <c r="EP1" s="630"/>
      <c r="EQ1" s="630"/>
      <c r="ER1" s="630"/>
      <c r="ES1" s="630"/>
      <c r="ET1" s="630"/>
      <c r="EU1" s="630"/>
      <c r="EV1" s="630"/>
      <c r="EW1" s="630"/>
      <c r="EX1" s="630"/>
      <c r="EY1" s="630"/>
      <c r="EZ1" s="630"/>
      <c r="FA1" s="630"/>
      <c r="FB1" s="630"/>
      <c r="FC1" s="630"/>
      <c r="FD1" s="630"/>
      <c r="FE1" s="630"/>
      <c r="FF1" s="630"/>
      <c r="FG1" s="630"/>
      <c r="FH1" s="630"/>
      <c r="FI1" s="630"/>
      <c r="FJ1" s="630"/>
      <c r="FK1" s="630"/>
      <c r="FL1" s="630"/>
      <c r="FM1" s="630"/>
      <c r="FN1" s="630"/>
      <c r="FO1" s="630"/>
      <c r="FP1" s="630"/>
      <c r="FQ1" s="630"/>
      <c r="FR1" s="630"/>
      <c r="FS1" s="630"/>
      <c r="FT1" s="630"/>
      <c r="FU1" s="630"/>
      <c r="FV1" s="630"/>
      <c r="FW1" s="630"/>
      <c r="FX1" s="630"/>
      <c r="FY1" s="630"/>
      <c r="FZ1" s="630"/>
      <c r="GA1" s="630"/>
      <c r="GB1" s="630"/>
      <c r="GC1" s="630"/>
      <c r="GD1" s="630"/>
      <c r="GE1" s="630"/>
      <c r="GF1" s="632"/>
      <c r="GG1" s="631"/>
      <c r="GH1" s="631"/>
      <c r="GI1" s="631"/>
      <c r="GJ1" s="631"/>
      <c r="GK1" s="631"/>
      <c r="GL1" s="631"/>
      <c r="GM1" s="631"/>
      <c r="GN1" s="631"/>
      <c r="GO1" s="631"/>
      <c r="GP1" s="631"/>
      <c r="GQ1" s="631"/>
      <c r="GR1" s="631"/>
      <c r="GS1" s="631"/>
      <c r="GT1" s="631"/>
      <c r="GU1" s="631"/>
      <c r="GV1" s="631"/>
      <c r="GW1" s="631"/>
      <c r="GX1" s="630"/>
      <c r="GY1" s="630"/>
      <c r="GZ1" s="630"/>
      <c r="HA1" s="630"/>
      <c r="HB1" s="630"/>
      <c r="HC1" s="630"/>
      <c r="HD1" s="630"/>
      <c r="HE1" s="630"/>
      <c r="HF1" s="630"/>
      <c r="HG1" s="630"/>
      <c r="HH1" s="630"/>
      <c r="HI1" s="630"/>
      <c r="HJ1" s="630"/>
      <c r="HK1" s="630"/>
      <c r="HL1" s="630"/>
      <c r="HM1" s="630"/>
      <c r="HN1" s="630"/>
      <c r="HO1" s="630"/>
      <c r="HP1" s="630"/>
      <c r="HQ1" s="630"/>
      <c r="HR1" s="630"/>
      <c r="HS1" s="630"/>
      <c r="HT1" s="630"/>
      <c r="HU1" s="630"/>
      <c r="HV1" s="630"/>
      <c r="HW1" s="630"/>
      <c r="HX1" s="630"/>
      <c r="HY1" s="630"/>
      <c r="HZ1" s="630"/>
      <c r="IA1" s="630"/>
      <c r="IB1" s="630"/>
      <c r="IC1" s="630"/>
      <c r="ID1" s="630"/>
      <c r="IE1" s="630"/>
      <c r="IF1" s="630"/>
      <c r="IG1" s="630"/>
      <c r="IH1" s="630"/>
      <c r="II1" s="630"/>
      <c r="IJ1" s="630"/>
      <c r="IK1" s="630"/>
      <c r="IL1" s="630"/>
      <c r="IM1" s="630"/>
      <c r="IN1" s="630"/>
      <c r="IO1" s="630"/>
      <c r="IP1" s="630"/>
      <c r="IQ1" s="630"/>
      <c r="IR1" s="630"/>
      <c r="IS1" s="630"/>
      <c r="IT1" s="630"/>
      <c r="IU1" s="632"/>
      <c r="IV1" s="631"/>
      <c r="IW1" s="631"/>
      <c r="IX1" s="631"/>
      <c r="IY1" s="631"/>
      <c r="IZ1" s="631"/>
      <c r="JA1" s="631"/>
      <c r="JB1" s="631"/>
      <c r="JC1" s="631"/>
      <c r="JD1" s="631"/>
      <c r="JE1" s="631"/>
      <c r="JF1" s="631"/>
      <c r="JG1" s="631"/>
      <c r="JH1" s="631"/>
      <c r="JI1" s="631"/>
      <c r="JJ1" s="631"/>
      <c r="JK1" s="631"/>
      <c r="JL1" s="631"/>
      <c r="JM1" s="630"/>
      <c r="JN1" s="630"/>
      <c r="JO1" s="630"/>
      <c r="JP1" s="630"/>
      <c r="JQ1" s="630"/>
      <c r="JR1" s="630"/>
      <c r="JS1" s="630"/>
      <c r="JT1" s="630"/>
      <c r="JU1" s="630"/>
      <c r="JV1" s="630"/>
      <c r="JW1" s="630"/>
      <c r="JX1" s="630"/>
      <c r="JY1" s="630"/>
      <c r="JZ1" s="630"/>
      <c r="KA1" s="630"/>
      <c r="KB1" s="630"/>
      <c r="KC1" s="630"/>
      <c r="KD1" s="630"/>
      <c r="KE1" s="630"/>
      <c r="KF1" s="630"/>
      <c r="KG1" s="630"/>
      <c r="KH1" s="630"/>
      <c r="KI1" s="630"/>
      <c r="KJ1" s="630"/>
      <c r="KK1" s="630"/>
      <c r="KL1" s="630"/>
      <c r="KM1" s="630"/>
      <c r="KN1" s="630"/>
      <c r="KO1" s="630"/>
      <c r="KP1" s="630"/>
      <c r="KQ1" s="630"/>
      <c r="KR1" s="630"/>
      <c r="KS1" s="630"/>
      <c r="KT1" s="630"/>
      <c r="KU1" s="630"/>
      <c r="KV1" s="630"/>
      <c r="KW1" s="630"/>
      <c r="KX1" s="630"/>
      <c r="KY1" s="630"/>
      <c r="KZ1" s="630"/>
      <c r="LA1" s="630"/>
      <c r="LB1" s="630"/>
      <c r="LC1" s="630"/>
      <c r="LD1" s="630"/>
      <c r="LE1" s="630"/>
      <c r="LF1" s="630"/>
      <c r="LG1" s="630"/>
      <c r="LH1" s="630"/>
      <c r="LI1" s="630"/>
      <c r="LJ1" s="632"/>
      <c r="LK1" s="631"/>
      <c r="LL1" s="631"/>
      <c r="LM1" s="631"/>
      <c r="LN1" s="631"/>
      <c r="LO1" s="631"/>
      <c r="LP1" s="631"/>
      <c r="LQ1" s="631"/>
      <c r="LR1" s="631"/>
      <c r="LS1" s="631"/>
      <c r="LT1" s="631"/>
      <c r="LU1" s="631"/>
      <c r="LV1" s="631"/>
      <c r="LW1" s="631"/>
      <c r="LX1" s="631"/>
      <c r="LY1" s="631"/>
      <c r="LZ1" s="631"/>
      <c r="MA1" s="631"/>
      <c r="MB1" s="630"/>
      <c r="MC1" s="630"/>
      <c r="MD1" s="630"/>
      <c r="ME1" s="630"/>
      <c r="MF1" s="630"/>
      <c r="MG1" s="630"/>
      <c r="MH1" s="630"/>
      <c r="MI1" s="630"/>
      <c r="MJ1" s="630"/>
      <c r="MK1" s="630"/>
      <c r="ML1" s="630"/>
      <c r="MM1" s="630"/>
      <c r="MN1" s="630"/>
      <c r="MO1" s="630"/>
      <c r="MP1" s="630"/>
      <c r="MQ1" s="630"/>
      <c r="MR1" s="630"/>
      <c r="MS1" s="630"/>
      <c r="MT1" s="630"/>
      <c r="MU1" s="630"/>
      <c r="MV1" s="630"/>
      <c r="MW1" s="630"/>
      <c r="MX1" s="630"/>
      <c r="MY1" s="630"/>
      <c r="MZ1" s="630"/>
      <c r="NA1" s="630"/>
      <c r="NB1" s="630"/>
      <c r="NC1" s="630"/>
      <c r="ND1" s="630"/>
      <c r="NE1" s="630"/>
      <c r="NF1" s="630"/>
      <c r="NG1" s="630"/>
      <c r="NH1" s="630"/>
      <c r="NI1" s="630"/>
      <c r="NJ1" s="630"/>
      <c r="NK1" s="630"/>
      <c r="NL1" s="630"/>
      <c r="NM1" s="630"/>
      <c r="NN1" s="630"/>
      <c r="NO1" s="630"/>
      <c r="NP1" s="630"/>
      <c r="NQ1" s="630"/>
      <c r="NR1" s="630"/>
      <c r="NS1" s="630"/>
      <c r="NT1" s="630"/>
      <c r="NU1" s="630"/>
      <c r="NV1" s="630"/>
      <c r="NW1" s="630"/>
      <c r="NX1" s="630"/>
      <c r="NY1" s="632"/>
      <c r="NZ1" s="631"/>
      <c r="OA1" s="631"/>
      <c r="OB1" s="631"/>
      <c r="OC1" s="631"/>
      <c r="OD1" s="631"/>
      <c r="OE1" s="631"/>
      <c r="OF1" s="631"/>
      <c r="OG1" s="631"/>
      <c r="OH1" s="631"/>
      <c r="OI1" s="631"/>
      <c r="OJ1" s="631"/>
      <c r="OK1" s="631"/>
      <c r="OL1" s="631"/>
      <c r="OM1" s="631"/>
      <c r="ON1" s="631"/>
      <c r="OO1" s="631"/>
      <c r="OP1" s="631"/>
      <c r="OQ1" s="630"/>
      <c r="OR1" s="630"/>
      <c r="OS1" s="630"/>
      <c r="OT1" s="630"/>
      <c r="OU1" s="630"/>
      <c r="OV1" s="630"/>
      <c r="OW1" s="630"/>
      <c r="OX1" s="630"/>
      <c r="OY1" s="630"/>
      <c r="OZ1" s="630"/>
      <c r="PA1" s="630"/>
      <c r="PB1" s="630"/>
      <c r="PC1" s="630"/>
      <c r="PD1" s="630"/>
      <c r="PE1" s="630"/>
      <c r="PF1" s="630"/>
      <c r="PG1" s="630"/>
      <c r="PH1" s="630"/>
      <c r="PI1" s="630"/>
      <c r="PJ1" s="630"/>
      <c r="PK1" s="630"/>
      <c r="PL1" s="630"/>
      <c r="PM1" s="630"/>
      <c r="PN1" s="630"/>
      <c r="PO1" s="630"/>
      <c r="PP1" s="630"/>
      <c r="PQ1" s="630"/>
      <c r="PR1" s="630"/>
      <c r="PS1" s="630"/>
      <c r="PT1" s="630"/>
      <c r="PU1" s="630"/>
      <c r="PV1" s="630"/>
      <c r="PW1" s="630"/>
      <c r="PX1" s="630"/>
      <c r="PY1" s="630"/>
      <c r="PZ1" s="630"/>
      <c r="QA1" s="630"/>
      <c r="QB1" s="630"/>
      <c r="QC1" s="630"/>
      <c r="QD1" s="630"/>
      <c r="QE1" s="630"/>
      <c r="QF1" s="630"/>
      <c r="QG1" s="630"/>
      <c r="QH1" s="630"/>
      <c r="QI1" s="630"/>
      <c r="QJ1" s="630"/>
      <c r="QK1" s="630"/>
      <c r="QL1" s="630"/>
      <c r="QM1" s="630"/>
      <c r="QN1" s="632"/>
      <c r="QO1" s="631"/>
      <c r="QP1" s="631"/>
      <c r="QQ1" s="631"/>
      <c r="QR1" s="631"/>
      <c r="QS1" s="631"/>
      <c r="QT1" s="631"/>
      <c r="QU1" s="631"/>
      <c r="QV1" s="631"/>
      <c r="QW1" s="631"/>
      <c r="QX1" s="631"/>
      <c r="QY1" s="631"/>
      <c r="QZ1" s="631"/>
      <c r="RA1" s="631"/>
      <c r="RB1" s="631"/>
      <c r="RC1" s="631"/>
      <c r="RD1" s="631"/>
      <c r="RE1" s="631"/>
      <c r="RF1" s="630"/>
      <c r="RG1" s="630"/>
      <c r="RH1" s="630"/>
      <c r="RI1" s="630"/>
      <c r="RJ1" s="630"/>
      <c r="RK1" s="630"/>
      <c r="RL1" s="630"/>
      <c r="RM1" s="630"/>
      <c r="RN1" s="630"/>
      <c r="RO1" s="630"/>
      <c r="RP1" s="630"/>
      <c r="RQ1" s="630"/>
      <c r="RR1" s="630"/>
      <c r="RS1" s="630"/>
      <c r="RT1" s="630"/>
      <c r="RU1" s="630"/>
      <c r="RV1" s="630"/>
      <c r="RW1" s="630"/>
      <c r="RX1" s="630"/>
      <c r="RY1" s="630"/>
      <c r="RZ1" s="630"/>
      <c r="SA1" s="630"/>
      <c r="SB1" s="630"/>
      <c r="SC1" s="630"/>
      <c r="SD1" s="630"/>
      <c r="SE1" s="630"/>
      <c r="SF1" s="630"/>
      <c r="SG1" s="630"/>
      <c r="SH1" s="630"/>
      <c r="SI1" s="630"/>
      <c r="SJ1" s="630"/>
      <c r="SK1" s="630"/>
      <c r="SL1" s="630"/>
      <c r="SM1" s="630"/>
      <c r="SN1" s="630"/>
      <c r="SO1" s="630"/>
      <c r="SP1" s="630"/>
      <c r="SQ1" s="630"/>
      <c r="SR1" s="630"/>
      <c r="SS1" s="630"/>
      <c r="ST1" s="630"/>
      <c r="SU1" s="630"/>
      <c r="SV1" s="630"/>
      <c r="SW1" s="630"/>
      <c r="SX1" s="630"/>
      <c r="SY1" s="630"/>
      <c r="SZ1" s="630"/>
      <c r="TA1" s="630"/>
      <c r="TB1" s="630"/>
      <c r="TC1" s="632"/>
      <c r="TD1" s="631"/>
      <c r="TE1" s="631"/>
      <c r="TF1" s="631"/>
      <c r="TG1" s="631"/>
      <c r="TH1" s="631"/>
      <c r="TI1" s="631"/>
      <c r="TJ1" s="631"/>
      <c r="TK1" s="631"/>
      <c r="TL1" s="631"/>
      <c r="TM1" s="631"/>
      <c r="TN1" s="631"/>
      <c r="TO1" s="631"/>
      <c r="TP1" s="631"/>
      <c r="TQ1" s="631"/>
      <c r="TR1" s="631"/>
      <c r="TS1" s="631"/>
      <c r="TT1" s="631"/>
      <c r="TU1" s="630"/>
      <c r="TV1" s="630"/>
      <c r="TW1" s="630"/>
      <c r="TX1" s="630"/>
      <c r="TY1" s="630"/>
      <c r="TZ1" s="630"/>
      <c r="UA1" s="630"/>
      <c r="UB1" s="630"/>
      <c r="UC1" s="630"/>
      <c r="UD1" s="630"/>
      <c r="UE1" s="630"/>
      <c r="UF1" s="630"/>
      <c r="UG1" s="630"/>
      <c r="UH1" s="630"/>
      <c r="UI1" s="630"/>
      <c r="UJ1" s="630"/>
      <c r="UK1" s="630"/>
      <c r="UL1" s="630"/>
      <c r="UM1" s="630"/>
      <c r="UN1" s="630"/>
      <c r="UO1" s="630"/>
      <c r="UP1" s="630"/>
      <c r="UQ1" s="630"/>
      <c r="UR1" s="630"/>
      <c r="US1" s="630"/>
      <c r="UT1" s="630"/>
      <c r="UU1" s="630"/>
      <c r="UV1" s="630"/>
      <c r="UW1" s="630"/>
      <c r="UX1" s="630"/>
      <c r="UY1" s="630"/>
      <c r="UZ1" s="630"/>
      <c r="VA1" s="630"/>
      <c r="VB1" s="630"/>
      <c r="VC1" s="630"/>
      <c r="VD1" s="630"/>
      <c r="VE1" s="630"/>
      <c r="VF1" s="630"/>
      <c r="VG1" s="630"/>
      <c r="VH1" s="630"/>
      <c r="VI1" s="630"/>
      <c r="VJ1" s="630"/>
      <c r="VK1" s="630"/>
      <c r="VL1" s="630"/>
      <c r="VM1" s="630"/>
      <c r="VN1" s="630"/>
      <c r="VO1" s="630"/>
      <c r="VP1" s="630"/>
      <c r="VQ1" s="630"/>
      <c r="VR1" s="632"/>
      <c r="VS1" s="631"/>
      <c r="VT1" s="631"/>
      <c r="VU1" s="631"/>
      <c r="VV1" s="631"/>
      <c r="VW1" s="631"/>
      <c r="VX1" s="631"/>
      <c r="VY1" s="631"/>
      <c r="VZ1" s="631"/>
      <c r="WA1" s="631"/>
      <c r="WB1" s="631"/>
      <c r="WC1" s="631"/>
      <c r="WD1" s="631"/>
      <c r="WE1" s="631"/>
      <c r="WF1" s="631"/>
      <c r="WG1" s="631"/>
      <c r="WH1" s="631"/>
      <c r="WI1" s="631"/>
      <c r="WJ1" s="630"/>
      <c r="WK1" s="630"/>
      <c r="WL1" s="630"/>
      <c r="WM1" s="630"/>
      <c r="WN1" s="630"/>
      <c r="WO1" s="630"/>
      <c r="WP1" s="630"/>
      <c r="WQ1" s="630"/>
      <c r="WR1" s="630"/>
      <c r="WS1" s="630"/>
      <c r="WT1" s="630"/>
      <c r="WU1" s="630"/>
      <c r="WV1" s="630"/>
      <c r="WW1" s="630"/>
      <c r="WX1" s="630"/>
      <c r="WY1" s="630"/>
      <c r="WZ1" s="630"/>
      <c r="XA1" s="630"/>
      <c r="XB1" s="630"/>
      <c r="XC1" s="630"/>
      <c r="XD1" s="630"/>
      <c r="XE1" s="630"/>
      <c r="XF1" s="630"/>
      <c r="XG1" s="630"/>
      <c r="XH1" s="630"/>
      <c r="XI1" s="630"/>
      <c r="XJ1" s="630"/>
      <c r="XK1" s="630"/>
      <c r="XL1" s="630"/>
      <c r="XM1" s="630"/>
      <c r="XN1" s="630"/>
      <c r="XO1" s="630"/>
      <c r="XP1" s="630"/>
      <c r="XQ1" s="630"/>
      <c r="XR1" s="630"/>
      <c r="XS1" s="630"/>
      <c r="XT1" s="630"/>
      <c r="XU1" s="630"/>
      <c r="XV1" s="630"/>
      <c r="XW1" s="630"/>
      <c r="XX1" s="630"/>
      <c r="XY1" s="630"/>
      <c r="XZ1" s="630"/>
      <c r="YA1" s="630"/>
      <c r="YB1" s="630"/>
      <c r="YC1" s="630"/>
      <c r="YD1" s="630"/>
      <c r="YE1" s="630"/>
      <c r="YF1" s="630"/>
      <c r="YG1" s="632"/>
      <c r="YH1" s="631"/>
      <c r="YI1" s="631"/>
      <c r="YJ1" s="631"/>
      <c r="YK1" s="631"/>
      <c r="YL1" s="631"/>
      <c r="YM1" s="631"/>
      <c r="YN1" s="631"/>
      <c r="YO1" s="631"/>
      <c r="YP1" s="631"/>
      <c r="YQ1" s="631"/>
      <c r="YR1" s="631"/>
      <c r="YS1" s="631"/>
      <c r="YT1" s="631"/>
      <c r="YU1" s="631"/>
      <c r="YV1" s="631"/>
      <c r="YW1" s="631"/>
      <c r="YX1" s="631"/>
      <c r="YY1" s="630"/>
      <c r="YZ1" s="630"/>
      <c r="ZA1" s="630"/>
      <c r="ZB1" s="630"/>
      <c r="ZC1" s="630"/>
      <c r="ZD1" s="630"/>
      <c r="ZE1" s="630"/>
      <c r="ZF1" s="630"/>
      <c r="ZG1" s="630"/>
      <c r="ZH1" s="630"/>
      <c r="ZI1" s="630"/>
      <c r="ZJ1" s="630"/>
      <c r="ZK1" s="630"/>
      <c r="ZL1" s="630"/>
      <c r="ZM1" s="630"/>
      <c r="ZN1" s="630"/>
      <c r="ZO1" s="630"/>
      <c r="ZP1" s="630"/>
      <c r="ZQ1" s="630"/>
      <c r="ZR1" s="630"/>
      <c r="ZS1" s="630"/>
      <c r="ZT1" s="630"/>
      <c r="ZU1" s="630"/>
      <c r="ZV1" s="630"/>
      <c r="ZW1" s="630"/>
      <c r="ZX1" s="630"/>
      <c r="ZY1" s="630"/>
      <c r="ZZ1" s="630"/>
      <c r="AAA1" s="630"/>
      <c r="AAB1" s="630"/>
      <c r="AAC1" s="630"/>
      <c r="AAD1" s="630"/>
      <c r="AAE1" s="630"/>
      <c r="AAF1" s="630"/>
      <c r="AAG1" s="630"/>
      <c r="AAH1" s="630"/>
      <c r="AAI1" s="630"/>
      <c r="AAJ1" s="630"/>
      <c r="AAK1" s="630"/>
      <c r="AAL1" s="630"/>
      <c r="AAM1" s="630"/>
      <c r="AAN1" s="630"/>
      <c r="AAO1" s="630"/>
      <c r="AAP1" s="630"/>
      <c r="AAQ1" s="630"/>
      <c r="AAR1" s="630"/>
      <c r="AAS1" s="630"/>
      <c r="AAT1" s="630"/>
      <c r="AAU1" s="630"/>
      <c r="AAV1" s="632"/>
      <c r="AAW1" s="631"/>
      <c r="AAX1" s="631"/>
      <c r="AAY1" s="631"/>
      <c r="AAZ1" s="631"/>
      <c r="ABA1" s="631"/>
      <c r="ABB1" s="631"/>
      <c r="ABC1" s="631"/>
      <c r="ABD1" s="631"/>
      <c r="ABE1" s="631"/>
      <c r="ABF1" s="631"/>
      <c r="ABG1" s="631"/>
      <c r="ABH1" s="631"/>
      <c r="ABI1" s="631"/>
      <c r="ABJ1" s="631"/>
      <c r="ABK1" s="631"/>
      <c r="ABL1" s="631"/>
      <c r="ABM1" s="631"/>
      <c r="ABN1" s="630"/>
      <c r="ABO1" s="630"/>
      <c r="ABP1" s="630"/>
      <c r="ABQ1" s="630"/>
      <c r="ABR1" s="630"/>
      <c r="ABS1" s="630"/>
      <c r="ABT1" s="630"/>
      <c r="ABU1" s="630"/>
      <c r="ABV1" s="630"/>
      <c r="ABW1" s="630"/>
      <c r="ABX1" s="630"/>
      <c r="ABY1" s="630"/>
      <c r="ABZ1" s="630"/>
      <c r="ACA1" s="630"/>
      <c r="ACB1" s="630"/>
      <c r="ACC1" s="630"/>
      <c r="ACD1" s="630"/>
      <c r="ACE1" s="630"/>
      <c r="ACF1" s="630"/>
      <c r="ACG1" s="630"/>
      <c r="ACH1" s="630"/>
      <c r="ACI1" s="630"/>
      <c r="ACJ1" s="630"/>
      <c r="ACK1" s="630"/>
      <c r="ACL1" s="630"/>
      <c r="ACM1" s="630"/>
      <c r="ACN1" s="630"/>
      <c r="ACO1" s="630"/>
      <c r="ACP1" s="630"/>
      <c r="ACQ1" s="630"/>
      <c r="ACR1" s="630"/>
      <c r="ACS1" s="630"/>
      <c r="ACT1" s="630"/>
      <c r="ACU1" s="630"/>
      <c r="ACV1" s="630"/>
      <c r="ACW1" s="630"/>
      <c r="ACX1" s="630"/>
      <c r="ACY1" s="630"/>
      <c r="ACZ1" s="630"/>
      <c r="ADA1" s="630"/>
      <c r="ADB1" s="630"/>
      <c r="ADC1" s="630"/>
      <c r="ADD1" s="630"/>
      <c r="ADE1" s="630"/>
      <c r="ADF1" s="630"/>
      <c r="ADG1" s="630"/>
      <c r="ADH1" s="630"/>
      <c r="ADI1" s="630"/>
      <c r="ADJ1" s="630"/>
      <c r="ADK1" s="632"/>
      <c r="ADL1" s="631"/>
      <c r="ADM1" s="631"/>
      <c r="ADN1" s="631"/>
      <c r="ADO1" s="631"/>
      <c r="ADP1" s="631"/>
      <c r="ADQ1" s="631"/>
      <c r="ADR1" s="631"/>
      <c r="ADS1" s="631"/>
      <c r="ADT1" s="631"/>
      <c r="ADU1" s="631"/>
      <c r="ADV1" s="631"/>
      <c r="ADW1" s="631"/>
      <c r="ADX1" s="631"/>
      <c r="ADY1" s="631"/>
      <c r="ADZ1" s="631"/>
      <c r="AEA1" s="631"/>
      <c r="AEB1" s="631"/>
      <c r="AEC1" s="630"/>
      <c r="AED1" s="630"/>
      <c r="AEE1" s="630"/>
      <c r="AEF1" s="630"/>
      <c r="AEG1" s="630"/>
      <c r="AEH1" s="630"/>
      <c r="AEI1" s="630"/>
      <c r="AEJ1" s="630"/>
      <c r="AEK1" s="630"/>
      <c r="AEL1" s="630"/>
      <c r="AEM1" s="630"/>
      <c r="AEN1" s="630"/>
      <c r="AEO1" s="630"/>
      <c r="AEP1" s="630"/>
      <c r="AEQ1" s="630"/>
      <c r="AER1" s="630"/>
      <c r="AES1" s="630"/>
      <c r="AET1" s="630"/>
      <c r="AEU1" s="630"/>
      <c r="AEV1" s="630"/>
      <c r="AEW1" s="630"/>
      <c r="AEX1" s="630"/>
      <c r="AEY1" s="630"/>
      <c r="AEZ1" s="630"/>
      <c r="AFA1" s="630"/>
      <c r="AFB1" s="630"/>
      <c r="AFC1" s="630"/>
      <c r="AFD1" s="630"/>
      <c r="AFE1" s="630"/>
      <c r="AFF1" s="630"/>
      <c r="AFG1" s="630"/>
      <c r="AFH1" s="630"/>
      <c r="AFI1" s="630"/>
      <c r="AFJ1" s="630"/>
      <c r="AFK1" s="630"/>
      <c r="AFL1" s="630"/>
      <c r="AFM1" s="630"/>
      <c r="AFN1" s="630"/>
      <c r="AFO1" s="630"/>
      <c r="AFP1" s="630"/>
      <c r="AFQ1" s="630"/>
      <c r="AFR1" s="630"/>
      <c r="AFS1" s="630"/>
      <c r="AFT1" s="630"/>
      <c r="AFU1" s="630"/>
      <c r="AFV1" s="630"/>
      <c r="AFW1" s="630"/>
      <c r="AFX1" s="630"/>
      <c r="AFY1" s="630"/>
      <c r="AFZ1" s="632"/>
      <c r="AGA1" s="631"/>
      <c r="AGB1" s="631"/>
      <c r="AGC1" s="631"/>
      <c r="AGD1" s="631"/>
      <c r="AGE1" s="631"/>
      <c r="AGF1" s="631"/>
      <c r="AGG1" s="631"/>
      <c r="AGH1" s="631"/>
      <c r="AGI1" s="631"/>
      <c r="AGJ1" s="631"/>
      <c r="AGK1" s="631"/>
      <c r="AGL1" s="631"/>
      <c r="AGM1" s="631"/>
      <c r="AGN1" s="631"/>
      <c r="AGO1" s="631"/>
      <c r="AGP1" s="631"/>
      <c r="AGQ1" s="631"/>
      <c r="AGR1" s="630"/>
      <c r="AGS1" s="630"/>
      <c r="AGT1" s="630"/>
      <c r="AGU1" s="630"/>
      <c r="AGV1" s="630"/>
      <c r="AGW1" s="630"/>
      <c r="AGX1" s="630"/>
      <c r="AGY1" s="630"/>
      <c r="AGZ1" s="630"/>
      <c r="AHA1" s="630"/>
      <c r="AHB1" s="630"/>
      <c r="AHC1" s="630"/>
      <c r="AHD1" s="630"/>
      <c r="AHE1" s="630"/>
      <c r="AHF1" s="630"/>
      <c r="AHG1" s="630"/>
      <c r="AHH1" s="630"/>
      <c r="AHI1" s="630"/>
      <c r="AHJ1" s="630"/>
      <c r="AHK1" s="630"/>
      <c r="AHL1" s="630"/>
      <c r="AHM1" s="630"/>
      <c r="AHN1" s="630"/>
      <c r="AHO1" s="630"/>
      <c r="AHP1" s="630"/>
      <c r="AHQ1" s="630"/>
      <c r="AHR1" s="630"/>
      <c r="AHS1" s="630"/>
      <c r="AHT1" s="630"/>
      <c r="AHU1" s="630"/>
      <c r="AHV1" s="630"/>
      <c r="AHW1" s="630"/>
      <c r="AHX1" s="630"/>
      <c r="AHY1" s="630"/>
      <c r="AHZ1" s="630"/>
      <c r="AIA1" s="630"/>
      <c r="AIB1" s="630"/>
      <c r="AIC1" s="630"/>
      <c r="AID1" s="630"/>
      <c r="AIE1" s="630"/>
      <c r="AIF1" s="630"/>
      <c r="AIG1" s="630"/>
      <c r="AIH1" s="630"/>
      <c r="AII1" s="630"/>
      <c r="AIJ1" s="630"/>
      <c r="AIK1" s="630"/>
      <c r="AIL1" s="630"/>
      <c r="AIM1" s="630"/>
      <c r="AIN1" s="630"/>
      <c r="AIO1" s="632"/>
      <c r="AIP1" s="631"/>
      <c r="AIQ1" s="631"/>
      <c r="AIR1" s="631"/>
      <c r="AIS1" s="631"/>
      <c r="AIT1" s="631"/>
      <c r="AIU1" s="631"/>
      <c r="AIV1" s="631"/>
      <c r="AIW1" s="631"/>
      <c r="AIX1" s="631"/>
      <c r="AIY1" s="631"/>
      <c r="AIZ1" s="631"/>
      <c r="AJA1" s="631"/>
      <c r="AJB1" s="631"/>
      <c r="AJC1" s="631"/>
      <c r="AJD1" s="631"/>
      <c r="AJE1" s="631"/>
      <c r="AJF1" s="631"/>
      <c r="AJG1" s="630"/>
      <c r="AJH1" s="630"/>
      <c r="AJI1" s="630"/>
      <c r="AJJ1" s="630"/>
      <c r="AJK1" s="630"/>
      <c r="AJL1" s="630"/>
      <c r="AJM1" s="630"/>
      <c r="AJN1" s="630"/>
      <c r="AJO1" s="630"/>
      <c r="AJP1" s="630"/>
      <c r="AJQ1" s="630"/>
      <c r="AJR1" s="630"/>
      <c r="AJS1" s="630"/>
      <c r="AJT1" s="630"/>
      <c r="AJU1" s="630"/>
      <c r="AJV1" s="630"/>
      <c r="AJW1" s="630"/>
      <c r="AJX1" s="630"/>
      <c r="AJY1" s="630"/>
      <c r="AJZ1" s="630"/>
      <c r="AKA1" s="630"/>
      <c r="AKB1" s="630"/>
      <c r="AKC1" s="630"/>
      <c r="AKD1" s="630"/>
      <c r="AKE1" s="630"/>
      <c r="AKF1" s="630"/>
      <c r="AKG1" s="630"/>
      <c r="AKH1" s="630"/>
      <c r="AKI1" s="630"/>
      <c r="AKJ1" s="630"/>
      <c r="AKK1" s="630"/>
      <c r="AKL1" s="630"/>
      <c r="AKM1" s="630"/>
      <c r="AKN1" s="630"/>
      <c r="AKO1" s="630"/>
      <c r="AKP1" s="630"/>
      <c r="AKQ1" s="630"/>
      <c r="AKR1" s="630"/>
      <c r="AKS1" s="630"/>
      <c r="AKT1" s="630"/>
      <c r="AKU1" s="630"/>
      <c r="AKV1" s="630"/>
      <c r="AKW1" s="630"/>
      <c r="AKX1" s="630"/>
      <c r="AKY1" s="630"/>
      <c r="AKZ1" s="630"/>
      <c r="ALA1" s="630"/>
      <c r="ALB1" s="630"/>
      <c r="ALC1" s="630"/>
      <c r="ALD1" s="632"/>
      <c r="ALE1" s="631"/>
      <c r="ALF1" s="631"/>
      <c r="ALG1" s="631"/>
      <c r="ALH1" s="631"/>
      <c r="ALI1" s="631"/>
      <c r="ALJ1" s="631"/>
      <c r="ALK1" s="631"/>
      <c r="ALL1" s="631"/>
      <c r="ALM1" s="631"/>
      <c r="ALN1" s="631"/>
      <c r="ALO1" s="631"/>
      <c r="ALP1" s="631"/>
      <c r="ALQ1" s="631"/>
      <c r="ALR1" s="631"/>
      <c r="ALS1" s="631"/>
      <c r="ALT1" s="631"/>
      <c r="ALU1" s="631"/>
      <c r="ALV1" s="630"/>
      <c r="ALW1" s="630"/>
      <c r="ALX1" s="630"/>
      <c r="ALY1" s="630"/>
      <c r="ALZ1" s="630"/>
      <c r="AMA1" s="630"/>
      <c r="AMB1" s="630"/>
      <c r="AMC1" s="630"/>
      <c r="AMD1" s="630"/>
      <c r="AME1" s="630"/>
      <c r="AMF1" s="630"/>
      <c r="AMG1" s="630"/>
      <c r="AMH1" s="630"/>
      <c r="AMI1" s="630"/>
      <c r="AMJ1" s="630"/>
      <c r="AMK1" s="630"/>
      <c r="AML1" s="630"/>
      <c r="AMM1" s="630"/>
      <c r="AMN1" s="630"/>
      <c r="AMO1" s="630"/>
      <c r="AMP1" s="630"/>
      <c r="AMQ1" s="630"/>
      <c r="AMR1" s="630"/>
      <c r="AMS1" s="630"/>
      <c r="AMT1" s="630"/>
      <c r="AMU1" s="630"/>
      <c r="AMV1" s="630"/>
      <c r="AMW1" s="630"/>
      <c r="AMX1" s="630"/>
      <c r="AMY1" s="630"/>
      <c r="AMZ1" s="630"/>
      <c r="ANA1" s="630"/>
      <c r="ANB1" s="630"/>
      <c r="ANC1" s="630"/>
      <c r="AND1" s="630"/>
      <c r="ANE1" s="630"/>
      <c r="ANF1" s="630"/>
      <c r="ANG1" s="630"/>
      <c r="ANH1" s="630"/>
      <c r="ANI1" s="630"/>
      <c r="ANJ1" s="630"/>
      <c r="ANK1" s="630"/>
      <c r="ANL1" s="630"/>
      <c r="ANM1" s="630"/>
      <c r="ANN1" s="630"/>
      <c r="ANO1" s="630"/>
      <c r="ANP1" s="630"/>
      <c r="ANQ1" s="630"/>
      <c r="ANR1" s="630"/>
      <c r="ANS1" s="632"/>
      <c r="ANT1" s="631"/>
      <c r="ANU1" s="631"/>
      <c r="ANV1" s="631"/>
      <c r="ANW1" s="631"/>
      <c r="ANX1" s="631"/>
      <c r="ANY1" s="631"/>
      <c r="ANZ1" s="631"/>
      <c r="AOA1" s="631"/>
      <c r="AOB1" s="631"/>
      <c r="AOC1" s="631"/>
      <c r="AOD1" s="631"/>
      <c r="AOE1" s="631"/>
      <c r="AOF1" s="631"/>
      <c r="AOG1" s="631"/>
      <c r="AOH1" s="631"/>
      <c r="AOI1" s="631"/>
      <c r="AOJ1" s="631"/>
      <c r="AOK1" s="630"/>
      <c r="AOL1" s="630"/>
      <c r="AOM1" s="630"/>
      <c r="AON1" s="630"/>
      <c r="AOO1" s="630"/>
      <c r="AOP1" s="630"/>
      <c r="AOQ1" s="630"/>
      <c r="AOR1" s="630"/>
      <c r="AOS1" s="630"/>
      <c r="AOT1" s="630"/>
      <c r="AOU1" s="630"/>
      <c r="AOV1" s="630"/>
      <c r="AOW1" s="630"/>
      <c r="AOX1" s="630"/>
      <c r="AOY1" s="630"/>
      <c r="AOZ1" s="630"/>
      <c r="APA1" s="630"/>
      <c r="APB1" s="630"/>
      <c r="APC1" s="630"/>
      <c r="APD1" s="630"/>
      <c r="APE1" s="630"/>
      <c r="APF1" s="630"/>
      <c r="APG1" s="630"/>
      <c r="APH1" s="630"/>
      <c r="API1" s="630"/>
      <c r="APJ1" s="630"/>
      <c r="APK1" s="630"/>
      <c r="APL1" s="630"/>
      <c r="APM1" s="630"/>
      <c r="APN1" s="630"/>
      <c r="APO1" s="630"/>
      <c r="APP1" s="630"/>
      <c r="APQ1" s="630"/>
      <c r="APR1" s="630"/>
      <c r="APS1" s="630"/>
      <c r="APT1" s="630"/>
      <c r="APU1" s="630"/>
      <c r="APV1" s="630"/>
      <c r="APW1" s="630"/>
      <c r="APX1" s="630"/>
      <c r="APY1" s="630"/>
      <c r="APZ1" s="630"/>
      <c r="AQA1" s="630"/>
      <c r="AQB1" s="630"/>
      <c r="AQC1" s="630"/>
      <c r="AQD1" s="630"/>
      <c r="AQE1" s="630"/>
      <c r="AQF1" s="630"/>
      <c r="AQG1" s="630"/>
      <c r="AQH1" s="632"/>
      <c r="AQI1" s="631"/>
      <c r="AQJ1" s="631"/>
      <c r="AQK1" s="631"/>
      <c r="AQL1" s="631"/>
      <c r="AQM1" s="631"/>
      <c r="AQN1" s="631"/>
      <c r="AQO1" s="631"/>
      <c r="AQP1" s="631"/>
      <c r="AQQ1" s="631"/>
      <c r="AQR1" s="631"/>
      <c r="AQS1" s="631"/>
      <c r="AQT1" s="631"/>
      <c r="AQU1" s="631"/>
      <c r="AQV1" s="631"/>
      <c r="AQW1" s="631"/>
      <c r="AQX1" s="631"/>
      <c r="AQY1" s="631"/>
      <c r="AQZ1" s="630"/>
      <c r="ARA1" s="630"/>
      <c r="ARB1" s="630"/>
      <c r="ARC1" s="630"/>
      <c r="ARD1" s="630"/>
      <c r="ARE1" s="630"/>
      <c r="ARF1" s="630"/>
      <c r="ARG1" s="630"/>
      <c r="ARH1" s="630"/>
      <c r="ARI1" s="630"/>
      <c r="ARJ1" s="630"/>
      <c r="ARK1" s="630"/>
      <c r="ARL1" s="630"/>
      <c r="ARM1" s="630"/>
      <c r="ARN1" s="630"/>
      <c r="ARO1" s="630"/>
      <c r="ARP1" s="630"/>
      <c r="ARQ1" s="630"/>
      <c r="ARR1" s="630"/>
      <c r="ARS1" s="630"/>
      <c r="ART1" s="630"/>
      <c r="ARU1" s="630"/>
      <c r="ARV1" s="630"/>
      <c r="ARW1" s="630"/>
      <c r="ARX1" s="630"/>
      <c r="ARY1" s="630"/>
      <c r="ARZ1" s="630"/>
      <c r="ASA1" s="630"/>
      <c r="ASB1" s="630"/>
      <c r="ASC1" s="630"/>
      <c r="ASD1" s="630"/>
      <c r="ASE1" s="630"/>
      <c r="ASF1" s="630"/>
      <c r="ASG1" s="630"/>
      <c r="ASH1" s="630"/>
      <c r="ASI1" s="630"/>
      <c r="ASJ1" s="630"/>
      <c r="ASK1" s="630"/>
      <c r="ASL1" s="630"/>
      <c r="ASM1" s="630"/>
      <c r="ASN1" s="630"/>
      <c r="ASO1" s="630"/>
      <c r="ASP1" s="630"/>
      <c r="ASQ1" s="630"/>
      <c r="ASR1" s="630"/>
      <c r="ASS1" s="630"/>
      <c r="AST1" s="630"/>
      <c r="ASU1" s="630"/>
      <c r="ASV1" s="630"/>
      <c r="ASW1" s="632"/>
      <c r="ASX1" s="631"/>
      <c r="ASY1" s="631"/>
      <c r="ASZ1" s="631"/>
      <c r="ATA1" s="631"/>
      <c r="ATB1" s="631"/>
      <c r="ATC1" s="631"/>
      <c r="ATD1" s="631"/>
      <c r="ATE1" s="631"/>
      <c r="ATF1" s="631"/>
      <c r="ATG1" s="631"/>
      <c r="ATH1" s="631"/>
      <c r="ATI1" s="631"/>
      <c r="ATJ1" s="631"/>
      <c r="ATK1" s="631"/>
      <c r="ATL1" s="631"/>
      <c r="ATM1" s="631"/>
      <c r="ATN1" s="631"/>
      <c r="ATO1" s="630"/>
      <c r="ATP1" s="630"/>
      <c r="ATQ1" s="630"/>
      <c r="ATR1" s="630"/>
      <c r="ATS1" s="630"/>
      <c r="ATT1" s="630"/>
      <c r="ATU1" s="630"/>
      <c r="ATV1" s="630"/>
      <c r="ATW1" s="630"/>
      <c r="ATX1" s="630"/>
      <c r="ATY1" s="630"/>
      <c r="ATZ1" s="630"/>
      <c r="AUA1" s="630"/>
      <c r="AUB1" s="630"/>
      <c r="AUC1" s="630"/>
      <c r="AUD1" s="630"/>
      <c r="AUE1" s="630"/>
      <c r="AUF1" s="630"/>
      <c r="AUG1" s="630"/>
      <c r="AUH1" s="630"/>
      <c r="AUI1" s="630"/>
      <c r="AUJ1" s="630"/>
      <c r="AUK1" s="630"/>
      <c r="AUL1" s="630"/>
      <c r="AUM1" s="630"/>
      <c r="AUN1" s="630"/>
      <c r="AUO1" s="630"/>
      <c r="AUP1" s="630"/>
      <c r="AUQ1" s="630"/>
      <c r="AUR1" s="630"/>
      <c r="AUS1" s="630"/>
      <c r="AUT1" s="630"/>
      <c r="AUU1" s="630"/>
      <c r="AUV1" s="630"/>
      <c r="AUW1" s="630"/>
      <c r="AUX1" s="630"/>
      <c r="AUY1" s="630"/>
      <c r="AUZ1" s="630"/>
      <c r="AVA1" s="630"/>
      <c r="AVB1" s="630"/>
      <c r="AVC1" s="630"/>
      <c r="AVD1" s="630"/>
      <c r="AVE1" s="630"/>
      <c r="AVF1" s="630"/>
      <c r="AVG1" s="630"/>
      <c r="AVH1" s="630"/>
      <c r="AVI1" s="630"/>
      <c r="AVJ1" s="630"/>
      <c r="AVK1" s="630"/>
      <c r="AVL1" s="632"/>
      <c r="AVM1" s="631"/>
      <c r="AVN1" s="631"/>
      <c r="AVO1" s="631"/>
      <c r="AVP1" s="631"/>
      <c r="AVQ1" s="631"/>
      <c r="AVR1" s="631"/>
      <c r="AVS1" s="631"/>
      <c r="AVT1" s="631"/>
      <c r="AVU1" s="631"/>
      <c r="AVV1" s="631"/>
      <c r="AVW1" s="631"/>
      <c r="AVX1" s="631"/>
      <c r="AVY1" s="631"/>
      <c r="AVZ1" s="631"/>
      <c r="AWA1" s="631"/>
      <c r="AWB1" s="631"/>
      <c r="AWC1" s="631"/>
      <c r="AWD1" s="630"/>
      <c r="AWE1" s="630"/>
      <c r="AWF1" s="630"/>
      <c r="AWG1" s="630"/>
      <c r="AWH1" s="630"/>
      <c r="AWI1" s="630"/>
      <c r="AWJ1" s="630"/>
      <c r="AWK1" s="630"/>
      <c r="AWL1" s="630"/>
      <c r="AWM1" s="630"/>
      <c r="AWN1" s="630"/>
      <c r="AWO1" s="630"/>
      <c r="AWP1" s="630"/>
      <c r="AWQ1" s="630"/>
      <c r="AWR1" s="630"/>
      <c r="AWS1" s="630"/>
      <c r="AWT1" s="630"/>
      <c r="AWU1" s="630"/>
      <c r="AWV1" s="630"/>
      <c r="AWW1" s="630"/>
      <c r="AWX1" s="630"/>
      <c r="AWY1" s="630"/>
      <c r="AWZ1" s="630"/>
      <c r="AXA1" s="630"/>
      <c r="AXB1" s="630"/>
      <c r="AXC1" s="630"/>
      <c r="AXD1" s="630"/>
      <c r="AXE1" s="630"/>
      <c r="AXF1" s="630"/>
      <c r="AXG1" s="630"/>
      <c r="AXH1" s="630"/>
      <c r="AXI1" s="630"/>
      <c r="AXJ1" s="630"/>
      <c r="AXK1" s="630"/>
      <c r="AXL1" s="630"/>
      <c r="AXM1" s="630"/>
      <c r="AXN1" s="630"/>
      <c r="AXO1" s="630"/>
      <c r="AXP1" s="630"/>
      <c r="AXQ1" s="630"/>
      <c r="AXR1" s="630"/>
      <c r="AXS1" s="630"/>
      <c r="AXT1" s="630"/>
      <c r="AXU1" s="630"/>
      <c r="AXV1" s="630"/>
      <c r="AXW1" s="630"/>
      <c r="AXX1" s="630"/>
      <c r="AXY1" s="630"/>
      <c r="AXZ1" s="630"/>
      <c r="AYA1" s="632"/>
      <c r="AYB1" s="631"/>
      <c r="AYC1" s="631"/>
      <c r="AYD1" s="631"/>
      <c r="AYE1" s="631"/>
      <c r="AYF1" s="631"/>
      <c r="AYG1" s="631"/>
      <c r="AYH1" s="631"/>
      <c r="AYI1" s="631"/>
      <c r="AYJ1" s="631"/>
      <c r="AYK1" s="631"/>
      <c r="AYL1" s="631"/>
      <c r="AYM1" s="631"/>
      <c r="AYN1" s="631"/>
      <c r="AYO1" s="631"/>
      <c r="AYP1" s="631"/>
      <c r="AYQ1" s="631"/>
      <c r="AYR1" s="631"/>
      <c r="AYS1" s="630"/>
      <c r="AYT1" s="630"/>
      <c r="AYU1" s="630"/>
      <c r="AYV1" s="630"/>
      <c r="AYW1" s="630"/>
      <c r="AYX1" s="630"/>
      <c r="AYY1" s="630"/>
      <c r="AYZ1" s="630"/>
      <c r="AZA1" s="630"/>
      <c r="AZB1" s="630"/>
      <c r="AZC1" s="630"/>
      <c r="AZD1" s="630"/>
      <c r="AZE1" s="630"/>
      <c r="AZF1" s="630"/>
      <c r="AZG1" s="630"/>
      <c r="AZH1" s="630"/>
      <c r="AZI1" s="630"/>
      <c r="AZJ1" s="630"/>
      <c r="AZK1" s="630"/>
      <c r="AZL1" s="630"/>
      <c r="AZM1" s="630"/>
      <c r="AZN1" s="630"/>
      <c r="AZO1" s="630"/>
      <c r="AZP1" s="630"/>
      <c r="AZQ1" s="630"/>
      <c r="AZR1" s="630"/>
      <c r="AZS1" s="630"/>
      <c r="AZT1" s="630"/>
      <c r="AZU1" s="630"/>
      <c r="AZV1" s="630"/>
      <c r="AZW1" s="630"/>
      <c r="AZX1" s="630"/>
      <c r="AZY1" s="630"/>
      <c r="AZZ1" s="630"/>
      <c r="BAA1" s="630"/>
      <c r="BAB1" s="630"/>
      <c r="BAC1" s="630"/>
      <c r="BAD1" s="630"/>
      <c r="BAE1" s="630"/>
      <c r="BAF1" s="630"/>
      <c r="BAG1" s="630"/>
      <c r="BAH1" s="630"/>
      <c r="BAI1" s="630"/>
      <c r="BAJ1" s="630"/>
      <c r="BAK1" s="630"/>
      <c r="BAL1" s="630"/>
      <c r="BAM1" s="630"/>
      <c r="BAN1" s="630"/>
      <c r="BAO1" s="630"/>
      <c r="BAP1" s="632"/>
      <c r="BAQ1" s="631"/>
      <c r="BAR1" s="631"/>
      <c r="BAS1" s="631"/>
      <c r="BAT1" s="631"/>
      <c r="BAU1" s="631"/>
      <c r="BAV1" s="631"/>
      <c r="BAW1" s="631"/>
      <c r="BAX1" s="631"/>
      <c r="BAY1" s="631"/>
      <c r="BAZ1" s="631"/>
      <c r="BBA1" s="631"/>
      <c r="BBB1" s="631"/>
      <c r="BBC1" s="631"/>
      <c r="BBD1" s="631"/>
      <c r="BBE1" s="631"/>
      <c r="BBF1" s="631"/>
      <c r="BBG1" s="631"/>
      <c r="BBH1" s="630"/>
      <c r="BBI1" s="630"/>
      <c r="BBJ1" s="630"/>
      <c r="BBK1" s="630"/>
      <c r="BBL1" s="630"/>
      <c r="BBM1" s="630"/>
      <c r="BBN1" s="630"/>
      <c r="BBO1" s="630"/>
      <c r="BBP1" s="630"/>
      <c r="BBQ1" s="630"/>
      <c r="BBR1" s="630"/>
      <c r="BBS1" s="630"/>
      <c r="BBT1" s="630"/>
      <c r="BBU1" s="630"/>
      <c r="BBV1" s="630"/>
      <c r="BBW1" s="630"/>
      <c r="BBX1" s="630"/>
      <c r="BBY1" s="630"/>
      <c r="BBZ1" s="630"/>
      <c r="BCA1" s="630"/>
      <c r="BCB1" s="630"/>
      <c r="BCC1" s="630"/>
      <c r="BCD1" s="630"/>
      <c r="BCE1" s="630"/>
      <c r="BCF1" s="630"/>
      <c r="BCG1" s="630"/>
      <c r="BCH1" s="630"/>
      <c r="BCI1" s="630"/>
      <c r="BCJ1" s="630"/>
      <c r="BCK1" s="630"/>
      <c r="BCL1" s="630"/>
      <c r="BCM1" s="630"/>
      <c r="BCN1" s="630"/>
      <c r="BCO1" s="630"/>
      <c r="BCP1" s="630"/>
      <c r="BCQ1" s="630"/>
      <c r="BCR1" s="630"/>
      <c r="BCS1" s="630"/>
      <c r="BCT1" s="630"/>
      <c r="BCU1" s="630"/>
      <c r="BCV1" s="630"/>
      <c r="BCW1" s="630"/>
      <c r="BCX1" s="630"/>
      <c r="BCY1" s="630"/>
      <c r="BCZ1" s="630"/>
      <c r="BDA1" s="630"/>
      <c r="BDB1" s="630"/>
      <c r="BDC1" s="630"/>
      <c r="BDD1" s="630"/>
      <c r="BDE1" s="632"/>
      <c r="BDF1" s="631"/>
      <c r="BDG1" s="631"/>
      <c r="BDH1" s="631"/>
      <c r="BDI1" s="631"/>
      <c r="BDJ1" s="631"/>
      <c r="BDK1" s="631"/>
      <c r="BDL1" s="631"/>
      <c r="BDM1" s="631"/>
      <c r="BDN1" s="631"/>
      <c r="BDO1" s="631"/>
      <c r="BDP1" s="631"/>
      <c r="BDQ1" s="631"/>
      <c r="BDR1" s="631"/>
      <c r="BDS1" s="631"/>
      <c r="BDT1" s="631"/>
      <c r="BDU1" s="631"/>
      <c r="BDV1" s="631"/>
      <c r="BDW1" s="630"/>
      <c r="BDX1" s="630"/>
      <c r="BDY1" s="630"/>
      <c r="BDZ1" s="630"/>
      <c r="BEA1" s="630"/>
      <c r="BEB1" s="630"/>
      <c r="BEC1" s="630"/>
      <c r="BED1" s="630"/>
      <c r="BEE1" s="630"/>
      <c r="BEF1" s="630"/>
      <c r="BEG1" s="630"/>
      <c r="BEH1" s="630"/>
      <c r="BEI1" s="630"/>
      <c r="BEJ1" s="630"/>
      <c r="BEK1" s="630"/>
      <c r="BEL1" s="630"/>
      <c r="BEM1" s="630"/>
      <c r="BEN1" s="630"/>
      <c r="BEO1" s="630"/>
      <c r="BEP1" s="630"/>
      <c r="BEQ1" s="630"/>
      <c r="BER1" s="630"/>
      <c r="BES1" s="630"/>
      <c r="BET1" s="630"/>
      <c r="BEU1" s="630"/>
      <c r="BEV1" s="630"/>
      <c r="BEW1" s="630"/>
      <c r="BEX1" s="630"/>
      <c r="BEY1" s="630"/>
      <c r="BEZ1" s="630"/>
      <c r="BFA1" s="630"/>
      <c r="BFB1" s="630"/>
      <c r="BFC1" s="630"/>
      <c r="BFD1" s="630"/>
      <c r="BFE1" s="630"/>
      <c r="BFF1" s="630"/>
      <c r="BFG1" s="630"/>
      <c r="BFH1" s="630"/>
      <c r="BFI1" s="630"/>
      <c r="BFJ1" s="630"/>
      <c r="BFK1" s="630"/>
      <c r="BFL1" s="630"/>
      <c r="BFM1" s="630"/>
      <c r="BFN1" s="630"/>
      <c r="BFO1" s="630"/>
      <c r="BFP1" s="630"/>
      <c r="BFQ1" s="630"/>
      <c r="BFR1" s="630"/>
      <c r="BFS1" s="630"/>
      <c r="BFT1" s="632"/>
      <c r="BFU1" s="631"/>
      <c r="BFV1" s="631"/>
      <c r="BFW1" s="631"/>
      <c r="BFX1" s="631"/>
      <c r="BFY1" s="631"/>
      <c r="BFZ1" s="631"/>
      <c r="BGA1" s="631"/>
      <c r="BGB1" s="631"/>
      <c r="BGC1" s="631"/>
      <c r="BGD1" s="631"/>
      <c r="BGE1" s="631"/>
      <c r="BGF1" s="631"/>
      <c r="BGG1" s="631"/>
      <c r="BGH1" s="631"/>
      <c r="BGI1" s="631"/>
      <c r="BGJ1" s="631"/>
      <c r="BGK1" s="631"/>
      <c r="BGL1" s="630"/>
      <c r="BGM1" s="630"/>
      <c r="BGN1" s="630"/>
      <c r="BGO1" s="630"/>
      <c r="BGP1" s="630"/>
      <c r="BGQ1" s="630"/>
      <c r="BGR1" s="630"/>
      <c r="BGS1" s="630"/>
      <c r="BGT1" s="630"/>
      <c r="BGU1" s="630"/>
      <c r="BGV1" s="630"/>
      <c r="BGW1" s="630"/>
      <c r="BGX1" s="630"/>
      <c r="BGY1" s="630"/>
      <c r="BGZ1" s="630"/>
      <c r="BHA1" s="630"/>
      <c r="BHB1" s="630"/>
      <c r="BHC1" s="630"/>
      <c r="BHD1" s="630"/>
      <c r="BHE1" s="630"/>
      <c r="BHF1" s="630"/>
      <c r="BHG1" s="630"/>
      <c r="BHH1" s="630"/>
      <c r="BHI1" s="630"/>
      <c r="BHJ1" s="630"/>
      <c r="BHK1" s="630"/>
      <c r="BHL1" s="630"/>
      <c r="BHM1" s="630"/>
      <c r="BHN1" s="630"/>
      <c r="BHO1" s="630"/>
      <c r="BHP1" s="630"/>
      <c r="BHQ1" s="630"/>
      <c r="BHR1" s="630"/>
      <c r="BHS1" s="630"/>
      <c r="BHT1" s="630"/>
      <c r="BHU1" s="630"/>
      <c r="BHV1" s="630"/>
      <c r="BHW1" s="630"/>
      <c r="BHX1" s="630"/>
      <c r="BHY1" s="630"/>
      <c r="BHZ1" s="630"/>
      <c r="BIA1" s="630"/>
      <c r="BIB1" s="630"/>
      <c r="BIC1" s="630"/>
      <c r="BID1" s="630"/>
      <c r="BIE1" s="630"/>
      <c r="BIF1" s="630"/>
      <c r="BIG1" s="630"/>
      <c r="BIH1" s="630"/>
      <c r="BII1" s="632"/>
      <c r="BIJ1" s="631"/>
      <c r="BIK1" s="631"/>
      <c r="BIL1" s="631"/>
      <c r="BIM1" s="631"/>
      <c r="BIN1" s="631"/>
      <c r="BIO1" s="631"/>
      <c r="BIP1" s="631"/>
      <c r="BIQ1" s="631"/>
      <c r="BIR1" s="631"/>
      <c r="BIS1" s="631"/>
      <c r="BIT1" s="631"/>
      <c r="BIU1" s="631"/>
      <c r="BIV1" s="631"/>
      <c r="BIW1" s="631"/>
      <c r="BIX1" s="631"/>
      <c r="BIY1" s="631"/>
      <c r="BIZ1" s="631"/>
      <c r="BJA1" s="630"/>
      <c r="BJB1" s="630"/>
      <c r="BJC1" s="630"/>
      <c r="BJD1" s="630"/>
      <c r="BJE1" s="630"/>
      <c r="BJF1" s="630"/>
      <c r="BJG1" s="630"/>
      <c r="BJH1" s="630"/>
      <c r="BJI1" s="630"/>
      <c r="BJJ1" s="630"/>
      <c r="BJK1" s="630"/>
      <c r="BJL1" s="630"/>
      <c r="BJM1" s="630"/>
      <c r="BJN1" s="630"/>
      <c r="BJO1" s="630"/>
      <c r="BJP1" s="630"/>
      <c r="BJQ1" s="630"/>
      <c r="BJR1" s="630"/>
      <c r="BJS1" s="630"/>
      <c r="BJT1" s="630"/>
      <c r="BJU1" s="630"/>
      <c r="BJV1" s="630"/>
      <c r="BJW1" s="630"/>
      <c r="BJX1" s="630"/>
      <c r="BJY1" s="630"/>
      <c r="BJZ1" s="630"/>
      <c r="BKA1" s="630"/>
      <c r="BKB1" s="630"/>
      <c r="BKC1" s="630"/>
      <c r="BKD1" s="630"/>
      <c r="BKE1" s="630"/>
      <c r="BKF1" s="630"/>
      <c r="BKG1" s="630"/>
      <c r="BKH1" s="630"/>
      <c r="BKI1" s="630"/>
      <c r="BKJ1" s="630"/>
      <c r="BKK1" s="630"/>
      <c r="BKL1" s="630"/>
      <c r="BKM1" s="630"/>
      <c r="BKN1" s="630"/>
      <c r="BKO1" s="630"/>
      <c r="BKP1" s="630"/>
      <c r="BKQ1" s="630"/>
      <c r="BKR1" s="630"/>
      <c r="BKS1" s="630"/>
      <c r="BKT1" s="630"/>
      <c r="BKU1" s="630"/>
      <c r="BKV1" s="630"/>
      <c r="BKW1" s="630"/>
      <c r="BKX1" s="632"/>
      <c r="BKY1" s="631"/>
      <c r="BKZ1" s="631"/>
      <c r="BLA1" s="631"/>
      <c r="BLB1" s="631"/>
      <c r="BLC1" s="631"/>
      <c r="BLD1" s="631"/>
      <c r="BLE1" s="631"/>
      <c r="BLF1" s="631"/>
      <c r="BLG1" s="631"/>
      <c r="BLH1" s="631"/>
      <c r="BLI1" s="631"/>
      <c r="BLJ1" s="631"/>
      <c r="BLK1" s="631"/>
      <c r="BLL1" s="631"/>
      <c r="BLM1" s="631"/>
      <c r="BLN1" s="631"/>
      <c r="BLO1" s="631"/>
      <c r="BLP1" s="630"/>
      <c r="BLQ1" s="630"/>
      <c r="BLR1" s="630"/>
      <c r="BLS1" s="630"/>
      <c r="BLT1" s="630"/>
      <c r="BLU1" s="630"/>
      <c r="BLV1" s="630"/>
      <c r="BLW1" s="630"/>
      <c r="BLX1" s="630"/>
      <c r="BLY1" s="630"/>
      <c r="BLZ1" s="630"/>
      <c r="BMA1" s="630"/>
      <c r="BMB1" s="630"/>
      <c r="BMC1" s="630"/>
      <c r="BMD1" s="630"/>
      <c r="BME1" s="630"/>
      <c r="BMF1" s="630"/>
      <c r="BMG1" s="630"/>
      <c r="BMH1" s="630"/>
      <c r="BMI1" s="630"/>
      <c r="BMJ1" s="630"/>
      <c r="BMK1" s="630"/>
      <c r="BML1" s="630"/>
      <c r="BMM1" s="630"/>
      <c r="BMN1" s="630"/>
      <c r="BMO1" s="630"/>
      <c r="BMP1" s="630"/>
      <c r="BMQ1" s="630"/>
      <c r="BMR1" s="630"/>
      <c r="BMS1" s="630"/>
      <c r="BMT1" s="630"/>
      <c r="BMU1" s="630"/>
      <c r="BMV1" s="630"/>
      <c r="BMW1" s="630"/>
      <c r="BMX1" s="630"/>
      <c r="BMY1" s="630"/>
      <c r="BMZ1" s="630"/>
      <c r="BNA1" s="630"/>
      <c r="BNB1" s="630"/>
      <c r="BNC1" s="630"/>
      <c r="BND1" s="630"/>
      <c r="BNE1" s="630"/>
      <c r="BNF1" s="630"/>
      <c r="BNG1" s="630"/>
      <c r="BNH1" s="630"/>
      <c r="BNI1" s="630"/>
      <c r="BNJ1" s="630"/>
      <c r="BNK1" s="630"/>
      <c r="BNL1" s="630"/>
      <c r="BNM1" s="632"/>
      <c r="BNN1" s="631"/>
      <c r="BNO1" s="631"/>
      <c r="BNP1" s="631"/>
      <c r="BNQ1" s="631"/>
      <c r="BNR1" s="631"/>
      <c r="BNS1" s="631"/>
      <c r="BNT1" s="631"/>
      <c r="BNU1" s="631"/>
      <c r="BNV1" s="631"/>
      <c r="BNW1" s="631"/>
      <c r="BNX1" s="631"/>
      <c r="BNY1" s="631"/>
      <c r="BNZ1" s="631"/>
      <c r="BOA1" s="631"/>
      <c r="BOB1" s="631"/>
      <c r="BOC1" s="631"/>
      <c r="BOD1" s="631"/>
      <c r="BOE1" s="630"/>
      <c r="BOF1" s="630"/>
      <c r="BOG1" s="630"/>
      <c r="BOH1" s="630"/>
      <c r="BOI1" s="630"/>
      <c r="BOJ1" s="630"/>
      <c r="BOK1" s="630"/>
      <c r="BOL1" s="630"/>
      <c r="BOM1" s="630"/>
      <c r="BON1" s="630"/>
      <c r="BOO1" s="630"/>
      <c r="BOP1" s="630"/>
      <c r="BOQ1" s="630"/>
      <c r="BOR1" s="630"/>
      <c r="BOS1" s="630"/>
      <c r="BOT1" s="630"/>
      <c r="BOU1" s="630"/>
      <c r="BOV1" s="630"/>
      <c r="BOW1" s="630"/>
      <c r="BOX1" s="630"/>
      <c r="BOY1" s="630"/>
      <c r="BOZ1" s="630"/>
      <c r="BPA1" s="630"/>
      <c r="BPB1" s="630"/>
      <c r="BPC1" s="630"/>
      <c r="BPD1" s="630"/>
      <c r="BPE1" s="630"/>
      <c r="BPF1" s="630"/>
      <c r="BPG1" s="630"/>
      <c r="BPH1" s="630"/>
      <c r="BPI1" s="630"/>
      <c r="BPJ1" s="630"/>
      <c r="BPK1" s="630"/>
      <c r="BPL1" s="630"/>
      <c r="BPM1" s="630"/>
      <c r="BPN1" s="630"/>
      <c r="BPO1" s="630"/>
      <c r="BPP1" s="630"/>
      <c r="BPQ1" s="630"/>
      <c r="BPR1" s="630"/>
      <c r="BPS1" s="630"/>
      <c r="BPT1" s="630"/>
      <c r="BPU1" s="630"/>
      <c r="BPV1" s="630"/>
      <c r="BPW1" s="630"/>
      <c r="BPX1" s="630"/>
      <c r="BPY1" s="630"/>
      <c r="BPZ1" s="630"/>
      <c r="BQA1" s="630"/>
      <c r="BQB1" s="632"/>
      <c r="BQC1" s="631"/>
      <c r="BQD1" s="631"/>
      <c r="BQE1" s="631"/>
      <c r="BQF1" s="631"/>
      <c r="BQG1" s="631"/>
      <c r="BQH1" s="631"/>
      <c r="BQI1" s="631"/>
      <c r="BQJ1" s="631"/>
      <c r="BQK1" s="631"/>
      <c r="BQL1" s="631"/>
      <c r="BQM1" s="631"/>
      <c r="BQN1" s="631"/>
      <c r="BQO1" s="631"/>
      <c r="BQP1" s="631"/>
      <c r="BQQ1" s="631"/>
      <c r="BQR1" s="631"/>
      <c r="BQS1" s="631"/>
      <c r="BQT1" s="630"/>
      <c r="BQU1" s="630"/>
      <c r="BQV1" s="630"/>
      <c r="BQW1" s="630"/>
      <c r="BQX1" s="630"/>
      <c r="BQY1" s="630"/>
      <c r="BQZ1" s="630"/>
      <c r="BRA1" s="630"/>
      <c r="BRB1" s="630"/>
      <c r="BRC1" s="630"/>
      <c r="BRD1" s="630"/>
      <c r="BRE1" s="630"/>
      <c r="BRF1" s="630"/>
      <c r="BRG1" s="630"/>
      <c r="BRH1" s="630"/>
      <c r="BRI1" s="630"/>
      <c r="BRJ1" s="630"/>
      <c r="BRK1" s="630"/>
      <c r="BRL1" s="630"/>
      <c r="BRM1" s="630"/>
      <c r="BRN1" s="630"/>
      <c r="BRO1" s="630"/>
      <c r="BRP1" s="630"/>
      <c r="BRQ1" s="630"/>
      <c r="BRR1" s="630"/>
      <c r="BRS1" s="630"/>
      <c r="BRT1" s="630"/>
      <c r="BRU1" s="630"/>
      <c r="BRV1" s="630"/>
      <c r="BRW1" s="630"/>
      <c r="BRX1" s="630"/>
      <c r="BRY1" s="630"/>
      <c r="BRZ1" s="630"/>
      <c r="BSA1" s="630"/>
      <c r="BSB1" s="630"/>
      <c r="BSC1" s="630"/>
      <c r="BSD1" s="630"/>
      <c r="BSE1" s="630"/>
      <c r="BSF1" s="630"/>
      <c r="BSG1" s="630"/>
      <c r="BSH1" s="630"/>
      <c r="BSI1" s="630"/>
      <c r="BSJ1" s="630"/>
      <c r="BSK1" s="630"/>
      <c r="BSL1" s="630"/>
      <c r="BSM1" s="630"/>
      <c r="BSN1" s="630"/>
      <c r="BSO1" s="630"/>
      <c r="BSP1" s="630"/>
      <c r="BSQ1" s="632"/>
      <c r="BSR1" s="631"/>
      <c r="BSS1" s="631"/>
      <c r="BST1" s="631"/>
      <c r="BSU1" s="631"/>
      <c r="BSV1" s="631"/>
      <c r="BSW1" s="631"/>
      <c r="BSX1" s="631"/>
      <c r="BSY1" s="631"/>
      <c r="BSZ1" s="631"/>
      <c r="BTA1" s="631"/>
      <c r="BTB1" s="631"/>
      <c r="BTC1" s="631"/>
      <c r="BTD1" s="631"/>
      <c r="BTE1" s="631"/>
      <c r="BTF1" s="631"/>
      <c r="BTG1" s="631"/>
      <c r="BTH1" s="631"/>
      <c r="BTI1" s="630"/>
      <c r="BTJ1" s="630"/>
      <c r="BTK1" s="630"/>
      <c r="BTL1" s="630"/>
      <c r="BTM1" s="630"/>
      <c r="BTN1" s="630"/>
      <c r="BTO1" s="630"/>
      <c r="BTP1" s="630"/>
      <c r="BTQ1" s="630"/>
      <c r="BTR1" s="630"/>
      <c r="BTS1" s="630"/>
      <c r="BTT1" s="630"/>
      <c r="BTU1" s="630"/>
      <c r="BTV1" s="630"/>
      <c r="BTW1" s="630"/>
      <c r="BTX1" s="630"/>
      <c r="BTY1" s="630"/>
      <c r="BTZ1" s="630"/>
      <c r="BUA1" s="630"/>
      <c r="BUB1" s="630"/>
      <c r="BUC1" s="630"/>
      <c r="BUD1" s="630"/>
      <c r="BUE1" s="630"/>
      <c r="BUF1" s="630"/>
      <c r="BUG1" s="630"/>
      <c r="BUH1" s="630"/>
      <c r="BUI1" s="630"/>
      <c r="BUJ1" s="630"/>
      <c r="BUK1" s="630"/>
      <c r="BUL1" s="630"/>
      <c r="BUM1" s="630"/>
      <c r="BUN1" s="630"/>
      <c r="BUO1" s="630"/>
      <c r="BUP1" s="630"/>
      <c r="BUQ1" s="630"/>
      <c r="BUR1" s="630"/>
      <c r="BUS1" s="630"/>
      <c r="BUT1" s="630"/>
      <c r="BUU1" s="630"/>
      <c r="BUV1" s="630"/>
      <c r="BUW1" s="630"/>
      <c r="BUX1" s="630"/>
      <c r="BUY1" s="630"/>
      <c r="BUZ1" s="630"/>
      <c r="BVA1" s="630"/>
      <c r="BVB1" s="630"/>
      <c r="BVC1" s="630"/>
      <c r="BVD1" s="630"/>
      <c r="BVE1" s="630"/>
      <c r="BVF1" s="632"/>
      <c r="BVG1" s="631"/>
      <c r="BVH1" s="631"/>
      <c r="BVI1" s="631"/>
      <c r="BVJ1" s="631"/>
      <c r="BVK1" s="631"/>
      <c r="BVL1" s="631"/>
      <c r="BVM1" s="631"/>
      <c r="BVN1" s="631"/>
      <c r="BVO1" s="631"/>
      <c r="BVP1" s="631"/>
      <c r="BVQ1" s="631"/>
      <c r="BVR1" s="631"/>
      <c r="BVS1" s="631"/>
      <c r="BVT1" s="631"/>
      <c r="BVU1" s="631"/>
      <c r="BVV1" s="631"/>
      <c r="BVW1" s="631"/>
      <c r="BVX1" s="630"/>
      <c r="BVY1" s="630"/>
      <c r="BVZ1" s="630"/>
      <c r="BWA1" s="630"/>
      <c r="BWB1" s="630"/>
      <c r="BWC1" s="630"/>
      <c r="BWD1" s="630"/>
      <c r="BWE1" s="630"/>
      <c r="BWF1" s="630"/>
      <c r="BWG1" s="630"/>
      <c r="BWH1" s="630"/>
      <c r="BWI1" s="630"/>
      <c r="BWJ1" s="630"/>
      <c r="BWK1" s="630"/>
      <c r="BWL1" s="630"/>
      <c r="BWM1" s="630"/>
      <c r="BWN1" s="630"/>
      <c r="BWO1" s="630"/>
      <c r="BWP1" s="630"/>
      <c r="BWQ1" s="630"/>
      <c r="BWR1" s="630"/>
      <c r="BWS1" s="630"/>
      <c r="BWT1" s="630"/>
      <c r="BWU1" s="630"/>
      <c r="BWV1" s="630"/>
      <c r="BWW1" s="630"/>
      <c r="BWX1" s="630"/>
      <c r="BWY1" s="630"/>
      <c r="BWZ1" s="630"/>
      <c r="BXA1" s="630"/>
      <c r="BXB1" s="630"/>
      <c r="BXC1" s="630"/>
      <c r="BXD1" s="630"/>
      <c r="BXE1" s="630"/>
      <c r="BXF1" s="630"/>
      <c r="BXG1" s="630"/>
      <c r="BXH1" s="630"/>
      <c r="BXI1" s="630"/>
      <c r="BXJ1" s="630"/>
      <c r="BXK1" s="630"/>
      <c r="BXL1" s="630"/>
      <c r="BXM1" s="630"/>
      <c r="BXN1" s="630"/>
      <c r="BXO1" s="630"/>
      <c r="BXP1" s="630"/>
      <c r="BXQ1" s="630"/>
      <c r="BXR1" s="630"/>
      <c r="BXS1" s="630"/>
      <c r="BXT1" s="630"/>
      <c r="BXU1" s="632"/>
      <c r="BXV1" s="631"/>
      <c r="BXW1" s="631"/>
      <c r="BXX1" s="631"/>
      <c r="BXY1" s="631"/>
      <c r="BXZ1" s="631"/>
      <c r="BYA1" s="631"/>
      <c r="BYB1" s="631"/>
      <c r="BYC1" s="631"/>
      <c r="BYD1" s="631"/>
      <c r="BYE1" s="631"/>
      <c r="BYF1" s="631"/>
      <c r="BYG1" s="631"/>
      <c r="BYH1" s="631"/>
      <c r="BYI1" s="631"/>
      <c r="BYJ1" s="631"/>
      <c r="BYK1" s="631"/>
      <c r="BYL1" s="631"/>
      <c r="BYM1" s="630"/>
      <c r="BYN1" s="630"/>
      <c r="BYO1" s="630"/>
      <c r="BYP1" s="630"/>
      <c r="BYQ1" s="630"/>
      <c r="BYR1" s="630"/>
      <c r="BYS1" s="630"/>
      <c r="BYT1" s="630"/>
      <c r="BYU1" s="630"/>
      <c r="BYV1" s="630"/>
      <c r="BYW1" s="630"/>
      <c r="BYX1" s="630"/>
      <c r="BYY1" s="630"/>
      <c r="BYZ1" s="630"/>
      <c r="BZA1" s="630"/>
      <c r="BZB1" s="630"/>
      <c r="BZC1" s="630"/>
      <c r="BZD1" s="630"/>
      <c r="BZE1" s="630"/>
      <c r="BZF1" s="630"/>
      <c r="BZG1" s="630"/>
      <c r="BZH1" s="630"/>
      <c r="BZI1" s="630"/>
      <c r="BZJ1" s="630"/>
      <c r="BZK1" s="630"/>
      <c r="BZL1" s="630"/>
      <c r="BZM1" s="630"/>
      <c r="BZN1" s="630"/>
      <c r="BZO1" s="630"/>
      <c r="BZP1" s="630"/>
      <c r="BZQ1" s="630"/>
      <c r="BZR1" s="630"/>
      <c r="BZS1" s="630"/>
      <c r="BZT1" s="630"/>
      <c r="BZU1" s="630"/>
      <c r="BZV1" s="630"/>
      <c r="BZW1" s="630"/>
      <c r="BZX1" s="630"/>
      <c r="BZY1" s="630"/>
      <c r="BZZ1" s="630"/>
      <c r="CAA1" s="630"/>
      <c r="CAB1" s="630"/>
      <c r="CAC1" s="630"/>
      <c r="CAD1" s="630"/>
      <c r="CAE1" s="630"/>
      <c r="CAF1" s="630"/>
      <c r="CAG1" s="630"/>
      <c r="CAH1" s="630"/>
      <c r="CAI1" s="630"/>
      <c r="CAJ1" s="632"/>
      <c r="CAK1" s="631"/>
      <c r="CAL1" s="631"/>
      <c r="CAM1" s="631"/>
      <c r="CAN1" s="631"/>
      <c r="CAO1" s="631"/>
      <c r="CAP1" s="631"/>
      <c r="CAQ1" s="631"/>
      <c r="CAR1" s="631"/>
      <c r="CAS1" s="631"/>
      <c r="CAT1" s="631"/>
      <c r="CAU1" s="631"/>
      <c r="CAV1" s="631"/>
      <c r="CAW1" s="631"/>
      <c r="CAX1" s="631"/>
      <c r="CAY1" s="631"/>
      <c r="CAZ1" s="631"/>
      <c r="CBA1" s="631"/>
      <c r="CBB1" s="630"/>
      <c r="CBC1" s="630"/>
      <c r="CBD1" s="630"/>
      <c r="CBE1" s="630"/>
      <c r="CBF1" s="630"/>
      <c r="CBG1" s="630"/>
      <c r="CBH1" s="630"/>
      <c r="CBI1" s="630"/>
      <c r="CBJ1" s="630"/>
      <c r="CBK1" s="630"/>
      <c r="CBL1" s="630"/>
      <c r="CBM1" s="630"/>
      <c r="CBN1" s="630"/>
      <c r="CBO1" s="630"/>
      <c r="CBP1" s="630"/>
      <c r="CBQ1" s="630"/>
      <c r="CBR1" s="630"/>
      <c r="CBS1" s="630"/>
      <c r="CBT1" s="630"/>
      <c r="CBU1" s="630"/>
      <c r="CBV1" s="630"/>
      <c r="CBW1" s="630"/>
      <c r="CBX1" s="630"/>
      <c r="CBY1" s="630"/>
      <c r="CBZ1" s="630"/>
      <c r="CCA1" s="630"/>
      <c r="CCB1" s="630"/>
      <c r="CCC1" s="630"/>
      <c r="CCD1" s="630"/>
      <c r="CCE1" s="630"/>
      <c r="CCF1" s="630"/>
      <c r="CCG1" s="630"/>
      <c r="CCH1" s="630"/>
      <c r="CCI1" s="630"/>
      <c r="CCJ1" s="630"/>
      <c r="CCK1" s="630"/>
      <c r="CCL1" s="630"/>
      <c r="CCM1" s="630"/>
      <c r="CCN1" s="630"/>
      <c r="CCO1" s="630"/>
      <c r="CCP1" s="630"/>
      <c r="CCQ1" s="630"/>
      <c r="CCR1" s="630"/>
      <c r="CCS1" s="630"/>
      <c r="CCT1" s="630"/>
      <c r="CCU1" s="630"/>
      <c r="CCV1" s="630"/>
      <c r="CCW1" s="630"/>
      <c r="CCX1" s="630"/>
      <c r="CCY1" s="632"/>
      <c r="CCZ1" s="631"/>
      <c r="CDA1" s="631"/>
      <c r="CDB1" s="631"/>
      <c r="CDC1" s="631"/>
      <c r="CDD1" s="631"/>
      <c r="CDE1" s="631"/>
      <c r="CDF1" s="631"/>
      <c r="CDG1" s="631"/>
      <c r="CDH1" s="631"/>
      <c r="CDI1" s="631"/>
      <c r="CDJ1" s="631"/>
      <c r="CDK1" s="631"/>
      <c r="CDL1" s="631"/>
      <c r="CDM1" s="631"/>
      <c r="CDN1" s="631"/>
      <c r="CDO1" s="631"/>
      <c r="CDP1" s="631"/>
      <c r="CDQ1" s="630"/>
      <c r="CDR1" s="630"/>
      <c r="CDS1" s="630"/>
      <c r="CDT1" s="630"/>
      <c r="CDU1" s="630"/>
      <c r="CDV1" s="630"/>
      <c r="CDW1" s="630"/>
      <c r="CDX1" s="630"/>
      <c r="CDY1" s="630"/>
      <c r="CDZ1" s="630"/>
      <c r="CEA1" s="630"/>
      <c r="CEB1" s="630"/>
      <c r="CEC1" s="630"/>
      <c r="CED1" s="630"/>
      <c r="CEE1" s="630"/>
      <c r="CEF1" s="630"/>
      <c r="CEG1" s="630"/>
      <c r="CEH1" s="630"/>
      <c r="CEI1" s="630"/>
      <c r="CEJ1" s="630"/>
      <c r="CEK1" s="630"/>
      <c r="CEL1" s="630"/>
      <c r="CEM1" s="630"/>
      <c r="CEN1" s="630"/>
      <c r="CEO1" s="630"/>
      <c r="CEP1" s="630"/>
      <c r="CEQ1" s="630"/>
      <c r="CER1" s="630"/>
      <c r="CES1" s="630"/>
      <c r="CET1" s="630"/>
      <c r="CEU1" s="630"/>
      <c r="CEV1" s="630"/>
      <c r="CEW1" s="630"/>
      <c r="CEX1" s="630"/>
      <c r="CEY1" s="630"/>
      <c r="CEZ1" s="630"/>
      <c r="CFA1" s="630"/>
      <c r="CFB1" s="630"/>
      <c r="CFC1" s="630"/>
      <c r="CFD1" s="630"/>
      <c r="CFE1" s="630"/>
      <c r="CFF1" s="630"/>
      <c r="CFG1" s="630"/>
      <c r="CFH1" s="630"/>
      <c r="CFI1" s="630"/>
      <c r="CFJ1" s="630"/>
      <c r="CFK1" s="630"/>
      <c r="CFL1" s="630"/>
      <c r="CFM1" s="630"/>
      <c r="CFN1" s="632"/>
      <c r="CFO1" s="631"/>
      <c r="CFP1" s="631"/>
      <c r="CFQ1" s="631"/>
      <c r="CFR1" s="631"/>
      <c r="CFS1" s="631"/>
      <c r="CFT1" s="631"/>
      <c r="CFU1" s="631"/>
      <c r="CFV1" s="631"/>
      <c r="CFW1" s="631"/>
      <c r="CFX1" s="631"/>
      <c r="CFY1" s="631"/>
      <c r="CFZ1" s="631"/>
      <c r="CGA1" s="631"/>
      <c r="CGB1" s="631"/>
      <c r="CGC1" s="631"/>
      <c r="CGD1" s="631"/>
      <c r="CGE1" s="631"/>
      <c r="CGF1" s="630"/>
      <c r="CGG1" s="630"/>
      <c r="CGH1" s="630"/>
      <c r="CGI1" s="630"/>
      <c r="CGJ1" s="630"/>
      <c r="CGK1" s="630"/>
      <c r="CGL1" s="630"/>
      <c r="CGM1" s="630"/>
      <c r="CGN1" s="630"/>
      <c r="CGO1" s="630"/>
      <c r="CGP1" s="630"/>
      <c r="CGQ1" s="630"/>
      <c r="CGR1" s="630"/>
      <c r="CGS1" s="630"/>
      <c r="CGT1" s="630"/>
      <c r="CGU1" s="630"/>
      <c r="CGV1" s="630"/>
      <c r="CGW1" s="630"/>
      <c r="CGX1" s="630"/>
      <c r="CGY1" s="630"/>
      <c r="CGZ1" s="630"/>
      <c r="CHA1" s="630"/>
      <c r="CHB1" s="630"/>
      <c r="CHC1" s="630"/>
      <c r="CHD1" s="630"/>
      <c r="CHE1" s="630"/>
      <c r="CHF1" s="630"/>
      <c r="CHG1" s="630"/>
      <c r="CHH1" s="630"/>
      <c r="CHI1" s="630"/>
      <c r="CHJ1" s="630"/>
      <c r="CHK1" s="630"/>
      <c r="CHL1" s="630"/>
      <c r="CHM1" s="630"/>
      <c r="CHN1" s="630"/>
      <c r="CHO1" s="630"/>
      <c r="CHP1" s="630"/>
      <c r="CHQ1" s="630"/>
      <c r="CHR1" s="630"/>
      <c r="CHS1" s="630"/>
      <c r="CHT1" s="630"/>
      <c r="CHU1" s="630"/>
      <c r="CHV1" s="630"/>
      <c r="CHW1" s="630"/>
      <c r="CHX1" s="630"/>
      <c r="CHY1" s="630"/>
      <c r="CHZ1" s="630"/>
      <c r="CIA1" s="630"/>
      <c r="CIB1" s="630"/>
      <c r="CIC1" s="632"/>
      <c r="CID1" s="631"/>
      <c r="CIE1" s="631"/>
      <c r="CIF1" s="631"/>
      <c r="CIG1" s="631"/>
      <c r="CIH1" s="631"/>
      <c r="CII1" s="631"/>
      <c r="CIJ1" s="631"/>
      <c r="CIK1" s="631"/>
      <c r="CIL1" s="631"/>
      <c r="CIM1" s="631"/>
      <c r="CIN1" s="631"/>
      <c r="CIO1" s="631"/>
      <c r="CIP1" s="631"/>
      <c r="CIQ1" s="631"/>
      <c r="CIR1" s="631"/>
      <c r="CIS1" s="631"/>
      <c r="CIT1" s="631"/>
      <c r="CIU1" s="630"/>
      <c r="CIV1" s="630"/>
      <c r="CIW1" s="630"/>
      <c r="CIX1" s="630"/>
      <c r="CIY1" s="630"/>
      <c r="CIZ1" s="630"/>
      <c r="CJA1" s="630"/>
      <c r="CJB1" s="630"/>
      <c r="CJC1" s="630"/>
      <c r="CJD1" s="630"/>
      <c r="CJE1" s="630"/>
      <c r="CJF1" s="630"/>
      <c r="CJG1" s="630"/>
      <c r="CJH1" s="630"/>
      <c r="CJI1" s="630"/>
      <c r="CJJ1" s="630"/>
      <c r="CJK1" s="630"/>
      <c r="CJL1" s="630"/>
      <c r="CJM1" s="630"/>
      <c r="CJN1" s="630"/>
      <c r="CJO1" s="630"/>
      <c r="CJP1" s="630"/>
      <c r="CJQ1" s="630"/>
      <c r="CJR1" s="630"/>
      <c r="CJS1" s="630"/>
      <c r="CJT1" s="630"/>
      <c r="CJU1" s="630"/>
      <c r="CJV1" s="630"/>
      <c r="CJW1" s="630"/>
      <c r="CJX1" s="630"/>
      <c r="CJY1" s="630"/>
      <c r="CJZ1" s="630"/>
      <c r="CKA1" s="630"/>
      <c r="CKB1" s="630"/>
      <c r="CKC1" s="630"/>
      <c r="CKD1" s="630"/>
      <c r="CKE1" s="630"/>
      <c r="CKF1" s="630"/>
      <c r="CKG1" s="630"/>
      <c r="CKH1" s="630"/>
      <c r="CKI1" s="630"/>
      <c r="CKJ1" s="630"/>
      <c r="CKK1" s="630"/>
      <c r="CKL1" s="630"/>
      <c r="CKM1" s="630"/>
      <c r="CKN1" s="630"/>
      <c r="CKO1" s="630"/>
      <c r="CKP1" s="630"/>
      <c r="CKQ1" s="630"/>
      <c r="CKR1" s="632"/>
      <c r="CKS1" s="631"/>
      <c r="CKT1" s="631"/>
      <c r="CKU1" s="631"/>
      <c r="CKV1" s="631"/>
      <c r="CKW1" s="631"/>
      <c r="CKX1" s="631"/>
      <c r="CKY1" s="631"/>
      <c r="CKZ1" s="631"/>
      <c r="CLA1" s="631"/>
      <c r="CLB1" s="631"/>
      <c r="CLC1" s="631"/>
      <c r="CLD1" s="631"/>
      <c r="CLE1" s="631"/>
      <c r="CLF1" s="631"/>
      <c r="CLG1" s="631"/>
      <c r="CLH1" s="631"/>
      <c r="CLI1" s="631"/>
      <c r="CLJ1" s="630"/>
      <c r="CLK1" s="630"/>
      <c r="CLL1" s="630"/>
      <c r="CLM1" s="630"/>
      <c r="CLN1" s="630"/>
      <c r="CLO1" s="630"/>
      <c r="CLP1" s="630"/>
      <c r="CLQ1" s="630"/>
      <c r="CLR1" s="630"/>
      <c r="CLS1" s="630"/>
      <c r="CLT1" s="630"/>
      <c r="CLU1" s="630"/>
      <c r="CLV1" s="630"/>
      <c r="CLW1" s="630"/>
      <c r="CLX1" s="630"/>
      <c r="CLY1" s="630"/>
      <c r="CLZ1" s="630"/>
      <c r="CMA1" s="630"/>
      <c r="CMB1" s="630"/>
      <c r="CMC1" s="630"/>
      <c r="CMD1" s="630"/>
      <c r="CME1" s="630"/>
      <c r="CMF1" s="630"/>
      <c r="CMG1" s="630"/>
      <c r="CMH1" s="630"/>
      <c r="CMI1" s="630"/>
      <c r="CMJ1" s="630"/>
      <c r="CMK1" s="630"/>
      <c r="CML1" s="630"/>
      <c r="CMM1" s="630"/>
      <c r="CMN1" s="630"/>
      <c r="CMO1" s="630"/>
      <c r="CMP1" s="630"/>
      <c r="CMQ1" s="630"/>
      <c r="CMR1" s="630"/>
      <c r="CMS1" s="630"/>
      <c r="CMT1" s="630"/>
      <c r="CMU1" s="630"/>
      <c r="CMV1" s="630"/>
      <c r="CMW1" s="630"/>
      <c r="CMX1" s="630"/>
      <c r="CMY1" s="630"/>
      <c r="CMZ1" s="630"/>
      <c r="CNA1" s="630"/>
      <c r="CNB1" s="630"/>
      <c r="CNC1" s="630"/>
      <c r="CND1" s="630"/>
      <c r="CNE1" s="630"/>
      <c r="CNF1" s="630"/>
      <c r="CNG1" s="632"/>
      <c r="CNH1" s="631"/>
      <c r="CNI1" s="631"/>
      <c r="CNJ1" s="631"/>
      <c r="CNK1" s="631"/>
      <c r="CNL1" s="631"/>
      <c r="CNM1" s="631"/>
      <c r="CNN1" s="631"/>
      <c r="CNO1" s="631"/>
      <c r="CNP1" s="631"/>
      <c r="CNQ1" s="631"/>
      <c r="CNR1" s="631"/>
      <c r="CNS1" s="631"/>
      <c r="CNT1" s="631"/>
      <c r="CNU1" s="631"/>
      <c r="CNV1" s="631"/>
      <c r="CNW1" s="631"/>
      <c r="CNX1" s="631"/>
      <c r="CNY1" s="630"/>
      <c r="CNZ1" s="630"/>
      <c r="COA1" s="630"/>
      <c r="COB1" s="630"/>
      <c r="COC1" s="630"/>
      <c r="COD1" s="630"/>
      <c r="COE1" s="630"/>
      <c r="COF1" s="630"/>
      <c r="COG1" s="630"/>
      <c r="COH1" s="630"/>
      <c r="COI1" s="630"/>
      <c r="COJ1" s="630"/>
      <c r="COK1" s="630"/>
      <c r="COL1" s="630"/>
      <c r="COM1" s="630"/>
      <c r="CON1" s="630"/>
      <c r="COO1" s="630"/>
      <c r="COP1" s="630"/>
      <c r="COQ1" s="630"/>
      <c r="COR1" s="630"/>
      <c r="COS1" s="630"/>
      <c r="COT1" s="630"/>
      <c r="COU1" s="630"/>
      <c r="COV1" s="630"/>
      <c r="COW1" s="630"/>
      <c r="COX1" s="630"/>
      <c r="COY1" s="630"/>
      <c r="COZ1" s="630"/>
      <c r="CPA1" s="630"/>
      <c r="CPB1" s="630"/>
      <c r="CPC1" s="630"/>
      <c r="CPD1" s="630"/>
      <c r="CPE1" s="630"/>
      <c r="CPF1" s="630"/>
      <c r="CPG1" s="630"/>
      <c r="CPH1" s="630"/>
      <c r="CPI1" s="630"/>
      <c r="CPJ1" s="630"/>
      <c r="CPK1" s="630"/>
      <c r="CPL1" s="630"/>
      <c r="CPM1" s="630"/>
      <c r="CPN1" s="630"/>
      <c r="CPO1" s="630"/>
      <c r="CPP1" s="630"/>
      <c r="CPQ1" s="630"/>
      <c r="CPR1" s="630"/>
      <c r="CPS1" s="630"/>
      <c r="CPT1" s="630"/>
      <c r="CPU1" s="630"/>
      <c r="CPV1" s="632"/>
      <c r="CPW1" s="631"/>
      <c r="CPX1" s="631"/>
      <c r="CPY1" s="631"/>
      <c r="CPZ1" s="631"/>
      <c r="CQA1" s="631"/>
      <c r="CQB1" s="631"/>
      <c r="CQC1" s="631"/>
      <c r="CQD1" s="631"/>
      <c r="CQE1" s="631"/>
      <c r="CQF1" s="631"/>
      <c r="CQG1" s="631"/>
      <c r="CQH1" s="631"/>
      <c r="CQI1" s="631"/>
      <c r="CQJ1" s="631"/>
      <c r="CQK1" s="631"/>
      <c r="CQL1" s="631"/>
      <c r="CQM1" s="631"/>
      <c r="CQN1" s="630"/>
      <c r="CQO1" s="630"/>
      <c r="CQP1" s="630"/>
      <c r="CQQ1" s="630"/>
      <c r="CQR1" s="630"/>
      <c r="CQS1" s="630"/>
      <c r="CQT1" s="630"/>
      <c r="CQU1" s="630"/>
      <c r="CQV1" s="630"/>
      <c r="CQW1" s="630"/>
      <c r="CQX1" s="630"/>
      <c r="CQY1" s="630"/>
      <c r="CQZ1" s="630"/>
      <c r="CRA1" s="630"/>
      <c r="CRB1" s="630"/>
      <c r="CRC1" s="630"/>
      <c r="CRD1" s="630"/>
      <c r="CRE1" s="630"/>
      <c r="CRF1" s="630"/>
      <c r="CRG1" s="630"/>
      <c r="CRH1" s="630"/>
      <c r="CRI1" s="630"/>
      <c r="CRJ1" s="630"/>
      <c r="CRK1" s="630"/>
      <c r="CRL1" s="630"/>
      <c r="CRM1" s="630"/>
      <c r="CRN1" s="630"/>
      <c r="CRO1" s="630"/>
      <c r="CRP1" s="630"/>
      <c r="CRQ1" s="630"/>
      <c r="CRR1" s="630"/>
      <c r="CRS1" s="630"/>
      <c r="CRT1" s="630"/>
      <c r="CRU1" s="630"/>
      <c r="CRV1" s="630"/>
      <c r="CRW1" s="630"/>
      <c r="CRX1" s="630"/>
      <c r="CRY1" s="630"/>
      <c r="CRZ1" s="630"/>
      <c r="CSA1" s="630"/>
      <c r="CSB1" s="630"/>
      <c r="CSC1" s="630"/>
      <c r="CSD1" s="630"/>
      <c r="CSE1" s="630"/>
      <c r="CSF1" s="630"/>
      <c r="CSG1" s="630"/>
      <c r="CSH1" s="630"/>
      <c r="CSI1" s="630"/>
      <c r="CSJ1" s="630"/>
      <c r="CSK1" s="632"/>
      <c r="CSL1" s="631"/>
      <c r="CSM1" s="631"/>
      <c r="CSN1" s="631"/>
      <c r="CSO1" s="631"/>
      <c r="CSP1" s="631"/>
      <c r="CSQ1" s="631"/>
      <c r="CSR1" s="631"/>
      <c r="CSS1" s="631"/>
      <c r="CST1" s="631"/>
      <c r="CSU1" s="631"/>
      <c r="CSV1" s="631"/>
      <c r="CSW1" s="631"/>
      <c r="CSX1" s="631"/>
      <c r="CSY1" s="631"/>
      <c r="CSZ1" s="631"/>
      <c r="CTA1" s="631"/>
      <c r="CTB1" s="631"/>
      <c r="CTC1" s="630"/>
      <c r="CTD1" s="630"/>
      <c r="CTE1" s="630"/>
      <c r="CTF1" s="630"/>
      <c r="CTG1" s="630"/>
      <c r="CTH1" s="630"/>
      <c r="CTI1" s="630"/>
      <c r="CTJ1" s="630"/>
      <c r="CTK1" s="630"/>
      <c r="CTL1" s="630"/>
      <c r="CTM1" s="630"/>
      <c r="CTN1" s="630"/>
      <c r="CTO1" s="630"/>
      <c r="CTP1" s="630"/>
      <c r="CTQ1" s="630"/>
      <c r="CTR1" s="630"/>
      <c r="CTS1" s="630"/>
      <c r="CTT1" s="630"/>
      <c r="CTU1" s="630"/>
      <c r="CTV1" s="630"/>
      <c r="CTW1" s="630"/>
      <c r="CTX1" s="630"/>
      <c r="CTY1" s="630"/>
      <c r="CTZ1" s="630"/>
      <c r="CUA1" s="630"/>
      <c r="CUB1" s="630"/>
      <c r="CUC1" s="630"/>
      <c r="CUD1" s="630"/>
      <c r="CUE1" s="630"/>
      <c r="CUF1" s="630"/>
      <c r="CUG1" s="630"/>
      <c r="CUH1" s="630"/>
      <c r="CUI1" s="630"/>
      <c r="CUJ1" s="630"/>
      <c r="CUK1" s="630"/>
      <c r="CUL1" s="630"/>
      <c r="CUM1" s="630"/>
      <c r="CUN1" s="630"/>
      <c r="CUO1" s="630"/>
      <c r="CUP1" s="630"/>
      <c r="CUQ1" s="630"/>
      <c r="CUR1" s="630"/>
      <c r="CUS1" s="630"/>
      <c r="CUT1" s="630"/>
      <c r="CUU1" s="630"/>
      <c r="CUV1" s="630"/>
      <c r="CUW1" s="630"/>
      <c r="CUX1" s="630"/>
      <c r="CUY1" s="630"/>
      <c r="CUZ1" s="632"/>
      <c r="CVA1" s="631"/>
      <c r="CVB1" s="631"/>
      <c r="CVC1" s="631"/>
      <c r="CVD1" s="631"/>
      <c r="CVE1" s="631"/>
      <c r="CVF1" s="631"/>
      <c r="CVG1" s="631"/>
      <c r="CVH1" s="631"/>
      <c r="CVI1" s="631"/>
      <c r="CVJ1" s="631"/>
      <c r="CVK1" s="631"/>
      <c r="CVL1" s="631"/>
      <c r="CVM1" s="631"/>
      <c r="CVN1" s="631"/>
      <c r="CVO1" s="631"/>
      <c r="CVP1" s="631"/>
      <c r="CVQ1" s="631"/>
      <c r="CVR1" s="630"/>
      <c r="CVS1" s="630"/>
      <c r="CVT1" s="630"/>
      <c r="CVU1" s="630"/>
      <c r="CVV1" s="630"/>
      <c r="CVW1" s="630"/>
      <c r="CVX1" s="630"/>
      <c r="CVY1" s="630"/>
      <c r="CVZ1" s="630"/>
      <c r="CWA1" s="630"/>
      <c r="CWB1" s="630"/>
      <c r="CWC1" s="630"/>
      <c r="CWD1" s="630"/>
      <c r="CWE1" s="630"/>
      <c r="CWF1" s="630"/>
      <c r="CWG1" s="630"/>
      <c r="CWH1" s="630"/>
      <c r="CWI1" s="630"/>
      <c r="CWJ1" s="630"/>
      <c r="CWK1" s="630"/>
      <c r="CWL1" s="630"/>
      <c r="CWM1" s="630"/>
      <c r="CWN1" s="630"/>
      <c r="CWO1" s="630"/>
      <c r="CWP1" s="630"/>
      <c r="CWQ1" s="630"/>
      <c r="CWR1" s="630"/>
      <c r="CWS1" s="630"/>
      <c r="CWT1" s="630"/>
      <c r="CWU1" s="630"/>
      <c r="CWV1" s="630"/>
      <c r="CWW1" s="630"/>
      <c r="CWX1" s="630"/>
      <c r="CWY1" s="630"/>
      <c r="CWZ1" s="630"/>
      <c r="CXA1" s="630"/>
      <c r="CXB1" s="630"/>
      <c r="CXC1" s="630"/>
      <c r="CXD1" s="630"/>
      <c r="CXE1" s="630"/>
      <c r="CXF1" s="630"/>
      <c r="CXG1" s="630"/>
      <c r="CXH1" s="630"/>
      <c r="CXI1" s="630"/>
      <c r="CXJ1" s="630"/>
      <c r="CXK1" s="630"/>
      <c r="CXL1" s="630"/>
      <c r="CXM1" s="630"/>
      <c r="CXN1" s="630"/>
      <c r="CXO1" s="632"/>
      <c r="CXP1" s="631"/>
      <c r="CXQ1" s="631"/>
      <c r="CXR1" s="631"/>
      <c r="CXS1" s="631"/>
      <c r="CXT1" s="631"/>
      <c r="CXU1" s="631"/>
      <c r="CXV1" s="631"/>
      <c r="CXW1" s="631"/>
      <c r="CXX1" s="631"/>
      <c r="CXY1" s="631"/>
      <c r="CXZ1" s="631"/>
      <c r="CYA1" s="631"/>
      <c r="CYB1" s="631"/>
      <c r="CYC1" s="631"/>
      <c r="CYD1" s="631"/>
      <c r="CYE1" s="631"/>
      <c r="CYF1" s="631"/>
      <c r="CYG1" s="630"/>
      <c r="CYH1" s="630"/>
      <c r="CYI1" s="630"/>
      <c r="CYJ1" s="630"/>
      <c r="CYK1" s="630"/>
      <c r="CYL1" s="630"/>
      <c r="CYM1" s="630"/>
      <c r="CYN1" s="630"/>
      <c r="CYO1" s="630"/>
      <c r="CYP1" s="630"/>
      <c r="CYQ1" s="630"/>
      <c r="CYR1" s="630"/>
      <c r="CYS1" s="630"/>
      <c r="CYT1" s="630"/>
      <c r="CYU1" s="630"/>
      <c r="CYV1" s="630"/>
      <c r="CYW1" s="630"/>
      <c r="CYX1" s="630"/>
      <c r="CYY1" s="630"/>
      <c r="CYZ1" s="630"/>
      <c r="CZA1" s="630"/>
      <c r="CZB1" s="630"/>
      <c r="CZC1" s="630"/>
      <c r="CZD1" s="630"/>
      <c r="CZE1" s="630"/>
      <c r="CZF1" s="630"/>
      <c r="CZG1" s="630"/>
      <c r="CZH1" s="630"/>
      <c r="CZI1" s="630"/>
      <c r="CZJ1" s="630"/>
      <c r="CZK1" s="630"/>
      <c r="CZL1" s="630"/>
      <c r="CZM1" s="630"/>
      <c r="CZN1" s="630"/>
      <c r="CZO1" s="630"/>
      <c r="CZP1" s="630"/>
      <c r="CZQ1" s="630"/>
      <c r="CZR1" s="630"/>
      <c r="CZS1" s="630"/>
      <c r="CZT1" s="630"/>
      <c r="CZU1" s="630"/>
      <c r="CZV1" s="630"/>
      <c r="CZW1" s="630"/>
      <c r="CZX1" s="630"/>
      <c r="CZY1" s="630"/>
      <c r="CZZ1" s="630"/>
      <c r="DAA1" s="630"/>
      <c r="DAB1" s="630"/>
      <c r="DAC1" s="630"/>
      <c r="DAD1" s="632"/>
      <c r="DAE1" s="631"/>
      <c r="DAF1" s="631"/>
      <c r="DAG1" s="631"/>
      <c r="DAH1" s="631"/>
      <c r="DAI1" s="631"/>
      <c r="DAJ1" s="631"/>
      <c r="DAK1" s="631"/>
      <c r="DAL1" s="631"/>
      <c r="DAM1" s="631"/>
      <c r="DAN1" s="631"/>
      <c r="DAO1" s="631"/>
      <c r="DAP1" s="631"/>
      <c r="DAQ1" s="631"/>
      <c r="DAR1" s="631"/>
      <c r="DAS1" s="631"/>
      <c r="DAT1" s="631"/>
      <c r="DAU1" s="631"/>
      <c r="DAV1" s="630"/>
      <c r="DAW1" s="630"/>
      <c r="DAX1" s="630"/>
      <c r="DAY1" s="630"/>
      <c r="DAZ1" s="630"/>
      <c r="DBA1" s="630"/>
      <c r="DBB1" s="630"/>
      <c r="DBC1" s="630"/>
      <c r="DBD1" s="630"/>
      <c r="DBE1" s="630"/>
      <c r="DBF1" s="630"/>
      <c r="DBG1" s="630"/>
      <c r="DBH1" s="630"/>
      <c r="DBI1" s="630"/>
      <c r="DBJ1" s="630"/>
      <c r="DBK1" s="630"/>
      <c r="DBL1" s="630"/>
      <c r="DBM1" s="630"/>
      <c r="DBN1" s="630"/>
      <c r="DBO1" s="630"/>
      <c r="DBP1" s="630"/>
      <c r="DBQ1" s="630"/>
      <c r="DBR1" s="630"/>
      <c r="DBS1" s="630"/>
      <c r="DBT1" s="630"/>
      <c r="DBU1" s="630"/>
      <c r="DBV1" s="630"/>
      <c r="DBW1" s="630"/>
      <c r="DBX1" s="630"/>
      <c r="DBY1" s="630"/>
      <c r="DBZ1" s="630"/>
      <c r="DCA1" s="630"/>
      <c r="DCB1" s="630"/>
      <c r="DCC1" s="630"/>
      <c r="DCD1" s="630"/>
      <c r="DCE1" s="630"/>
      <c r="DCF1" s="630"/>
      <c r="DCG1" s="630"/>
      <c r="DCH1" s="630"/>
      <c r="DCI1" s="630"/>
      <c r="DCJ1" s="630"/>
      <c r="DCK1" s="630"/>
      <c r="DCL1" s="630"/>
      <c r="DCM1" s="630"/>
      <c r="DCN1" s="630"/>
      <c r="DCO1" s="630"/>
      <c r="DCP1" s="630"/>
      <c r="DCQ1" s="630"/>
      <c r="DCR1" s="630"/>
      <c r="DCS1" s="632"/>
      <c r="DCT1" s="631"/>
      <c r="DCU1" s="631"/>
      <c r="DCV1" s="631"/>
      <c r="DCW1" s="631"/>
      <c r="DCX1" s="631"/>
      <c r="DCY1" s="631"/>
      <c r="DCZ1" s="631"/>
      <c r="DDA1" s="631"/>
      <c r="DDB1" s="631"/>
      <c r="DDC1" s="631"/>
      <c r="DDD1" s="631"/>
      <c r="DDE1" s="631"/>
      <c r="DDF1" s="631"/>
      <c r="DDG1" s="631"/>
      <c r="DDH1" s="631"/>
      <c r="DDI1" s="631"/>
      <c r="DDJ1" s="631"/>
      <c r="DDK1" s="630"/>
      <c r="DDL1" s="630"/>
      <c r="DDM1" s="630"/>
      <c r="DDN1" s="630"/>
      <c r="DDO1" s="630"/>
      <c r="DDP1" s="630"/>
      <c r="DDQ1" s="630"/>
      <c r="DDR1" s="630"/>
      <c r="DDS1" s="630"/>
      <c r="DDT1" s="630"/>
      <c r="DDU1" s="630"/>
      <c r="DDV1" s="630"/>
      <c r="DDW1" s="630"/>
      <c r="DDX1" s="630"/>
      <c r="DDY1" s="630"/>
      <c r="DDZ1" s="630"/>
      <c r="DEA1" s="630"/>
      <c r="DEB1" s="630"/>
      <c r="DEC1" s="630"/>
      <c r="DED1" s="630"/>
      <c r="DEE1" s="630"/>
      <c r="DEF1" s="630"/>
      <c r="DEG1" s="630"/>
      <c r="DEH1" s="630"/>
      <c r="DEI1" s="630"/>
      <c r="DEJ1" s="630"/>
      <c r="DEK1" s="630"/>
      <c r="DEL1" s="630"/>
      <c r="DEM1" s="630"/>
      <c r="DEN1" s="630"/>
      <c r="DEO1" s="630"/>
      <c r="DEP1" s="630"/>
      <c r="DEQ1" s="630"/>
      <c r="DER1" s="630"/>
      <c r="DES1" s="630"/>
      <c r="DET1" s="630"/>
      <c r="DEU1" s="630"/>
      <c r="DEV1" s="630"/>
      <c r="DEW1" s="630"/>
      <c r="DEX1" s="630"/>
      <c r="DEY1" s="630"/>
      <c r="DEZ1" s="630"/>
      <c r="DFA1" s="630"/>
      <c r="DFB1" s="630"/>
      <c r="DFC1" s="630"/>
      <c r="DFD1" s="630"/>
      <c r="DFE1" s="630"/>
      <c r="DFF1" s="630"/>
      <c r="DFG1" s="630"/>
      <c r="DFH1" s="632"/>
      <c r="DFI1" s="631"/>
      <c r="DFJ1" s="631"/>
      <c r="DFK1" s="631"/>
      <c r="DFL1" s="631"/>
      <c r="DFM1" s="631"/>
      <c r="DFN1" s="631"/>
      <c r="DFO1" s="631"/>
      <c r="DFP1" s="631"/>
      <c r="DFQ1" s="631"/>
      <c r="DFR1" s="631"/>
      <c r="DFS1" s="631"/>
      <c r="DFT1" s="631"/>
      <c r="DFU1" s="631"/>
      <c r="DFV1" s="631"/>
      <c r="DFW1" s="631"/>
      <c r="DFX1" s="631"/>
      <c r="DFY1" s="631"/>
      <c r="DFZ1" s="630"/>
      <c r="DGA1" s="630"/>
      <c r="DGB1" s="630"/>
      <c r="DGC1" s="630"/>
      <c r="DGD1" s="630"/>
      <c r="DGE1" s="630"/>
      <c r="DGF1" s="630"/>
      <c r="DGG1" s="630"/>
      <c r="DGH1" s="630"/>
      <c r="DGI1" s="630"/>
      <c r="DGJ1" s="630"/>
      <c r="DGK1" s="630"/>
      <c r="DGL1" s="630"/>
      <c r="DGM1" s="630"/>
      <c r="DGN1" s="630"/>
      <c r="DGO1" s="630"/>
      <c r="DGP1" s="630"/>
      <c r="DGQ1" s="630"/>
      <c r="DGR1" s="630"/>
      <c r="DGS1" s="630"/>
      <c r="DGT1" s="630"/>
      <c r="DGU1" s="630"/>
      <c r="DGV1" s="630"/>
      <c r="DGW1" s="630"/>
      <c r="DGX1" s="630"/>
      <c r="DGY1" s="630"/>
      <c r="DGZ1" s="630"/>
      <c r="DHA1" s="630"/>
      <c r="DHB1" s="630"/>
      <c r="DHC1" s="630"/>
      <c r="DHD1" s="630"/>
      <c r="DHE1" s="630"/>
      <c r="DHF1" s="630"/>
      <c r="DHG1" s="630"/>
      <c r="DHH1" s="630"/>
      <c r="DHI1" s="630"/>
      <c r="DHJ1" s="630"/>
      <c r="DHK1" s="630"/>
      <c r="DHL1" s="630"/>
      <c r="DHM1" s="630"/>
      <c r="DHN1" s="630"/>
      <c r="DHO1" s="630"/>
      <c r="DHP1" s="630"/>
      <c r="DHQ1" s="630"/>
      <c r="DHR1" s="630"/>
      <c r="DHS1" s="630"/>
      <c r="DHT1" s="630"/>
      <c r="DHU1" s="630"/>
      <c r="DHV1" s="630"/>
      <c r="DHW1" s="632"/>
      <c r="DHX1" s="631"/>
      <c r="DHY1" s="631"/>
      <c r="DHZ1" s="631"/>
      <c r="DIA1" s="631"/>
      <c r="DIB1" s="631"/>
      <c r="DIC1" s="631"/>
      <c r="DID1" s="631"/>
      <c r="DIE1" s="631"/>
      <c r="DIF1" s="631"/>
      <c r="DIG1" s="631"/>
      <c r="DIH1" s="631"/>
      <c r="DII1" s="631"/>
      <c r="DIJ1" s="631"/>
      <c r="DIK1" s="631"/>
      <c r="DIL1" s="631"/>
      <c r="DIM1" s="631"/>
      <c r="DIN1" s="631"/>
      <c r="DIO1" s="630"/>
      <c r="DIP1" s="630"/>
      <c r="DIQ1" s="630"/>
      <c r="DIR1" s="630"/>
      <c r="DIS1" s="630"/>
      <c r="DIT1" s="630"/>
      <c r="DIU1" s="630"/>
      <c r="DIV1" s="630"/>
      <c r="DIW1" s="630"/>
      <c r="DIX1" s="630"/>
      <c r="DIY1" s="630"/>
      <c r="DIZ1" s="630"/>
      <c r="DJA1" s="630"/>
      <c r="DJB1" s="630"/>
      <c r="DJC1" s="630"/>
      <c r="DJD1" s="630"/>
      <c r="DJE1" s="630"/>
      <c r="DJF1" s="630"/>
      <c r="DJG1" s="630"/>
      <c r="DJH1" s="630"/>
      <c r="DJI1" s="630"/>
      <c r="DJJ1" s="630"/>
      <c r="DJK1" s="630"/>
      <c r="DJL1" s="630"/>
      <c r="DJM1" s="630"/>
      <c r="DJN1" s="630"/>
      <c r="DJO1" s="630"/>
      <c r="DJP1" s="630"/>
      <c r="DJQ1" s="630"/>
      <c r="DJR1" s="630"/>
      <c r="DJS1" s="630"/>
      <c r="DJT1" s="630"/>
      <c r="DJU1" s="630"/>
      <c r="DJV1" s="630"/>
      <c r="DJW1" s="630"/>
      <c r="DJX1" s="630"/>
      <c r="DJY1" s="630"/>
      <c r="DJZ1" s="630"/>
      <c r="DKA1" s="630"/>
      <c r="DKB1" s="630"/>
      <c r="DKC1" s="630"/>
      <c r="DKD1" s="630"/>
      <c r="DKE1" s="630"/>
      <c r="DKF1" s="630"/>
      <c r="DKG1" s="630"/>
      <c r="DKH1" s="630"/>
      <c r="DKI1" s="630"/>
      <c r="DKJ1" s="630"/>
      <c r="DKK1" s="630"/>
      <c r="DKL1" s="632"/>
      <c r="DKM1" s="631"/>
      <c r="DKN1" s="631"/>
      <c r="DKO1" s="631"/>
      <c r="DKP1" s="631"/>
      <c r="DKQ1" s="631"/>
      <c r="DKR1" s="631"/>
      <c r="DKS1" s="631"/>
      <c r="DKT1" s="631"/>
      <c r="DKU1" s="631"/>
      <c r="DKV1" s="631"/>
      <c r="DKW1" s="631"/>
      <c r="DKX1" s="631"/>
      <c r="DKY1" s="631"/>
      <c r="DKZ1" s="631"/>
      <c r="DLA1" s="631"/>
      <c r="DLB1" s="631"/>
      <c r="DLC1" s="631"/>
      <c r="DLD1" s="630"/>
      <c r="DLE1" s="630"/>
      <c r="DLF1" s="630"/>
      <c r="DLG1" s="630"/>
      <c r="DLH1" s="630"/>
      <c r="DLI1" s="630"/>
      <c r="DLJ1" s="630"/>
      <c r="DLK1" s="630"/>
      <c r="DLL1" s="630"/>
      <c r="DLM1" s="630"/>
      <c r="DLN1" s="630"/>
      <c r="DLO1" s="630"/>
      <c r="DLP1" s="630"/>
      <c r="DLQ1" s="630"/>
      <c r="DLR1" s="630"/>
      <c r="DLS1" s="630"/>
      <c r="DLT1" s="630"/>
      <c r="DLU1" s="630"/>
      <c r="DLV1" s="630"/>
      <c r="DLW1" s="630"/>
      <c r="DLX1" s="630"/>
      <c r="DLY1" s="630"/>
      <c r="DLZ1" s="630"/>
      <c r="DMA1" s="630"/>
      <c r="DMB1" s="630"/>
      <c r="DMC1" s="630"/>
      <c r="DMD1" s="630"/>
      <c r="DME1" s="630"/>
      <c r="DMF1" s="630"/>
      <c r="DMG1" s="630"/>
      <c r="DMH1" s="630"/>
      <c r="DMI1" s="630"/>
      <c r="DMJ1" s="630"/>
      <c r="DMK1" s="630"/>
      <c r="DML1" s="630"/>
      <c r="DMM1" s="630"/>
      <c r="DMN1" s="630"/>
      <c r="DMO1" s="630"/>
      <c r="DMP1" s="630"/>
      <c r="DMQ1" s="630"/>
      <c r="DMR1" s="630"/>
      <c r="DMS1" s="630"/>
      <c r="DMT1" s="630"/>
      <c r="DMU1" s="630"/>
      <c r="DMV1" s="630"/>
      <c r="DMW1" s="630"/>
      <c r="DMX1" s="630"/>
      <c r="DMY1" s="630"/>
      <c r="DMZ1" s="630"/>
      <c r="DNA1" s="632"/>
      <c r="DNB1" s="631"/>
      <c r="DNC1" s="631"/>
      <c r="DND1" s="631"/>
      <c r="DNE1" s="631"/>
      <c r="DNF1" s="631"/>
      <c r="DNG1" s="631"/>
      <c r="DNH1" s="631"/>
      <c r="DNI1" s="631"/>
      <c r="DNJ1" s="631"/>
      <c r="DNK1" s="631"/>
      <c r="DNL1" s="631"/>
      <c r="DNM1" s="631"/>
      <c r="DNN1" s="631"/>
      <c r="DNO1" s="631"/>
      <c r="DNP1" s="631"/>
      <c r="DNQ1" s="631"/>
      <c r="DNR1" s="631"/>
      <c r="DNS1" s="630"/>
      <c r="DNT1" s="630"/>
      <c r="DNU1" s="630"/>
      <c r="DNV1" s="630"/>
      <c r="DNW1" s="630"/>
      <c r="DNX1" s="630"/>
      <c r="DNY1" s="630"/>
      <c r="DNZ1" s="630"/>
      <c r="DOA1" s="630"/>
      <c r="DOB1" s="630"/>
      <c r="DOC1" s="630"/>
      <c r="DOD1" s="630"/>
      <c r="DOE1" s="630"/>
      <c r="DOF1" s="630"/>
      <c r="DOG1" s="630"/>
      <c r="DOH1" s="630"/>
      <c r="DOI1" s="630"/>
      <c r="DOJ1" s="630"/>
      <c r="DOK1" s="630"/>
      <c r="DOL1" s="630"/>
      <c r="DOM1" s="630"/>
      <c r="DON1" s="630"/>
      <c r="DOO1" s="630"/>
      <c r="DOP1" s="630"/>
      <c r="DOQ1" s="630"/>
      <c r="DOR1" s="630"/>
      <c r="DOS1" s="630"/>
      <c r="DOT1" s="630"/>
      <c r="DOU1" s="630"/>
      <c r="DOV1" s="630"/>
      <c r="DOW1" s="630"/>
      <c r="DOX1" s="630"/>
      <c r="DOY1" s="630"/>
      <c r="DOZ1" s="630"/>
      <c r="DPA1" s="630"/>
      <c r="DPB1" s="630"/>
      <c r="DPC1" s="630"/>
      <c r="DPD1" s="630"/>
      <c r="DPE1" s="630"/>
      <c r="DPF1" s="630"/>
      <c r="DPG1" s="630"/>
      <c r="DPH1" s="630"/>
      <c r="DPI1" s="630"/>
      <c r="DPJ1" s="630"/>
      <c r="DPK1" s="630"/>
      <c r="DPL1" s="630"/>
      <c r="DPM1" s="630"/>
      <c r="DPN1" s="630"/>
      <c r="DPO1" s="630"/>
      <c r="DPP1" s="632"/>
      <c r="DPQ1" s="631"/>
      <c r="DPR1" s="631"/>
      <c r="DPS1" s="631"/>
      <c r="DPT1" s="631"/>
      <c r="DPU1" s="631"/>
      <c r="DPV1" s="631"/>
      <c r="DPW1" s="631"/>
      <c r="DPX1" s="631"/>
      <c r="DPY1" s="631"/>
      <c r="DPZ1" s="631"/>
      <c r="DQA1" s="631"/>
      <c r="DQB1" s="631"/>
      <c r="DQC1" s="631"/>
      <c r="DQD1" s="631"/>
      <c r="DQE1" s="631"/>
      <c r="DQF1" s="631"/>
      <c r="DQG1" s="631"/>
      <c r="DQH1" s="630"/>
      <c r="DQI1" s="630"/>
      <c r="DQJ1" s="630"/>
      <c r="DQK1" s="630"/>
      <c r="DQL1" s="630"/>
      <c r="DQM1" s="630"/>
      <c r="DQN1" s="630"/>
      <c r="DQO1" s="630"/>
      <c r="DQP1" s="630"/>
      <c r="DQQ1" s="630"/>
      <c r="DQR1" s="630"/>
      <c r="DQS1" s="630"/>
      <c r="DQT1" s="630"/>
      <c r="DQU1" s="630"/>
      <c r="DQV1" s="630"/>
      <c r="DQW1" s="630"/>
      <c r="DQX1" s="630"/>
      <c r="DQY1" s="630"/>
      <c r="DQZ1" s="630"/>
      <c r="DRA1" s="630"/>
      <c r="DRB1" s="630"/>
      <c r="DRC1" s="630"/>
      <c r="DRD1" s="630"/>
      <c r="DRE1" s="630"/>
      <c r="DRF1" s="630"/>
      <c r="DRG1" s="630"/>
      <c r="DRH1" s="630"/>
      <c r="DRI1" s="630"/>
      <c r="DRJ1" s="630"/>
      <c r="DRK1" s="630"/>
      <c r="DRL1" s="630"/>
      <c r="DRM1" s="630"/>
      <c r="DRN1" s="630"/>
      <c r="DRO1" s="630"/>
      <c r="DRP1" s="630"/>
      <c r="DRQ1" s="630"/>
      <c r="DRR1" s="630"/>
      <c r="DRS1" s="630"/>
      <c r="DRT1" s="630"/>
      <c r="DRU1" s="630"/>
      <c r="DRV1" s="630"/>
      <c r="DRW1" s="630"/>
      <c r="DRX1" s="630"/>
      <c r="DRY1" s="630"/>
      <c r="DRZ1" s="630"/>
      <c r="DSA1" s="630"/>
      <c r="DSB1" s="630"/>
      <c r="DSC1" s="630"/>
      <c r="DSD1" s="630"/>
      <c r="DSE1" s="632"/>
      <c r="DSF1" s="631"/>
      <c r="DSG1" s="631"/>
      <c r="DSH1" s="631"/>
      <c r="DSI1" s="631"/>
      <c r="DSJ1" s="631"/>
      <c r="DSK1" s="631"/>
      <c r="DSL1" s="631"/>
      <c r="DSM1" s="631"/>
      <c r="DSN1" s="631"/>
      <c r="DSO1" s="631"/>
      <c r="DSP1" s="631"/>
      <c r="DSQ1" s="631"/>
      <c r="DSR1" s="631"/>
      <c r="DSS1" s="631"/>
      <c r="DST1" s="631"/>
      <c r="DSU1" s="631"/>
      <c r="DSV1" s="631"/>
      <c r="DSW1" s="630"/>
      <c r="DSX1" s="630"/>
      <c r="DSY1" s="630"/>
      <c r="DSZ1" s="630"/>
      <c r="DTA1" s="630"/>
      <c r="DTB1" s="630"/>
      <c r="DTC1" s="630"/>
      <c r="DTD1" s="630"/>
      <c r="DTE1" s="630"/>
      <c r="DTF1" s="630"/>
      <c r="DTG1" s="630"/>
      <c r="DTH1" s="630"/>
      <c r="DTI1" s="630"/>
      <c r="DTJ1" s="630"/>
      <c r="DTK1" s="630"/>
      <c r="DTL1" s="630"/>
      <c r="DTM1" s="630"/>
      <c r="DTN1" s="630"/>
      <c r="DTO1" s="630"/>
      <c r="DTP1" s="630"/>
      <c r="DTQ1" s="630"/>
      <c r="DTR1" s="630"/>
      <c r="DTS1" s="630"/>
      <c r="DTT1" s="630"/>
      <c r="DTU1" s="630"/>
      <c r="DTV1" s="630"/>
      <c r="DTW1" s="630"/>
      <c r="DTX1" s="630"/>
      <c r="DTY1" s="630"/>
      <c r="DTZ1" s="630"/>
      <c r="DUA1" s="630"/>
      <c r="DUB1" s="630"/>
      <c r="DUC1" s="630"/>
      <c r="DUD1" s="630"/>
      <c r="DUE1" s="630"/>
      <c r="DUF1" s="630"/>
      <c r="DUG1" s="630"/>
      <c r="DUH1" s="630"/>
      <c r="DUI1" s="630"/>
      <c r="DUJ1" s="630"/>
      <c r="DUK1" s="630"/>
      <c r="DUL1" s="630"/>
      <c r="DUM1" s="630"/>
      <c r="DUN1" s="630"/>
      <c r="DUO1" s="630"/>
      <c r="DUP1" s="630"/>
      <c r="DUQ1" s="630"/>
      <c r="DUR1" s="630"/>
      <c r="DUS1" s="630"/>
      <c r="DUT1" s="632"/>
      <c r="DUU1" s="631"/>
      <c r="DUV1" s="631"/>
      <c r="DUW1" s="631"/>
      <c r="DUX1" s="631"/>
      <c r="DUY1" s="631"/>
      <c r="DUZ1" s="631"/>
      <c r="DVA1" s="631"/>
      <c r="DVB1" s="631"/>
      <c r="DVC1" s="631"/>
      <c r="DVD1" s="631"/>
      <c r="DVE1" s="631"/>
      <c r="DVF1" s="631"/>
      <c r="DVG1" s="631"/>
      <c r="DVH1" s="631"/>
      <c r="DVI1" s="631"/>
      <c r="DVJ1" s="631"/>
      <c r="DVK1" s="631"/>
      <c r="DVL1" s="630"/>
      <c r="DVM1" s="630"/>
      <c r="DVN1" s="630"/>
      <c r="DVO1" s="630"/>
      <c r="DVP1" s="630"/>
      <c r="DVQ1" s="630"/>
      <c r="DVR1" s="630"/>
      <c r="DVS1" s="630"/>
      <c r="DVT1" s="630"/>
      <c r="DVU1" s="630"/>
      <c r="DVV1" s="630"/>
      <c r="DVW1" s="630"/>
      <c r="DVX1" s="630"/>
      <c r="DVY1" s="630"/>
      <c r="DVZ1" s="630"/>
      <c r="DWA1" s="630"/>
      <c r="DWB1" s="630"/>
      <c r="DWC1" s="630"/>
      <c r="DWD1" s="630"/>
      <c r="DWE1" s="630"/>
      <c r="DWF1" s="630"/>
      <c r="DWG1" s="630"/>
      <c r="DWH1" s="630"/>
      <c r="DWI1" s="630"/>
      <c r="DWJ1" s="630"/>
      <c r="DWK1" s="630"/>
      <c r="DWL1" s="630"/>
      <c r="DWM1" s="630"/>
      <c r="DWN1" s="630"/>
      <c r="DWO1" s="630"/>
      <c r="DWP1" s="630"/>
      <c r="DWQ1" s="630"/>
      <c r="DWR1" s="630"/>
      <c r="DWS1" s="630"/>
      <c r="DWT1" s="630"/>
      <c r="DWU1" s="630"/>
      <c r="DWV1" s="630"/>
      <c r="DWW1" s="630"/>
      <c r="DWX1" s="630"/>
      <c r="DWY1" s="630"/>
      <c r="DWZ1" s="630"/>
      <c r="DXA1" s="630"/>
      <c r="DXB1" s="630"/>
      <c r="DXC1" s="630"/>
      <c r="DXD1" s="630"/>
      <c r="DXE1" s="630"/>
      <c r="DXF1" s="630"/>
      <c r="DXG1" s="630"/>
      <c r="DXH1" s="630"/>
      <c r="DXI1" s="632"/>
      <c r="DXJ1" s="631"/>
      <c r="DXK1" s="631"/>
      <c r="DXL1" s="631"/>
      <c r="DXM1" s="631"/>
      <c r="DXN1" s="631"/>
      <c r="DXO1" s="631"/>
      <c r="DXP1" s="631"/>
      <c r="DXQ1" s="631"/>
      <c r="DXR1" s="631"/>
      <c r="DXS1" s="631"/>
      <c r="DXT1" s="631"/>
      <c r="DXU1" s="631"/>
      <c r="DXV1" s="631"/>
      <c r="DXW1" s="631"/>
      <c r="DXX1" s="631"/>
      <c r="DXY1" s="631"/>
      <c r="DXZ1" s="631"/>
      <c r="DYA1" s="630"/>
      <c r="DYB1" s="630"/>
      <c r="DYC1" s="630"/>
      <c r="DYD1" s="630"/>
      <c r="DYE1" s="630"/>
      <c r="DYF1" s="630"/>
      <c r="DYG1" s="630"/>
      <c r="DYH1" s="630"/>
      <c r="DYI1" s="630"/>
      <c r="DYJ1" s="630"/>
      <c r="DYK1" s="630"/>
      <c r="DYL1" s="630"/>
      <c r="DYM1" s="630"/>
      <c r="DYN1" s="630"/>
      <c r="DYO1" s="630"/>
      <c r="DYP1" s="630"/>
      <c r="DYQ1" s="630"/>
      <c r="DYR1" s="630"/>
      <c r="DYS1" s="630"/>
      <c r="DYT1" s="630"/>
      <c r="DYU1" s="630"/>
      <c r="DYV1" s="630"/>
      <c r="DYW1" s="630"/>
      <c r="DYX1" s="630"/>
      <c r="DYY1" s="630"/>
      <c r="DYZ1" s="630"/>
      <c r="DZA1" s="630"/>
      <c r="DZB1" s="630"/>
      <c r="DZC1" s="630"/>
      <c r="DZD1" s="630"/>
      <c r="DZE1" s="630"/>
      <c r="DZF1" s="630"/>
      <c r="DZG1" s="630"/>
      <c r="DZH1" s="630"/>
      <c r="DZI1" s="630"/>
      <c r="DZJ1" s="630"/>
      <c r="DZK1" s="630"/>
      <c r="DZL1" s="630"/>
      <c r="DZM1" s="630"/>
      <c r="DZN1" s="630"/>
      <c r="DZO1" s="630"/>
      <c r="DZP1" s="630"/>
      <c r="DZQ1" s="630"/>
      <c r="DZR1" s="630"/>
      <c r="DZS1" s="630"/>
      <c r="DZT1" s="630"/>
      <c r="DZU1" s="630"/>
      <c r="DZV1" s="630"/>
      <c r="DZW1" s="630"/>
      <c r="DZX1" s="632"/>
      <c r="DZY1" s="631"/>
      <c r="DZZ1" s="631"/>
      <c r="EAA1" s="631"/>
      <c r="EAB1" s="631"/>
      <c r="EAC1" s="631"/>
      <c r="EAD1" s="631"/>
      <c r="EAE1" s="631"/>
      <c r="EAF1" s="631"/>
      <c r="EAG1" s="631"/>
      <c r="EAH1" s="631"/>
      <c r="EAI1" s="631"/>
      <c r="EAJ1" s="631"/>
      <c r="EAK1" s="631"/>
      <c r="EAL1" s="631"/>
      <c r="EAM1" s="631"/>
      <c r="EAN1" s="631"/>
      <c r="EAO1" s="631"/>
      <c r="EAP1" s="630"/>
      <c r="EAQ1" s="630"/>
      <c r="EAR1" s="630"/>
      <c r="EAS1" s="630"/>
      <c r="EAT1" s="630"/>
      <c r="EAU1" s="630"/>
      <c r="EAV1" s="630"/>
      <c r="EAW1" s="630"/>
      <c r="EAX1" s="630"/>
      <c r="EAY1" s="630"/>
      <c r="EAZ1" s="630"/>
      <c r="EBA1" s="630"/>
      <c r="EBB1" s="630"/>
      <c r="EBC1" s="630"/>
      <c r="EBD1" s="630"/>
      <c r="EBE1" s="630"/>
      <c r="EBF1" s="630"/>
      <c r="EBG1" s="630"/>
      <c r="EBH1" s="630"/>
      <c r="EBI1" s="630"/>
      <c r="EBJ1" s="630"/>
      <c r="EBK1" s="630"/>
      <c r="EBL1" s="630"/>
      <c r="EBM1" s="630"/>
      <c r="EBN1" s="630"/>
      <c r="EBO1" s="630"/>
      <c r="EBP1" s="630"/>
      <c r="EBQ1" s="630"/>
      <c r="EBR1" s="630"/>
      <c r="EBS1" s="630"/>
      <c r="EBT1" s="630"/>
      <c r="EBU1" s="630"/>
      <c r="EBV1" s="630"/>
      <c r="EBW1" s="630"/>
      <c r="EBX1" s="630"/>
      <c r="EBY1" s="630"/>
      <c r="EBZ1" s="630"/>
      <c r="ECA1" s="630"/>
      <c r="ECB1" s="630"/>
      <c r="ECC1" s="630"/>
      <c r="ECD1" s="630"/>
      <c r="ECE1" s="630"/>
      <c r="ECF1" s="630"/>
      <c r="ECG1" s="630"/>
      <c r="ECH1" s="630"/>
      <c r="ECI1" s="630"/>
      <c r="ECJ1" s="630"/>
      <c r="ECK1" s="630"/>
      <c r="ECL1" s="630"/>
      <c r="ECM1" s="632"/>
      <c r="ECN1" s="631"/>
      <c r="ECO1" s="631"/>
      <c r="ECP1" s="631"/>
      <c r="ECQ1" s="631"/>
      <c r="ECR1" s="631"/>
      <c r="ECS1" s="631"/>
      <c r="ECT1" s="631"/>
      <c r="ECU1" s="631"/>
      <c r="ECV1" s="631"/>
      <c r="ECW1" s="631"/>
      <c r="ECX1" s="631"/>
      <c r="ECY1" s="631"/>
      <c r="ECZ1" s="631"/>
      <c r="EDA1" s="631"/>
      <c r="EDB1" s="631"/>
      <c r="EDC1" s="631"/>
      <c r="EDD1" s="631"/>
      <c r="EDE1" s="630"/>
      <c r="EDF1" s="630"/>
      <c r="EDG1" s="630"/>
      <c r="EDH1" s="630"/>
      <c r="EDI1" s="630"/>
      <c r="EDJ1" s="630"/>
      <c r="EDK1" s="630"/>
      <c r="EDL1" s="630"/>
      <c r="EDM1" s="630"/>
      <c r="EDN1" s="630"/>
      <c r="EDO1" s="630"/>
      <c r="EDP1" s="630"/>
      <c r="EDQ1" s="630"/>
      <c r="EDR1" s="630"/>
      <c r="EDS1" s="630"/>
      <c r="EDT1" s="630"/>
      <c r="EDU1" s="630"/>
      <c r="EDV1" s="630"/>
      <c r="EDW1" s="630"/>
      <c r="EDX1" s="630"/>
      <c r="EDY1" s="630"/>
      <c r="EDZ1" s="630"/>
      <c r="EEA1" s="630"/>
      <c r="EEB1" s="630"/>
      <c r="EEC1" s="630"/>
      <c r="EED1" s="630"/>
      <c r="EEE1" s="630"/>
      <c r="EEF1" s="630"/>
      <c r="EEG1" s="630"/>
      <c r="EEH1" s="630"/>
      <c r="EEI1" s="630"/>
      <c r="EEJ1" s="630"/>
      <c r="EEK1" s="630"/>
      <c r="EEL1" s="630"/>
      <c r="EEM1" s="630"/>
      <c r="EEN1" s="630"/>
      <c r="EEO1" s="630"/>
      <c r="EEP1" s="630"/>
      <c r="EEQ1" s="630"/>
      <c r="EER1" s="630"/>
      <c r="EES1" s="630"/>
      <c r="EET1" s="630"/>
      <c r="EEU1" s="630"/>
      <c r="EEV1" s="630"/>
      <c r="EEW1" s="630"/>
      <c r="EEX1" s="630"/>
      <c r="EEY1" s="630"/>
      <c r="EEZ1" s="630"/>
      <c r="EFA1" s="630"/>
      <c r="EFB1" s="632"/>
      <c r="EFC1" s="631"/>
      <c r="EFD1" s="631"/>
      <c r="EFE1" s="631"/>
      <c r="EFF1" s="631"/>
      <c r="EFG1" s="631"/>
      <c r="EFH1" s="631"/>
      <c r="EFI1" s="631"/>
      <c r="EFJ1" s="631"/>
      <c r="EFK1" s="631"/>
      <c r="EFL1" s="631"/>
      <c r="EFM1" s="631"/>
      <c r="EFN1" s="631"/>
      <c r="EFO1" s="631"/>
      <c r="EFP1" s="631"/>
      <c r="EFQ1" s="631"/>
      <c r="EFR1" s="631"/>
      <c r="EFS1" s="631"/>
      <c r="EFT1" s="630"/>
      <c r="EFU1" s="630"/>
      <c r="EFV1" s="630"/>
      <c r="EFW1" s="630"/>
      <c r="EFX1" s="630"/>
      <c r="EFY1" s="630"/>
      <c r="EFZ1" s="630"/>
      <c r="EGA1" s="630"/>
      <c r="EGB1" s="630"/>
      <c r="EGC1" s="630"/>
      <c r="EGD1" s="630"/>
      <c r="EGE1" s="630"/>
      <c r="EGF1" s="630"/>
      <c r="EGG1" s="630"/>
      <c r="EGH1" s="630"/>
      <c r="EGI1" s="630"/>
      <c r="EGJ1" s="630"/>
      <c r="EGK1" s="630"/>
      <c r="EGL1" s="630"/>
      <c r="EGM1" s="630"/>
      <c r="EGN1" s="630"/>
      <c r="EGO1" s="630"/>
      <c r="EGP1" s="630"/>
      <c r="EGQ1" s="630"/>
      <c r="EGR1" s="630"/>
      <c r="EGS1" s="630"/>
      <c r="EGT1" s="630"/>
      <c r="EGU1" s="630"/>
      <c r="EGV1" s="630"/>
      <c r="EGW1" s="630"/>
      <c r="EGX1" s="630"/>
      <c r="EGY1" s="630"/>
      <c r="EGZ1" s="630"/>
      <c r="EHA1" s="630"/>
      <c r="EHB1" s="630"/>
      <c r="EHC1" s="630"/>
      <c r="EHD1" s="630"/>
      <c r="EHE1" s="630"/>
      <c r="EHF1" s="630"/>
      <c r="EHG1" s="630"/>
      <c r="EHH1" s="630"/>
      <c r="EHI1" s="630"/>
      <c r="EHJ1" s="630"/>
      <c r="EHK1" s="630"/>
      <c r="EHL1" s="630"/>
      <c r="EHM1" s="630"/>
      <c r="EHN1" s="630"/>
      <c r="EHO1" s="630"/>
      <c r="EHP1" s="630"/>
      <c r="EHQ1" s="632"/>
      <c r="EHR1" s="631"/>
      <c r="EHS1" s="631"/>
      <c r="EHT1" s="631"/>
      <c r="EHU1" s="631"/>
      <c r="EHV1" s="631"/>
      <c r="EHW1" s="631"/>
      <c r="EHX1" s="631"/>
      <c r="EHY1" s="631"/>
      <c r="EHZ1" s="631"/>
      <c r="EIA1" s="631"/>
      <c r="EIB1" s="631"/>
      <c r="EIC1" s="631"/>
      <c r="EID1" s="631"/>
      <c r="EIE1" s="631"/>
      <c r="EIF1" s="631"/>
      <c r="EIG1" s="631"/>
      <c r="EIH1" s="631"/>
      <c r="EII1" s="630"/>
      <c r="EIJ1" s="630"/>
      <c r="EIK1" s="630"/>
      <c r="EIL1" s="630"/>
      <c r="EIM1" s="630"/>
      <c r="EIN1" s="630"/>
      <c r="EIO1" s="630"/>
      <c r="EIP1" s="630"/>
      <c r="EIQ1" s="630"/>
      <c r="EIR1" s="630"/>
      <c r="EIS1" s="630"/>
      <c r="EIT1" s="630"/>
      <c r="EIU1" s="630"/>
      <c r="EIV1" s="630"/>
      <c r="EIW1" s="630"/>
      <c r="EIX1" s="630"/>
      <c r="EIY1" s="630"/>
      <c r="EIZ1" s="630"/>
      <c r="EJA1" s="630"/>
      <c r="EJB1" s="630"/>
      <c r="EJC1" s="630"/>
      <c r="EJD1" s="630"/>
      <c r="EJE1" s="630"/>
      <c r="EJF1" s="630"/>
      <c r="EJG1" s="630"/>
      <c r="EJH1" s="630"/>
      <c r="EJI1" s="630"/>
      <c r="EJJ1" s="630"/>
      <c r="EJK1" s="630"/>
      <c r="EJL1" s="630"/>
      <c r="EJM1" s="630"/>
      <c r="EJN1" s="630"/>
      <c r="EJO1" s="630"/>
      <c r="EJP1" s="630"/>
      <c r="EJQ1" s="630"/>
      <c r="EJR1" s="630"/>
      <c r="EJS1" s="630"/>
      <c r="EJT1" s="630"/>
      <c r="EJU1" s="630"/>
      <c r="EJV1" s="630"/>
      <c r="EJW1" s="630"/>
      <c r="EJX1" s="630"/>
      <c r="EJY1" s="630"/>
      <c r="EJZ1" s="630"/>
      <c r="EKA1" s="630"/>
      <c r="EKB1" s="630"/>
      <c r="EKC1" s="630"/>
      <c r="EKD1" s="630"/>
      <c r="EKE1" s="630"/>
      <c r="EKF1" s="632"/>
      <c r="EKG1" s="631"/>
      <c r="EKH1" s="631"/>
      <c r="EKI1" s="631"/>
      <c r="EKJ1" s="631"/>
      <c r="EKK1" s="631"/>
      <c r="EKL1" s="631"/>
      <c r="EKM1" s="631"/>
      <c r="EKN1" s="631"/>
      <c r="EKO1" s="631"/>
      <c r="EKP1" s="631"/>
      <c r="EKQ1" s="631"/>
      <c r="EKR1" s="631"/>
      <c r="EKS1" s="631"/>
      <c r="EKT1" s="631"/>
      <c r="EKU1" s="631"/>
      <c r="EKV1" s="631"/>
      <c r="EKW1" s="631"/>
      <c r="EKX1" s="630"/>
      <c r="EKY1" s="630"/>
      <c r="EKZ1" s="630"/>
      <c r="ELA1" s="630"/>
      <c r="ELB1" s="630"/>
      <c r="ELC1" s="630"/>
      <c r="ELD1" s="630"/>
      <c r="ELE1" s="630"/>
      <c r="ELF1" s="630"/>
      <c r="ELG1" s="630"/>
      <c r="ELH1" s="630"/>
      <c r="ELI1" s="630"/>
      <c r="ELJ1" s="630"/>
      <c r="ELK1" s="630"/>
      <c r="ELL1" s="630"/>
      <c r="ELM1" s="630"/>
      <c r="ELN1" s="630"/>
      <c r="ELO1" s="630"/>
      <c r="ELP1" s="630"/>
      <c r="ELQ1" s="630"/>
      <c r="ELR1" s="630"/>
      <c r="ELS1" s="630"/>
      <c r="ELT1" s="630"/>
      <c r="ELU1" s="630"/>
      <c r="ELV1" s="630"/>
      <c r="ELW1" s="630"/>
      <c r="ELX1" s="630"/>
      <c r="ELY1" s="630"/>
      <c r="ELZ1" s="630"/>
      <c r="EMA1" s="630"/>
      <c r="EMB1" s="630"/>
      <c r="EMC1" s="630"/>
      <c r="EMD1" s="630"/>
      <c r="EME1" s="630"/>
      <c r="EMF1" s="630"/>
      <c r="EMG1" s="630"/>
      <c r="EMH1" s="630"/>
      <c r="EMI1" s="630"/>
      <c r="EMJ1" s="630"/>
      <c r="EMK1" s="630"/>
      <c r="EML1" s="630"/>
      <c r="EMM1" s="630"/>
      <c r="EMN1" s="630"/>
      <c r="EMO1" s="630"/>
      <c r="EMP1" s="630"/>
      <c r="EMQ1" s="630"/>
      <c r="EMR1" s="630"/>
      <c r="EMS1" s="630"/>
      <c r="EMT1" s="630"/>
      <c r="EMU1" s="632"/>
      <c r="EMV1" s="631"/>
      <c r="EMW1" s="631"/>
      <c r="EMX1" s="631"/>
      <c r="EMY1" s="631"/>
      <c r="EMZ1" s="631"/>
      <c r="ENA1" s="631"/>
      <c r="ENB1" s="631"/>
      <c r="ENC1" s="631"/>
      <c r="END1" s="631"/>
      <c r="ENE1" s="631"/>
      <c r="ENF1" s="631"/>
      <c r="ENG1" s="631"/>
      <c r="ENH1" s="631"/>
      <c r="ENI1" s="631"/>
      <c r="ENJ1" s="631"/>
      <c r="ENK1" s="631"/>
      <c r="ENL1" s="631"/>
      <c r="ENM1" s="630"/>
      <c r="ENN1" s="630"/>
      <c r="ENO1" s="630"/>
      <c r="ENP1" s="630"/>
      <c r="ENQ1" s="630"/>
      <c r="ENR1" s="630"/>
      <c r="ENS1" s="630"/>
      <c r="ENT1" s="630"/>
      <c r="ENU1" s="630"/>
      <c r="ENV1" s="630"/>
      <c r="ENW1" s="630"/>
      <c r="ENX1" s="630"/>
      <c r="ENY1" s="630"/>
      <c r="ENZ1" s="630"/>
      <c r="EOA1" s="630"/>
      <c r="EOB1" s="630"/>
      <c r="EOC1" s="630"/>
      <c r="EOD1" s="630"/>
      <c r="EOE1" s="630"/>
      <c r="EOF1" s="630"/>
      <c r="EOG1" s="630"/>
      <c r="EOH1" s="630"/>
      <c r="EOI1" s="630"/>
      <c r="EOJ1" s="630"/>
      <c r="EOK1" s="630"/>
      <c r="EOL1" s="630"/>
      <c r="EOM1" s="630"/>
      <c r="EON1" s="630"/>
      <c r="EOO1" s="630"/>
      <c r="EOP1" s="630"/>
      <c r="EOQ1" s="630"/>
      <c r="EOR1" s="630"/>
      <c r="EOS1" s="630"/>
      <c r="EOT1" s="630"/>
      <c r="EOU1" s="630"/>
      <c r="EOV1" s="630"/>
      <c r="EOW1" s="630"/>
      <c r="EOX1" s="630"/>
      <c r="EOY1" s="630"/>
      <c r="EOZ1" s="630"/>
      <c r="EPA1" s="630"/>
      <c r="EPB1" s="630"/>
      <c r="EPC1" s="630"/>
      <c r="EPD1" s="630"/>
      <c r="EPE1" s="630"/>
      <c r="EPF1" s="630"/>
      <c r="EPG1" s="630"/>
      <c r="EPH1" s="630"/>
      <c r="EPI1" s="630"/>
      <c r="EPJ1" s="632"/>
      <c r="EPK1" s="631"/>
      <c r="EPL1" s="631"/>
      <c r="EPM1" s="631"/>
      <c r="EPN1" s="631"/>
      <c r="EPO1" s="631"/>
      <c r="EPP1" s="631"/>
      <c r="EPQ1" s="631"/>
      <c r="EPR1" s="631"/>
      <c r="EPS1" s="631"/>
      <c r="EPT1" s="631"/>
      <c r="EPU1" s="631"/>
      <c r="EPV1" s="631"/>
      <c r="EPW1" s="631"/>
      <c r="EPX1" s="631"/>
      <c r="EPY1" s="631"/>
      <c r="EPZ1" s="631"/>
      <c r="EQA1" s="631"/>
      <c r="EQB1" s="630"/>
      <c r="EQC1" s="630"/>
      <c r="EQD1" s="630"/>
      <c r="EQE1" s="630"/>
      <c r="EQF1" s="630"/>
      <c r="EQG1" s="630"/>
      <c r="EQH1" s="630"/>
      <c r="EQI1" s="630"/>
      <c r="EQJ1" s="630"/>
      <c r="EQK1" s="630"/>
      <c r="EQL1" s="630"/>
      <c r="EQM1" s="630"/>
      <c r="EQN1" s="630"/>
      <c r="EQO1" s="630"/>
      <c r="EQP1" s="630"/>
      <c r="EQQ1" s="630"/>
      <c r="EQR1" s="630"/>
      <c r="EQS1" s="630"/>
      <c r="EQT1" s="630"/>
      <c r="EQU1" s="630"/>
      <c r="EQV1" s="630"/>
      <c r="EQW1" s="630"/>
      <c r="EQX1" s="630"/>
      <c r="EQY1" s="630"/>
      <c r="EQZ1" s="630"/>
      <c r="ERA1" s="630"/>
      <c r="ERB1" s="630"/>
      <c r="ERC1" s="630"/>
      <c r="ERD1" s="630"/>
      <c r="ERE1" s="630"/>
      <c r="ERF1" s="630"/>
      <c r="ERG1" s="630"/>
      <c r="ERH1" s="630"/>
      <c r="ERI1" s="630"/>
      <c r="ERJ1" s="630"/>
      <c r="ERK1" s="630"/>
      <c r="ERL1" s="630"/>
      <c r="ERM1" s="630"/>
      <c r="ERN1" s="630"/>
      <c r="ERO1" s="630"/>
      <c r="ERP1" s="630"/>
      <c r="ERQ1" s="630"/>
      <c r="ERR1" s="630"/>
      <c r="ERS1" s="630"/>
      <c r="ERT1" s="630"/>
      <c r="ERU1" s="630"/>
      <c r="ERV1" s="630"/>
      <c r="ERW1" s="630"/>
      <c r="ERX1" s="630"/>
      <c r="ERY1" s="632"/>
      <c r="ERZ1" s="631"/>
      <c r="ESA1" s="631"/>
      <c r="ESB1" s="631"/>
      <c r="ESC1" s="631"/>
      <c r="ESD1" s="631"/>
      <c r="ESE1" s="631"/>
      <c r="ESF1" s="631"/>
      <c r="ESG1" s="631"/>
      <c r="ESH1" s="631"/>
      <c r="ESI1" s="631"/>
      <c r="ESJ1" s="631"/>
      <c r="ESK1" s="631"/>
      <c r="ESL1" s="631"/>
      <c r="ESM1" s="631"/>
      <c r="ESN1" s="631"/>
      <c r="ESO1" s="631"/>
      <c r="ESP1" s="631"/>
      <c r="ESQ1" s="630"/>
      <c r="ESR1" s="630"/>
      <c r="ESS1" s="630"/>
      <c r="EST1" s="630"/>
      <c r="ESU1" s="630"/>
      <c r="ESV1" s="630"/>
      <c r="ESW1" s="630"/>
      <c r="ESX1" s="630"/>
      <c r="ESY1" s="630"/>
      <c r="ESZ1" s="630"/>
      <c r="ETA1" s="630"/>
      <c r="ETB1" s="630"/>
      <c r="ETC1" s="630"/>
      <c r="ETD1" s="630"/>
      <c r="ETE1" s="630"/>
      <c r="ETF1" s="630"/>
      <c r="ETG1" s="630"/>
      <c r="ETH1" s="630"/>
      <c r="ETI1" s="630"/>
      <c r="ETJ1" s="630"/>
      <c r="ETK1" s="630"/>
      <c r="ETL1" s="630"/>
      <c r="ETM1" s="630"/>
      <c r="ETN1" s="630"/>
      <c r="ETO1" s="630"/>
      <c r="ETP1" s="630"/>
      <c r="ETQ1" s="630"/>
      <c r="ETR1" s="630"/>
      <c r="ETS1" s="630"/>
      <c r="ETT1" s="630"/>
      <c r="ETU1" s="630"/>
      <c r="ETV1" s="630"/>
      <c r="ETW1" s="630"/>
      <c r="ETX1" s="630"/>
      <c r="ETY1" s="630"/>
      <c r="ETZ1" s="630"/>
      <c r="EUA1" s="630"/>
      <c r="EUB1" s="630"/>
      <c r="EUC1" s="630"/>
      <c r="EUD1" s="630"/>
      <c r="EUE1" s="630"/>
      <c r="EUF1" s="630"/>
      <c r="EUG1" s="630"/>
      <c r="EUH1" s="630"/>
      <c r="EUI1" s="630"/>
      <c r="EUJ1" s="630"/>
      <c r="EUK1" s="630"/>
      <c r="EUL1" s="630"/>
      <c r="EUM1" s="630"/>
      <c r="EUN1" s="632"/>
      <c r="EUO1" s="631"/>
      <c r="EUP1" s="631"/>
      <c r="EUQ1" s="631"/>
      <c r="EUR1" s="631"/>
      <c r="EUS1" s="631"/>
      <c r="EUT1" s="631"/>
      <c r="EUU1" s="631"/>
      <c r="EUV1" s="631"/>
      <c r="EUW1" s="631"/>
      <c r="EUX1" s="631"/>
      <c r="EUY1" s="631"/>
      <c r="EUZ1" s="631"/>
      <c r="EVA1" s="631"/>
      <c r="EVB1" s="631"/>
      <c r="EVC1" s="631"/>
      <c r="EVD1" s="631"/>
      <c r="EVE1" s="631"/>
      <c r="EVF1" s="630"/>
      <c r="EVG1" s="630"/>
      <c r="EVH1" s="630"/>
      <c r="EVI1" s="630"/>
      <c r="EVJ1" s="630"/>
      <c r="EVK1" s="630"/>
      <c r="EVL1" s="630"/>
      <c r="EVM1" s="630"/>
      <c r="EVN1" s="630"/>
      <c r="EVO1" s="630"/>
      <c r="EVP1" s="630"/>
      <c r="EVQ1" s="630"/>
      <c r="EVR1" s="630"/>
      <c r="EVS1" s="630"/>
      <c r="EVT1" s="630"/>
      <c r="EVU1" s="630"/>
      <c r="EVV1" s="630"/>
      <c r="EVW1" s="630"/>
      <c r="EVX1" s="630"/>
      <c r="EVY1" s="630"/>
      <c r="EVZ1" s="630"/>
      <c r="EWA1" s="630"/>
      <c r="EWB1" s="630"/>
      <c r="EWC1" s="630"/>
      <c r="EWD1" s="630"/>
      <c r="EWE1" s="630"/>
      <c r="EWF1" s="630"/>
      <c r="EWG1" s="630"/>
      <c r="EWH1" s="630"/>
      <c r="EWI1" s="630"/>
      <c r="EWJ1" s="630"/>
      <c r="EWK1" s="630"/>
      <c r="EWL1" s="630"/>
      <c r="EWM1" s="630"/>
      <c r="EWN1" s="630"/>
      <c r="EWO1" s="630"/>
      <c r="EWP1" s="630"/>
      <c r="EWQ1" s="630"/>
      <c r="EWR1" s="630"/>
      <c r="EWS1" s="630"/>
      <c r="EWT1" s="630"/>
      <c r="EWU1" s="630"/>
      <c r="EWV1" s="630"/>
      <c r="EWW1" s="630"/>
      <c r="EWX1" s="630"/>
      <c r="EWY1" s="630"/>
      <c r="EWZ1" s="630"/>
      <c r="EXA1" s="630"/>
      <c r="EXB1" s="630"/>
      <c r="EXC1" s="632"/>
      <c r="EXD1" s="631"/>
      <c r="EXE1" s="631"/>
      <c r="EXF1" s="631"/>
      <c r="EXG1" s="631"/>
      <c r="EXH1" s="631"/>
      <c r="EXI1" s="631"/>
      <c r="EXJ1" s="631"/>
      <c r="EXK1" s="631"/>
      <c r="EXL1" s="631"/>
      <c r="EXM1" s="631"/>
      <c r="EXN1" s="631"/>
      <c r="EXO1" s="631"/>
      <c r="EXP1" s="631"/>
      <c r="EXQ1" s="631"/>
      <c r="EXR1" s="631"/>
      <c r="EXS1" s="631"/>
      <c r="EXT1" s="631"/>
      <c r="EXU1" s="630"/>
      <c r="EXV1" s="630"/>
      <c r="EXW1" s="630"/>
      <c r="EXX1" s="630"/>
      <c r="EXY1" s="630"/>
      <c r="EXZ1" s="630"/>
      <c r="EYA1" s="630"/>
      <c r="EYB1" s="630"/>
      <c r="EYC1" s="630"/>
      <c r="EYD1" s="630"/>
      <c r="EYE1" s="630"/>
      <c r="EYF1" s="630"/>
      <c r="EYG1" s="630"/>
      <c r="EYH1" s="630"/>
      <c r="EYI1" s="630"/>
      <c r="EYJ1" s="630"/>
      <c r="EYK1" s="630"/>
      <c r="EYL1" s="630"/>
      <c r="EYM1" s="630"/>
      <c r="EYN1" s="630"/>
      <c r="EYO1" s="630"/>
      <c r="EYP1" s="630"/>
      <c r="EYQ1" s="630"/>
      <c r="EYR1" s="630"/>
      <c r="EYS1" s="630"/>
      <c r="EYT1" s="630"/>
      <c r="EYU1" s="630"/>
      <c r="EYV1" s="630"/>
      <c r="EYW1" s="630"/>
      <c r="EYX1" s="630"/>
      <c r="EYY1" s="630"/>
      <c r="EYZ1" s="630"/>
      <c r="EZA1" s="630"/>
      <c r="EZB1" s="630"/>
      <c r="EZC1" s="630"/>
      <c r="EZD1" s="630"/>
      <c r="EZE1" s="630"/>
      <c r="EZF1" s="630"/>
      <c r="EZG1" s="630"/>
      <c r="EZH1" s="630"/>
      <c r="EZI1" s="630"/>
      <c r="EZJ1" s="630"/>
      <c r="EZK1" s="630"/>
      <c r="EZL1" s="630"/>
      <c r="EZM1" s="630"/>
      <c r="EZN1" s="630"/>
      <c r="EZO1" s="630"/>
      <c r="EZP1" s="630"/>
      <c r="EZQ1" s="630"/>
      <c r="EZR1" s="632"/>
      <c r="EZS1" s="631"/>
      <c r="EZT1" s="631"/>
      <c r="EZU1" s="631"/>
      <c r="EZV1" s="631"/>
      <c r="EZW1" s="631"/>
      <c r="EZX1" s="631"/>
      <c r="EZY1" s="631"/>
      <c r="EZZ1" s="631"/>
      <c r="FAA1" s="631"/>
      <c r="FAB1" s="631"/>
      <c r="FAC1" s="631"/>
      <c r="FAD1" s="631"/>
      <c r="FAE1" s="631"/>
      <c r="FAF1" s="631"/>
      <c r="FAG1" s="631"/>
      <c r="FAH1" s="631"/>
      <c r="FAI1" s="631"/>
      <c r="FAJ1" s="630"/>
      <c r="FAK1" s="630"/>
      <c r="FAL1" s="630"/>
      <c r="FAM1" s="630"/>
      <c r="FAN1" s="630"/>
      <c r="FAO1" s="630"/>
      <c r="FAP1" s="630"/>
      <c r="FAQ1" s="630"/>
      <c r="FAR1" s="630"/>
      <c r="FAS1" s="630"/>
      <c r="FAT1" s="630"/>
      <c r="FAU1" s="630"/>
      <c r="FAV1" s="630"/>
      <c r="FAW1" s="630"/>
      <c r="FAX1" s="630"/>
      <c r="FAY1" s="630"/>
      <c r="FAZ1" s="630"/>
      <c r="FBA1" s="630"/>
      <c r="FBB1" s="630"/>
      <c r="FBC1" s="630"/>
      <c r="FBD1" s="630"/>
      <c r="FBE1" s="630"/>
      <c r="FBF1" s="630"/>
      <c r="FBG1" s="630"/>
      <c r="FBH1" s="630"/>
      <c r="FBI1" s="630"/>
      <c r="FBJ1" s="630"/>
      <c r="FBK1" s="630"/>
      <c r="FBL1" s="630"/>
      <c r="FBM1" s="630"/>
      <c r="FBN1" s="630"/>
      <c r="FBO1" s="630"/>
      <c r="FBP1" s="630"/>
      <c r="FBQ1" s="630"/>
      <c r="FBR1" s="630"/>
      <c r="FBS1" s="630"/>
      <c r="FBT1" s="630"/>
      <c r="FBU1" s="630"/>
      <c r="FBV1" s="630"/>
      <c r="FBW1" s="630"/>
      <c r="FBX1" s="630"/>
      <c r="FBY1" s="630"/>
      <c r="FBZ1" s="630"/>
      <c r="FCA1" s="630"/>
      <c r="FCB1" s="630"/>
      <c r="FCC1" s="630"/>
      <c r="FCD1" s="630"/>
      <c r="FCE1" s="630"/>
      <c r="FCF1" s="630"/>
      <c r="FCG1" s="632"/>
      <c r="FCH1" s="631"/>
      <c r="FCI1" s="631"/>
      <c r="FCJ1" s="631"/>
      <c r="FCK1" s="631"/>
      <c r="FCL1" s="631"/>
      <c r="FCM1" s="631"/>
      <c r="FCN1" s="631"/>
      <c r="FCO1" s="631"/>
      <c r="FCP1" s="631"/>
      <c r="FCQ1" s="631"/>
      <c r="FCR1" s="631"/>
      <c r="FCS1" s="631"/>
      <c r="FCT1" s="631"/>
      <c r="FCU1" s="631"/>
      <c r="FCV1" s="631"/>
      <c r="FCW1" s="631"/>
      <c r="FCX1" s="631"/>
      <c r="FCY1" s="630"/>
      <c r="FCZ1" s="630"/>
      <c r="FDA1" s="630"/>
      <c r="FDB1" s="630"/>
      <c r="FDC1" s="630"/>
      <c r="FDD1" s="630"/>
      <c r="FDE1" s="630"/>
      <c r="FDF1" s="630"/>
      <c r="FDG1" s="630"/>
      <c r="FDH1" s="630"/>
      <c r="FDI1" s="630"/>
      <c r="FDJ1" s="630"/>
      <c r="FDK1" s="630"/>
      <c r="FDL1" s="630"/>
      <c r="FDM1" s="630"/>
      <c r="FDN1" s="630"/>
      <c r="FDO1" s="630"/>
      <c r="FDP1" s="630"/>
      <c r="FDQ1" s="630"/>
      <c r="FDR1" s="630"/>
      <c r="FDS1" s="630"/>
      <c r="FDT1" s="630"/>
      <c r="FDU1" s="630"/>
      <c r="FDV1" s="630"/>
      <c r="FDW1" s="630"/>
      <c r="FDX1" s="630"/>
      <c r="FDY1" s="630"/>
      <c r="FDZ1" s="630"/>
      <c r="FEA1" s="630"/>
      <c r="FEB1" s="630"/>
      <c r="FEC1" s="630"/>
      <c r="FED1" s="630"/>
      <c r="FEE1" s="630"/>
      <c r="FEF1" s="630"/>
      <c r="FEG1" s="630"/>
      <c r="FEH1" s="630"/>
      <c r="FEI1" s="630"/>
      <c r="FEJ1" s="630"/>
      <c r="FEK1" s="630"/>
      <c r="FEL1" s="630"/>
      <c r="FEM1" s="630"/>
      <c r="FEN1" s="630"/>
      <c r="FEO1" s="630"/>
      <c r="FEP1" s="630"/>
      <c r="FEQ1" s="630"/>
      <c r="FER1" s="630"/>
      <c r="FES1" s="630"/>
      <c r="FET1" s="630"/>
      <c r="FEU1" s="630"/>
      <c r="FEV1" s="632"/>
      <c r="FEW1" s="631"/>
      <c r="FEX1" s="631"/>
      <c r="FEY1" s="631"/>
      <c r="FEZ1" s="631"/>
      <c r="FFA1" s="631"/>
      <c r="FFB1" s="631"/>
      <c r="FFC1" s="631"/>
      <c r="FFD1" s="631"/>
      <c r="FFE1" s="631"/>
      <c r="FFF1" s="631"/>
      <c r="FFG1" s="631"/>
      <c r="FFH1" s="631"/>
      <c r="FFI1" s="631"/>
      <c r="FFJ1" s="631"/>
      <c r="FFK1" s="631"/>
      <c r="FFL1" s="631"/>
      <c r="FFM1" s="631"/>
      <c r="FFN1" s="630"/>
      <c r="FFO1" s="630"/>
      <c r="FFP1" s="630"/>
      <c r="FFQ1" s="630"/>
      <c r="FFR1" s="630"/>
      <c r="FFS1" s="630"/>
      <c r="FFT1" s="630"/>
      <c r="FFU1" s="630"/>
      <c r="FFV1" s="630"/>
      <c r="FFW1" s="630"/>
      <c r="FFX1" s="630"/>
      <c r="FFY1" s="630"/>
      <c r="FFZ1" s="630"/>
      <c r="FGA1" s="630"/>
      <c r="FGB1" s="630"/>
      <c r="FGC1" s="630"/>
      <c r="FGD1" s="630"/>
      <c r="FGE1" s="630"/>
      <c r="FGF1" s="630"/>
      <c r="FGG1" s="630"/>
      <c r="FGH1" s="630"/>
      <c r="FGI1" s="630"/>
      <c r="FGJ1" s="630"/>
      <c r="FGK1" s="630"/>
      <c r="FGL1" s="630"/>
      <c r="FGM1" s="630"/>
      <c r="FGN1" s="630"/>
      <c r="FGO1" s="630"/>
      <c r="FGP1" s="630"/>
      <c r="FGQ1" s="630"/>
      <c r="FGR1" s="630"/>
      <c r="FGS1" s="630"/>
      <c r="FGT1" s="630"/>
      <c r="FGU1" s="630"/>
      <c r="FGV1" s="630"/>
      <c r="FGW1" s="630"/>
      <c r="FGX1" s="630"/>
      <c r="FGY1" s="630"/>
      <c r="FGZ1" s="630"/>
      <c r="FHA1" s="630"/>
      <c r="FHB1" s="630"/>
      <c r="FHC1" s="630"/>
      <c r="FHD1" s="630"/>
      <c r="FHE1" s="630"/>
      <c r="FHF1" s="630"/>
      <c r="FHG1" s="630"/>
      <c r="FHH1" s="630"/>
      <c r="FHI1" s="630"/>
      <c r="FHJ1" s="630"/>
      <c r="FHK1" s="632"/>
      <c r="FHL1" s="631"/>
      <c r="FHM1" s="631"/>
      <c r="FHN1" s="631"/>
      <c r="FHO1" s="631"/>
      <c r="FHP1" s="631"/>
      <c r="FHQ1" s="631"/>
      <c r="FHR1" s="631"/>
      <c r="FHS1" s="631"/>
      <c r="FHT1" s="631"/>
      <c r="FHU1" s="631"/>
      <c r="FHV1" s="631"/>
      <c r="FHW1" s="631"/>
      <c r="FHX1" s="631"/>
      <c r="FHY1" s="631"/>
      <c r="FHZ1" s="631"/>
      <c r="FIA1" s="631"/>
      <c r="FIB1" s="631"/>
      <c r="FIC1" s="630"/>
      <c r="FID1" s="630"/>
      <c r="FIE1" s="630"/>
      <c r="FIF1" s="630"/>
      <c r="FIG1" s="630"/>
      <c r="FIH1" s="630"/>
      <c r="FII1" s="630"/>
      <c r="FIJ1" s="630"/>
      <c r="FIK1" s="630"/>
      <c r="FIL1" s="630"/>
      <c r="FIM1" s="630"/>
      <c r="FIN1" s="630"/>
      <c r="FIO1" s="630"/>
      <c r="FIP1" s="630"/>
      <c r="FIQ1" s="630"/>
      <c r="FIR1" s="630"/>
      <c r="FIS1" s="630"/>
      <c r="FIT1" s="630"/>
      <c r="FIU1" s="630"/>
      <c r="FIV1" s="630"/>
      <c r="FIW1" s="630"/>
      <c r="FIX1" s="630"/>
      <c r="FIY1" s="630"/>
      <c r="FIZ1" s="630"/>
      <c r="FJA1" s="630"/>
      <c r="FJB1" s="630"/>
      <c r="FJC1" s="630"/>
      <c r="FJD1" s="630"/>
      <c r="FJE1" s="630"/>
      <c r="FJF1" s="630"/>
      <c r="FJG1" s="630"/>
      <c r="FJH1" s="630"/>
      <c r="FJI1" s="630"/>
      <c r="FJJ1" s="630"/>
      <c r="FJK1" s="630"/>
      <c r="FJL1" s="630"/>
      <c r="FJM1" s="630"/>
      <c r="FJN1" s="630"/>
      <c r="FJO1" s="630"/>
      <c r="FJP1" s="630"/>
      <c r="FJQ1" s="630"/>
      <c r="FJR1" s="630"/>
      <c r="FJS1" s="630"/>
      <c r="FJT1" s="630"/>
      <c r="FJU1" s="630"/>
      <c r="FJV1" s="630"/>
      <c r="FJW1" s="630"/>
      <c r="FJX1" s="630"/>
      <c r="FJY1" s="630"/>
      <c r="FJZ1" s="632"/>
      <c r="FKA1" s="631"/>
      <c r="FKB1" s="631"/>
      <c r="FKC1" s="631"/>
      <c r="FKD1" s="631"/>
      <c r="FKE1" s="631"/>
      <c r="FKF1" s="631"/>
      <c r="FKG1" s="631"/>
      <c r="FKH1" s="631"/>
      <c r="FKI1" s="631"/>
      <c r="FKJ1" s="631"/>
      <c r="FKK1" s="631"/>
      <c r="FKL1" s="631"/>
      <c r="FKM1" s="631"/>
      <c r="FKN1" s="631"/>
      <c r="FKO1" s="631"/>
      <c r="FKP1" s="631"/>
      <c r="FKQ1" s="631"/>
      <c r="FKR1" s="630"/>
      <c r="FKS1" s="630"/>
      <c r="FKT1" s="630"/>
      <c r="FKU1" s="630"/>
      <c r="FKV1" s="630"/>
      <c r="FKW1" s="630"/>
      <c r="FKX1" s="630"/>
      <c r="FKY1" s="630"/>
      <c r="FKZ1" s="630"/>
      <c r="FLA1" s="630"/>
      <c r="FLB1" s="630"/>
      <c r="FLC1" s="630"/>
      <c r="FLD1" s="630"/>
      <c r="FLE1" s="630"/>
      <c r="FLF1" s="630"/>
      <c r="FLG1" s="630"/>
      <c r="FLH1" s="630"/>
      <c r="FLI1" s="630"/>
      <c r="FLJ1" s="630"/>
      <c r="FLK1" s="630"/>
      <c r="FLL1" s="630"/>
      <c r="FLM1" s="630"/>
      <c r="FLN1" s="630"/>
      <c r="FLO1" s="630"/>
      <c r="FLP1" s="630"/>
      <c r="FLQ1" s="630"/>
      <c r="FLR1" s="630"/>
      <c r="FLS1" s="630"/>
      <c r="FLT1" s="630"/>
      <c r="FLU1" s="630"/>
      <c r="FLV1" s="630"/>
      <c r="FLW1" s="630"/>
      <c r="FLX1" s="630"/>
      <c r="FLY1" s="630"/>
      <c r="FLZ1" s="630"/>
      <c r="FMA1" s="630"/>
      <c r="FMB1" s="630"/>
      <c r="FMC1" s="630"/>
      <c r="FMD1" s="630"/>
      <c r="FME1" s="630"/>
      <c r="FMF1" s="630"/>
      <c r="FMG1" s="630"/>
      <c r="FMH1" s="630"/>
      <c r="FMI1" s="630"/>
      <c r="FMJ1" s="630"/>
      <c r="FMK1" s="630"/>
      <c r="FML1" s="630"/>
      <c r="FMM1" s="630"/>
      <c r="FMN1" s="630"/>
      <c r="FMO1" s="632"/>
      <c r="FMP1" s="631"/>
      <c r="FMQ1" s="631"/>
      <c r="FMR1" s="631"/>
      <c r="FMS1" s="631"/>
      <c r="FMT1" s="631"/>
      <c r="FMU1" s="631"/>
      <c r="FMV1" s="631"/>
      <c r="FMW1" s="631"/>
      <c r="FMX1" s="631"/>
      <c r="FMY1" s="631"/>
      <c r="FMZ1" s="631"/>
      <c r="FNA1" s="631"/>
      <c r="FNB1" s="631"/>
      <c r="FNC1" s="631"/>
      <c r="FND1" s="631"/>
      <c r="FNE1" s="631"/>
      <c r="FNF1" s="631"/>
      <c r="FNG1" s="630"/>
      <c r="FNH1" s="630"/>
      <c r="FNI1" s="630"/>
      <c r="FNJ1" s="630"/>
      <c r="FNK1" s="630"/>
      <c r="FNL1" s="630"/>
      <c r="FNM1" s="630"/>
      <c r="FNN1" s="630"/>
      <c r="FNO1" s="630"/>
      <c r="FNP1" s="630"/>
      <c r="FNQ1" s="630"/>
      <c r="FNR1" s="630"/>
      <c r="FNS1" s="630"/>
      <c r="FNT1" s="630"/>
      <c r="FNU1" s="630"/>
      <c r="FNV1" s="630"/>
      <c r="FNW1" s="630"/>
      <c r="FNX1" s="630"/>
      <c r="FNY1" s="630"/>
      <c r="FNZ1" s="630"/>
      <c r="FOA1" s="630"/>
      <c r="FOB1" s="630"/>
      <c r="FOC1" s="630"/>
      <c r="FOD1" s="630"/>
      <c r="FOE1" s="630"/>
      <c r="FOF1" s="630"/>
      <c r="FOG1" s="630"/>
      <c r="FOH1" s="630"/>
      <c r="FOI1" s="630"/>
      <c r="FOJ1" s="630"/>
      <c r="FOK1" s="630"/>
      <c r="FOL1" s="630"/>
      <c r="FOM1" s="630"/>
      <c r="FON1" s="630"/>
      <c r="FOO1" s="630"/>
      <c r="FOP1" s="630"/>
      <c r="FOQ1" s="630"/>
      <c r="FOR1" s="630"/>
      <c r="FOS1" s="630"/>
      <c r="FOT1" s="630"/>
      <c r="FOU1" s="630"/>
      <c r="FOV1" s="630"/>
      <c r="FOW1" s="630"/>
      <c r="FOX1" s="630"/>
      <c r="FOY1" s="630"/>
      <c r="FOZ1" s="630"/>
      <c r="FPA1" s="630"/>
      <c r="FPB1" s="630"/>
      <c r="FPC1" s="630"/>
      <c r="FPD1" s="632"/>
      <c r="FPE1" s="631"/>
      <c r="FPF1" s="631"/>
      <c r="FPG1" s="631"/>
      <c r="FPH1" s="631"/>
      <c r="FPI1" s="631"/>
      <c r="FPJ1" s="631"/>
      <c r="FPK1" s="631"/>
      <c r="FPL1" s="631"/>
      <c r="FPM1" s="631"/>
      <c r="FPN1" s="631"/>
      <c r="FPO1" s="631"/>
      <c r="FPP1" s="631"/>
      <c r="FPQ1" s="631"/>
      <c r="FPR1" s="631"/>
      <c r="FPS1" s="631"/>
      <c r="FPT1" s="631"/>
      <c r="FPU1" s="631"/>
      <c r="FPV1" s="630"/>
      <c r="FPW1" s="630"/>
      <c r="FPX1" s="630"/>
      <c r="FPY1" s="630"/>
      <c r="FPZ1" s="630"/>
      <c r="FQA1" s="630"/>
      <c r="FQB1" s="630"/>
      <c r="FQC1" s="630"/>
      <c r="FQD1" s="630"/>
      <c r="FQE1" s="630"/>
      <c r="FQF1" s="630"/>
      <c r="FQG1" s="630"/>
      <c r="FQH1" s="630"/>
      <c r="FQI1" s="630"/>
      <c r="FQJ1" s="630"/>
      <c r="FQK1" s="630"/>
      <c r="FQL1" s="630"/>
      <c r="FQM1" s="630"/>
      <c r="FQN1" s="630"/>
      <c r="FQO1" s="630"/>
      <c r="FQP1" s="630"/>
      <c r="FQQ1" s="630"/>
      <c r="FQR1" s="630"/>
      <c r="FQS1" s="630"/>
      <c r="FQT1" s="630"/>
      <c r="FQU1" s="630"/>
      <c r="FQV1" s="630"/>
      <c r="FQW1" s="630"/>
      <c r="FQX1" s="630"/>
      <c r="FQY1" s="630"/>
      <c r="FQZ1" s="630"/>
      <c r="FRA1" s="630"/>
      <c r="FRB1" s="630"/>
      <c r="FRC1" s="630"/>
      <c r="FRD1" s="630"/>
      <c r="FRE1" s="630"/>
      <c r="FRF1" s="630"/>
      <c r="FRG1" s="630"/>
      <c r="FRH1" s="630"/>
      <c r="FRI1" s="630"/>
      <c r="FRJ1" s="630"/>
      <c r="FRK1" s="630"/>
      <c r="FRL1" s="630"/>
      <c r="FRM1" s="630"/>
      <c r="FRN1" s="630"/>
      <c r="FRO1" s="630"/>
      <c r="FRP1" s="630"/>
      <c r="FRQ1" s="630"/>
      <c r="FRR1" s="630"/>
      <c r="FRS1" s="632"/>
      <c r="FRT1" s="631"/>
      <c r="FRU1" s="631"/>
      <c r="FRV1" s="631"/>
      <c r="FRW1" s="631"/>
      <c r="FRX1" s="631"/>
      <c r="FRY1" s="631"/>
      <c r="FRZ1" s="631"/>
      <c r="FSA1" s="631"/>
      <c r="FSB1" s="631"/>
      <c r="FSC1" s="631"/>
      <c r="FSD1" s="631"/>
      <c r="FSE1" s="631"/>
      <c r="FSF1" s="631"/>
      <c r="FSG1" s="631"/>
      <c r="FSH1" s="631"/>
      <c r="FSI1" s="631"/>
      <c r="FSJ1" s="631"/>
      <c r="FSK1" s="630"/>
      <c r="FSL1" s="630"/>
      <c r="FSM1" s="630"/>
      <c r="FSN1" s="630"/>
      <c r="FSO1" s="630"/>
      <c r="FSP1" s="630"/>
      <c r="FSQ1" s="630"/>
      <c r="FSR1" s="630"/>
      <c r="FSS1" s="630"/>
      <c r="FST1" s="630"/>
      <c r="FSU1" s="630"/>
      <c r="FSV1" s="630"/>
      <c r="FSW1" s="630"/>
      <c r="FSX1" s="630"/>
      <c r="FSY1" s="630"/>
      <c r="FSZ1" s="630"/>
      <c r="FTA1" s="630"/>
      <c r="FTB1" s="630"/>
      <c r="FTC1" s="630"/>
      <c r="FTD1" s="630"/>
      <c r="FTE1" s="630"/>
      <c r="FTF1" s="630"/>
      <c r="FTG1" s="630"/>
      <c r="FTH1" s="630"/>
      <c r="FTI1" s="630"/>
      <c r="FTJ1" s="630"/>
      <c r="FTK1" s="630"/>
      <c r="FTL1" s="630"/>
      <c r="FTM1" s="630"/>
      <c r="FTN1" s="630"/>
      <c r="FTO1" s="630"/>
      <c r="FTP1" s="630"/>
      <c r="FTQ1" s="630"/>
      <c r="FTR1" s="630"/>
      <c r="FTS1" s="630"/>
      <c r="FTT1" s="630"/>
      <c r="FTU1" s="630"/>
      <c r="FTV1" s="630"/>
      <c r="FTW1" s="630"/>
      <c r="FTX1" s="630"/>
      <c r="FTY1" s="630"/>
      <c r="FTZ1" s="630"/>
      <c r="FUA1" s="630"/>
      <c r="FUB1" s="630"/>
      <c r="FUC1" s="630"/>
      <c r="FUD1" s="630"/>
      <c r="FUE1" s="630"/>
      <c r="FUF1" s="630"/>
      <c r="FUG1" s="630"/>
      <c r="FUH1" s="632"/>
      <c r="FUI1" s="631"/>
      <c r="FUJ1" s="631"/>
      <c r="FUK1" s="631"/>
      <c r="FUL1" s="631"/>
      <c r="FUM1" s="631"/>
      <c r="FUN1" s="631"/>
      <c r="FUO1" s="631"/>
      <c r="FUP1" s="631"/>
      <c r="FUQ1" s="631"/>
      <c r="FUR1" s="631"/>
      <c r="FUS1" s="631"/>
      <c r="FUT1" s="631"/>
      <c r="FUU1" s="631"/>
      <c r="FUV1" s="631"/>
      <c r="FUW1" s="631"/>
      <c r="FUX1" s="631"/>
      <c r="FUY1" s="631"/>
      <c r="FUZ1" s="630"/>
      <c r="FVA1" s="630"/>
      <c r="FVB1" s="630"/>
      <c r="FVC1" s="630"/>
      <c r="FVD1" s="630"/>
      <c r="FVE1" s="630"/>
      <c r="FVF1" s="630"/>
      <c r="FVG1" s="630"/>
      <c r="FVH1" s="630"/>
      <c r="FVI1" s="630"/>
      <c r="FVJ1" s="630"/>
      <c r="FVK1" s="630"/>
      <c r="FVL1" s="630"/>
      <c r="FVM1" s="630"/>
      <c r="FVN1" s="630"/>
      <c r="FVO1" s="630"/>
      <c r="FVP1" s="630"/>
      <c r="FVQ1" s="630"/>
      <c r="FVR1" s="630"/>
      <c r="FVS1" s="630"/>
      <c r="FVT1" s="630"/>
      <c r="FVU1" s="630"/>
      <c r="FVV1" s="630"/>
      <c r="FVW1" s="630"/>
      <c r="FVX1" s="630"/>
      <c r="FVY1" s="630"/>
      <c r="FVZ1" s="630"/>
      <c r="FWA1" s="630"/>
      <c r="FWB1" s="630"/>
      <c r="FWC1" s="630"/>
      <c r="FWD1" s="630"/>
      <c r="FWE1" s="630"/>
      <c r="FWF1" s="630"/>
      <c r="FWG1" s="630"/>
      <c r="FWH1" s="630"/>
      <c r="FWI1" s="630"/>
      <c r="FWJ1" s="630"/>
      <c r="FWK1" s="630"/>
      <c r="FWL1" s="630"/>
      <c r="FWM1" s="630"/>
      <c r="FWN1" s="630"/>
      <c r="FWO1" s="630"/>
      <c r="FWP1" s="630"/>
      <c r="FWQ1" s="630"/>
      <c r="FWR1" s="630"/>
      <c r="FWS1" s="630"/>
      <c r="FWT1" s="630"/>
      <c r="FWU1" s="630"/>
      <c r="FWV1" s="630"/>
      <c r="FWW1" s="632"/>
      <c r="FWX1" s="631"/>
      <c r="FWY1" s="631"/>
      <c r="FWZ1" s="631"/>
      <c r="FXA1" s="631"/>
      <c r="FXB1" s="631"/>
      <c r="FXC1" s="631"/>
      <c r="FXD1" s="631"/>
      <c r="FXE1" s="631"/>
      <c r="FXF1" s="631"/>
      <c r="FXG1" s="631"/>
      <c r="FXH1" s="631"/>
      <c r="FXI1" s="631"/>
      <c r="FXJ1" s="631"/>
      <c r="FXK1" s="631"/>
      <c r="FXL1" s="631"/>
      <c r="FXM1" s="631"/>
      <c r="FXN1" s="631"/>
      <c r="FXO1" s="630"/>
      <c r="FXP1" s="630"/>
      <c r="FXQ1" s="630"/>
      <c r="FXR1" s="630"/>
      <c r="FXS1" s="630"/>
      <c r="FXT1" s="630"/>
      <c r="FXU1" s="630"/>
      <c r="FXV1" s="630"/>
      <c r="FXW1" s="630"/>
      <c r="FXX1" s="630"/>
      <c r="FXY1" s="630"/>
      <c r="FXZ1" s="630"/>
      <c r="FYA1" s="630"/>
      <c r="FYB1" s="630"/>
      <c r="FYC1" s="630"/>
      <c r="FYD1" s="630"/>
      <c r="FYE1" s="630"/>
      <c r="FYF1" s="630"/>
      <c r="FYG1" s="630"/>
      <c r="FYH1" s="630"/>
      <c r="FYI1" s="630"/>
      <c r="FYJ1" s="630"/>
      <c r="FYK1" s="630"/>
      <c r="FYL1" s="630"/>
      <c r="FYM1" s="630"/>
      <c r="FYN1" s="630"/>
      <c r="FYO1" s="630"/>
      <c r="FYP1" s="630"/>
      <c r="FYQ1" s="630"/>
      <c r="FYR1" s="630"/>
      <c r="FYS1" s="630"/>
      <c r="FYT1" s="630"/>
      <c r="FYU1" s="630"/>
      <c r="FYV1" s="630"/>
      <c r="FYW1" s="630"/>
      <c r="FYX1" s="630"/>
      <c r="FYY1" s="630"/>
      <c r="FYZ1" s="630"/>
      <c r="FZA1" s="630"/>
      <c r="FZB1" s="630"/>
      <c r="FZC1" s="630"/>
      <c r="FZD1" s="630"/>
      <c r="FZE1" s="630"/>
      <c r="FZF1" s="630"/>
      <c r="FZG1" s="630"/>
      <c r="FZH1" s="630"/>
      <c r="FZI1" s="630"/>
      <c r="FZJ1" s="630"/>
      <c r="FZK1" s="630"/>
      <c r="FZL1" s="632"/>
      <c r="FZM1" s="631"/>
      <c r="FZN1" s="631"/>
      <c r="FZO1" s="631"/>
      <c r="FZP1" s="631"/>
      <c r="FZQ1" s="631"/>
      <c r="FZR1" s="631"/>
      <c r="FZS1" s="631"/>
      <c r="FZT1" s="631"/>
      <c r="FZU1" s="631"/>
      <c r="FZV1" s="631"/>
      <c r="FZW1" s="631"/>
      <c r="FZX1" s="631"/>
      <c r="FZY1" s="631"/>
      <c r="FZZ1" s="631"/>
      <c r="GAA1" s="631"/>
      <c r="GAB1" s="631"/>
      <c r="GAC1" s="631"/>
      <c r="GAD1" s="630"/>
      <c r="GAE1" s="630"/>
      <c r="GAF1" s="630"/>
      <c r="GAG1" s="630"/>
      <c r="GAH1" s="630"/>
      <c r="GAI1" s="630"/>
      <c r="GAJ1" s="630"/>
      <c r="GAK1" s="630"/>
      <c r="GAL1" s="630"/>
      <c r="GAM1" s="630"/>
      <c r="GAN1" s="630"/>
      <c r="GAO1" s="630"/>
      <c r="GAP1" s="630"/>
      <c r="GAQ1" s="630"/>
      <c r="GAR1" s="630"/>
      <c r="GAS1" s="630"/>
      <c r="GAT1" s="630"/>
      <c r="GAU1" s="630"/>
      <c r="GAV1" s="630"/>
      <c r="GAW1" s="630"/>
      <c r="GAX1" s="630"/>
      <c r="GAY1" s="630"/>
      <c r="GAZ1" s="630"/>
      <c r="GBA1" s="630"/>
      <c r="GBB1" s="630"/>
      <c r="GBC1" s="630"/>
      <c r="GBD1" s="630"/>
      <c r="GBE1" s="630"/>
      <c r="GBF1" s="630"/>
      <c r="GBG1" s="630"/>
      <c r="GBH1" s="630"/>
      <c r="GBI1" s="630"/>
      <c r="GBJ1" s="630"/>
      <c r="GBK1" s="630"/>
      <c r="GBL1" s="630"/>
      <c r="GBM1" s="630"/>
      <c r="GBN1" s="630"/>
      <c r="GBO1" s="630"/>
      <c r="GBP1" s="630"/>
      <c r="GBQ1" s="630"/>
      <c r="GBR1" s="630"/>
      <c r="GBS1" s="630"/>
      <c r="GBT1" s="630"/>
      <c r="GBU1" s="630"/>
      <c r="GBV1" s="630"/>
      <c r="GBW1" s="630"/>
      <c r="GBX1" s="630"/>
      <c r="GBY1" s="630"/>
      <c r="GBZ1" s="630"/>
      <c r="GCA1" s="632"/>
      <c r="GCB1" s="631"/>
      <c r="GCC1" s="631"/>
      <c r="GCD1" s="631"/>
      <c r="GCE1" s="631"/>
      <c r="GCF1" s="631"/>
      <c r="GCG1" s="631"/>
      <c r="GCH1" s="631"/>
      <c r="GCI1" s="631"/>
      <c r="GCJ1" s="631"/>
      <c r="GCK1" s="631"/>
      <c r="GCL1" s="631"/>
      <c r="GCM1" s="631"/>
      <c r="GCN1" s="631"/>
      <c r="GCO1" s="631"/>
      <c r="GCP1" s="631"/>
      <c r="GCQ1" s="631"/>
      <c r="GCR1" s="631"/>
      <c r="GCS1" s="630"/>
      <c r="GCT1" s="630"/>
      <c r="GCU1" s="630"/>
      <c r="GCV1" s="630"/>
      <c r="GCW1" s="630"/>
      <c r="GCX1" s="630"/>
      <c r="GCY1" s="630"/>
      <c r="GCZ1" s="630"/>
      <c r="GDA1" s="630"/>
      <c r="GDB1" s="630"/>
      <c r="GDC1" s="630"/>
      <c r="GDD1" s="630"/>
      <c r="GDE1" s="630"/>
      <c r="GDF1" s="630"/>
      <c r="GDG1" s="630"/>
      <c r="GDH1" s="630"/>
      <c r="GDI1" s="630"/>
      <c r="GDJ1" s="630"/>
      <c r="GDK1" s="630"/>
      <c r="GDL1" s="630"/>
      <c r="GDM1" s="630"/>
      <c r="GDN1" s="630"/>
      <c r="GDO1" s="630"/>
      <c r="GDP1" s="630"/>
      <c r="GDQ1" s="630"/>
      <c r="GDR1" s="630"/>
      <c r="GDS1" s="630"/>
      <c r="GDT1" s="630"/>
      <c r="GDU1" s="630"/>
      <c r="GDV1" s="630"/>
      <c r="GDW1" s="630"/>
      <c r="GDX1" s="630"/>
      <c r="GDY1" s="630"/>
      <c r="GDZ1" s="630"/>
      <c r="GEA1" s="630"/>
      <c r="GEB1" s="630"/>
      <c r="GEC1" s="630"/>
      <c r="GED1" s="630"/>
      <c r="GEE1" s="630"/>
      <c r="GEF1" s="630"/>
      <c r="GEG1" s="630"/>
      <c r="GEH1" s="630"/>
      <c r="GEI1" s="630"/>
      <c r="GEJ1" s="630"/>
      <c r="GEK1" s="630"/>
      <c r="GEL1" s="630"/>
      <c r="GEM1" s="630"/>
      <c r="GEN1" s="630"/>
      <c r="GEO1" s="630"/>
      <c r="GEP1" s="632"/>
      <c r="GEQ1" s="631"/>
      <c r="GER1" s="631"/>
      <c r="GES1" s="631"/>
      <c r="GET1" s="631"/>
      <c r="GEU1" s="631"/>
      <c r="GEV1" s="631"/>
      <c r="GEW1" s="631"/>
      <c r="GEX1" s="631"/>
      <c r="GEY1" s="631"/>
      <c r="GEZ1" s="631"/>
      <c r="GFA1" s="631"/>
      <c r="GFB1" s="631"/>
      <c r="GFC1" s="631"/>
      <c r="GFD1" s="631"/>
      <c r="GFE1" s="631"/>
      <c r="GFF1" s="631"/>
      <c r="GFG1" s="631"/>
      <c r="GFH1" s="630"/>
      <c r="GFI1" s="630"/>
      <c r="GFJ1" s="630"/>
      <c r="GFK1" s="630"/>
      <c r="GFL1" s="630"/>
      <c r="GFM1" s="630"/>
      <c r="GFN1" s="630"/>
      <c r="GFO1" s="630"/>
      <c r="GFP1" s="630"/>
      <c r="GFQ1" s="630"/>
      <c r="GFR1" s="630"/>
      <c r="GFS1" s="630"/>
      <c r="GFT1" s="630"/>
      <c r="GFU1" s="630"/>
      <c r="GFV1" s="630"/>
      <c r="GFW1" s="630"/>
      <c r="GFX1" s="630"/>
      <c r="GFY1" s="630"/>
      <c r="GFZ1" s="630"/>
      <c r="GGA1" s="630"/>
      <c r="GGB1" s="630"/>
      <c r="GGC1" s="630"/>
      <c r="GGD1" s="630"/>
      <c r="GGE1" s="630"/>
      <c r="GGF1" s="630"/>
      <c r="GGG1" s="630"/>
      <c r="GGH1" s="630"/>
      <c r="GGI1" s="630"/>
      <c r="GGJ1" s="630"/>
      <c r="GGK1" s="630"/>
      <c r="GGL1" s="630"/>
      <c r="GGM1" s="630"/>
      <c r="GGN1" s="630"/>
      <c r="GGO1" s="630"/>
      <c r="GGP1" s="630"/>
      <c r="GGQ1" s="630"/>
      <c r="GGR1" s="630"/>
      <c r="GGS1" s="630"/>
      <c r="GGT1" s="630"/>
      <c r="GGU1" s="630"/>
      <c r="GGV1" s="630"/>
      <c r="GGW1" s="630"/>
      <c r="GGX1" s="630"/>
      <c r="GGY1" s="630"/>
      <c r="GGZ1" s="630"/>
      <c r="GHA1" s="630"/>
      <c r="GHB1" s="630"/>
      <c r="GHC1" s="630"/>
      <c r="GHD1" s="630"/>
      <c r="GHE1" s="632"/>
      <c r="GHF1" s="631"/>
      <c r="GHG1" s="631"/>
      <c r="GHH1" s="631"/>
      <c r="GHI1" s="631"/>
      <c r="GHJ1" s="631"/>
      <c r="GHK1" s="631"/>
      <c r="GHL1" s="631"/>
      <c r="GHM1" s="631"/>
      <c r="GHN1" s="631"/>
      <c r="GHO1" s="631"/>
      <c r="GHP1" s="631"/>
      <c r="GHQ1" s="631"/>
      <c r="GHR1" s="631"/>
      <c r="GHS1" s="631"/>
      <c r="GHT1" s="631"/>
      <c r="GHU1" s="631"/>
      <c r="GHV1" s="631"/>
      <c r="GHW1" s="630"/>
      <c r="GHX1" s="630"/>
      <c r="GHY1" s="630"/>
      <c r="GHZ1" s="630"/>
      <c r="GIA1" s="630"/>
      <c r="GIB1" s="630"/>
      <c r="GIC1" s="630"/>
      <c r="GID1" s="630"/>
      <c r="GIE1" s="630"/>
      <c r="GIF1" s="630"/>
      <c r="GIG1" s="630"/>
      <c r="GIH1" s="630"/>
      <c r="GII1" s="630"/>
      <c r="GIJ1" s="630"/>
      <c r="GIK1" s="630"/>
      <c r="GIL1" s="630"/>
      <c r="GIM1" s="630"/>
      <c r="GIN1" s="630"/>
      <c r="GIO1" s="630"/>
      <c r="GIP1" s="630"/>
      <c r="GIQ1" s="630"/>
      <c r="GIR1" s="630"/>
      <c r="GIS1" s="630"/>
      <c r="GIT1" s="630"/>
      <c r="GIU1" s="630"/>
      <c r="GIV1" s="630"/>
      <c r="GIW1" s="630"/>
      <c r="GIX1" s="630"/>
      <c r="GIY1" s="630"/>
      <c r="GIZ1" s="630"/>
      <c r="GJA1" s="630"/>
      <c r="GJB1" s="630"/>
      <c r="GJC1" s="630"/>
      <c r="GJD1" s="630"/>
      <c r="GJE1" s="630"/>
      <c r="GJF1" s="630"/>
      <c r="GJG1" s="630"/>
      <c r="GJH1" s="630"/>
      <c r="GJI1" s="630"/>
      <c r="GJJ1" s="630"/>
      <c r="GJK1" s="630"/>
      <c r="GJL1" s="630"/>
      <c r="GJM1" s="630"/>
      <c r="GJN1" s="630"/>
      <c r="GJO1" s="630"/>
      <c r="GJP1" s="630"/>
      <c r="GJQ1" s="630"/>
      <c r="GJR1" s="630"/>
      <c r="GJS1" s="630"/>
      <c r="GJT1" s="632"/>
      <c r="GJU1" s="631"/>
      <c r="GJV1" s="631"/>
      <c r="GJW1" s="631"/>
      <c r="GJX1" s="631"/>
      <c r="GJY1" s="631"/>
      <c r="GJZ1" s="631"/>
      <c r="GKA1" s="631"/>
      <c r="GKB1" s="631"/>
      <c r="GKC1" s="631"/>
      <c r="GKD1" s="631"/>
      <c r="GKE1" s="631"/>
      <c r="GKF1" s="631"/>
      <c r="GKG1" s="631"/>
      <c r="GKH1" s="631"/>
      <c r="GKI1" s="631"/>
      <c r="GKJ1" s="631"/>
      <c r="GKK1" s="631"/>
      <c r="GKL1" s="630"/>
      <c r="GKM1" s="630"/>
      <c r="GKN1" s="630"/>
      <c r="GKO1" s="630"/>
      <c r="GKP1" s="630"/>
      <c r="GKQ1" s="630"/>
      <c r="GKR1" s="630"/>
      <c r="GKS1" s="630"/>
      <c r="GKT1" s="630"/>
      <c r="GKU1" s="630"/>
      <c r="GKV1" s="630"/>
      <c r="GKW1" s="630"/>
      <c r="GKX1" s="630"/>
      <c r="GKY1" s="630"/>
      <c r="GKZ1" s="630"/>
      <c r="GLA1" s="630"/>
      <c r="GLB1" s="630"/>
      <c r="GLC1" s="630"/>
      <c r="GLD1" s="630"/>
      <c r="GLE1" s="630"/>
      <c r="GLF1" s="630"/>
      <c r="GLG1" s="630"/>
      <c r="GLH1" s="630"/>
      <c r="GLI1" s="630"/>
      <c r="GLJ1" s="630"/>
      <c r="GLK1" s="630"/>
      <c r="GLL1" s="630"/>
      <c r="GLM1" s="630"/>
      <c r="GLN1" s="630"/>
      <c r="GLO1" s="630"/>
      <c r="GLP1" s="630"/>
      <c r="GLQ1" s="630"/>
      <c r="GLR1" s="630"/>
      <c r="GLS1" s="630"/>
      <c r="GLT1" s="630"/>
      <c r="GLU1" s="630"/>
      <c r="GLV1" s="630"/>
      <c r="GLW1" s="630"/>
      <c r="GLX1" s="630"/>
      <c r="GLY1" s="630"/>
      <c r="GLZ1" s="630"/>
      <c r="GMA1" s="630"/>
      <c r="GMB1" s="630"/>
      <c r="GMC1" s="630"/>
      <c r="GMD1" s="630"/>
      <c r="GME1" s="630"/>
      <c r="GMF1" s="630"/>
      <c r="GMG1" s="630"/>
      <c r="GMH1" s="630"/>
      <c r="GMI1" s="632"/>
      <c r="GMJ1" s="631"/>
      <c r="GMK1" s="631"/>
      <c r="GML1" s="631"/>
      <c r="GMM1" s="631"/>
      <c r="GMN1" s="631"/>
      <c r="GMO1" s="631"/>
      <c r="GMP1" s="631"/>
      <c r="GMQ1" s="631"/>
      <c r="GMR1" s="631"/>
      <c r="GMS1" s="631"/>
      <c r="GMT1" s="631"/>
      <c r="GMU1" s="631"/>
      <c r="GMV1" s="631"/>
      <c r="GMW1" s="631"/>
      <c r="GMX1" s="631"/>
      <c r="GMY1" s="631"/>
      <c r="GMZ1" s="631"/>
      <c r="GNA1" s="630"/>
      <c r="GNB1" s="630"/>
      <c r="GNC1" s="630"/>
      <c r="GND1" s="630"/>
      <c r="GNE1" s="630"/>
      <c r="GNF1" s="630"/>
      <c r="GNG1" s="630"/>
      <c r="GNH1" s="630"/>
      <c r="GNI1" s="630"/>
      <c r="GNJ1" s="630"/>
      <c r="GNK1" s="630"/>
      <c r="GNL1" s="630"/>
      <c r="GNM1" s="630"/>
      <c r="GNN1" s="630"/>
      <c r="GNO1" s="630"/>
      <c r="GNP1" s="630"/>
      <c r="GNQ1" s="630"/>
      <c r="GNR1" s="630"/>
      <c r="GNS1" s="630"/>
      <c r="GNT1" s="630"/>
      <c r="GNU1" s="630"/>
      <c r="GNV1" s="630"/>
      <c r="GNW1" s="630"/>
      <c r="GNX1" s="630"/>
      <c r="GNY1" s="630"/>
      <c r="GNZ1" s="630"/>
      <c r="GOA1" s="630"/>
      <c r="GOB1" s="630"/>
      <c r="GOC1" s="630"/>
      <c r="GOD1" s="630"/>
      <c r="GOE1" s="630"/>
      <c r="GOF1" s="630"/>
      <c r="GOG1" s="630"/>
      <c r="GOH1" s="630"/>
      <c r="GOI1" s="630"/>
      <c r="GOJ1" s="630"/>
      <c r="GOK1" s="630"/>
      <c r="GOL1" s="630"/>
      <c r="GOM1" s="630"/>
      <c r="GON1" s="630"/>
      <c r="GOO1" s="630"/>
      <c r="GOP1" s="630"/>
      <c r="GOQ1" s="630"/>
      <c r="GOR1" s="630"/>
      <c r="GOS1" s="630"/>
      <c r="GOT1" s="630"/>
      <c r="GOU1" s="630"/>
      <c r="GOV1" s="630"/>
      <c r="GOW1" s="630"/>
      <c r="GOX1" s="632"/>
      <c r="GOY1" s="631"/>
      <c r="GOZ1" s="631"/>
      <c r="GPA1" s="631"/>
      <c r="GPB1" s="631"/>
      <c r="GPC1" s="631"/>
      <c r="GPD1" s="631"/>
      <c r="GPE1" s="631"/>
      <c r="GPF1" s="631"/>
      <c r="GPG1" s="631"/>
      <c r="GPH1" s="631"/>
      <c r="GPI1" s="631"/>
      <c r="GPJ1" s="631"/>
      <c r="GPK1" s="631"/>
      <c r="GPL1" s="631"/>
      <c r="GPM1" s="631"/>
      <c r="GPN1" s="631"/>
      <c r="GPO1" s="631"/>
      <c r="GPP1" s="630"/>
      <c r="GPQ1" s="630"/>
      <c r="GPR1" s="630"/>
      <c r="GPS1" s="630"/>
      <c r="GPT1" s="630"/>
      <c r="GPU1" s="630"/>
      <c r="GPV1" s="630"/>
      <c r="GPW1" s="630"/>
      <c r="GPX1" s="630"/>
      <c r="GPY1" s="630"/>
      <c r="GPZ1" s="630"/>
      <c r="GQA1" s="630"/>
      <c r="GQB1" s="630"/>
      <c r="GQC1" s="630"/>
      <c r="GQD1" s="630"/>
      <c r="GQE1" s="630"/>
      <c r="GQF1" s="630"/>
      <c r="GQG1" s="630"/>
      <c r="GQH1" s="630"/>
      <c r="GQI1" s="630"/>
      <c r="GQJ1" s="630"/>
      <c r="GQK1" s="630"/>
      <c r="GQL1" s="630"/>
      <c r="GQM1" s="630"/>
      <c r="GQN1" s="630"/>
      <c r="GQO1" s="630"/>
      <c r="GQP1" s="630"/>
      <c r="GQQ1" s="630"/>
      <c r="GQR1" s="630"/>
      <c r="GQS1" s="630"/>
      <c r="GQT1" s="630"/>
      <c r="GQU1" s="630"/>
      <c r="GQV1" s="630"/>
      <c r="GQW1" s="630"/>
      <c r="GQX1" s="630"/>
      <c r="GQY1" s="630"/>
      <c r="GQZ1" s="630"/>
      <c r="GRA1" s="630"/>
      <c r="GRB1" s="630"/>
      <c r="GRC1" s="630"/>
      <c r="GRD1" s="630"/>
      <c r="GRE1" s="630"/>
      <c r="GRF1" s="630"/>
      <c r="GRG1" s="630"/>
      <c r="GRH1" s="630"/>
      <c r="GRI1" s="630"/>
      <c r="GRJ1" s="630"/>
      <c r="GRK1" s="630"/>
      <c r="GRL1" s="630"/>
      <c r="GRM1" s="632"/>
      <c r="GRN1" s="631"/>
      <c r="GRO1" s="631"/>
      <c r="GRP1" s="631"/>
      <c r="GRQ1" s="631"/>
      <c r="GRR1" s="631"/>
      <c r="GRS1" s="631"/>
      <c r="GRT1" s="631"/>
      <c r="GRU1" s="631"/>
      <c r="GRV1" s="631"/>
      <c r="GRW1" s="631"/>
      <c r="GRX1" s="631"/>
      <c r="GRY1" s="631"/>
      <c r="GRZ1" s="631"/>
      <c r="GSA1" s="631"/>
      <c r="GSB1" s="631"/>
      <c r="GSC1" s="631"/>
      <c r="GSD1" s="631"/>
      <c r="GSE1" s="630"/>
      <c r="GSF1" s="630"/>
      <c r="GSG1" s="630"/>
      <c r="GSH1" s="630"/>
      <c r="GSI1" s="630"/>
      <c r="GSJ1" s="630"/>
      <c r="GSK1" s="630"/>
      <c r="GSL1" s="630"/>
      <c r="GSM1" s="630"/>
      <c r="GSN1" s="630"/>
      <c r="GSO1" s="630"/>
      <c r="GSP1" s="630"/>
      <c r="GSQ1" s="630"/>
      <c r="GSR1" s="630"/>
      <c r="GSS1" s="630"/>
      <c r="GST1" s="630"/>
      <c r="GSU1" s="630"/>
      <c r="GSV1" s="630"/>
      <c r="GSW1" s="630"/>
      <c r="GSX1" s="630"/>
      <c r="GSY1" s="630"/>
      <c r="GSZ1" s="630"/>
      <c r="GTA1" s="630"/>
      <c r="GTB1" s="630"/>
      <c r="GTC1" s="630"/>
      <c r="GTD1" s="630"/>
      <c r="GTE1" s="630"/>
      <c r="GTF1" s="630"/>
      <c r="GTG1" s="630"/>
      <c r="GTH1" s="630"/>
      <c r="GTI1" s="630"/>
      <c r="GTJ1" s="630"/>
      <c r="GTK1" s="630"/>
      <c r="GTL1" s="630"/>
      <c r="GTM1" s="630"/>
      <c r="GTN1" s="630"/>
      <c r="GTO1" s="630"/>
      <c r="GTP1" s="630"/>
      <c r="GTQ1" s="630"/>
      <c r="GTR1" s="630"/>
      <c r="GTS1" s="630"/>
      <c r="GTT1" s="630"/>
      <c r="GTU1" s="630"/>
      <c r="GTV1" s="630"/>
      <c r="GTW1" s="630"/>
      <c r="GTX1" s="630"/>
      <c r="GTY1" s="630"/>
      <c r="GTZ1" s="630"/>
      <c r="GUA1" s="630"/>
      <c r="GUB1" s="632"/>
      <c r="GUC1" s="631"/>
      <c r="GUD1" s="631"/>
      <c r="GUE1" s="631"/>
      <c r="GUF1" s="631"/>
      <c r="GUG1" s="631"/>
      <c r="GUH1" s="631"/>
      <c r="GUI1" s="631"/>
      <c r="GUJ1" s="631"/>
      <c r="GUK1" s="631"/>
      <c r="GUL1" s="631"/>
      <c r="GUM1" s="631"/>
      <c r="GUN1" s="631"/>
      <c r="GUO1" s="631"/>
      <c r="GUP1" s="631"/>
      <c r="GUQ1" s="631"/>
      <c r="GUR1" s="631"/>
      <c r="GUS1" s="631"/>
      <c r="GUT1" s="630"/>
      <c r="GUU1" s="630"/>
      <c r="GUV1" s="630"/>
      <c r="GUW1" s="630"/>
      <c r="GUX1" s="630"/>
      <c r="GUY1" s="630"/>
      <c r="GUZ1" s="630"/>
      <c r="GVA1" s="630"/>
      <c r="GVB1" s="630"/>
      <c r="GVC1" s="630"/>
      <c r="GVD1" s="630"/>
      <c r="GVE1" s="630"/>
      <c r="GVF1" s="630"/>
      <c r="GVG1" s="630"/>
      <c r="GVH1" s="630"/>
      <c r="GVI1" s="630"/>
      <c r="GVJ1" s="630"/>
      <c r="GVK1" s="630"/>
      <c r="GVL1" s="630"/>
      <c r="GVM1" s="630"/>
      <c r="GVN1" s="630"/>
      <c r="GVO1" s="630"/>
      <c r="GVP1" s="630"/>
      <c r="GVQ1" s="630"/>
      <c r="GVR1" s="630"/>
      <c r="GVS1" s="630"/>
      <c r="GVT1" s="630"/>
      <c r="GVU1" s="630"/>
      <c r="GVV1" s="630"/>
      <c r="GVW1" s="630"/>
      <c r="GVX1" s="630"/>
      <c r="GVY1" s="630"/>
      <c r="GVZ1" s="630"/>
      <c r="GWA1" s="630"/>
      <c r="GWB1" s="630"/>
      <c r="GWC1" s="630"/>
      <c r="GWD1" s="630"/>
      <c r="GWE1" s="630"/>
      <c r="GWF1" s="630"/>
      <c r="GWG1" s="630"/>
      <c r="GWH1" s="630"/>
      <c r="GWI1" s="630"/>
      <c r="GWJ1" s="630"/>
      <c r="GWK1" s="630"/>
      <c r="GWL1" s="630"/>
      <c r="GWM1" s="630"/>
      <c r="GWN1" s="630"/>
      <c r="GWO1" s="630"/>
      <c r="GWP1" s="630"/>
      <c r="GWQ1" s="632"/>
      <c r="GWR1" s="631"/>
      <c r="GWS1" s="631"/>
      <c r="GWT1" s="631"/>
      <c r="GWU1" s="631"/>
      <c r="GWV1" s="631"/>
      <c r="GWW1" s="631"/>
      <c r="GWX1" s="631"/>
      <c r="GWY1" s="631"/>
      <c r="GWZ1" s="631"/>
      <c r="GXA1" s="631"/>
      <c r="GXB1" s="631"/>
      <c r="GXC1" s="631"/>
      <c r="GXD1" s="631"/>
      <c r="GXE1" s="631"/>
      <c r="GXF1" s="631"/>
      <c r="GXG1" s="631"/>
      <c r="GXH1" s="631"/>
      <c r="GXI1" s="630"/>
      <c r="GXJ1" s="630"/>
      <c r="GXK1" s="630"/>
      <c r="GXL1" s="630"/>
      <c r="GXM1" s="630"/>
      <c r="GXN1" s="630"/>
      <c r="GXO1" s="630"/>
      <c r="GXP1" s="630"/>
      <c r="GXQ1" s="630"/>
      <c r="GXR1" s="630"/>
      <c r="GXS1" s="630"/>
      <c r="GXT1" s="630"/>
      <c r="GXU1" s="630"/>
      <c r="GXV1" s="630"/>
      <c r="GXW1" s="630"/>
      <c r="GXX1" s="630"/>
      <c r="GXY1" s="630"/>
      <c r="GXZ1" s="630"/>
      <c r="GYA1" s="630"/>
      <c r="GYB1" s="630"/>
      <c r="GYC1" s="630"/>
      <c r="GYD1" s="630"/>
      <c r="GYE1" s="630"/>
      <c r="GYF1" s="630"/>
      <c r="GYG1" s="630"/>
      <c r="GYH1" s="630"/>
      <c r="GYI1" s="630"/>
      <c r="GYJ1" s="630"/>
      <c r="GYK1" s="630"/>
      <c r="GYL1" s="630"/>
      <c r="GYM1" s="630"/>
      <c r="GYN1" s="630"/>
      <c r="GYO1" s="630"/>
      <c r="GYP1" s="630"/>
      <c r="GYQ1" s="630"/>
      <c r="GYR1" s="630"/>
      <c r="GYS1" s="630"/>
      <c r="GYT1" s="630"/>
      <c r="GYU1" s="630"/>
      <c r="GYV1" s="630"/>
      <c r="GYW1" s="630"/>
      <c r="GYX1" s="630"/>
      <c r="GYY1" s="630"/>
      <c r="GYZ1" s="630"/>
      <c r="GZA1" s="630"/>
      <c r="GZB1" s="630"/>
      <c r="GZC1" s="630"/>
      <c r="GZD1" s="630"/>
      <c r="GZE1" s="630"/>
      <c r="GZF1" s="632"/>
      <c r="GZG1" s="631"/>
      <c r="GZH1" s="631"/>
      <c r="GZI1" s="631"/>
      <c r="GZJ1" s="631"/>
      <c r="GZK1" s="631"/>
      <c r="GZL1" s="631"/>
      <c r="GZM1" s="631"/>
      <c r="GZN1" s="631"/>
      <c r="GZO1" s="631"/>
      <c r="GZP1" s="631"/>
      <c r="GZQ1" s="631"/>
      <c r="GZR1" s="631"/>
      <c r="GZS1" s="631"/>
      <c r="GZT1" s="631"/>
      <c r="GZU1" s="631"/>
      <c r="GZV1" s="631"/>
      <c r="GZW1" s="631"/>
      <c r="GZX1" s="630"/>
      <c r="GZY1" s="630"/>
      <c r="GZZ1" s="630"/>
      <c r="HAA1" s="630"/>
      <c r="HAB1" s="630"/>
      <c r="HAC1" s="630"/>
      <c r="HAD1" s="630"/>
      <c r="HAE1" s="630"/>
      <c r="HAF1" s="630"/>
      <c r="HAG1" s="630"/>
      <c r="HAH1" s="630"/>
      <c r="HAI1" s="630"/>
      <c r="HAJ1" s="630"/>
      <c r="HAK1" s="630"/>
      <c r="HAL1" s="630"/>
      <c r="HAM1" s="630"/>
      <c r="HAN1" s="630"/>
      <c r="HAO1" s="630"/>
      <c r="HAP1" s="630"/>
      <c r="HAQ1" s="630"/>
      <c r="HAR1" s="630"/>
      <c r="HAS1" s="630"/>
      <c r="HAT1" s="630"/>
      <c r="HAU1" s="630"/>
      <c r="HAV1" s="630"/>
      <c r="HAW1" s="630"/>
      <c r="HAX1" s="630"/>
      <c r="HAY1" s="630"/>
      <c r="HAZ1" s="630"/>
      <c r="HBA1" s="630"/>
      <c r="HBB1" s="630"/>
      <c r="HBC1" s="630"/>
      <c r="HBD1" s="630"/>
      <c r="HBE1" s="630"/>
      <c r="HBF1" s="630"/>
      <c r="HBG1" s="630"/>
      <c r="HBH1" s="630"/>
      <c r="HBI1" s="630"/>
      <c r="HBJ1" s="630"/>
      <c r="HBK1" s="630"/>
      <c r="HBL1" s="630"/>
      <c r="HBM1" s="630"/>
      <c r="HBN1" s="630"/>
      <c r="HBO1" s="630"/>
      <c r="HBP1" s="630"/>
      <c r="HBQ1" s="630"/>
      <c r="HBR1" s="630"/>
      <c r="HBS1" s="630"/>
      <c r="HBT1" s="630"/>
      <c r="HBU1" s="632"/>
      <c r="HBV1" s="631"/>
      <c r="HBW1" s="631"/>
      <c r="HBX1" s="631"/>
      <c r="HBY1" s="631"/>
      <c r="HBZ1" s="631"/>
      <c r="HCA1" s="631"/>
      <c r="HCB1" s="631"/>
      <c r="HCC1" s="631"/>
      <c r="HCD1" s="631"/>
      <c r="HCE1" s="631"/>
      <c r="HCF1" s="631"/>
      <c r="HCG1" s="631"/>
      <c r="HCH1" s="631"/>
      <c r="HCI1" s="631"/>
      <c r="HCJ1" s="631"/>
      <c r="HCK1" s="631"/>
      <c r="HCL1" s="631"/>
      <c r="HCM1" s="630"/>
      <c r="HCN1" s="630"/>
      <c r="HCO1" s="630"/>
      <c r="HCP1" s="630"/>
      <c r="HCQ1" s="630"/>
      <c r="HCR1" s="630"/>
      <c r="HCS1" s="630"/>
      <c r="HCT1" s="630"/>
      <c r="HCU1" s="630"/>
      <c r="HCV1" s="630"/>
      <c r="HCW1" s="630"/>
      <c r="HCX1" s="630"/>
      <c r="HCY1" s="630"/>
      <c r="HCZ1" s="630"/>
      <c r="HDA1" s="630"/>
      <c r="HDB1" s="630"/>
      <c r="HDC1" s="630"/>
      <c r="HDD1" s="630"/>
      <c r="HDE1" s="630"/>
      <c r="HDF1" s="630"/>
      <c r="HDG1" s="630"/>
      <c r="HDH1" s="630"/>
      <c r="HDI1" s="630"/>
      <c r="HDJ1" s="630"/>
      <c r="HDK1" s="630"/>
      <c r="HDL1" s="630"/>
      <c r="HDM1" s="630"/>
      <c r="HDN1" s="630"/>
      <c r="HDO1" s="630"/>
      <c r="HDP1" s="630"/>
      <c r="HDQ1" s="630"/>
      <c r="HDR1" s="630"/>
      <c r="HDS1" s="630"/>
      <c r="HDT1" s="630"/>
      <c r="HDU1" s="630"/>
      <c r="HDV1" s="630"/>
      <c r="HDW1" s="630"/>
      <c r="HDX1" s="630"/>
      <c r="HDY1" s="630"/>
      <c r="HDZ1" s="630"/>
      <c r="HEA1" s="630"/>
      <c r="HEB1" s="630"/>
      <c r="HEC1" s="630"/>
      <c r="HED1" s="630"/>
      <c r="HEE1" s="630"/>
      <c r="HEF1" s="630"/>
      <c r="HEG1" s="630"/>
      <c r="HEH1" s="630"/>
      <c r="HEI1" s="630"/>
      <c r="HEJ1" s="632"/>
      <c r="HEK1" s="631"/>
      <c r="HEL1" s="631"/>
      <c r="HEM1" s="631"/>
      <c r="HEN1" s="631"/>
      <c r="HEO1" s="631"/>
      <c r="HEP1" s="631"/>
      <c r="HEQ1" s="631"/>
      <c r="HER1" s="631"/>
      <c r="HES1" s="631"/>
      <c r="HET1" s="631"/>
      <c r="HEU1" s="631"/>
      <c r="HEV1" s="631"/>
      <c r="HEW1" s="631"/>
      <c r="HEX1" s="631"/>
      <c r="HEY1" s="631"/>
      <c r="HEZ1" s="631"/>
      <c r="HFA1" s="631"/>
      <c r="HFB1" s="630"/>
      <c r="HFC1" s="630"/>
      <c r="HFD1" s="630"/>
      <c r="HFE1" s="630"/>
      <c r="HFF1" s="630"/>
      <c r="HFG1" s="630"/>
      <c r="HFH1" s="630"/>
      <c r="HFI1" s="630"/>
      <c r="HFJ1" s="630"/>
      <c r="HFK1" s="630"/>
      <c r="HFL1" s="630"/>
      <c r="HFM1" s="630"/>
      <c r="HFN1" s="630"/>
      <c r="HFO1" s="630"/>
      <c r="HFP1" s="630"/>
      <c r="HFQ1" s="630"/>
      <c r="HFR1" s="630"/>
      <c r="HFS1" s="630"/>
      <c r="HFT1" s="630"/>
      <c r="HFU1" s="630"/>
      <c r="HFV1" s="630"/>
      <c r="HFW1" s="630"/>
      <c r="HFX1" s="630"/>
      <c r="HFY1" s="630"/>
      <c r="HFZ1" s="630"/>
      <c r="HGA1" s="630"/>
      <c r="HGB1" s="630"/>
      <c r="HGC1" s="630"/>
      <c r="HGD1" s="630"/>
      <c r="HGE1" s="630"/>
      <c r="HGF1" s="630"/>
      <c r="HGG1" s="630"/>
      <c r="HGH1" s="630"/>
      <c r="HGI1" s="630"/>
      <c r="HGJ1" s="630"/>
      <c r="HGK1" s="630"/>
      <c r="HGL1" s="630"/>
      <c r="HGM1" s="630"/>
      <c r="HGN1" s="630"/>
      <c r="HGO1" s="630"/>
      <c r="HGP1" s="630"/>
      <c r="HGQ1" s="630"/>
      <c r="HGR1" s="630"/>
      <c r="HGS1" s="630"/>
      <c r="HGT1" s="630"/>
      <c r="HGU1" s="630"/>
      <c r="HGV1" s="630"/>
      <c r="HGW1" s="630"/>
      <c r="HGX1" s="630"/>
      <c r="HGY1" s="632"/>
      <c r="HGZ1" s="631"/>
      <c r="HHA1" s="631"/>
      <c r="HHB1" s="631"/>
      <c r="HHC1" s="631"/>
      <c r="HHD1" s="631"/>
      <c r="HHE1" s="631"/>
      <c r="HHF1" s="631"/>
      <c r="HHG1" s="631"/>
      <c r="HHH1" s="631"/>
      <c r="HHI1" s="631"/>
      <c r="HHJ1" s="631"/>
      <c r="HHK1" s="631"/>
      <c r="HHL1" s="631"/>
      <c r="HHM1" s="631"/>
      <c r="HHN1" s="631"/>
      <c r="HHO1" s="631"/>
      <c r="HHP1" s="631"/>
      <c r="HHQ1" s="630"/>
      <c r="HHR1" s="630"/>
      <c r="HHS1" s="630"/>
      <c r="HHT1" s="630"/>
      <c r="HHU1" s="630"/>
      <c r="HHV1" s="630"/>
      <c r="HHW1" s="630"/>
      <c r="HHX1" s="630"/>
      <c r="HHY1" s="630"/>
      <c r="HHZ1" s="630"/>
      <c r="HIA1" s="630"/>
      <c r="HIB1" s="630"/>
      <c r="HIC1" s="630"/>
      <c r="HID1" s="630"/>
      <c r="HIE1" s="630"/>
      <c r="HIF1" s="630"/>
      <c r="HIG1" s="630"/>
      <c r="HIH1" s="630"/>
      <c r="HII1" s="630"/>
      <c r="HIJ1" s="630"/>
      <c r="HIK1" s="630"/>
      <c r="HIL1" s="630"/>
      <c r="HIM1" s="630"/>
      <c r="HIN1" s="630"/>
      <c r="HIO1" s="630"/>
      <c r="HIP1" s="630"/>
      <c r="HIQ1" s="630"/>
      <c r="HIR1" s="630"/>
      <c r="HIS1" s="630"/>
      <c r="HIT1" s="630"/>
      <c r="HIU1" s="630"/>
      <c r="HIV1" s="630"/>
      <c r="HIW1" s="630"/>
      <c r="HIX1" s="630"/>
      <c r="HIY1" s="630"/>
      <c r="HIZ1" s="630"/>
      <c r="HJA1" s="630"/>
      <c r="HJB1" s="630"/>
      <c r="HJC1" s="630"/>
      <c r="HJD1" s="630"/>
      <c r="HJE1" s="630"/>
      <c r="HJF1" s="630"/>
      <c r="HJG1" s="630"/>
      <c r="HJH1" s="630"/>
      <c r="HJI1" s="630"/>
      <c r="HJJ1" s="630"/>
      <c r="HJK1" s="630"/>
      <c r="HJL1" s="630"/>
      <c r="HJM1" s="630"/>
      <c r="HJN1" s="632"/>
      <c r="HJO1" s="631"/>
      <c r="HJP1" s="631"/>
      <c r="HJQ1" s="631"/>
      <c r="HJR1" s="631"/>
      <c r="HJS1" s="631"/>
      <c r="HJT1" s="631"/>
      <c r="HJU1" s="631"/>
      <c r="HJV1" s="631"/>
      <c r="HJW1" s="631"/>
      <c r="HJX1" s="631"/>
      <c r="HJY1" s="631"/>
      <c r="HJZ1" s="631"/>
      <c r="HKA1" s="631"/>
      <c r="HKB1" s="631"/>
      <c r="HKC1" s="631"/>
      <c r="HKD1" s="631"/>
      <c r="HKE1" s="631"/>
      <c r="HKF1" s="630"/>
      <c r="HKG1" s="630"/>
      <c r="HKH1" s="630"/>
      <c r="HKI1" s="630"/>
      <c r="HKJ1" s="630"/>
      <c r="HKK1" s="630"/>
      <c r="HKL1" s="630"/>
      <c r="HKM1" s="630"/>
      <c r="HKN1" s="630"/>
      <c r="HKO1" s="630"/>
      <c r="HKP1" s="630"/>
      <c r="HKQ1" s="630"/>
      <c r="HKR1" s="630"/>
      <c r="HKS1" s="630"/>
      <c r="HKT1" s="630"/>
      <c r="HKU1" s="630"/>
      <c r="HKV1" s="630"/>
      <c r="HKW1" s="630"/>
      <c r="HKX1" s="630"/>
      <c r="HKY1" s="630"/>
      <c r="HKZ1" s="630"/>
      <c r="HLA1" s="630"/>
      <c r="HLB1" s="630"/>
      <c r="HLC1" s="630"/>
      <c r="HLD1" s="630"/>
      <c r="HLE1" s="630"/>
      <c r="HLF1" s="630"/>
      <c r="HLG1" s="630"/>
      <c r="HLH1" s="630"/>
      <c r="HLI1" s="630"/>
      <c r="HLJ1" s="630"/>
      <c r="HLK1" s="630"/>
      <c r="HLL1" s="630"/>
      <c r="HLM1" s="630"/>
      <c r="HLN1" s="630"/>
      <c r="HLO1" s="630"/>
      <c r="HLP1" s="630"/>
      <c r="HLQ1" s="630"/>
      <c r="HLR1" s="630"/>
      <c r="HLS1" s="630"/>
      <c r="HLT1" s="630"/>
      <c r="HLU1" s="630"/>
      <c r="HLV1" s="630"/>
      <c r="HLW1" s="630"/>
      <c r="HLX1" s="630"/>
      <c r="HLY1" s="630"/>
      <c r="HLZ1" s="630"/>
      <c r="HMA1" s="630"/>
      <c r="HMB1" s="630"/>
      <c r="HMC1" s="632"/>
      <c r="HMD1" s="631"/>
      <c r="HME1" s="631"/>
      <c r="HMF1" s="631"/>
      <c r="HMG1" s="631"/>
      <c r="HMH1" s="631"/>
      <c r="HMI1" s="631"/>
      <c r="HMJ1" s="631"/>
      <c r="HMK1" s="631"/>
      <c r="HML1" s="631"/>
      <c r="HMM1" s="631"/>
      <c r="HMN1" s="631"/>
      <c r="HMO1" s="631"/>
      <c r="HMP1" s="631"/>
      <c r="HMQ1" s="631"/>
      <c r="HMR1" s="631"/>
      <c r="HMS1" s="631"/>
      <c r="HMT1" s="631"/>
      <c r="HMU1" s="630"/>
      <c r="HMV1" s="630"/>
      <c r="HMW1" s="630"/>
      <c r="HMX1" s="630"/>
      <c r="HMY1" s="630"/>
      <c r="HMZ1" s="630"/>
      <c r="HNA1" s="630"/>
      <c r="HNB1" s="630"/>
      <c r="HNC1" s="630"/>
      <c r="HND1" s="630"/>
      <c r="HNE1" s="630"/>
      <c r="HNF1" s="630"/>
      <c r="HNG1" s="630"/>
      <c r="HNH1" s="630"/>
      <c r="HNI1" s="630"/>
      <c r="HNJ1" s="630"/>
      <c r="HNK1" s="630"/>
      <c r="HNL1" s="630"/>
      <c r="HNM1" s="630"/>
      <c r="HNN1" s="630"/>
      <c r="HNO1" s="630"/>
      <c r="HNP1" s="630"/>
      <c r="HNQ1" s="630"/>
      <c r="HNR1" s="630"/>
      <c r="HNS1" s="630"/>
      <c r="HNT1" s="630"/>
      <c r="HNU1" s="630"/>
      <c r="HNV1" s="630"/>
      <c r="HNW1" s="630"/>
      <c r="HNX1" s="630"/>
      <c r="HNY1" s="630"/>
      <c r="HNZ1" s="630"/>
      <c r="HOA1" s="630"/>
      <c r="HOB1" s="630"/>
      <c r="HOC1" s="630"/>
      <c r="HOD1" s="630"/>
      <c r="HOE1" s="630"/>
      <c r="HOF1" s="630"/>
      <c r="HOG1" s="630"/>
      <c r="HOH1" s="630"/>
      <c r="HOI1" s="630"/>
      <c r="HOJ1" s="630"/>
      <c r="HOK1" s="630"/>
      <c r="HOL1" s="630"/>
      <c r="HOM1" s="630"/>
      <c r="HON1" s="630"/>
      <c r="HOO1" s="630"/>
      <c r="HOP1" s="630"/>
      <c r="HOQ1" s="630"/>
      <c r="HOR1" s="632"/>
      <c r="HOS1" s="631"/>
      <c r="HOT1" s="631"/>
      <c r="HOU1" s="631"/>
      <c r="HOV1" s="631"/>
      <c r="HOW1" s="631"/>
      <c r="HOX1" s="631"/>
      <c r="HOY1" s="631"/>
      <c r="HOZ1" s="631"/>
      <c r="HPA1" s="631"/>
      <c r="HPB1" s="631"/>
      <c r="HPC1" s="631"/>
      <c r="HPD1" s="631"/>
      <c r="HPE1" s="631"/>
      <c r="HPF1" s="631"/>
      <c r="HPG1" s="631"/>
      <c r="HPH1" s="631"/>
      <c r="HPI1" s="631"/>
      <c r="HPJ1" s="630"/>
      <c r="HPK1" s="630"/>
      <c r="HPL1" s="630"/>
      <c r="HPM1" s="630"/>
      <c r="HPN1" s="630"/>
      <c r="HPO1" s="630"/>
      <c r="HPP1" s="630"/>
      <c r="HPQ1" s="630"/>
      <c r="HPR1" s="630"/>
      <c r="HPS1" s="630"/>
      <c r="HPT1" s="630"/>
      <c r="HPU1" s="630"/>
      <c r="HPV1" s="630"/>
      <c r="HPW1" s="630"/>
      <c r="HPX1" s="630"/>
      <c r="HPY1" s="630"/>
      <c r="HPZ1" s="630"/>
      <c r="HQA1" s="630"/>
      <c r="HQB1" s="630"/>
      <c r="HQC1" s="630"/>
      <c r="HQD1" s="630"/>
      <c r="HQE1" s="630"/>
      <c r="HQF1" s="630"/>
      <c r="HQG1" s="630"/>
      <c r="HQH1" s="630"/>
      <c r="HQI1" s="630"/>
      <c r="HQJ1" s="630"/>
      <c r="HQK1" s="630"/>
      <c r="HQL1" s="630"/>
      <c r="HQM1" s="630"/>
      <c r="HQN1" s="630"/>
      <c r="HQO1" s="630"/>
      <c r="HQP1" s="630"/>
      <c r="HQQ1" s="630"/>
      <c r="HQR1" s="630"/>
      <c r="HQS1" s="630"/>
      <c r="HQT1" s="630"/>
      <c r="HQU1" s="630"/>
      <c r="HQV1" s="630"/>
      <c r="HQW1" s="630"/>
      <c r="HQX1" s="630"/>
      <c r="HQY1" s="630"/>
      <c r="HQZ1" s="630"/>
      <c r="HRA1" s="630"/>
      <c r="HRB1" s="630"/>
      <c r="HRC1" s="630"/>
      <c r="HRD1" s="630"/>
      <c r="HRE1" s="630"/>
      <c r="HRF1" s="630"/>
      <c r="HRG1" s="632"/>
      <c r="HRH1" s="631"/>
      <c r="HRI1" s="631"/>
      <c r="HRJ1" s="631"/>
      <c r="HRK1" s="631"/>
      <c r="HRL1" s="631"/>
      <c r="HRM1" s="631"/>
      <c r="HRN1" s="631"/>
      <c r="HRO1" s="631"/>
      <c r="HRP1" s="631"/>
      <c r="HRQ1" s="631"/>
      <c r="HRR1" s="631"/>
      <c r="HRS1" s="631"/>
      <c r="HRT1" s="631"/>
      <c r="HRU1" s="631"/>
      <c r="HRV1" s="631"/>
      <c r="HRW1" s="631"/>
      <c r="HRX1" s="631"/>
      <c r="HRY1" s="630"/>
      <c r="HRZ1" s="630"/>
      <c r="HSA1" s="630"/>
      <c r="HSB1" s="630"/>
      <c r="HSC1" s="630"/>
      <c r="HSD1" s="630"/>
      <c r="HSE1" s="630"/>
      <c r="HSF1" s="630"/>
      <c r="HSG1" s="630"/>
      <c r="HSH1" s="630"/>
      <c r="HSI1" s="630"/>
      <c r="HSJ1" s="630"/>
      <c r="HSK1" s="630"/>
      <c r="HSL1" s="630"/>
      <c r="HSM1" s="630"/>
      <c r="HSN1" s="630"/>
      <c r="HSO1" s="630"/>
      <c r="HSP1" s="630"/>
      <c r="HSQ1" s="630"/>
      <c r="HSR1" s="630"/>
      <c r="HSS1" s="630"/>
      <c r="HST1" s="630"/>
      <c r="HSU1" s="630"/>
      <c r="HSV1" s="630"/>
      <c r="HSW1" s="630"/>
      <c r="HSX1" s="630"/>
      <c r="HSY1" s="630"/>
      <c r="HSZ1" s="630"/>
      <c r="HTA1" s="630"/>
      <c r="HTB1" s="630"/>
      <c r="HTC1" s="630"/>
      <c r="HTD1" s="630"/>
      <c r="HTE1" s="630"/>
      <c r="HTF1" s="630"/>
      <c r="HTG1" s="630"/>
      <c r="HTH1" s="630"/>
      <c r="HTI1" s="630"/>
      <c r="HTJ1" s="630"/>
      <c r="HTK1" s="630"/>
      <c r="HTL1" s="630"/>
      <c r="HTM1" s="630"/>
      <c r="HTN1" s="630"/>
      <c r="HTO1" s="630"/>
      <c r="HTP1" s="630"/>
      <c r="HTQ1" s="630"/>
      <c r="HTR1" s="630"/>
      <c r="HTS1" s="630"/>
      <c r="HTT1" s="630"/>
      <c r="HTU1" s="630"/>
      <c r="HTV1" s="632"/>
      <c r="HTW1" s="631"/>
      <c r="HTX1" s="631"/>
      <c r="HTY1" s="631"/>
      <c r="HTZ1" s="631"/>
      <c r="HUA1" s="631"/>
      <c r="HUB1" s="631"/>
      <c r="HUC1" s="631"/>
      <c r="HUD1" s="631"/>
      <c r="HUE1" s="631"/>
      <c r="HUF1" s="631"/>
      <c r="HUG1" s="631"/>
      <c r="HUH1" s="631"/>
      <c r="HUI1" s="631"/>
      <c r="HUJ1" s="631"/>
      <c r="HUK1" s="631"/>
      <c r="HUL1" s="631"/>
      <c r="HUM1" s="631"/>
      <c r="HUN1" s="630"/>
      <c r="HUO1" s="630"/>
      <c r="HUP1" s="630"/>
      <c r="HUQ1" s="630"/>
      <c r="HUR1" s="630"/>
      <c r="HUS1" s="630"/>
      <c r="HUT1" s="630"/>
      <c r="HUU1" s="630"/>
      <c r="HUV1" s="630"/>
      <c r="HUW1" s="630"/>
      <c r="HUX1" s="630"/>
      <c r="HUY1" s="630"/>
      <c r="HUZ1" s="630"/>
      <c r="HVA1" s="630"/>
      <c r="HVB1" s="630"/>
      <c r="HVC1" s="630"/>
      <c r="HVD1" s="630"/>
      <c r="HVE1" s="630"/>
      <c r="HVF1" s="630"/>
      <c r="HVG1" s="630"/>
      <c r="HVH1" s="630"/>
      <c r="HVI1" s="630"/>
      <c r="HVJ1" s="630"/>
      <c r="HVK1" s="630"/>
      <c r="HVL1" s="630"/>
      <c r="HVM1" s="630"/>
      <c r="HVN1" s="630"/>
      <c r="HVO1" s="630"/>
      <c r="HVP1" s="630"/>
      <c r="HVQ1" s="630"/>
      <c r="HVR1" s="630"/>
      <c r="HVS1" s="630"/>
      <c r="HVT1" s="630"/>
      <c r="HVU1" s="630"/>
      <c r="HVV1" s="630"/>
      <c r="HVW1" s="630"/>
      <c r="HVX1" s="630"/>
      <c r="HVY1" s="630"/>
      <c r="HVZ1" s="630"/>
      <c r="HWA1" s="630"/>
      <c r="HWB1" s="630"/>
      <c r="HWC1" s="630"/>
      <c r="HWD1" s="630"/>
      <c r="HWE1" s="630"/>
      <c r="HWF1" s="630"/>
      <c r="HWG1" s="630"/>
      <c r="HWH1" s="630"/>
      <c r="HWI1" s="630"/>
      <c r="HWJ1" s="630"/>
      <c r="HWK1" s="632"/>
      <c r="HWL1" s="631"/>
      <c r="HWM1" s="631"/>
      <c r="HWN1" s="631"/>
      <c r="HWO1" s="631"/>
      <c r="HWP1" s="631"/>
      <c r="HWQ1" s="631"/>
      <c r="HWR1" s="631"/>
      <c r="HWS1" s="631"/>
      <c r="HWT1" s="631"/>
      <c r="HWU1" s="631"/>
      <c r="HWV1" s="631"/>
      <c r="HWW1" s="631"/>
      <c r="HWX1" s="631"/>
      <c r="HWY1" s="631"/>
      <c r="HWZ1" s="631"/>
      <c r="HXA1" s="631"/>
      <c r="HXB1" s="631"/>
      <c r="HXC1" s="630"/>
      <c r="HXD1" s="630"/>
      <c r="HXE1" s="630"/>
      <c r="HXF1" s="630"/>
      <c r="HXG1" s="630"/>
      <c r="HXH1" s="630"/>
      <c r="HXI1" s="630"/>
      <c r="HXJ1" s="630"/>
      <c r="HXK1" s="630"/>
      <c r="HXL1" s="630"/>
      <c r="HXM1" s="630"/>
      <c r="HXN1" s="630"/>
      <c r="HXO1" s="630"/>
      <c r="HXP1" s="630"/>
      <c r="HXQ1" s="630"/>
      <c r="HXR1" s="630"/>
      <c r="HXS1" s="630"/>
      <c r="HXT1" s="630"/>
      <c r="HXU1" s="630"/>
      <c r="HXV1" s="630"/>
      <c r="HXW1" s="630"/>
      <c r="HXX1" s="630"/>
      <c r="HXY1" s="630"/>
      <c r="HXZ1" s="630"/>
      <c r="HYA1" s="630"/>
      <c r="HYB1" s="630"/>
      <c r="HYC1" s="630"/>
      <c r="HYD1" s="630"/>
      <c r="HYE1" s="630"/>
      <c r="HYF1" s="630"/>
      <c r="HYG1" s="630"/>
      <c r="HYH1" s="630"/>
      <c r="HYI1" s="630"/>
      <c r="HYJ1" s="630"/>
      <c r="HYK1" s="630"/>
      <c r="HYL1" s="630"/>
      <c r="HYM1" s="630"/>
      <c r="HYN1" s="630"/>
      <c r="HYO1" s="630"/>
      <c r="HYP1" s="630"/>
      <c r="HYQ1" s="630"/>
      <c r="HYR1" s="630"/>
      <c r="HYS1" s="630"/>
      <c r="HYT1" s="630"/>
      <c r="HYU1" s="630"/>
      <c r="HYV1" s="630"/>
      <c r="HYW1" s="630"/>
      <c r="HYX1" s="630"/>
      <c r="HYY1" s="630"/>
      <c r="HYZ1" s="632"/>
      <c r="HZA1" s="631"/>
      <c r="HZB1" s="631"/>
      <c r="HZC1" s="631"/>
      <c r="HZD1" s="631"/>
      <c r="HZE1" s="631"/>
      <c r="HZF1" s="631"/>
      <c r="HZG1" s="631"/>
      <c r="HZH1" s="631"/>
      <c r="HZI1" s="631"/>
      <c r="HZJ1" s="631"/>
      <c r="HZK1" s="631"/>
      <c r="HZL1" s="631"/>
      <c r="HZM1" s="631"/>
      <c r="HZN1" s="631"/>
      <c r="HZO1" s="631"/>
      <c r="HZP1" s="631"/>
      <c r="HZQ1" s="631"/>
      <c r="HZR1" s="630"/>
      <c r="HZS1" s="630"/>
      <c r="HZT1" s="630"/>
      <c r="HZU1" s="630"/>
      <c r="HZV1" s="630"/>
      <c r="HZW1" s="630"/>
      <c r="HZX1" s="630"/>
      <c r="HZY1" s="630"/>
      <c r="HZZ1" s="630"/>
      <c r="IAA1" s="630"/>
      <c r="IAB1" s="630"/>
      <c r="IAC1" s="630"/>
      <c r="IAD1" s="630"/>
      <c r="IAE1" s="630"/>
      <c r="IAF1" s="630"/>
      <c r="IAG1" s="630"/>
      <c r="IAH1" s="630"/>
      <c r="IAI1" s="630"/>
      <c r="IAJ1" s="630"/>
      <c r="IAK1" s="630"/>
      <c r="IAL1" s="630"/>
      <c r="IAM1" s="630"/>
      <c r="IAN1" s="630"/>
      <c r="IAO1" s="630"/>
      <c r="IAP1" s="630"/>
      <c r="IAQ1" s="630"/>
      <c r="IAR1" s="630"/>
      <c r="IAS1" s="630"/>
      <c r="IAT1" s="630"/>
      <c r="IAU1" s="630"/>
      <c r="IAV1" s="630"/>
      <c r="IAW1" s="630"/>
      <c r="IAX1" s="630"/>
      <c r="IAY1" s="630"/>
      <c r="IAZ1" s="630"/>
      <c r="IBA1" s="630"/>
      <c r="IBB1" s="630"/>
      <c r="IBC1" s="630"/>
      <c r="IBD1" s="630"/>
      <c r="IBE1" s="630"/>
      <c r="IBF1" s="630"/>
      <c r="IBG1" s="630"/>
      <c r="IBH1" s="630"/>
      <c r="IBI1" s="630"/>
      <c r="IBJ1" s="630"/>
      <c r="IBK1" s="630"/>
      <c r="IBL1" s="630"/>
      <c r="IBM1" s="630"/>
      <c r="IBN1" s="630"/>
      <c r="IBO1" s="632"/>
      <c r="IBP1" s="631"/>
      <c r="IBQ1" s="631"/>
      <c r="IBR1" s="631"/>
      <c r="IBS1" s="631"/>
      <c r="IBT1" s="631"/>
      <c r="IBU1" s="631"/>
      <c r="IBV1" s="631"/>
      <c r="IBW1" s="631"/>
      <c r="IBX1" s="631"/>
      <c r="IBY1" s="631"/>
      <c r="IBZ1" s="631"/>
      <c r="ICA1" s="631"/>
      <c r="ICB1" s="631"/>
      <c r="ICC1" s="631"/>
      <c r="ICD1" s="631"/>
      <c r="ICE1" s="631"/>
      <c r="ICF1" s="631"/>
      <c r="ICG1" s="630"/>
      <c r="ICH1" s="630"/>
      <c r="ICI1" s="630"/>
      <c r="ICJ1" s="630"/>
      <c r="ICK1" s="630"/>
      <c r="ICL1" s="630"/>
      <c r="ICM1" s="630"/>
      <c r="ICN1" s="630"/>
      <c r="ICO1" s="630"/>
      <c r="ICP1" s="630"/>
      <c r="ICQ1" s="630"/>
      <c r="ICR1" s="630"/>
      <c r="ICS1" s="630"/>
      <c r="ICT1" s="630"/>
      <c r="ICU1" s="630"/>
      <c r="ICV1" s="630"/>
      <c r="ICW1" s="630"/>
      <c r="ICX1" s="630"/>
      <c r="ICY1" s="630"/>
      <c r="ICZ1" s="630"/>
      <c r="IDA1" s="630"/>
      <c r="IDB1" s="630"/>
      <c r="IDC1" s="630"/>
      <c r="IDD1" s="630"/>
      <c r="IDE1" s="630"/>
      <c r="IDF1" s="630"/>
      <c r="IDG1" s="630"/>
      <c r="IDH1" s="630"/>
      <c r="IDI1" s="630"/>
      <c r="IDJ1" s="630"/>
      <c r="IDK1" s="630"/>
      <c r="IDL1" s="630"/>
      <c r="IDM1" s="630"/>
      <c r="IDN1" s="630"/>
      <c r="IDO1" s="630"/>
      <c r="IDP1" s="630"/>
      <c r="IDQ1" s="630"/>
      <c r="IDR1" s="630"/>
      <c r="IDS1" s="630"/>
      <c r="IDT1" s="630"/>
      <c r="IDU1" s="630"/>
      <c r="IDV1" s="630"/>
      <c r="IDW1" s="630"/>
      <c r="IDX1" s="630"/>
      <c r="IDY1" s="630"/>
      <c r="IDZ1" s="630"/>
      <c r="IEA1" s="630"/>
      <c r="IEB1" s="630"/>
      <c r="IEC1" s="630"/>
      <c r="IED1" s="632"/>
      <c r="IEE1" s="631"/>
      <c r="IEF1" s="631"/>
      <c r="IEG1" s="631"/>
      <c r="IEH1" s="631"/>
      <c r="IEI1" s="631"/>
      <c r="IEJ1" s="631"/>
      <c r="IEK1" s="631"/>
      <c r="IEL1" s="631"/>
      <c r="IEM1" s="631"/>
      <c r="IEN1" s="631"/>
      <c r="IEO1" s="631"/>
      <c r="IEP1" s="631"/>
      <c r="IEQ1" s="631"/>
      <c r="IER1" s="631"/>
      <c r="IES1" s="631"/>
      <c r="IET1" s="631"/>
      <c r="IEU1" s="631"/>
      <c r="IEV1" s="630"/>
      <c r="IEW1" s="630"/>
      <c r="IEX1" s="630"/>
      <c r="IEY1" s="630"/>
      <c r="IEZ1" s="630"/>
      <c r="IFA1" s="630"/>
      <c r="IFB1" s="630"/>
      <c r="IFC1" s="630"/>
      <c r="IFD1" s="630"/>
      <c r="IFE1" s="630"/>
      <c r="IFF1" s="630"/>
      <c r="IFG1" s="630"/>
      <c r="IFH1" s="630"/>
      <c r="IFI1" s="630"/>
      <c r="IFJ1" s="630"/>
      <c r="IFK1" s="630"/>
      <c r="IFL1" s="630"/>
      <c r="IFM1" s="630"/>
      <c r="IFN1" s="630"/>
      <c r="IFO1" s="630"/>
      <c r="IFP1" s="630"/>
      <c r="IFQ1" s="630"/>
      <c r="IFR1" s="630"/>
      <c r="IFS1" s="630"/>
      <c r="IFT1" s="630"/>
      <c r="IFU1" s="630"/>
      <c r="IFV1" s="630"/>
      <c r="IFW1" s="630"/>
      <c r="IFX1" s="630"/>
      <c r="IFY1" s="630"/>
      <c r="IFZ1" s="630"/>
      <c r="IGA1" s="630"/>
      <c r="IGB1" s="630"/>
      <c r="IGC1" s="630"/>
      <c r="IGD1" s="630"/>
      <c r="IGE1" s="630"/>
      <c r="IGF1" s="630"/>
      <c r="IGG1" s="630"/>
      <c r="IGH1" s="630"/>
      <c r="IGI1" s="630"/>
      <c r="IGJ1" s="630"/>
      <c r="IGK1" s="630"/>
      <c r="IGL1" s="630"/>
      <c r="IGM1" s="630"/>
      <c r="IGN1" s="630"/>
      <c r="IGO1" s="630"/>
      <c r="IGP1" s="630"/>
      <c r="IGQ1" s="630"/>
      <c r="IGR1" s="630"/>
      <c r="IGS1" s="632"/>
      <c r="IGT1" s="631"/>
      <c r="IGU1" s="631"/>
      <c r="IGV1" s="631"/>
      <c r="IGW1" s="631"/>
      <c r="IGX1" s="631"/>
      <c r="IGY1" s="631"/>
      <c r="IGZ1" s="631"/>
      <c r="IHA1" s="631"/>
      <c r="IHB1" s="631"/>
      <c r="IHC1" s="631"/>
      <c r="IHD1" s="631"/>
      <c r="IHE1" s="631"/>
      <c r="IHF1" s="631"/>
      <c r="IHG1" s="631"/>
      <c r="IHH1" s="631"/>
      <c r="IHI1" s="631"/>
      <c r="IHJ1" s="631"/>
      <c r="IHK1" s="630"/>
      <c r="IHL1" s="630"/>
      <c r="IHM1" s="630"/>
      <c r="IHN1" s="630"/>
      <c r="IHO1" s="630"/>
      <c r="IHP1" s="630"/>
      <c r="IHQ1" s="630"/>
      <c r="IHR1" s="630"/>
      <c r="IHS1" s="630"/>
      <c r="IHT1" s="630"/>
      <c r="IHU1" s="630"/>
      <c r="IHV1" s="630"/>
      <c r="IHW1" s="630"/>
      <c r="IHX1" s="630"/>
      <c r="IHY1" s="630"/>
      <c r="IHZ1" s="630"/>
      <c r="IIA1" s="630"/>
      <c r="IIB1" s="630"/>
      <c r="IIC1" s="630"/>
      <c r="IID1" s="630"/>
      <c r="IIE1" s="630"/>
      <c r="IIF1" s="630"/>
      <c r="IIG1" s="630"/>
      <c r="IIH1" s="630"/>
      <c r="III1" s="630"/>
      <c r="IIJ1" s="630"/>
      <c r="IIK1" s="630"/>
      <c r="IIL1" s="630"/>
      <c r="IIM1" s="630"/>
      <c r="IIN1" s="630"/>
      <c r="IIO1" s="630"/>
      <c r="IIP1" s="630"/>
      <c r="IIQ1" s="630"/>
      <c r="IIR1" s="630"/>
      <c r="IIS1" s="630"/>
      <c r="IIT1" s="630"/>
      <c r="IIU1" s="630"/>
      <c r="IIV1" s="630"/>
      <c r="IIW1" s="630"/>
      <c r="IIX1" s="630"/>
      <c r="IIY1" s="630"/>
      <c r="IIZ1" s="630"/>
      <c r="IJA1" s="630"/>
      <c r="IJB1" s="630"/>
      <c r="IJC1" s="630"/>
      <c r="IJD1" s="630"/>
      <c r="IJE1" s="630"/>
      <c r="IJF1" s="630"/>
      <c r="IJG1" s="630"/>
      <c r="IJH1" s="632"/>
      <c r="IJI1" s="631"/>
      <c r="IJJ1" s="631"/>
      <c r="IJK1" s="631"/>
      <c r="IJL1" s="631"/>
      <c r="IJM1" s="631"/>
      <c r="IJN1" s="631"/>
      <c r="IJO1" s="631"/>
      <c r="IJP1" s="631"/>
      <c r="IJQ1" s="631"/>
      <c r="IJR1" s="631"/>
      <c r="IJS1" s="631"/>
      <c r="IJT1" s="631"/>
      <c r="IJU1" s="631"/>
      <c r="IJV1" s="631"/>
      <c r="IJW1" s="631"/>
      <c r="IJX1" s="631"/>
      <c r="IJY1" s="631"/>
      <c r="IJZ1" s="630"/>
      <c r="IKA1" s="630"/>
      <c r="IKB1" s="630"/>
      <c r="IKC1" s="630"/>
      <c r="IKD1" s="630"/>
      <c r="IKE1" s="630"/>
      <c r="IKF1" s="630"/>
      <c r="IKG1" s="630"/>
      <c r="IKH1" s="630"/>
      <c r="IKI1" s="630"/>
      <c r="IKJ1" s="630"/>
      <c r="IKK1" s="630"/>
      <c r="IKL1" s="630"/>
      <c r="IKM1" s="630"/>
      <c r="IKN1" s="630"/>
      <c r="IKO1" s="630"/>
      <c r="IKP1" s="630"/>
      <c r="IKQ1" s="630"/>
      <c r="IKR1" s="630"/>
      <c r="IKS1" s="630"/>
      <c r="IKT1" s="630"/>
      <c r="IKU1" s="630"/>
      <c r="IKV1" s="630"/>
      <c r="IKW1" s="630"/>
      <c r="IKX1" s="630"/>
      <c r="IKY1" s="630"/>
      <c r="IKZ1" s="630"/>
      <c r="ILA1" s="630"/>
      <c r="ILB1" s="630"/>
      <c r="ILC1" s="630"/>
      <c r="ILD1" s="630"/>
      <c r="ILE1" s="630"/>
      <c r="ILF1" s="630"/>
      <c r="ILG1" s="630"/>
      <c r="ILH1" s="630"/>
      <c r="ILI1" s="630"/>
      <c r="ILJ1" s="630"/>
      <c r="ILK1" s="630"/>
      <c r="ILL1" s="630"/>
      <c r="ILM1" s="630"/>
      <c r="ILN1" s="630"/>
      <c r="ILO1" s="630"/>
      <c r="ILP1" s="630"/>
      <c r="ILQ1" s="630"/>
      <c r="ILR1" s="630"/>
      <c r="ILS1" s="630"/>
      <c r="ILT1" s="630"/>
      <c r="ILU1" s="630"/>
      <c r="ILV1" s="630"/>
      <c r="ILW1" s="632"/>
      <c r="ILX1" s="631"/>
      <c r="ILY1" s="631"/>
      <c r="ILZ1" s="631"/>
      <c r="IMA1" s="631"/>
      <c r="IMB1" s="631"/>
      <c r="IMC1" s="631"/>
      <c r="IMD1" s="631"/>
      <c r="IME1" s="631"/>
      <c r="IMF1" s="631"/>
      <c r="IMG1" s="631"/>
      <c r="IMH1" s="631"/>
      <c r="IMI1" s="631"/>
      <c r="IMJ1" s="631"/>
      <c r="IMK1" s="631"/>
      <c r="IML1" s="631"/>
      <c r="IMM1" s="631"/>
      <c r="IMN1" s="631"/>
      <c r="IMO1" s="630"/>
      <c r="IMP1" s="630"/>
      <c r="IMQ1" s="630"/>
      <c r="IMR1" s="630"/>
      <c r="IMS1" s="630"/>
      <c r="IMT1" s="630"/>
      <c r="IMU1" s="630"/>
      <c r="IMV1" s="630"/>
      <c r="IMW1" s="630"/>
      <c r="IMX1" s="630"/>
      <c r="IMY1" s="630"/>
      <c r="IMZ1" s="630"/>
      <c r="INA1" s="630"/>
      <c r="INB1" s="630"/>
      <c r="INC1" s="630"/>
      <c r="IND1" s="630"/>
      <c r="INE1" s="630"/>
      <c r="INF1" s="630"/>
      <c r="ING1" s="630"/>
      <c r="INH1" s="630"/>
      <c r="INI1" s="630"/>
      <c r="INJ1" s="630"/>
      <c r="INK1" s="630"/>
      <c r="INL1" s="630"/>
      <c r="INM1" s="630"/>
      <c r="INN1" s="630"/>
      <c r="INO1" s="630"/>
      <c r="INP1" s="630"/>
      <c r="INQ1" s="630"/>
      <c r="INR1" s="630"/>
      <c r="INS1" s="630"/>
      <c r="INT1" s="630"/>
      <c r="INU1" s="630"/>
      <c r="INV1" s="630"/>
      <c r="INW1" s="630"/>
      <c r="INX1" s="630"/>
      <c r="INY1" s="630"/>
      <c r="INZ1" s="630"/>
      <c r="IOA1" s="630"/>
      <c r="IOB1" s="630"/>
      <c r="IOC1" s="630"/>
      <c r="IOD1" s="630"/>
      <c r="IOE1" s="630"/>
      <c r="IOF1" s="630"/>
      <c r="IOG1" s="630"/>
      <c r="IOH1" s="630"/>
      <c r="IOI1" s="630"/>
      <c r="IOJ1" s="630"/>
      <c r="IOK1" s="630"/>
      <c r="IOL1" s="632"/>
      <c r="IOM1" s="631"/>
      <c r="ION1" s="631"/>
      <c r="IOO1" s="631"/>
      <c r="IOP1" s="631"/>
      <c r="IOQ1" s="631"/>
      <c r="IOR1" s="631"/>
      <c r="IOS1" s="631"/>
      <c r="IOT1" s="631"/>
      <c r="IOU1" s="631"/>
      <c r="IOV1" s="631"/>
      <c r="IOW1" s="631"/>
      <c r="IOX1" s="631"/>
      <c r="IOY1" s="631"/>
      <c r="IOZ1" s="631"/>
      <c r="IPA1" s="631"/>
      <c r="IPB1" s="631"/>
      <c r="IPC1" s="631"/>
      <c r="IPD1" s="630"/>
      <c r="IPE1" s="630"/>
      <c r="IPF1" s="630"/>
      <c r="IPG1" s="630"/>
      <c r="IPH1" s="630"/>
      <c r="IPI1" s="630"/>
      <c r="IPJ1" s="630"/>
      <c r="IPK1" s="630"/>
      <c r="IPL1" s="630"/>
      <c r="IPM1" s="630"/>
      <c r="IPN1" s="630"/>
      <c r="IPO1" s="630"/>
      <c r="IPP1" s="630"/>
      <c r="IPQ1" s="630"/>
      <c r="IPR1" s="630"/>
      <c r="IPS1" s="630"/>
      <c r="IPT1" s="630"/>
      <c r="IPU1" s="630"/>
      <c r="IPV1" s="630"/>
      <c r="IPW1" s="630"/>
      <c r="IPX1" s="630"/>
      <c r="IPY1" s="630"/>
      <c r="IPZ1" s="630"/>
      <c r="IQA1" s="630"/>
      <c r="IQB1" s="630"/>
      <c r="IQC1" s="630"/>
      <c r="IQD1" s="630"/>
      <c r="IQE1" s="630"/>
      <c r="IQF1" s="630"/>
      <c r="IQG1" s="630"/>
      <c r="IQH1" s="630"/>
      <c r="IQI1" s="630"/>
      <c r="IQJ1" s="630"/>
      <c r="IQK1" s="630"/>
      <c r="IQL1" s="630"/>
      <c r="IQM1" s="630"/>
      <c r="IQN1" s="630"/>
      <c r="IQO1" s="630"/>
      <c r="IQP1" s="630"/>
      <c r="IQQ1" s="630"/>
      <c r="IQR1" s="630"/>
      <c r="IQS1" s="630"/>
      <c r="IQT1" s="630"/>
      <c r="IQU1" s="630"/>
      <c r="IQV1" s="630"/>
      <c r="IQW1" s="630"/>
      <c r="IQX1" s="630"/>
      <c r="IQY1" s="630"/>
      <c r="IQZ1" s="630"/>
      <c r="IRA1" s="632"/>
      <c r="IRB1" s="631"/>
      <c r="IRC1" s="631"/>
      <c r="IRD1" s="631"/>
      <c r="IRE1" s="631"/>
      <c r="IRF1" s="631"/>
      <c r="IRG1" s="631"/>
      <c r="IRH1" s="631"/>
      <c r="IRI1" s="631"/>
      <c r="IRJ1" s="631"/>
      <c r="IRK1" s="631"/>
      <c r="IRL1" s="631"/>
      <c r="IRM1" s="631"/>
      <c r="IRN1" s="631"/>
      <c r="IRO1" s="631"/>
      <c r="IRP1" s="631"/>
      <c r="IRQ1" s="631"/>
      <c r="IRR1" s="631"/>
      <c r="IRS1" s="630"/>
      <c r="IRT1" s="630"/>
      <c r="IRU1" s="630"/>
      <c r="IRV1" s="630"/>
      <c r="IRW1" s="630"/>
      <c r="IRX1" s="630"/>
      <c r="IRY1" s="630"/>
      <c r="IRZ1" s="630"/>
      <c r="ISA1" s="630"/>
      <c r="ISB1" s="630"/>
      <c r="ISC1" s="630"/>
      <c r="ISD1" s="630"/>
      <c r="ISE1" s="630"/>
      <c r="ISF1" s="630"/>
      <c r="ISG1" s="630"/>
      <c r="ISH1" s="630"/>
      <c r="ISI1" s="630"/>
      <c r="ISJ1" s="630"/>
      <c r="ISK1" s="630"/>
      <c r="ISL1" s="630"/>
      <c r="ISM1" s="630"/>
      <c r="ISN1" s="630"/>
      <c r="ISO1" s="630"/>
      <c r="ISP1" s="630"/>
      <c r="ISQ1" s="630"/>
      <c r="ISR1" s="630"/>
      <c r="ISS1" s="630"/>
      <c r="IST1" s="630"/>
      <c r="ISU1" s="630"/>
      <c r="ISV1" s="630"/>
      <c r="ISW1" s="630"/>
      <c r="ISX1" s="630"/>
      <c r="ISY1" s="630"/>
      <c r="ISZ1" s="630"/>
      <c r="ITA1" s="630"/>
      <c r="ITB1" s="630"/>
      <c r="ITC1" s="630"/>
      <c r="ITD1" s="630"/>
      <c r="ITE1" s="630"/>
      <c r="ITF1" s="630"/>
      <c r="ITG1" s="630"/>
      <c r="ITH1" s="630"/>
      <c r="ITI1" s="630"/>
      <c r="ITJ1" s="630"/>
      <c r="ITK1" s="630"/>
      <c r="ITL1" s="630"/>
      <c r="ITM1" s="630"/>
      <c r="ITN1" s="630"/>
      <c r="ITO1" s="630"/>
      <c r="ITP1" s="632"/>
      <c r="ITQ1" s="631"/>
      <c r="ITR1" s="631"/>
      <c r="ITS1" s="631"/>
      <c r="ITT1" s="631"/>
      <c r="ITU1" s="631"/>
      <c r="ITV1" s="631"/>
      <c r="ITW1" s="631"/>
      <c r="ITX1" s="631"/>
      <c r="ITY1" s="631"/>
      <c r="ITZ1" s="631"/>
      <c r="IUA1" s="631"/>
      <c r="IUB1" s="631"/>
      <c r="IUC1" s="631"/>
      <c r="IUD1" s="631"/>
      <c r="IUE1" s="631"/>
      <c r="IUF1" s="631"/>
      <c r="IUG1" s="631"/>
      <c r="IUH1" s="630"/>
      <c r="IUI1" s="630"/>
      <c r="IUJ1" s="630"/>
      <c r="IUK1" s="630"/>
      <c r="IUL1" s="630"/>
      <c r="IUM1" s="630"/>
      <c r="IUN1" s="630"/>
      <c r="IUO1" s="630"/>
      <c r="IUP1" s="630"/>
      <c r="IUQ1" s="630"/>
      <c r="IUR1" s="630"/>
      <c r="IUS1" s="630"/>
      <c r="IUT1" s="630"/>
      <c r="IUU1" s="630"/>
      <c r="IUV1" s="630"/>
      <c r="IUW1" s="630"/>
      <c r="IUX1" s="630"/>
      <c r="IUY1" s="630"/>
      <c r="IUZ1" s="630"/>
      <c r="IVA1" s="630"/>
      <c r="IVB1" s="630"/>
      <c r="IVC1" s="630"/>
      <c r="IVD1" s="630"/>
      <c r="IVE1" s="630"/>
      <c r="IVF1" s="630"/>
      <c r="IVG1" s="630"/>
      <c r="IVH1" s="630"/>
      <c r="IVI1" s="630"/>
      <c r="IVJ1" s="630"/>
      <c r="IVK1" s="630"/>
      <c r="IVL1" s="630"/>
      <c r="IVM1" s="630"/>
      <c r="IVN1" s="630"/>
      <c r="IVO1" s="630"/>
      <c r="IVP1" s="630"/>
      <c r="IVQ1" s="630"/>
      <c r="IVR1" s="630"/>
      <c r="IVS1" s="630"/>
      <c r="IVT1" s="630"/>
      <c r="IVU1" s="630"/>
      <c r="IVV1" s="630"/>
      <c r="IVW1" s="630"/>
      <c r="IVX1" s="630"/>
      <c r="IVY1" s="630"/>
      <c r="IVZ1" s="630"/>
      <c r="IWA1" s="630"/>
      <c r="IWB1" s="630"/>
      <c r="IWC1" s="630"/>
      <c r="IWD1" s="630"/>
      <c r="IWE1" s="632"/>
      <c r="IWF1" s="631"/>
      <c r="IWG1" s="631"/>
      <c r="IWH1" s="631"/>
      <c r="IWI1" s="631"/>
      <c r="IWJ1" s="631"/>
      <c r="IWK1" s="631"/>
      <c r="IWL1" s="631"/>
      <c r="IWM1" s="631"/>
      <c r="IWN1" s="631"/>
      <c r="IWO1" s="631"/>
      <c r="IWP1" s="631"/>
      <c r="IWQ1" s="631"/>
      <c r="IWR1" s="631"/>
      <c r="IWS1" s="631"/>
      <c r="IWT1" s="631"/>
      <c r="IWU1" s="631"/>
      <c r="IWV1" s="631"/>
      <c r="IWW1" s="630"/>
      <c r="IWX1" s="630"/>
      <c r="IWY1" s="630"/>
      <c r="IWZ1" s="630"/>
      <c r="IXA1" s="630"/>
      <c r="IXB1" s="630"/>
      <c r="IXC1" s="630"/>
      <c r="IXD1" s="630"/>
      <c r="IXE1" s="630"/>
      <c r="IXF1" s="630"/>
      <c r="IXG1" s="630"/>
      <c r="IXH1" s="630"/>
      <c r="IXI1" s="630"/>
      <c r="IXJ1" s="630"/>
      <c r="IXK1" s="630"/>
      <c r="IXL1" s="630"/>
      <c r="IXM1" s="630"/>
      <c r="IXN1" s="630"/>
      <c r="IXO1" s="630"/>
      <c r="IXP1" s="630"/>
      <c r="IXQ1" s="630"/>
      <c r="IXR1" s="630"/>
      <c r="IXS1" s="630"/>
      <c r="IXT1" s="630"/>
      <c r="IXU1" s="630"/>
      <c r="IXV1" s="630"/>
      <c r="IXW1" s="630"/>
      <c r="IXX1" s="630"/>
      <c r="IXY1" s="630"/>
      <c r="IXZ1" s="630"/>
      <c r="IYA1" s="630"/>
      <c r="IYB1" s="630"/>
      <c r="IYC1" s="630"/>
      <c r="IYD1" s="630"/>
      <c r="IYE1" s="630"/>
      <c r="IYF1" s="630"/>
      <c r="IYG1" s="630"/>
      <c r="IYH1" s="630"/>
      <c r="IYI1" s="630"/>
      <c r="IYJ1" s="630"/>
      <c r="IYK1" s="630"/>
      <c r="IYL1" s="630"/>
      <c r="IYM1" s="630"/>
      <c r="IYN1" s="630"/>
      <c r="IYO1" s="630"/>
      <c r="IYP1" s="630"/>
      <c r="IYQ1" s="630"/>
      <c r="IYR1" s="630"/>
      <c r="IYS1" s="630"/>
      <c r="IYT1" s="632"/>
      <c r="IYU1" s="631"/>
      <c r="IYV1" s="631"/>
      <c r="IYW1" s="631"/>
      <c r="IYX1" s="631"/>
      <c r="IYY1" s="631"/>
      <c r="IYZ1" s="631"/>
      <c r="IZA1" s="631"/>
      <c r="IZB1" s="631"/>
      <c r="IZC1" s="631"/>
      <c r="IZD1" s="631"/>
      <c r="IZE1" s="631"/>
      <c r="IZF1" s="631"/>
      <c r="IZG1" s="631"/>
      <c r="IZH1" s="631"/>
      <c r="IZI1" s="631"/>
      <c r="IZJ1" s="631"/>
      <c r="IZK1" s="631"/>
      <c r="IZL1" s="630"/>
      <c r="IZM1" s="630"/>
      <c r="IZN1" s="630"/>
      <c r="IZO1" s="630"/>
      <c r="IZP1" s="630"/>
      <c r="IZQ1" s="630"/>
      <c r="IZR1" s="630"/>
      <c r="IZS1" s="630"/>
      <c r="IZT1" s="630"/>
      <c r="IZU1" s="630"/>
      <c r="IZV1" s="630"/>
      <c r="IZW1" s="630"/>
      <c r="IZX1" s="630"/>
      <c r="IZY1" s="630"/>
      <c r="IZZ1" s="630"/>
      <c r="JAA1" s="630"/>
      <c r="JAB1" s="630"/>
      <c r="JAC1" s="630"/>
      <c r="JAD1" s="630"/>
      <c r="JAE1" s="630"/>
      <c r="JAF1" s="630"/>
      <c r="JAG1" s="630"/>
      <c r="JAH1" s="630"/>
      <c r="JAI1" s="630"/>
      <c r="JAJ1" s="630"/>
      <c r="JAK1" s="630"/>
      <c r="JAL1" s="630"/>
      <c r="JAM1" s="630"/>
      <c r="JAN1" s="630"/>
      <c r="JAO1" s="630"/>
      <c r="JAP1" s="630"/>
      <c r="JAQ1" s="630"/>
      <c r="JAR1" s="630"/>
      <c r="JAS1" s="630"/>
      <c r="JAT1" s="630"/>
      <c r="JAU1" s="630"/>
      <c r="JAV1" s="630"/>
      <c r="JAW1" s="630"/>
      <c r="JAX1" s="630"/>
      <c r="JAY1" s="630"/>
      <c r="JAZ1" s="630"/>
      <c r="JBA1" s="630"/>
      <c r="JBB1" s="630"/>
      <c r="JBC1" s="630"/>
      <c r="JBD1" s="630"/>
      <c r="JBE1" s="630"/>
      <c r="JBF1" s="630"/>
      <c r="JBG1" s="630"/>
      <c r="JBH1" s="630"/>
      <c r="JBI1" s="632"/>
      <c r="JBJ1" s="631"/>
      <c r="JBK1" s="631"/>
      <c r="JBL1" s="631"/>
      <c r="JBM1" s="631"/>
      <c r="JBN1" s="631"/>
      <c r="JBO1" s="631"/>
      <c r="JBP1" s="631"/>
      <c r="JBQ1" s="631"/>
      <c r="JBR1" s="631"/>
      <c r="JBS1" s="631"/>
      <c r="JBT1" s="631"/>
      <c r="JBU1" s="631"/>
      <c r="JBV1" s="631"/>
      <c r="JBW1" s="631"/>
      <c r="JBX1" s="631"/>
      <c r="JBY1" s="631"/>
      <c r="JBZ1" s="631"/>
      <c r="JCA1" s="630"/>
      <c r="JCB1" s="630"/>
      <c r="JCC1" s="630"/>
      <c r="JCD1" s="630"/>
      <c r="JCE1" s="630"/>
      <c r="JCF1" s="630"/>
      <c r="JCG1" s="630"/>
      <c r="JCH1" s="630"/>
      <c r="JCI1" s="630"/>
      <c r="JCJ1" s="630"/>
      <c r="JCK1" s="630"/>
      <c r="JCL1" s="630"/>
      <c r="JCM1" s="630"/>
      <c r="JCN1" s="630"/>
      <c r="JCO1" s="630"/>
      <c r="JCP1" s="630"/>
      <c r="JCQ1" s="630"/>
      <c r="JCR1" s="630"/>
      <c r="JCS1" s="630"/>
      <c r="JCT1" s="630"/>
      <c r="JCU1" s="630"/>
      <c r="JCV1" s="630"/>
      <c r="JCW1" s="630"/>
      <c r="JCX1" s="630"/>
      <c r="JCY1" s="630"/>
      <c r="JCZ1" s="630"/>
      <c r="JDA1" s="630"/>
      <c r="JDB1" s="630"/>
      <c r="JDC1" s="630"/>
      <c r="JDD1" s="630"/>
      <c r="JDE1" s="630"/>
      <c r="JDF1" s="630"/>
      <c r="JDG1" s="630"/>
      <c r="JDH1" s="630"/>
      <c r="JDI1" s="630"/>
      <c r="JDJ1" s="630"/>
      <c r="JDK1" s="630"/>
      <c r="JDL1" s="630"/>
      <c r="JDM1" s="630"/>
      <c r="JDN1" s="630"/>
      <c r="JDO1" s="630"/>
      <c r="JDP1" s="630"/>
      <c r="JDQ1" s="630"/>
      <c r="JDR1" s="630"/>
      <c r="JDS1" s="630"/>
      <c r="JDT1" s="630"/>
      <c r="JDU1" s="630"/>
      <c r="JDV1" s="630"/>
      <c r="JDW1" s="630"/>
      <c r="JDX1" s="632"/>
      <c r="JDY1" s="631"/>
      <c r="JDZ1" s="631"/>
      <c r="JEA1" s="631"/>
      <c r="JEB1" s="631"/>
      <c r="JEC1" s="631"/>
      <c r="JED1" s="631"/>
      <c r="JEE1" s="631"/>
      <c r="JEF1" s="631"/>
      <c r="JEG1" s="631"/>
      <c r="JEH1" s="631"/>
      <c r="JEI1" s="631"/>
      <c r="JEJ1" s="631"/>
      <c r="JEK1" s="631"/>
      <c r="JEL1" s="631"/>
      <c r="JEM1" s="631"/>
      <c r="JEN1" s="631"/>
      <c r="JEO1" s="631"/>
      <c r="JEP1" s="630"/>
      <c r="JEQ1" s="630"/>
      <c r="JER1" s="630"/>
      <c r="JES1" s="630"/>
      <c r="JET1" s="630"/>
      <c r="JEU1" s="630"/>
      <c r="JEV1" s="630"/>
      <c r="JEW1" s="630"/>
      <c r="JEX1" s="630"/>
      <c r="JEY1" s="630"/>
      <c r="JEZ1" s="630"/>
      <c r="JFA1" s="630"/>
      <c r="JFB1" s="630"/>
      <c r="JFC1" s="630"/>
      <c r="JFD1" s="630"/>
      <c r="JFE1" s="630"/>
      <c r="JFF1" s="630"/>
      <c r="JFG1" s="630"/>
      <c r="JFH1" s="630"/>
      <c r="JFI1" s="630"/>
      <c r="JFJ1" s="630"/>
      <c r="JFK1" s="630"/>
      <c r="JFL1" s="630"/>
      <c r="JFM1" s="630"/>
      <c r="JFN1" s="630"/>
      <c r="JFO1" s="630"/>
      <c r="JFP1" s="630"/>
      <c r="JFQ1" s="630"/>
      <c r="JFR1" s="630"/>
      <c r="JFS1" s="630"/>
      <c r="JFT1" s="630"/>
      <c r="JFU1" s="630"/>
      <c r="JFV1" s="630"/>
      <c r="JFW1" s="630"/>
      <c r="JFX1" s="630"/>
      <c r="JFY1" s="630"/>
      <c r="JFZ1" s="630"/>
      <c r="JGA1" s="630"/>
      <c r="JGB1" s="630"/>
      <c r="JGC1" s="630"/>
      <c r="JGD1" s="630"/>
      <c r="JGE1" s="630"/>
      <c r="JGF1" s="630"/>
      <c r="JGG1" s="630"/>
      <c r="JGH1" s="630"/>
      <c r="JGI1" s="630"/>
      <c r="JGJ1" s="630"/>
      <c r="JGK1" s="630"/>
      <c r="JGL1" s="630"/>
      <c r="JGM1" s="632"/>
      <c r="JGN1" s="631"/>
      <c r="JGO1" s="631"/>
      <c r="JGP1" s="631"/>
      <c r="JGQ1" s="631"/>
      <c r="JGR1" s="631"/>
      <c r="JGS1" s="631"/>
      <c r="JGT1" s="631"/>
      <c r="JGU1" s="631"/>
      <c r="JGV1" s="631"/>
      <c r="JGW1" s="631"/>
      <c r="JGX1" s="631"/>
      <c r="JGY1" s="631"/>
      <c r="JGZ1" s="631"/>
      <c r="JHA1" s="631"/>
      <c r="JHB1" s="631"/>
      <c r="JHC1" s="631"/>
      <c r="JHD1" s="631"/>
      <c r="JHE1" s="630"/>
      <c r="JHF1" s="630"/>
      <c r="JHG1" s="630"/>
      <c r="JHH1" s="630"/>
      <c r="JHI1" s="630"/>
      <c r="JHJ1" s="630"/>
      <c r="JHK1" s="630"/>
      <c r="JHL1" s="630"/>
      <c r="JHM1" s="630"/>
      <c r="JHN1" s="630"/>
      <c r="JHO1" s="630"/>
      <c r="JHP1" s="630"/>
      <c r="JHQ1" s="630"/>
      <c r="JHR1" s="630"/>
      <c r="JHS1" s="630"/>
      <c r="JHT1" s="630"/>
      <c r="JHU1" s="630"/>
      <c r="JHV1" s="630"/>
      <c r="JHW1" s="630"/>
      <c r="JHX1" s="630"/>
      <c r="JHY1" s="630"/>
      <c r="JHZ1" s="630"/>
      <c r="JIA1" s="630"/>
      <c r="JIB1" s="630"/>
      <c r="JIC1" s="630"/>
      <c r="JID1" s="630"/>
      <c r="JIE1" s="630"/>
      <c r="JIF1" s="630"/>
      <c r="JIG1" s="630"/>
      <c r="JIH1" s="630"/>
      <c r="JII1" s="630"/>
      <c r="JIJ1" s="630"/>
      <c r="JIK1" s="630"/>
      <c r="JIL1" s="630"/>
      <c r="JIM1" s="630"/>
      <c r="JIN1" s="630"/>
      <c r="JIO1" s="630"/>
      <c r="JIP1" s="630"/>
      <c r="JIQ1" s="630"/>
      <c r="JIR1" s="630"/>
      <c r="JIS1" s="630"/>
      <c r="JIT1" s="630"/>
      <c r="JIU1" s="630"/>
      <c r="JIV1" s="630"/>
      <c r="JIW1" s="630"/>
      <c r="JIX1" s="630"/>
      <c r="JIY1" s="630"/>
      <c r="JIZ1" s="630"/>
      <c r="JJA1" s="630"/>
      <c r="JJB1" s="632"/>
      <c r="JJC1" s="631"/>
      <c r="JJD1" s="631"/>
      <c r="JJE1" s="631"/>
      <c r="JJF1" s="631"/>
      <c r="JJG1" s="631"/>
      <c r="JJH1" s="631"/>
      <c r="JJI1" s="631"/>
      <c r="JJJ1" s="631"/>
      <c r="JJK1" s="631"/>
      <c r="JJL1" s="631"/>
      <c r="JJM1" s="631"/>
      <c r="JJN1" s="631"/>
      <c r="JJO1" s="631"/>
      <c r="JJP1" s="631"/>
      <c r="JJQ1" s="631"/>
      <c r="JJR1" s="631"/>
      <c r="JJS1" s="631"/>
      <c r="JJT1" s="630"/>
      <c r="JJU1" s="630"/>
      <c r="JJV1" s="630"/>
      <c r="JJW1" s="630"/>
      <c r="JJX1" s="630"/>
      <c r="JJY1" s="630"/>
      <c r="JJZ1" s="630"/>
      <c r="JKA1" s="630"/>
      <c r="JKB1" s="630"/>
      <c r="JKC1" s="630"/>
      <c r="JKD1" s="630"/>
      <c r="JKE1" s="630"/>
      <c r="JKF1" s="630"/>
      <c r="JKG1" s="630"/>
      <c r="JKH1" s="630"/>
      <c r="JKI1" s="630"/>
      <c r="JKJ1" s="630"/>
      <c r="JKK1" s="630"/>
      <c r="JKL1" s="630"/>
      <c r="JKM1" s="630"/>
      <c r="JKN1" s="630"/>
      <c r="JKO1" s="630"/>
      <c r="JKP1" s="630"/>
      <c r="JKQ1" s="630"/>
      <c r="JKR1" s="630"/>
      <c r="JKS1" s="630"/>
      <c r="JKT1" s="630"/>
      <c r="JKU1" s="630"/>
      <c r="JKV1" s="630"/>
      <c r="JKW1" s="630"/>
      <c r="JKX1" s="630"/>
      <c r="JKY1" s="630"/>
      <c r="JKZ1" s="630"/>
      <c r="JLA1" s="630"/>
      <c r="JLB1" s="630"/>
      <c r="JLC1" s="630"/>
      <c r="JLD1" s="630"/>
      <c r="JLE1" s="630"/>
      <c r="JLF1" s="630"/>
      <c r="JLG1" s="630"/>
      <c r="JLH1" s="630"/>
      <c r="JLI1" s="630"/>
      <c r="JLJ1" s="630"/>
      <c r="JLK1" s="630"/>
      <c r="JLL1" s="630"/>
      <c r="JLM1" s="630"/>
      <c r="JLN1" s="630"/>
      <c r="JLO1" s="630"/>
      <c r="JLP1" s="630"/>
      <c r="JLQ1" s="632"/>
      <c r="JLR1" s="631"/>
      <c r="JLS1" s="631"/>
      <c r="JLT1" s="631"/>
      <c r="JLU1" s="631"/>
      <c r="JLV1" s="631"/>
      <c r="JLW1" s="631"/>
      <c r="JLX1" s="631"/>
      <c r="JLY1" s="631"/>
      <c r="JLZ1" s="631"/>
      <c r="JMA1" s="631"/>
      <c r="JMB1" s="631"/>
      <c r="JMC1" s="631"/>
      <c r="JMD1" s="631"/>
      <c r="JME1" s="631"/>
      <c r="JMF1" s="631"/>
      <c r="JMG1" s="631"/>
      <c r="JMH1" s="631"/>
      <c r="JMI1" s="630"/>
      <c r="JMJ1" s="630"/>
      <c r="JMK1" s="630"/>
      <c r="JML1" s="630"/>
      <c r="JMM1" s="630"/>
      <c r="JMN1" s="630"/>
      <c r="JMO1" s="630"/>
      <c r="JMP1" s="630"/>
      <c r="JMQ1" s="630"/>
      <c r="JMR1" s="630"/>
      <c r="JMS1" s="630"/>
      <c r="JMT1" s="630"/>
      <c r="JMU1" s="630"/>
      <c r="JMV1" s="630"/>
      <c r="JMW1" s="630"/>
      <c r="JMX1" s="630"/>
      <c r="JMY1" s="630"/>
      <c r="JMZ1" s="630"/>
      <c r="JNA1" s="630"/>
      <c r="JNB1" s="630"/>
      <c r="JNC1" s="630"/>
      <c r="JND1" s="630"/>
      <c r="JNE1" s="630"/>
      <c r="JNF1" s="630"/>
      <c r="JNG1" s="630"/>
      <c r="JNH1" s="630"/>
      <c r="JNI1" s="630"/>
      <c r="JNJ1" s="630"/>
      <c r="JNK1" s="630"/>
      <c r="JNL1" s="630"/>
      <c r="JNM1" s="630"/>
      <c r="JNN1" s="630"/>
      <c r="JNO1" s="630"/>
      <c r="JNP1" s="630"/>
      <c r="JNQ1" s="630"/>
      <c r="JNR1" s="630"/>
      <c r="JNS1" s="630"/>
      <c r="JNT1" s="630"/>
      <c r="JNU1" s="630"/>
      <c r="JNV1" s="630"/>
      <c r="JNW1" s="630"/>
      <c r="JNX1" s="630"/>
      <c r="JNY1" s="630"/>
      <c r="JNZ1" s="630"/>
      <c r="JOA1" s="630"/>
      <c r="JOB1" s="630"/>
      <c r="JOC1" s="630"/>
      <c r="JOD1" s="630"/>
      <c r="JOE1" s="630"/>
      <c r="JOF1" s="632"/>
      <c r="JOG1" s="631"/>
      <c r="JOH1" s="631"/>
      <c r="JOI1" s="631"/>
      <c r="JOJ1" s="631"/>
      <c r="JOK1" s="631"/>
      <c r="JOL1" s="631"/>
      <c r="JOM1" s="631"/>
      <c r="JON1" s="631"/>
      <c r="JOO1" s="631"/>
      <c r="JOP1" s="631"/>
      <c r="JOQ1" s="631"/>
      <c r="JOR1" s="631"/>
      <c r="JOS1" s="631"/>
      <c r="JOT1" s="631"/>
      <c r="JOU1" s="631"/>
      <c r="JOV1" s="631"/>
      <c r="JOW1" s="631"/>
      <c r="JOX1" s="630"/>
      <c r="JOY1" s="630"/>
      <c r="JOZ1" s="630"/>
      <c r="JPA1" s="630"/>
      <c r="JPB1" s="630"/>
      <c r="JPC1" s="630"/>
      <c r="JPD1" s="630"/>
      <c r="JPE1" s="630"/>
      <c r="JPF1" s="630"/>
      <c r="JPG1" s="630"/>
      <c r="JPH1" s="630"/>
      <c r="JPI1" s="630"/>
      <c r="JPJ1" s="630"/>
      <c r="JPK1" s="630"/>
      <c r="JPL1" s="630"/>
      <c r="JPM1" s="630"/>
      <c r="JPN1" s="630"/>
      <c r="JPO1" s="630"/>
      <c r="JPP1" s="630"/>
      <c r="JPQ1" s="630"/>
      <c r="JPR1" s="630"/>
      <c r="JPS1" s="630"/>
      <c r="JPT1" s="630"/>
      <c r="JPU1" s="630"/>
      <c r="JPV1" s="630"/>
      <c r="JPW1" s="630"/>
      <c r="JPX1" s="630"/>
      <c r="JPY1" s="630"/>
      <c r="JPZ1" s="630"/>
      <c r="JQA1" s="630"/>
      <c r="JQB1" s="630"/>
      <c r="JQC1" s="630"/>
      <c r="JQD1" s="630"/>
      <c r="JQE1" s="630"/>
      <c r="JQF1" s="630"/>
      <c r="JQG1" s="630"/>
      <c r="JQH1" s="630"/>
      <c r="JQI1" s="630"/>
      <c r="JQJ1" s="630"/>
      <c r="JQK1" s="630"/>
      <c r="JQL1" s="630"/>
      <c r="JQM1" s="630"/>
      <c r="JQN1" s="630"/>
      <c r="JQO1" s="630"/>
      <c r="JQP1" s="630"/>
      <c r="JQQ1" s="630"/>
      <c r="JQR1" s="630"/>
      <c r="JQS1" s="630"/>
      <c r="JQT1" s="630"/>
      <c r="JQU1" s="632"/>
      <c r="JQV1" s="631"/>
      <c r="JQW1" s="631"/>
      <c r="JQX1" s="631"/>
      <c r="JQY1" s="631"/>
      <c r="JQZ1" s="631"/>
      <c r="JRA1" s="631"/>
      <c r="JRB1" s="631"/>
      <c r="JRC1" s="631"/>
      <c r="JRD1" s="631"/>
      <c r="JRE1" s="631"/>
      <c r="JRF1" s="631"/>
      <c r="JRG1" s="631"/>
      <c r="JRH1" s="631"/>
      <c r="JRI1" s="631"/>
      <c r="JRJ1" s="631"/>
      <c r="JRK1" s="631"/>
      <c r="JRL1" s="631"/>
      <c r="JRM1" s="630"/>
      <c r="JRN1" s="630"/>
      <c r="JRO1" s="630"/>
      <c r="JRP1" s="630"/>
      <c r="JRQ1" s="630"/>
      <c r="JRR1" s="630"/>
      <c r="JRS1" s="630"/>
      <c r="JRT1" s="630"/>
      <c r="JRU1" s="630"/>
      <c r="JRV1" s="630"/>
      <c r="JRW1" s="630"/>
      <c r="JRX1" s="630"/>
      <c r="JRY1" s="630"/>
      <c r="JRZ1" s="630"/>
      <c r="JSA1" s="630"/>
      <c r="JSB1" s="630"/>
      <c r="JSC1" s="630"/>
      <c r="JSD1" s="630"/>
      <c r="JSE1" s="630"/>
      <c r="JSF1" s="630"/>
      <c r="JSG1" s="630"/>
      <c r="JSH1" s="630"/>
      <c r="JSI1" s="630"/>
      <c r="JSJ1" s="630"/>
      <c r="JSK1" s="630"/>
      <c r="JSL1" s="630"/>
      <c r="JSM1" s="630"/>
      <c r="JSN1" s="630"/>
      <c r="JSO1" s="630"/>
      <c r="JSP1" s="630"/>
      <c r="JSQ1" s="630"/>
      <c r="JSR1" s="630"/>
      <c r="JSS1" s="630"/>
      <c r="JST1" s="630"/>
      <c r="JSU1" s="630"/>
      <c r="JSV1" s="630"/>
      <c r="JSW1" s="630"/>
      <c r="JSX1" s="630"/>
      <c r="JSY1" s="630"/>
      <c r="JSZ1" s="630"/>
      <c r="JTA1" s="630"/>
      <c r="JTB1" s="630"/>
      <c r="JTC1" s="630"/>
      <c r="JTD1" s="630"/>
      <c r="JTE1" s="630"/>
      <c r="JTF1" s="630"/>
      <c r="JTG1" s="630"/>
      <c r="JTH1" s="630"/>
      <c r="JTI1" s="630"/>
      <c r="JTJ1" s="632"/>
      <c r="JTK1" s="631"/>
      <c r="JTL1" s="631"/>
      <c r="JTM1" s="631"/>
      <c r="JTN1" s="631"/>
      <c r="JTO1" s="631"/>
      <c r="JTP1" s="631"/>
      <c r="JTQ1" s="631"/>
      <c r="JTR1" s="631"/>
      <c r="JTS1" s="631"/>
      <c r="JTT1" s="631"/>
      <c r="JTU1" s="631"/>
      <c r="JTV1" s="631"/>
      <c r="JTW1" s="631"/>
      <c r="JTX1" s="631"/>
      <c r="JTY1" s="631"/>
      <c r="JTZ1" s="631"/>
      <c r="JUA1" s="631"/>
      <c r="JUB1" s="630"/>
      <c r="JUC1" s="630"/>
      <c r="JUD1" s="630"/>
      <c r="JUE1" s="630"/>
      <c r="JUF1" s="630"/>
      <c r="JUG1" s="630"/>
      <c r="JUH1" s="630"/>
      <c r="JUI1" s="630"/>
      <c r="JUJ1" s="630"/>
      <c r="JUK1" s="630"/>
      <c r="JUL1" s="630"/>
      <c r="JUM1" s="630"/>
      <c r="JUN1" s="630"/>
      <c r="JUO1" s="630"/>
      <c r="JUP1" s="630"/>
      <c r="JUQ1" s="630"/>
      <c r="JUR1" s="630"/>
      <c r="JUS1" s="630"/>
      <c r="JUT1" s="630"/>
      <c r="JUU1" s="630"/>
      <c r="JUV1" s="630"/>
      <c r="JUW1" s="630"/>
      <c r="JUX1" s="630"/>
      <c r="JUY1" s="630"/>
      <c r="JUZ1" s="630"/>
      <c r="JVA1" s="630"/>
      <c r="JVB1" s="630"/>
      <c r="JVC1" s="630"/>
      <c r="JVD1" s="630"/>
      <c r="JVE1" s="630"/>
      <c r="JVF1" s="630"/>
      <c r="JVG1" s="630"/>
      <c r="JVH1" s="630"/>
      <c r="JVI1" s="630"/>
      <c r="JVJ1" s="630"/>
      <c r="JVK1" s="630"/>
      <c r="JVL1" s="630"/>
      <c r="JVM1" s="630"/>
      <c r="JVN1" s="630"/>
      <c r="JVO1" s="630"/>
      <c r="JVP1" s="630"/>
      <c r="JVQ1" s="630"/>
      <c r="JVR1" s="630"/>
      <c r="JVS1" s="630"/>
      <c r="JVT1" s="630"/>
      <c r="JVU1" s="630"/>
      <c r="JVV1" s="630"/>
      <c r="JVW1" s="630"/>
      <c r="JVX1" s="630"/>
      <c r="JVY1" s="632"/>
      <c r="JVZ1" s="631"/>
      <c r="JWA1" s="631"/>
      <c r="JWB1" s="631"/>
      <c r="JWC1" s="631"/>
      <c r="JWD1" s="631"/>
      <c r="JWE1" s="631"/>
      <c r="JWF1" s="631"/>
      <c r="JWG1" s="631"/>
      <c r="JWH1" s="631"/>
      <c r="JWI1" s="631"/>
      <c r="JWJ1" s="631"/>
      <c r="JWK1" s="631"/>
      <c r="JWL1" s="631"/>
      <c r="JWM1" s="631"/>
      <c r="JWN1" s="631"/>
      <c r="JWO1" s="631"/>
      <c r="JWP1" s="631"/>
      <c r="JWQ1" s="630"/>
      <c r="JWR1" s="630"/>
      <c r="JWS1" s="630"/>
      <c r="JWT1" s="630"/>
      <c r="JWU1" s="630"/>
      <c r="JWV1" s="630"/>
      <c r="JWW1" s="630"/>
      <c r="JWX1" s="630"/>
      <c r="JWY1" s="630"/>
      <c r="JWZ1" s="630"/>
      <c r="JXA1" s="630"/>
      <c r="JXB1" s="630"/>
      <c r="JXC1" s="630"/>
      <c r="JXD1" s="630"/>
      <c r="JXE1" s="630"/>
      <c r="JXF1" s="630"/>
      <c r="JXG1" s="630"/>
      <c r="JXH1" s="630"/>
      <c r="JXI1" s="630"/>
      <c r="JXJ1" s="630"/>
      <c r="JXK1" s="630"/>
      <c r="JXL1" s="630"/>
      <c r="JXM1" s="630"/>
      <c r="JXN1" s="630"/>
      <c r="JXO1" s="630"/>
      <c r="JXP1" s="630"/>
      <c r="JXQ1" s="630"/>
      <c r="JXR1" s="630"/>
      <c r="JXS1" s="630"/>
      <c r="JXT1" s="630"/>
      <c r="JXU1" s="630"/>
      <c r="JXV1" s="630"/>
      <c r="JXW1" s="630"/>
      <c r="JXX1" s="630"/>
      <c r="JXY1" s="630"/>
      <c r="JXZ1" s="630"/>
      <c r="JYA1" s="630"/>
      <c r="JYB1" s="630"/>
      <c r="JYC1" s="630"/>
      <c r="JYD1" s="630"/>
      <c r="JYE1" s="630"/>
      <c r="JYF1" s="630"/>
      <c r="JYG1" s="630"/>
      <c r="JYH1" s="630"/>
      <c r="JYI1" s="630"/>
      <c r="JYJ1" s="630"/>
      <c r="JYK1" s="630"/>
      <c r="JYL1" s="630"/>
      <c r="JYM1" s="630"/>
      <c r="JYN1" s="632"/>
      <c r="JYO1" s="631"/>
      <c r="JYP1" s="631"/>
      <c r="JYQ1" s="631"/>
      <c r="JYR1" s="631"/>
      <c r="JYS1" s="631"/>
      <c r="JYT1" s="631"/>
      <c r="JYU1" s="631"/>
      <c r="JYV1" s="631"/>
      <c r="JYW1" s="631"/>
      <c r="JYX1" s="631"/>
      <c r="JYY1" s="631"/>
      <c r="JYZ1" s="631"/>
      <c r="JZA1" s="631"/>
      <c r="JZB1" s="631"/>
      <c r="JZC1" s="631"/>
      <c r="JZD1" s="631"/>
      <c r="JZE1" s="631"/>
      <c r="JZF1" s="630"/>
      <c r="JZG1" s="630"/>
      <c r="JZH1" s="630"/>
      <c r="JZI1" s="630"/>
      <c r="JZJ1" s="630"/>
      <c r="JZK1" s="630"/>
      <c r="JZL1" s="630"/>
      <c r="JZM1" s="630"/>
      <c r="JZN1" s="630"/>
      <c r="JZO1" s="630"/>
      <c r="JZP1" s="630"/>
      <c r="JZQ1" s="630"/>
      <c r="JZR1" s="630"/>
      <c r="JZS1" s="630"/>
      <c r="JZT1" s="630"/>
      <c r="JZU1" s="630"/>
      <c r="JZV1" s="630"/>
      <c r="JZW1" s="630"/>
      <c r="JZX1" s="630"/>
      <c r="JZY1" s="630"/>
      <c r="JZZ1" s="630"/>
      <c r="KAA1" s="630"/>
      <c r="KAB1" s="630"/>
      <c r="KAC1" s="630"/>
      <c r="KAD1" s="630"/>
      <c r="KAE1" s="630"/>
      <c r="KAF1" s="630"/>
      <c r="KAG1" s="630"/>
      <c r="KAH1" s="630"/>
      <c r="KAI1" s="630"/>
      <c r="KAJ1" s="630"/>
      <c r="KAK1" s="630"/>
      <c r="KAL1" s="630"/>
      <c r="KAM1" s="630"/>
      <c r="KAN1" s="630"/>
      <c r="KAO1" s="630"/>
      <c r="KAP1" s="630"/>
      <c r="KAQ1" s="630"/>
      <c r="KAR1" s="630"/>
      <c r="KAS1" s="630"/>
      <c r="KAT1" s="630"/>
      <c r="KAU1" s="630"/>
      <c r="KAV1" s="630"/>
      <c r="KAW1" s="630"/>
      <c r="KAX1" s="630"/>
      <c r="KAY1" s="630"/>
      <c r="KAZ1" s="630"/>
      <c r="KBA1" s="630"/>
      <c r="KBB1" s="630"/>
      <c r="KBC1" s="632"/>
      <c r="KBD1" s="631"/>
      <c r="KBE1" s="631"/>
      <c r="KBF1" s="631"/>
      <c r="KBG1" s="631"/>
      <c r="KBH1" s="631"/>
      <c r="KBI1" s="631"/>
      <c r="KBJ1" s="631"/>
      <c r="KBK1" s="631"/>
      <c r="KBL1" s="631"/>
      <c r="KBM1" s="631"/>
      <c r="KBN1" s="631"/>
      <c r="KBO1" s="631"/>
      <c r="KBP1" s="631"/>
      <c r="KBQ1" s="631"/>
      <c r="KBR1" s="631"/>
      <c r="KBS1" s="631"/>
      <c r="KBT1" s="631"/>
      <c r="KBU1" s="630"/>
      <c r="KBV1" s="630"/>
      <c r="KBW1" s="630"/>
      <c r="KBX1" s="630"/>
      <c r="KBY1" s="630"/>
      <c r="KBZ1" s="630"/>
      <c r="KCA1" s="630"/>
      <c r="KCB1" s="630"/>
      <c r="KCC1" s="630"/>
      <c r="KCD1" s="630"/>
      <c r="KCE1" s="630"/>
      <c r="KCF1" s="630"/>
      <c r="KCG1" s="630"/>
      <c r="KCH1" s="630"/>
      <c r="KCI1" s="630"/>
      <c r="KCJ1" s="630"/>
      <c r="KCK1" s="630"/>
      <c r="KCL1" s="630"/>
      <c r="KCM1" s="630"/>
      <c r="KCN1" s="630"/>
      <c r="KCO1" s="630"/>
      <c r="KCP1" s="630"/>
      <c r="KCQ1" s="630"/>
      <c r="KCR1" s="630"/>
      <c r="KCS1" s="630"/>
      <c r="KCT1" s="630"/>
      <c r="KCU1" s="630"/>
      <c r="KCV1" s="630"/>
      <c r="KCW1" s="630"/>
      <c r="KCX1" s="630"/>
      <c r="KCY1" s="630"/>
      <c r="KCZ1" s="630"/>
      <c r="KDA1" s="630"/>
      <c r="KDB1" s="630"/>
      <c r="KDC1" s="630"/>
      <c r="KDD1" s="630"/>
      <c r="KDE1" s="630"/>
      <c r="KDF1" s="630"/>
      <c r="KDG1" s="630"/>
      <c r="KDH1" s="630"/>
      <c r="KDI1" s="630"/>
      <c r="KDJ1" s="630"/>
      <c r="KDK1" s="630"/>
      <c r="KDL1" s="630"/>
      <c r="KDM1" s="630"/>
      <c r="KDN1" s="630"/>
      <c r="KDO1" s="630"/>
      <c r="KDP1" s="630"/>
      <c r="KDQ1" s="630"/>
      <c r="KDR1" s="632"/>
      <c r="KDS1" s="631"/>
      <c r="KDT1" s="631"/>
      <c r="KDU1" s="631"/>
      <c r="KDV1" s="631"/>
      <c r="KDW1" s="631"/>
      <c r="KDX1" s="631"/>
      <c r="KDY1" s="631"/>
      <c r="KDZ1" s="631"/>
      <c r="KEA1" s="631"/>
      <c r="KEB1" s="631"/>
      <c r="KEC1" s="631"/>
      <c r="KED1" s="631"/>
      <c r="KEE1" s="631"/>
      <c r="KEF1" s="631"/>
      <c r="KEG1" s="631"/>
      <c r="KEH1" s="631"/>
      <c r="KEI1" s="631"/>
      <c r="KEJ1" s="630"/>
      <c r="KEK1" s="630"/>
      <c r="KEL1" s="630"/>
      <c r="KEM1" s="630"/>
      <c r="KEN1" s="630"/>
      <c r="KEO1" s="630"/>
      <c r="KEP1" s="630"/>
      <c r="KEQ1" s="630"/>
      <c r="KER1" s="630"/>
      <c r="KES1" s="630"/>
      <c r="KET1" s="630"/>
      <c r="KEU1" s="630"/>
      <c r="KEV1" s="630"/>
      <c r="KEW1" s="630"/>
      <c r="KEX1" s="630"/>
      <c r="KEY1" s="630"/>
      <c r="KEZ1" s="630"/>
      <c r="KFA1" s="630"/>
      <c r="KFB1" s="630"/>
      <c r="KFC1" s="630"/>
      <c r="KFD1" s="630"/>
      <c r="KFE1" s="630"/>
      <c r="KFF1" s="630"/>
      <c r="KFG1" s="630"/>
      <c r="KFH1" s="630"/>
      <c r="KFI1" s="630"/>
      <c r="KFJ1" s="630"/>
      <c r="KFK1" s="630"/>
      <c r="KFL1" s="630"/>
      <c r="KFM1" s="630"/>
      <c r="KFN1" s="630"/>
      <c r="KFO1" s="630"/>
      <c r="KFP1" s="630"/>
      <c r="KFQ1" s="630"/>
      <c r="KFR1" s="630"/>
      <c r="KFS1" s="630"/>
      <c r="KFT1" s="630"/>
      <c r="KFU1" s="630"/>
      <c r="KFV1" s="630"/>
      <c r="KFW1" s="630"/>
      <c r="KFX1" s="630"/>
      <c r="KFY1" s="630"/>
      <c r="KFZ1" s="630"/>
      <c r="KGA1" s="630"/>
      <c r="KGB1" s="630"/>
      <c r="KGC1" s="630"/>
      <c r="KGD1" s="630"/>
      <c r="KGE1" s="630"/>
      <c r="KGF1" s="630"/>
      <c r="KGG1" s="632"/>
      <c r="KGH1" s="631"/>
      <c r="KGI1" s="631"/>
      <c r="KGJ1" s="631"/>
      <c r="KGK1" s="631"/>
      <c r="KGL1" s="631"/>
      <c r="KGM1" s="631"/>
      <c r="KGN1" s="631"/>
      <c r="KGO1" s="631"/>
      <c r="KGP1" s="631"/>
      <c r="KGQ1" s="631"/>
      <c r="KGR1" s="631"/>
      <c r="KGS1" s="631"/>
      <c r="KGT1" s="631"/>
      <c r="KGU1" s="631"/>
      <c r="KGV1" s="631"/>
      <c r="KGW1" s="631"/>
      <c r="KGX1" s="631"/>
      <c r="KGY1" s="630"/>
      <c r="KGZ1" s="630"/>
      <c r="KHA1" s="630"/>
      <c r="KHB1" s="630"/>
      <c r="KHC1" s="630"/>
      <c r="KHD1" s="630"/>
      <c r="KHE1" s="630"/>
      <c r="KHF1" s="630"/>
      <c r="KHG1" s="630"/>
      <c r="KHH1" s="630"/>
      <c r="KHI1" s="630"/>
      <c r="KHJ1" s="630"/>
      <c r="KHK1" s="630"/>
      <c r="KHL1" s="630"/>
      <c r="KHM1" s="630"/>
      <c r="KHN1" s="630"/>
      <c r="KHO1" s="630"/>
      <c r="KHP1" s="630"/>
      <c r="KHQ1" s="630"/>
      <c r="KHR1" s="630"/>
      <c r="KHS1" s="630"/>
      <c r="KHT1" s="630"/>
      <c r="KHU1" s="630"/>
      <c r="KHV1" s="630"/>
      <c r="KHW1" s="630"/>
      <c r="KHX1" s="630"/>
      <c r="KHY1" s="630"/>
      <c r="KHZ1" s="630"/>
      <c r="KIA1" s="630"/>
      <c r="KIB1" s="630"/>
      <c r="KIC1" s="630"/>
      <c r="KID1" s="630"/>
      <c r="KIE1" s="630"/>
      <c r="KIF1" s="630"/>
      <c r="KIG1" s="630"/>
      <c r="KIH1" s="630"/>
      <c r="KII1" s="630"/>
      <c r="KIJ1" s="630"/>
      <c r="KIK1" s="630"/>
      <c r="KIL1" s="630"/>
      <c r="KIM1" s="630"/>
      <c r="KIN1" s="630"/>
      <c r="KIO1" s="630"/>
      <c r="KIP1" s="630"/>
      <c r="KIQ1" s="630"/>
      <c r="KIR1" s="630"/>
      <c r="KIS1" s="630"/>
      <c r="KIT1" s="630"/>
      <c r="KIU1" s="630"/>
      <c r="KIV1" s="632"/>
      <c r="KIW1" s="631"/>
      <c r="KIX1" s="631"/>
      <c r="KIY1" s="631"/>
      <c r="KIZ1" s="631"/>
      <c r="KJA1" s="631"/>
      <c r="KJB1" s="631"/>
      <c r="KJC1" s="631"/>
      <c r="KJD1" s="631"/>
      <c r="KJE1" s="631"/>
      <c r="KJF1" s="631"/>
      <c r="KJG1" s="631"/>
      <c r="KJH1" s="631"/>
      <c r="KJI1" s="631"/>
      <c r="KJJ1" s="631"/>
      <c r="KJK1" s="631"/>
      <c r="KJL1" s="631"/>
      <c r="KJM1" s="631"/>
      <c r="KJN1" s="630"/>
      <c r="KJO1" s="630"/>
      <c r="KJP1" s="630"/>
      <c r="KJQ1" s="630"/>
      <c r="KJR1" s="630"/>
      <c r="KJS1" s="630"/>
      <c r="KJT1" s="630"/>
      <c r="KJU1" s="630"/>
      <c r="KJV1" s="630"/>
      <c r="KJW1" s="630"/>
      <c r="KJX1" s="630"/>
      <c r="KJY1" s="630"/>
      <c r="KJZ1" s="630"/>
      <c r="KKA1" s="630"/>
      <c r="KKB1" s="630"/>
      <c r="KKC1" s="630"/>
      <c r="KKD1" s="630"/>
      <c r="KKE1" s="630"/>
      <c r="KKF1" s="630"/>
      <c r="KKG1" s="630"/>
      <c r="KKH1" s="630"/>
      <c r="KKI1" s="630"/>
      <c r="KKJ1" s="630"/>
      <c r="KKK1" s="630"/>
      <c r="KKL1" s="630"/>
      <c r="KKM1" s="630"/>
      <c r="KKN1" s="630"/>
      <c r="KKO1" s="630"/>
      <c r="KKP1" s="630"/>
      <c r="KKQ1" s="630"/>
      <c r="KKR1" s="630"/>
      <c r="KKS1" s="630"/>
      <c r="KKT1" s="630"/>
      <c r="KKU1" s="630"/>
      <c r="KKV1" s="630"/>
      <c r="KKW1" s="630"/>
      <c r="KKX1" s="630"/>
      <c r="KKY1" s="630"/>
      <c r="KKZ1" s="630"/>
      <c r="KLA1" s="630"/>
      <c r="KLB1" s="630"/>
      <c r="KLC1" s="630"/>
      <c r="KLD1" s="630"/>
      <c r="KLE1" s="630"/>
      <c r="KLF1" s="630"/>
      <c r="KLG1" s="630"/>
      <c r="KLH1" s="630"/>
      <c r="KLI1" s="630"/>
      <c r="KLJ1" s="630"/>
      <c r="KLK1" s="632"/>
      <c r="KLL1" s="631"/>
      <c r="KLM1" s="631"/>
      <c r="KLN1" s="631"/>
      <c r="KLO1" s="631"/>
      <c r="KLP1" s="631"/>
      <c r="KLQ1" s="631"/>
      <c r="KLR1" s="631"/>
      <c r="KLS1" s="631"/>
      <c r="KLT1" s="631"/>
      <c r="KLU1" s="631"/>
      <c r="KLV1" s="631"/>
      <c r="KLW1" s="631"/>
      <c r="KLX1" s="631"/>
      <c r="KLY1" s="631"/>
      <c r="KLZ1" s="631"/>
      <c r="KMA1" s="631"/>
      <c r="KMB1" s="631"/>
      <c r="KMC1" s="630"/>
      <c r="KMD1" s="630"/>
      <c r="KME1" s="630"/>
      <c r="KMF1" s="630"/>
      <c r="KMG1" s="630"/>
      <c r="KMH1" s="630"/>
      <c r="KMI1" s="630"/>
      <c r="KMJ1" s="630"/>
      <c r="KMK1" s="630"/>
      <c r="KML1" s="630"/>
      <c r="KMM1" s="630"/>
      <c r="KMN1" s="630"/>
      <c r="KMO1" s="630"/>
      <c r="KMP1" s="630"/>
      <c r="KMQ1" s="630"/>
      <c r="KMR1" s="630"/>
      <c r="KMS1" s="630"/>
      <c r="KMT1" s="630"/>
      <c r="KMU1" s="630"/>
      <c r="KMV1" s="630"/>
      <c r="KMW1" s="630"/>
      <c r="KMX1" s="630"/>
      <c r="KMY1" s="630"/>
      <c r="KMZ1" s="630"/>
      <c r="KNA1" s="630"/>
      <c r="KNB1" s="630"/>
      <c r="KNC1" s="630"/>
      <c r="KND1" s="630"/>
      <c r="KNE1" s="630"/>
      <c r="KNF1" s="630"/>
      <c r="KNG1" s="630"/>
      <c r="KNH1" s="630"/>
      <c r="KNI1" s="630"/>
      <c r="KNJ1" s="630"/>
      <c r="KNK1" s="630"/>
      <c r="KNL1" s="630"/>
      <c r="KNM1" s="630"/>
      <c r="KNN1" s="630"/>
      <c r="KNO1" s="630"/>
      <c r="KNP1" s="630"/>
      <c r="KNQ1" s="630"/>
      <c r="KNR1" s="630"/>
      <c r="KNS1" s="630"/>
      <c r="KNT1" s="630"/>
      <c r="KNU1" s="630"/>
      <c r="KNV1" s="630"/>
      <c r="KNW1" s="630"/>
      <c r="KNX1" s="630"/>
      <c r="KNY1" s="630"/>
      <c r="KNZ1" s="632"/>
      <c r="KOA1" s="631"/>
      <c r="KOB1" s="631"/>
      <c r="KOC1" s="631"/>
      <c r="KOD1" s="631"/>
      <c r="KOE1" s="631"/>
      <c r="KOF1" s="631"/>
      <c r="KOG1" s="631"/>
      <c r="KOH1" s="631"/>
      <c r="KOI1" s="631"/>
      <c r="KOJ1" s="631"/>
      <c r="KOK1" s="631"/>
      <c r="KOL1" s="631"/>
      <c r="KOM1" s="631"/>
      <c r="KON1" s="631"/>
      <c r="KOO1" s="631"/>
      <c r="KOP1" s="631"/>
      <c r="KOQ1" s="631"/>
      <c r="KOR1" s="630"/>
      <c r="KOS1" s="630"/>
      <c r="KOT1" s="630"/>
      <c r="KOU1" s="630"/>
      <c r="KOV1" s="630"/>
      <c r="KOW1" s="630"/>
      <c r="KOX1" s="630"/>
      <c r="KOY1" s="630"/>
      <c r="KOZ1" s="630"/>
      <c r="KPA1" s="630"/>
      <c r="KPB1" s="630"/>
      <c r="KPC1" s="630"/>
      <c r="KPD1" s="630"/>
      <c r="KPE1" s="630"/>
      <c r="KPF1" s="630"/>
      <c r="KPG1" s="630"/>
      <c r="KPH1" s="630"/>
      <c r="KPI1" s="630"/>
      <c r="KPJ1" s="630"/>
      <c r="KPK1" s="630"/>
      <c r="KPL1" s="630"/>
      <c r="KPM1" s="630"/>
      <c r="KPN1" s="630"/>
      <c r="KPO1" s="630"/>
      <c r="KPP1" s="630"/>
      <c r="KPQ1" s="630"/>
      <c r="KPR1" s="630"/>
      <c r="KPS1" s="630"/>
      <c r="KPT1" s="630"/>
      <c r="KPU1" s="630"/>
      <c r="KPV1" s="630"/>
      <c r="KPW1" s="630"/>
      <c r="KPX1" s="630"/>
      <c r="KPY1" s="630"/>
      <c r="KPZ1" s="630"/>
      <c r="KQA1" s="630"/>
      <c r="KQB1" s="630"/>
      <c r="KQC1" s="630"/>
      <c r="KQD1" s="630"/>
      <c r="KQE1" s="630"/>
      <c r="KQF1" s="630"/>
      <c r="KQG1" s="630"/>
      <c r="KQH1" s="630"/>
      <c r="KQI1" s="630"/>
      <c r="KQJ1" s="630"/>
      <c r="KQK1" s="630"/>
      <c r="KQL1" s="630"/>
      <c r="KQM1" s="630"/>
      <c r="KQN1" s="630"/>
      <c r="KQO1" s="632"/>
      <c r="KQP1" s="631"/>
      <c r="KQQ1" s="631"/>
      <c r="KQR1" s="631"/>
      <c r="KQS1" s="631"/>
      <c r="KQT1" s="631"/>
      <c r="KQU1" s="631"/>
      <c r="KQV1" s="631"/>
      <c r="KQW1" s="631"/>
      <c r="KQX1" s="631"/>
      <c r="KQY1" s="631"/>
      <c r="KQZ1" s="631"/>
      <c r="KRA1" s="631"/>
      <c r="KRB1" s="631"/>
      <c r="KRC1" s="631"/>
      <c r="KRD1" s="631"/>
      <c r="KRE1" s="631"/>
      <c r="KRF1" s="631"/>
      <c r="KRG1" s="630"/>
      <c r="KRH1" s="630"/>
      <c r="KRI1" s="630"/>
      <c r="KRJ1" s="630"/>
      <c r="KRK1" s="630"/>
      <c r="KRL1" s="630"/>
      <c r="KRM1" s="630"/>
      <c r="KRN1" s="630"/>
      <c r="KRO1" s="630"/>
      <c r="KRP1" s="630"/>
      <c r="KRQ1" s="630"/>
      <c r="KRR1" s="630"/>
      <c r="KRS1" s="630"/>
      <c r="KRT1" s="630"/>
      <c r="KRU1" s="630"/>
      <c r="KRV1" s="630"/>
      <c r="KRW1" s="630"/>
      <c r="KRX1" s="630"/>
      <c r="KRY1" s="630"/>
      <c r="KRZ1" s="630"/>
      <c r="KSA1" s="630"/>
      <c r="KSB1" s="630"/>
      <c r="KSC1" s="630"/>
      <c r="KSD1" s="630"/>
      <c r="KSE1" s="630"/>
      <c r="KSF1" s="630"/>
      <c r="KSG1" s="630"/>
      <c r="KSH1" s="630"/>
      <c r="KSI1" s="630"/>
      <c r="KSJ1" s="630"/>
      <c r="KSK1" s="630"/>
      <c r="KSL1" s="630"/>
      <c r="KSM1" s="630"/>
      <c r="KSN1" s="630"/>
      <c r="KSO1" s="630"/>
      <c r="KSP1" s="630"/>
      <c r="KSQ1" s="630"/>
      <c r="KSR1" s="630"/>
      <c r="KSS1" s="630"/>
      <c r="KST1" s="630"/>
      <c r="KSU1" s="630"/>
      <c r="KSV1" s="630"/>
      <c r="KSW1" s="630"/>
      <c r="KSX1" s="630"/>
      <c r="KSY1" s="630"/>
      <c r="KSZ1" s="630"/>
      <c r="KTA1" s="630"/>
      <c r="KTB1" s="630"/>
      <c r="KTC1" s="630"/>
      <c r="KTD1" s="632"/>
      <c r="KTE1" s="631"/>
      <c r="KTF1" s="631"/>
      <c r="KTG1" s="631"/>
      <c r="KTH1" s="631"/>
      <c r="KTI1" s="631"/>
      <c r="KTJ1" s="631"/>
      <c r="KTK1" s="631"/>
      <c r="KTL1" s="631"/>
      <c r="KTM1" s="631"/>
      <c r="KTN1" s="631"/>
      <c r="KTO1" s="631"/>
      <c r="KTP1" s="631"/>
      <c r="KTQ1" s="631"/>
      <c r="KTR1" s="631"/>
      <c r="KTS1" s="631"/>
      <c r="KTT1" s="631"/>
      <c r="KTU1" s="631"/>
      <c r="KTV1" s="630"/>
      <c r="KTW1" s="630"/>
      <c r="KTX1" s="630"/>
      <c r="KTY1" s="630"/>
      <c r="KTZ1" s="630"/>
      <c r="KUA1" s="630"/>
      <c r="KUB1" s="630"/>
      <c r="KUC1" s="630"/>
      <c r="KUD1" s="630"/>
      <c r="KUE1" s="630"/>
      <c r="KUF1" s="630"/>
      <c r="KUG1" s="630"/>
      <c r="KUH1" s="630"/>
      <c r="KUI1" s="630"/>
      <c r="KUJ1" s="630"/>
      <c r="KUK1" s="630"/>
      <c r="KUL1" s="630"/>
      <c r="KUM1" s="630"/>
      <c r="KUN1" s="630"/>
      <c r="KUO1" s="630"/>
      <c r="KUP1" s="630"/>
      <c r="KUQ1" s="630"/>
      <c r="KUR1" s="630"/>
      <c r="KUS1" s="630"/>
      <c r="KUT1" s="630"/>
      <c r="KUU1" s="630"/>
      <c r="KUV1" s="630"/>
      <c r="KUW1" s="630"/>
      <c r="KUX1" s="630"/>
      <c r="KUY1" s="630"/>
      <c r="KUZ1" s="630"/>
      <c r="KVA1" s="630"/>
      <c r="KVB1" s="630"/>
      <c r="KVC1" s="630"/>
      <c r="KVD1" s="630"/>
      <c r="KVE1" s="630"/>
      <c r="KVF1" s="630"/>
      <c r="KVG1" s="630"/>
      <c r="KVH1" s="630"/>
      <c r="KVI1" s="630"/>
      <c r="KVJ1" s="630"/>
      <c r="KVK1" s="630"/>
      <c r="KVL1" s="630"/>
      <c r="KVM1" s="630"/>
      <c r="KVN1" s="630"/>
      <c r="KVO1" s="630"/>
      <c r="KVP1" s="630"/>
      <c r="KVQ1" s="630"/>
      <c r="KVR1" s="630"/>
      <c r="KVS1" s="632"/>
      <c r="KVT1" s="631"/>
      <c r="KVU1" s="631"/>
      <c r="KVV1" s="631"/>
      <c r="KVW1" s="631"/>
      <c r="KVX1" s="631"/>
      <c r="KVY1" s="631"/>
      <c r="KVZ1" s="631"/>
      <c r="KWA1" s="631"/>
      <c r="KWB1" s="631"/>
      <c r="KWC1" s="631"/>
      <c r="KWD1" s="631"/>
      <c r="KWE1" s="631"/>
      <c r="KWF1" s="631"/>
      <c r="KWG1" s="631"/>
      <c r="KWH1" s="631"/>
      <c r="KWI1" s="631"/>
      <c r="KWJ1" s="631"/>
      <c r="KWK1" s="630"/>
      <c r="KWL1" s="630"/>
      <c r="KWM1" s="630"/>
      <c r="KWN1" s="630"/>
      <c r="KWO1" s="630"/>
      <c r="KWP1" s="630"/>
      <c r="KWQ1" s="630"/>
      <c r="KWR1" s="630"/>
      <c r="KWS1" s="630"/>
      <c r="KWT1" s="630"/>
      <c r="KWU1" s="630"/>
      <c r="KWV1" s="630"/>
      <c r="KWW1" s="630"/>
      <c r="KWX1" s="630"/>
      <c r="KWY1" s="630"/>
      <c r="KWZ1" s="630"/>
      <c r="KXA1" s="630"/>
      <c r="KXB1" s="630"/>
      <c r="KXC1" s="630"/>
      <c r="KXD1" s="630"/>
      <c r="KXE1" s="630"/>
      <c r="KXF1" s="630"/>
      <c r="KXG1" s="630"/>
      <c r="KXH1" s="630"/>
      <c r="KXI1" s="630"/>
      <c r="KXJ1" s="630"/>
      <c r="KXK1" s="630"/>
      <c r="KXL1" s="630"/>
      <c r="KXM1" s="630"/>
      <c r="KXN1" s="630"/>
      <c r="KXO1" s="630"/>
      <c r="KXP1" s="630"/>
      <c r="KXQ1" s="630"/>
      <c r="KXR1" s="630"/>
      <c r="KXS1" s="630"/>
      <c r="KXT1" s="630"/>
      <c r="KXU1" s="630"/>
      <c r="KXV1" s="630"/>
      <c r="KXW1" s="630"/>
      <c r="KXX1" s="630"/>
      <c r="KXY1" s="630"/>
      <c r="KXZ1" s="630"/>
      <c r="KYA1" s="630"/>
      <c r="KYB1" s="630"/>
      <c r="KYC1" s="630"/>
      <c r="KYD1" s="630"/>
      <c r="KYE1" s="630"/>
      <c r="KYF1" s="630"/>
      <c r="KYG1" s="630"/>
      <c r="KYH1" s="632"/>
      <c r="KYI1" s="631"/>
      <c r="KYJ1" s="631"/>
      <c r="KYK1" s="631"/>
      <c r="KYL1" s="631"/>
      <c r="KYM1" s="631"/>
      <c r="KYN1" s="631"/>
      <c r="KYO1" s="631"/>
      <c r="KYP1" s="631"/>
      <c r="KYQ1" s="631"/>
      <c r="KYR1" s="631"/>
      <c r="KYS1" s="631"/>
      <c r="KYT1" s="631"/>
      <c r="KYU1" s="631"/>
      <c r="KYV1" s="631"/>
      <c r="KYW1" s="631"/>
      <c r="KYX1" s="631"/>
      <c r="KYY1" s="631"/>
      <c r="KYZ1" s="630"/>
      <c r="KZA1" s="630"/>
      <c r="KZB1" s="630"/>
      <c r="KZC1" s="630"/>
      <c r="KZD1" s="630"/>
      <c r="KZE1" s="630"/>
      <c r="KZF1" s="630"/>
      <c r="KZG1" s="630"/>
      <c r="KZH1" s="630"/>
      <c r="KZI1" s="630"/>
      <c r="KZJ1" s="630"/>
      <c r="KZK1" s="630"/>
      <c r="KZL1" s="630"/>
      <c r="KZM1" s="630"/>
      <c r="KZN1" s="630"/>
      <c r="KZO1" s="630"/>
      <c r="KZP1" s="630"/>
      <c r="KZQ1" s="630"/>
      <c r="KZR1" s="630"/>
      <c r="KZS1" s="630"/>
      <c r="KZT1" s="630"/>
      <c r="KZU1" s="630"/>
      <c r="KZV1" s="630"/>
      <c r="KZW1" s="630"/>
      <c r="KZX1" s="630"/>
      <c r="KZY1" s="630"/>
      <c r="KZZ1" s="630"/>
      <c r="LAA1" s="630"/>
      <c r="LAB1" s="630"/>
      <c r="LAC1" s="630"/>
      <c r="LAD1" s="630"/>
      <c r="LAE1" s="630"/>
      <c r="LAF1" s="630"/>
      <c r="LAG1" s="630"/>
      <c r="LAH1" s="630"/>
      <c r="LAI1" s="630"/>
      <c r="LAJ1" s="630"/>
      <c r="LAK1" s="630"/>
      <c r="LAL1" s="630"/>
      <c r="LAM1" s="630"/>
      <c r="LAN1" s="630"/>
      <c r="LAO1" s="630"/>
      <c r="LAP1" s="630"/>
      <c r="LAQ1" s="630"/>
      <c r="LAR1" s="630"/>
      <c r="LAS1" s="630"/>
      <c r="LAT1" s="630"/>
      <c r="LAU1" s="630"/>
      <c r="LAV1" s="630"/>
      <c r="LAW1" s="632"/>
      <c r="LAX1" s="631"/>
      <c r="LAY1" s="631"/>
      <c r="LAZ1" s="631"/>
      <c r="LBA1" s="631"/>
      <c r="LBB1" s="631"/>
      <c r="LBC1" s="631"/>
      <c r="LBD1" s="631"/>
      <c r="LBE1" s="631"/>
      <c r="LBF1" s="631"/>
      <c r="LBG1" s="631"/>
      <c r="LBH1" s="631"/>
      <c r="LBI1" s="631"/>
      <c r="LBJ1" s="631"/>
      <c r="LBK1" s="631"/>
      <c r="LBL1" s="631"/>
      <c r="LBM1" s="631"/>
      <c r="LBN1" s="631"/>
      <c r="LBO1" s="630"/>
      <c r="LBP1" s="630"/>
      <c r="LBQ1" s="630"/>
      <c r="LBR1" s="630"/>
      <c r="LBS1" s="630"/>
      <c r="LBT1" s="630"/>
      <c r="LBU1" s="630"/>
      <c r="LBV1" s="630"/>
      <c r="LBW1" s="630"/>
      <c r="LBX1" s="630"/>
      <c r="LBY1" s="630"/>
      <c r="LBZ1" s="630"/>
      <c r="LCA1" s="630"/>
      <c r="LCB1" s="630"/>
      <c r="LCC1" s="630"/>
      <c r="LCD1" s="630"/>
      <c r="LCE1" s="630"/>
      <c r="LCF1" s="630"/>
      <c r="LCG1" s="630"/>
      <c r="LCH1" s="630"/>
      <c r="LCI1" s="630"/>
      <c r="LCJ1" s="630"/>
      <c r="LCK1" s="630"/>
      <c r="LCL1" s="630"/>
      <c r="LCM1" s="630"/>
      <c r="LCN1" s="630"/>
      <c r="LCO1" s="630"/>
      <c r="LCP1" s="630"/>
      <c r="LCQ1" s="630"/>
      <c r="LCR1" s="630"/>
      <c r="LCS1" s="630"/>
      <c r="LCT1" s="630"/>
      <c r="LCU1" s="630"/>
      <c r="LCV1" s="630"/>
      <c r="LCW1" s="630"/>
      <c r="LCX1" s="630"/>
      <c r="LCY1" s="630"/>
      <c r="LCZ1" s="630"/>
      <c r="LDA1" s="630"/>
      <c r="LDB1" s="630"/>
      <c r="LDC1" s="630"/>
      <c r="LDD1" s="630"/>
      <c r="LDE1" s="630"/>
      <c r="LDF1" s="630"/>
      <c r="LDG1" s="630"/>
      <c r="LDH1" s="630"/>
      <c r="LDI1" s="630"/>
      <c r="LDJ1" s="630"/>
      <c r="LDK1" s="630"/>
      <c r="LDL1" s="632"/>
      <c r="LDM1" s="631"/>
      <c r="LDN1" s="631"/>
      <c r="LDO1" s="631"/>
      <c r="LDP1" s="631"/>
      <c r="LDQ1" s="631"/>
      <c r="LDR1" s="631"/>
      <c r="LDS1" s="631"/>
      <c r="LDT1" s="631"/>
      <c r="LDU1" s="631"/>
      <c r="LDV1" s="631"/>
      <c r="LDW1" s="631"/>
      <c r="LDX1" s="631"/>
      <c r="LDY1" s="631"/>
      <c r="LDZ1" s="631"/>
      <c r="LEA1" s="631"/>
      <c r="LEB1" s="631"/>
      <c r="LEC1" s="631"/>
      <c r="LED1" s="630"/>
      <c r="LEE1" s="630"/>
      <c r="LEF1" s="630"/>
      <c r="LEG1" s="630"/>
      <c r="LEH1" s="630"/>
      <c r="LEI1" s="630"/>
      <c r="LEJ1" s="630"/>
      <c r="LEK1" s="630"/>
      <c r="LEL1" s="630"/>
      <c r="LEM1" s="630"/>
      <c r="LEN1" s="630"/>
      <c r="LEO1" s="630"/>
      <c r="LEP1" s="630"/>
      <c r="LEQ1" s="630"/>
      <c r="LER1" s="630"/>
      <c r="LES1" s="630"/>
      <c r="LET1" s="630"/>
      <c r="LEU1" s="630"/>
      <c r="LEV1" s="630"/>
      <c r="LEW1" s="630"/>
      <c r="LEX1" s="630"/>
      <c r="LEY1" s="630"/>
      <c r="LEZ1" s="630"/>
      <c r="LFA1" s="630"/>
      <c r="LFB1" s="630"/>
      <c r="LFC1" s="630"/>
      <c r="LFD1" s="630"/>
      <c r="LFE1" s="630"/>
      <c r="LFF1" s="630"/>
      <c r="LFG1" s="630"/>
      <c r="LFH1" s="630"/>
      <c r="LFI1" s="630"/>
      <c r="LFJ1" s="630"/>
      <c r="LFK1" s="630"/>
      <c r="LFL1" s="630"/>
      <c r="LFM1" s="630"/>
      <c r="LFN1" s="630"/>
      <c r="LFO1" s="630"/>
      <c r="LFP1" s="630"/>
      <c r="LFQ1" s="630"/>
      <c r="LFR1" s="630"/>
      <c r="LFS1" s="630"/>
      <c r="LFT1" s="630"/>
      <c r="LFU1" s="630"/>
      <c r="LFV1" s="630"/>
      <c r="LFW1" s="630"/>
      <c r="LFX1" s="630"/>
      <c r="LFY1" s="630"/>
      <c r="LFZ1" s="630"/>
      <c r="LGA1" s="632"/>
      <c r="LGB1" s="631"/>
      <c r="LGC1" s="631"/>
      <c r="LGD1" s="631"/>
      <c r="LGE1" s="631"/>
      <c r="LGF1" s="631"/>
      <c r="LGG1" s="631"/>
      <c r="LGH1" s="631"/>
      <c r="LGI1" s="631"/>
      <c r="LGJ1" s="631"/>
      <c r="LGK1" s="631"/>
      <c r="LGL1" s="631"/>
      <c r="LGM1" s="631"/>
      <c r="LGN1" s="631"/>
      <c r="LGO1" s="631"/>
      <c r="LGP1" s="631"/>
      <c r="LGQ1" s="631"/>
      <c r="LGR1" s="631"/>
      <c r="LGS1" s="630"/>
      <c r="LGT1" s="630"/>
      <c r="LGU1" s="630"/>
      <c r="LGV1" s="630"/>
      <c r="LGW1" s="630"/>
      <c r="LGX1" s="630"/>
      <c r="LGY1" s="630"/>
      <c r="LGZ1" s="630"/>
      <c r="LHA1" s="630"/>
      <c r="LHB1" s="630"/>
      <c r="LHC1" s="630"/>
      <c r="LHD1" s="630"/>
      <c r="LHE1" s="630"/>
      <c r="LHF1" s="630"/>
      <c r="LHG1" s="630"/>
      <c r="LHH1" s="630"/>
      <c r="LHI1" s="630"/>
      <c r="LHJ1" s="630"/>
      <c r="LHK1" s="630"/>
      <c r="LHL1" s="630"/>
      <c r="LHM1" s="630"/>
      <c r="LHN1" s="630"/>
      <c r="LHO1" s="630"/>
      <c r="LHP1" s="630"/>
      <c r="LHQ1" s="630"/>
      <c r="LHR1" s="630"/>
      <c r="LHS1" s="630"/>
      <c r="LHT1" s="630"/>
      <c r="LHU1" s="630"/>
      <c r="LHV1" s="630"/>
      <c r="LHW1" s="630"/>
      <c r="LHX1" s="630"/>
      <c r="LHY1" s="630"/>
      <c r="LHZ1" s="630"/>
      <c r="LIA1" s="630"/>
      <c r="LIB1" s="630"/>
      <c r="LIC1" s="630"/>
      <c r="LID1" s="630"/>
      <c r="LIE1" s="630"/>
      <c r="LIF1" s="630"/>
      <c r="LIG1" s="630"/>
      <c r="LIH1" s="630"/>
      <c r="LII1" s="630"/>
      <c r="LIJ1" s="630"/>
      <c r="LIK1" s="630"/>
      <c r="LIL1" s="630"/>
      <c r="LIM1" s="630"/>
      <c r="LIN1" s="630"/>
      <c r="LIO1" s="630"/>
      <c r="LIP1" s="632"/>
      <c r="LIQ1" s="631"/>
      <c r="LIR1" s="631"/>
      <c r="LIS1" s="631"/>
      <c r="LIT1" s="631"/>
      <c r="LIU1" s="631"/>
      <c r="LIV1" s="631"/>
      <c r="LIW1" s="631"/>
      <c r="LIX1" s="631"/>
      <c r="LIY1" s="631"/>
      <c r="LIZ1" s="631"/>
      <c r="LJA1" s="631"/>
      <c r="LJB1" s="631"/>
      <c r="LJC1" s="631"/>
      <c r="LJD1" s="631"/>
      <c r="LJE1" s="631"/>
      <c r="LJF1" s="631"/>
      <c r="LJG1" s="631"/>
      <c r="LJH1" s="630"/>
      <c r="LJI1" s="630"/>
      <c r="LJJ1" s="630"/>
      <c r="LJK1" s="630"/>
      <c r="LJL1" s="630"/>
      <c r="LJM1" s="630"/>
      <c r="LJN1" s="630"/>
      <c r="LJO1" s="630"/>
      <c r="LJP1" s="630"/>
      <c r="LJQ1" s="630"/>
      <c r="LJR1" s="630"/>
      <c r="LJS1" s="630"/>
      <c r="LJT1" s="630"/>
      <c r="LJU1" s="630"/>
      <c r="LJV1" s="630"/>
      <c r="LJW1" s="630"/>
      <c r="LJX1" s="630"/>
      <c r="LJY1" s="630"/>
      <c r="LJZ1" s="630"/>
      <c r="LKA1" s="630"/>
      <c r="LKB1" s="630"/>
      <c r="LKC1" s="630"/>
      <c r="LKD1" s="630"/>
      <c r="LKE1" s="630"/>
      <c r="LKF1" s="630"/>
      <c r="LKG1" s="630"/>
      <c r="LKH1" s="630"/>
      <c r="LKI1" s="630"/>
      <c r="LKJ1" s="630"/>
      <c r="LKK1" s="630"/>
      <c r="LKL1" s="630"/>
      <c r="LKM1" s="630"/>
      <c r="LKN1" s="630"/>
      <c r="LKO1" s="630"/>
      <c r="LKP1" s="630"/>
      <c r="LKQ1" s="630"/>
      <c r="LKR1" s="630"/>
      <c r="LKS1" s="630"/>
      <c r="LKT1" s="630"/>
      <c r="LKU1" s="630"/>
      <c r="LKV1" s="630"/>
      <c r="LKW1" s="630"/>
      <c r="LKX1" s="630"/>
      <c r="LKY1" s="630"/>
      <c r="LKZ1" s="630"/>
      <c r="LLA1" s="630"/>
      <c r="LLB1" s="630"/>
      <c r="LLC1" s="630"/>
      <c r="LLD1" s="630"/>
      <c r="LLE1" s="632"/>
      <c r="LLF1" s="631"/>
      <c r="LLG1" s="631"/>
      <c r="LLH1" s="631"/>
      <c r="LLI1" s="631"/>
      <c r="LLJ1" s="631"/>
      <c r="LLK1" s="631"/>
      <c r="LLL1" s="631"/>
      <c r="LLM1" s="631"/>
      <c r="LLN1" s="631"/>
      <c r="LLO1" s="631"/>
      <c r="LLP1" s="631"/>
      <c r="LLQ1" s="631"/>
      <c r="LLR1" s="631"/>
      <c r="LLS1" s="631"/>
      <c r="LLT1" s="631"/>
      <c r="LLU1" s="631"/>
      <c r="LLV1" s="631"/>
      <c r="LLW1" s="630"/>
      <c r="LLX1" s="630"/>
      <c r="LLY1" s="630"/>
      <c r="LLZ1" s="630"/>
      <c r="LMA1" s="630"/>
      <c r="LMB1" s="630"/>
      <c r="LMC1" s="630"/>
      <c r="LMD1" s="630"/>
      <c r="LME1" s="630"/>
      <c r="LMF1" s="630"/>
      <c r="LMG1" s="630"/>
      <c r="LMH1" s="630"/>
      <c r="LMI1" s="630"/>
      <c r="LMJ1" s="630"/>
      <c r="LMK1" s="630"/>
      <c r="LML1" s="630"/>
      <c r="LMM1" s="630"/>
      <c r="LMN1" s="630"/>
      <c r="LMO1" s="630"/>
      <c r="LMP1" s="630"/>
      <c r="LMQ1" s="630"/>
      <c r="LMR1" s="630"/>
      <c r="LMS1" s="630"/>
      <c r="LMT1" s="630"/>
      <c r="LMU1" s="630"/>
      <c r="LMV1" s="630"/>
      <c r="LMW1" s="630"/>
      <c r="LMX1" s="630"/>
      <c r="LMY1" s="630"/>
      <c r="LMZ1" s="630"/>
      <c r="LNA1" s="630"/>
      <c r="LNB1" s="630"/>
      <c r="LNC1" s="630"/>
      <c r="LND1" s="630"/>
      <c r="LNE1" s="630"/>
      <c r="LNF1" s="630"/>
      <c r="LNG1" s="630"/>
      <c r="LNH1" s="630"/>
      <c r="LNI1" s="630"/>
      <c r="LNJ1" s="630"/>
      <c r="LNK1" s="630"/>
      <c r="LNL1" s="630"/>
      <c r="LNM1" s="630"/>
      <c r="LNN1" s="630"/>
      <c r="LNO1" s="630"/>
      <c r="LNP1" s="630"/>
      <c r="LNQ1" s="630"/>
      <c r="LNR1" s="630"/>
      <c r="LNS1" s="630"/>
      <c r="LNT1" s="632"/>
      <c r="LNU1" s="631"/>
      <c r="LNV1" s="631"/>
      <c r="LNW1" s="631"/>
      <c r="LNX1" s="631"/>
      <c r="LNY1" s="631"/>
      <c r="LNZ1" s="631"/>
      <c r="LOA1" s="631"/>
      <c r="LOB1" s="631"/>
      <c r="LOC1" s="631"/>
      <c r="LOD1" s="631"/>
      <c r="LOE1" s="631"/>
      <c r="LOF1" s="631"/>
      <c r="LOG1" s="631"/>
      <c r="LOH1" s="631"/>
      <c r="LOI1" s="631"/>
      <c r="LOJ1" s="631"/>
      <c r="LOK1" s="631"/>
      <c r="LOL1" s="630"/>
      <c r="LOM1" s="630"/>
      <c r="LON1" s="630"/>
      <c r="LOO1" s="630"/>
      <c r="LOP1" s="630"/>
      <c r="LOQ1" s="630"/>
      <c r="LOR1" s="630"/>
      <c r="LOS1" s="630"/>
      <c r="LOT1" s="630"/>
      <c r="LOU1" s="630"/>
      <c r="LOV1" s="630"/>
      <c r="LOW1" s="630"/>
      <c r="LOX1" s="630"/>
      <c r="LOY1" s="630"/>
      <c r="LOZ1" s="630"/>
      <c r="LPA1" s="630"/>
      <c r="LPB1" s="630"/>
      <c r="LPC1" s="630"/>
      <c r="LPD1" s="630"/>
      <c r="LPE1" s="630"/>
      <c r="LPF1" s="630"/>
      <c r="LPG1" s="630"/>
      <c r="LPH1" s="630"/>
      <c r="LPI1" s="630"/>
      <c r="LPJ1" s="630"/>
      <c r="LPK1" s="630"/>
      <c r="LPL1" s="630"/>
      <c r="LPM1" s="630"/>
      <c r="LPN1" s="630"/>
      <c r="LPO1" s="630"/>
      <c r="LPP1" s="630"/>
      <c r="LPQ1" s="630"/>
      <c r="LPR1" s="630"/>
      <c r="LPS1" s="630"/>
      <c r="LPT1" s="630"/>
      <c r="LPU1" s="630"/>
      <c r="LPV1" s="630"/>
      <c r="LPW1" s="630"/>
      <c r="LPX1" s="630"/>
      <c r="LPY1" s="630"/>
      <c r="LPZ1" s="630"/>
      <c r="LQA1" s="630"/>
      <c r="LQB1" s="630"/>
      <c r="LQC1" s="630"/>
      <c r="LQD1" s="630"/>
      <c r="LQE1" s="630"/>
      <c r="LQF1" s="630"/>
      <c r="LQG1" s="630"/>
      <c r="LQH1" s="630"/>
      <c r="LQI1" s="632"/>
      <c r="LQJ1" s="631"/>
      <c r="LQK1" s="631"/>
      <c r="LQL1" s="631"/>
      <c r="LQM1" s="631"/>
      <c r="LQN1" s="631"/>
      <c r="LQO1" s="631"/>
      <c r="LQP1" s="631"/>
      <c r="LQQ1" s="631"/>
      <c r="LQR1" s="631"/>
      <c r="LQS1" s="631"/>
      <c r="LQT1" s="631"/>
      <c r="LQU1" s="631"/>
      <c r="LQV1" s="631"/>
      <c r="LQW1" s="631"/>
      <c r="LQX1" s="631"/>
      <c r="LQY1" s="631"/>
      <c r="LQZ1" s="631"/>
      <c r="LRA1" s="630"/>
      <c r="LRB1" s="630"/>
      <c r="LRC1" s="630"/>
      <c r="LRD1" s="630"/>
      <c r="LRE1" s="630"/>
      <c r="LRF1" s="630"/>
      <c r="LRG1" s="630"/>
      <c r="LRH1" s="630"/>
      <c r="LRI1" s="630"/>
      <c r="LRJ1" s="630"/>
      <c r="LRK1" s="630"/>
      <c r="LRL1" s="630"/>
      <c r="LRM1" s="630"/>
      <c r="LRN1" s="630"/>
      <c r="LRO1" s="630"/>
      <c r="LRP1" s="630"/>
      <c r="LRQ1" s="630"/>
      <c r="LRR1" s="630"/>
      <c r="LRS1" s="630"/>
      <c r="LRT1" s="630"/>
      <c r="LRU1" s="630"/>
      <c r="LRV1" s="630"/>
      <c r="LRW1" s="630"/>
      <c r="LRX1" s="630"/>
      <c r="LRY1" s="630"/>
      <c r="LRZ1" s="630"/>
      <c r="LSA1" s="630"/>
      <c r="LSB1" s="630"/>
      <c r="LSC1" s="630"/>
      <c r="LSD1" s="630"/>
      <c r="LSE1" s="630"/>
      <c r="LSF1" s="630"/>
      <c r="LSG1" s="630"/>
      <c r="LSH1" s="630"/>
      <c r="LSI1" s="630"/>
      <c r="LSJ1" s="630"/>
      <c r="LSK1" s="630"/>
      <c r="LSL1" s="630"/>
      <c r="LSM1" s="630"/>
      <c r="LSN1" s="630"/>
      <c r="LSO1" s="630"/>
      <c r="LSP1" s="630"/>
      <c r="LSQ1" s="630"/>
      <c r="LSR1" s="630"/>
      <c r="LSS1" s="630"/>
      <c r="LST1" s="630"/>
      <c r="LSU1" s="630"/>
      <c r="LSV1" s="630"/>
      <c r="LSW1" s="630"/>
      <c r="LSX1" s="632"/>
      <c r="LSY1" s="631"/>
      <c r="LSZ1" s="631"/>
      <c r="LTA1" s="631"/>
      <c r="LTB1" s="631"/>
      <c r="LTC1" s="631"/>
      <c r="LTD1" s="631"/>
      <c r="LTE1" s="631"/>
      <c r="LTF1" s="631"/>
      <c r="LTG1" s="631"/>
      <c r="LTH1" s="631"/>
      <c r="LTI1" s="631"/>
      <c r="LTJ1" s="631"/>
      <c r="LTK1" s="631"/>
      <c r="LTL1" s="631"/>
      <c r="LTM1" s="631"/>
      <c r="LTN1" s="631"/>
      <c r="LTO1" s="631"/>
      <c r="LTP1" s="630"/>
      <c r="LTQ1" s="630"/>
      <c r="LTR1" s="630"/>
      <c r="LTS1" s="630"/>
      <c r="LTT1" s="630"/>
      <c r="LTU1" s="630"/>
      <c r="LTV1" s="630"/>
      <c r="LTW1" s="630"/>
      <c r="LTX1" s="630"/>
      <c r="LTY1" s="630"/>
      <c r="LTZ1" s="630"/>
      <c r="LUA1" s="630"/>
      <c r="LUB1" s="630"/>
      <c r="LUC1" s="630"/>
      <c r="LUD1" s="630"/>
      <c r="LUE1" s="630"/>
      <c r="LUF1" s="630"/>
      <c r="LUG1" s="630"/>
      <c r="LUH1" s="630"/>
      <c r="LUI1" s="630"/>
      <c r="LUJ1" s="630"/>
      <c r="LUK1" s="630"/>
      <c r="LUL1" s="630"/>
      <c r="LUM1" s="630"/>
      <c r="LUN1" s="630"/>
      <c r="LUO1" s="630"/>
      <c r="LUP1" s="630"/>
      <c r="LUQ1" s="630"/>
      <c r="LUR1" s="630"/>
      <c r="LUS1" s="630"/>
      <c r="LUT1" s="630"/>
      <c r="LUU1" s="630"/>
      <c r="LUV1" s="630"/>
      <c r="LUW1" s="630"/>
      <c r="LUX1" s="630"/>
      <c r="LUY1" s="630"/>
      <c r="LUZ1" s="630"/>
      <c r="LVA1" s="630"/>
      <c r="LVB1" s="630"/>
      <c r="LVC1" s="630"/>
      <c r="LVD1" s="630"/>
      <c r="LVE1" s="630"/>
      <c r="LVF1" s="630"/>
      <c r="LVG1" s="630"/>
      <c r="LVH1" s="630"/>
      <c r="LVI1" s="630"/>
      <c r="LVJ1" s="630"/>
      <c r="LVK1" s="630"/>
      <c r="LVL1" s="630"/>
      <c r="LVM1" s="632"/>
      <c r="LVN1" s="631"/>
      <c r="LVO1" s="631"/>
      <c r="LVP1" s="631"/>
      <c r="LVQ1" s="631"/>
      <c r="LVR1" s="631"/>
      <c r="LVS1" s="631"/>
      <c r="LVT1" s="631"/>
      <c r="LVU1" s="631"/>
      <c r="LVV1" s="631"/>
      <c r="LVW1" s="631"/>
      <c r="LVX1" s="631"/>
      <c r="LVY1" s="631"/>
      <c r="LVZ1" s="631"/>
      <c r="LWA1" s="631"/>
      <c r="LWB1" s="631"/>
      <c r="LWC1" s="631"/>
      <c r="LWD1" s="631"/>
      <c r="LWE1" s="630"/>
      <c r="LWF1" s="630"/>
      <c r="LWG1" s="630"/>
      <c r="LWH1" s="630"/>
      <c r="LWI1" s="630"/>
      <c r="LWJ1" s="630"/>
      <c r="LWK1" s="630"/>
      <c r="LWL1" s="630"/>
      <c r="LWM1" s="630"/>
      <c r="LWN1" s="630"/>
      <c r="LWO1" s="630"/>
      <c r="LWP1" s="630"/>
      <c r="LWQ1" s="630"/>
      <c r="LWR1" s="630"/>
      <c r="LWS1" s="630"/>
      <c r="LWT1" s="630"/>
      <c r="LWU1" s="630"/>
      <c r="LWV1" s="630"/>
      <c r="LWW1" s="630"/>
      <c r="LWX1" s="630"/>
      <c r="LWY1" s="630"/>
      <c r="LWZ1" s="630"/>
      <c r="LXA1" s="630"/>
      <c r="LXB1" s="630"/>
      <c r="LXC1" s="630"/>
      <c r="LXD1" s="630"/>
      <c r="LXE1" s="630"/>
      <c r="LXF1" s="630"/>
      <c r="LXG1" s="630"/>
      <c r="LXH1" s="630"/>
      <c r="LXI1" s="630"/>
      <c r="LXJ1" s="630"/>
      <c r="LXK1" s="630"/>
      <c r="LXL1" s="630"/>
      <c r="LXM1" s="630"/>
      <c r="LXN1" s="630"/>
      <c r="LXO1" s="630"/>
      <c r="LXP1" s="630"/>
      <c r="LXQ1" s="630"/>
      <c r="LXR1" s="630"/>
      <c r="LXS1" s="630"/>
      <c r="LXT1" s="630"/>
      <c r="LXU1" s="630"/>
      <c r="LXV1" s="630"/>
      <c r="LXW1" s="630"/>
      <c r="LXX1" s="630"/>
      <c r="LXY1" s="630"/>
      <c r="LXZ1" s="630"/>
      <c r="LYA1" s="630"/>
      <c r="LYB1" s="632"/>
      <c r="LYC1" s="631"/>
      <c r="LYD1" s="631"/>
      <c r="LYE1" s="631"/>
      <c r="LYF1" s="631"/>
      <c r="LYG1" s="631"/>
      <c r="LYH1" s="631"/>
      <c r="LYI1" s="631"/>
      <c r="LYJ1" s="631"/>
      <c r="LYK1" s="631"/>
      <c r="LYL1" s="631"/>
      <c r="LYM1" s="631"/>
      <c r="LYN1" s="631"/>
      <c r="LYO1" s="631"/>
      <c r="LYP1" s="631"/>
      <c r="LYQ1" s="631"/>
      <c r="LYR1" s="631"/>
      <c r="LYS1" s="631"/>
      <c r="LYT1" s="630"/>
      <c r="LYU1" s="630"/>
      <c r="LYV1" s="630"/>
      <c r="LYW1" s="630"/>
      <c r="LYX1" s="630"/>
      <c r="LYY1" s="630"/>
      <c r="LYZ1" s="630"/>
      <c r="LZA1" s="630"/>
      <c r="LZB1" s="630"/>
      <c r="LZC1" s="630"/>
      <c r="LZD1" s="630"/>
      <c r="LZE1" s="630"/>
      <c r="LZF1" s="630"/>
      <c r="LZG1" s="630"/>
      <c r="LZH1" s="630"/>
      <c r="LZI1" s="630"/>
      <c r="LZJ1" s="630"/>
      <c r="LZK1" s="630"/>
      <c r="LZL1" s="630"/>
      <c r="LZM1" s="630"/>
      <c r="LZN1" s="630"/>
      <c r="LZO1" s="630"/>
      <c r="LZP1" s="630"/>
      <c r="LZQ1" s="630"/>
      <c r="LZR1" s="630"/>
      <c r="LZS1" s="630"/>
      <c r="LZT1" s="630"/>
      <c r="LZU1" s="630"/>
      <c r="LZV1" s="630"/>
      <c r="LZW1" s="630"/>
      <c r="LZX1" s="630"/>
      <c r="LZY1" s="630"/>
      <c r="LZZ1" s="630"/>
      <c r="MAA1" s="630"/>
      <c r="MAB1" s="630"/>
      <c r="MAC1" s="630"/>
      <c r="MAD1" s="630"/>
      <c r="MAE1" s="630"/>
      <c r="MAF1" s="630"/>
      <c r="MAG1" s="630"/>
      <c r="MAH1" s="630"/>
      <c r="MAI1" s="630"/>
      <c r="MAJ1" s="630"/>
      <c r="MAK1" s="630"/>
      <c r="MAL1" s="630"/>
      <c r="MAM1" s="630"/>
      <c r="MAN1" s="630"/>
      <c r="MAO1" s="630"/>
      <c r="MAP1" s="630"/>
      <c r="MAQ1" s="632"/>
      <c r="MAR1" s="631"/>
      <c r="MAS1" s="631"/>
      <c r="MAT1" s="631"/>
      <c r="MAU1" s="631"/>
      <c r="MAV1" s="631"/>
      <c r="MAW1" s="631"/>
      <c r="MAX1" s="631"/>
      <c r="MAY1" s="631"/>
      <c r="MAZ1" s="631"/>
      <c r="MBA1" s="631"/>
      <c r="MBB1" s="631"/>
      <c r="MBC1" s="631"/>
      <c r="MBD1" s="631"/>
      <c r="MBE1" s="631"/>
      <c r="MBF1" s="631"/>
      <c r="MBG1" s="631"/>
      <c r="MBH1" s="631"/>
      <c r="MBI1" s="630"/>
      <c r="MBJ1" s="630"/>
      <c r="MBK1" s="630"/>
      <c r="MBL1" s="630"/>
      <c r="MBM1" s="630"/>
      <c r="MBN1" s="630"/>
      <c r="MBO1" s="630"/>
      <c r="MBP1" s="630"/>
      <c r="MBQ1" s="630"/>
      <c r="MBR1" s="630"/>
      <c r="MBS1" s="630"/>
      <c r="MBT1" s="630"/>
      <c r="MBU1" s="630"/>
      <c r="MBV1" s="630"/>
      <c r="MBW1" s="630"/>
      <c r="MBX1" s="630"/>
      <c r="MBY1" s="630"/>
      <c r="MBZ1" s="630"/>
      <c r="MCA1" s="630"/>
      <c r="MCB1" s="630"/>
      <c r="MCC1" s="630"/>
      <c r="MCD1" s="630"/>
      <c r="MCE1" s="630"/>
      <c r="MCF1" s="630"/>
      <c r="MCG1" s="630"/>
      <c r="MCH1" s="630"/>
      <c r="MCI1" s="630"/>
      <c r="MCJ1" s="630"/>
      <c r="MCK1" s="630"/>
      <c r="MCL1" s="630"/>
      <c r="MCM1" s="630"/>
      <c r="MCN1" s="630"/>
      <c r="MCO1" s="630"/>
      <c r="MCP1" s="630"/>
      <c r="MCQ1" s="630"/>
      <c r="MCR1" s="630"/>
      <c r="MCS1" s="630"/>
      <c r="MCT1" s="630"/>
      <c r="MCU1" s="630"/>
      <c r="MCV1" s="630"/>
      <c r="MCW1" s="630"/>
      <c r="MCX1" s="630"/>
      <c r="MCY1" s="630"/>
      <c r="MCZ1" s="630"/>
      <c r="MDA1" s="630"/>
      <c r="MDB1" s="630"/>
      <c r="MDC1" s="630"/>
      <c r="MDD1" s="630"/>
      <c r="MDE1" s="630"/>
      <c r="MDF1" s="632"/>
      <c r="MDG1" s="631"/>
      <c r="MDH1" s="631"/>
      <c r="MDI1" s="631"/>
      <c r="MDJ1" s="631"/>
      <c r="MDK1" s="631"/>
      <c r="MDL1" s="631"/>
      <c r="MDM1" s="631"/>
      <c r="MDN1" s="631"/>
      <c r="MDO1" s="631"/>
      <c r="MDP1" s="631"/>
      <c r="MDQ1" s="631"/>
      <c r="MDR1" s="631"/>
      <c r="MDS1" s="631"/>
      <c r="MDT1" s="631"/>
      <c r="MDU1" s="631"/>
      <c r="MDV1" s="631"/>
      <c r="MDW1" s="631"/>
      <c r="MDX1" s="630"/>
      <c r="MDY1" s="630"/>
      <c r="MDZ1" s="630"/>
      <c r="MEA1" s="630"/>
      <c r="MEB1" s="630"/>
      <c r="MEC1" s="630"/>
      <c r="MED1" s="630"/>
      <c r="MEE1" s="630"/>
      <c r="MEF1" s="630"/>
      <c r="MEG1" s="630"/>
      <c r="MEH1" s="630"/>
      <c r="MEI1" s="630"/>
      <c r="MEJ1" s="630"/>
      <c r="MEK1" s="630"/>
      <c r="MEL1" s="630"/>
      <c r="MEM1" s="630"/>
      <c r="MEN1" s="630"/>
      <c r="MEO1" s="630"/>
      <c r="MEP1" s="630"/>
      <c r="MEQ1" s="630"/>
      <c r="MER1" s="630"/>
      <c r="MES1" s="630"/>
      <c r="MET1" s="630"/>
      <c r="MEU1" s="630"/>
      <c r="MEV1" s="630"/>
      <c r="MEW1" s="630"/>
      <c r="MEX1" s="630"/>
      <c r="MEY1" s="630"/>
      <c r="MEZ1" s="630"/>
      <c r="MFA1" s="630"/>
      <c r="MFB1" s="630"/>
      <c r="MFC1" s="630"/>
      <c r="MFD1" s="630"/>
      <c r="MFE1" s="630"/>
      <c r="MFF1" s="630"/>
      <c r="MFG1" s="630"/>
      <c r="MFH1" s="630"/>
      <c r="MFI1" s="630"/>
      <c r="MFJ1" s="630"/>
      <c r="MFK1" s="630"/>
      <c r="MFL1" s="630"/>
      <c r="MFM1" s="630"/>
      <c r="MFN1" s="630"/>
      <c r="MFO1" s="630"/>
      <c r="MFP1" s="630"/>
      <c r="MFQ1" s="630"/>
      <c r="MFR1" s="630"/>
      <c r="MFS1" s="630"/>
      <c r="MFT1" s="630"/>
      <c r="MFU1" s="632"/>
      <c r="MFV1" s="631"/>
      <c r="MFW1" s="631"/>
      <c r="MFX1" s="631"/>
      <c r="MFY1" s="631"/>
      <c r="MFZ1" s="631"/>
      <c r="MGA1" s="631"/>
      <c r="MGB1" s="631"/>
      <c r="MGC1" s="631"/>
      <c r="MGD1" s="631"/>
      <c r="MGE1" s="631"/>
      <c r="MGF1" s="631"/>
      <c r="MGG1" s="631"/>
      <c r="MGH1" s="631"/>
      <c r="MGI1" s="631"/>
      <c r="MGJ1" s="631"/>
      <c r="MGK1" s="631"/>
      <c r="MGL1" s="631"/>
      <c r="MGM1" s="630"/>
      <c r="MGN1" s="630"/>
      <c r="MGO1" s="630"/>
      <c r="MGP1" s="630"/>
      <c r="MGQ1" s="630"/>
      <c r="MGR1" s="630"/>
      <c r="MGS1" s="630"/>
      <c r="MGT1" s="630"/>
      <c r="MGU1" s="630"/>
      <c r="MGV1" s="630"/>
      <c r="MGW1" s="630"/>
      <c r="MGX1" s="630"/>
      <c r="MGY1" s="630"/>
      <c r="MGZ1" s="630"/>
      <c r="MHA1" s="630"/>
      <c r="MHB1" s="630"/>
      <c r="MHC1" s="630"/>
      <c r="MHD1" s="630"/>
      <c r="MHE1" s="630"/>
      <c r="MHF1" s="630"/>
      <c r="MHG1" s="630"/>
      <c r="MHH1" s="630"/>
      <c r="MHI1" s="630"/>
      <c r="MHJ1" s="630"/>
      <c r="MHK1" s="630"/>
      <c r="MHL1" s="630"/>
      <c r="MHM1" s="630"/>
      <c r="MHN1" s="630"/>
      <c r="MHO1" s="630"/>
      <c r="MHP1" s="630"/>
      <c r="MHQ1" s="630"/>
      <c r="MHR1" s="630"/>
      <c r="MHS1" s="630"/>
      <c r="MHT1" s="630"/>
      <c r="MHU1" s="630"/>
      <c r="MHV1" s="630"/>
      <c r="MHW1" s="630"/>
      <c r="MHX1" s="630"/>
      <c r="MHY1" s="630"/>
      <c r="MHZ1" s="630"/>
      <c r="MIA1" s="630"/>
      <c r="MIB1" s="630"/>
      <c r="MIC1" s="630"/>
      <c r="MID1" s="630"/>
      <c r="MIE1" s="630"/>
      <c r="MIF1" s="630"/>
      <c r="MIG1" s="630"/>
      <c r="MIH1" s="630"/>
      <c r="MII1" s="630"/>
      <c r="MIJ1" s="632"/>
      <c r="MIK1" s="631"/>
      <c r="MIL1" s="631"/>
      <c r="MIM1" s="631"/>
      <c r="MIN1" s="631"/>
      <c r="MIO1" s="631"/>
      <c r="MIP1" s="631"/>
      <c r="MIQ1" s="631"/>
      <c r="MIR1" s="631"/>
      <c r="MIS1" s="631"/>
      <c r="MIT1" s="631"/>
      <c r="MIU1" s="631"/>
      <c r="MIV1" s="631"/>
      <c r="MIW1" s="631"/>
      <c r="MIX1" s="631"/>
      <c r="MIY1" s="631"/>
      <c r="MIZ1" s="631"/>
      <c r="MJA1" s="631"/>
      <c r="MJB1" s="630"/>
      <c r="MJC1" s="630"/>
      <c r="MJD1" s="630"/>
      <c r="MJE1" s="630"/>
      <c r="MJF1" s="630"/>
      <c r="MJG1" s="630"/>
      <c r="MJH1" s="630"/>
      <c r="MJI1" s="630"/>
      <c r="MJJ1" s="630"/>
      <c r="MJK1" s="630"/>
      <c r="MJL1" s="630"/>
      <c r="MJM1" s="630"/>
      <c r="MJN1" s="630"/>
      <c r="MJO1" s="630"/>
      <c r="MJP1" s="630"/>
      <c r="MJQ1" s="630"/>
      <c r="MJR1" s="630"/>
      <c r="MJS1" s="630"/>
      <c r="MJT1" s="630"/>
      <c r="MJU1" s="630"/>
      <c r="MJV1" s="630"/>
      <c r="MJW1" s="630"/>
      <c r="MJX1" s="630"/>
      <c r="MJY1" s="630"/>
      <c r="MJZ1" s="630"/>
      <c r="MKA1" s="630"/>
      <c r="MKB1" s="630"/>
      <c r="MKC1" s="630"/>
      <c r="MKD1" s="630"/>
      <c r="MKE1" s="630"/>
      <c r="MKF1" s="630"/>
      <c r="MKG1" s="630"/>
      <c r="MKH1" s="630"/>
      <c r="MKI1" s="630"/>
      <c r="MKJ1" s="630"/>
      <c r="MKK1" s="630"/>
      <c r="MKL1" s="630"/>
      <c r="MKM1" s="630"/>
      <c r="MKN1" s="630"/>
      <c r="MKO1" s="630"/>
      <c r="MKP1" s="630"/>
      <c r="MKQ1" s="630"/>
      <c r="MKR1" s="630"/>
      <c r="MKS1" s="630"/>
      <c r="MKT1" s="630"/>
      <c r="MKU1" s="630"/>
      <c r="MKV1" s="630"/>
      <c r="MKW1" s="630"/>
      <c r="MKX1" s="630"/>
      <c r="MKY1" s="632"/>
      <c r="MKZ1" s="631"/>
      <c r="MLA1" s="631"/>
      <c r="MLB1" s="631"/>
      <c r="MLC1" s="631"/>
      <c r="MLD1" s="631"/>
      <c r="MLE1" s="631"/>
      <c r="MLF1" s="631"/>
      <c r="MLG1" s="631"/>
      <c r="MLH1" s="631"/>
      <c r="MLI1" s="631"/>
      <c r="MLJ1" s="631"/>
      <c r="MLK1" s="631"/>
      <c r="MLL1" s="631"/>
      <c r="MLM1" s="631"/>
      <c r="MLN1" s="631"/>
      <c r="MLO1" s="631"/>
      <c r="MLP1" s="631"/>
      <c r="MLQ1" s="630"/>
      <c r="MLR1" s="630"/>
      <c r="MLS1" s="630"/>
      <c r="MLT1" s="630"/>
      <c r="MLU1" s="630"/>
      <c r="MLV1" s="630"/>
      <c r="MLW1" s="630"/>
      <c r="MLX1" s="630"/>
      <c r="MLY1" s="630"/>
      <c r="MLZ1" s="630"/>
      <c r="MMA1" s="630"/>
      <c r="MMB1" s="630"/>
      <c r="MMC1" s="630"/>
      <c r="MMD1" s="630"/>
      <c r="MME1" s="630"/>
      <c r="MMF1" s="630"/>
      <c r="MMG1" s="630"/>
      <c r="MMH1" s="630"/>
      <c r="MMI1" s="630"/>
      <c r="MMJ1" s="630"/>
      <c r="MMK1" s="630"/>
      <c r="MML1" s="630"/>
      <c r="MMM1" s="630"/>
      <c r="MMN1" s="630"/>
      <c r="MMO1" s="630"/>
      <c r="MMP1" s="630"/>
      <c r="MMQ1" s="630"/>
      <c r="MMR1" s="630"/>
      <c r="MMS1" s="630"/>
      <c r="MMT1" s="630"/>
      <c r="MMU1" s="630"/>
      <c r="MMV1" s="630"/>
      <c r="MMW1" s="630"/>
      <c r="MMX1" s="630"/>
      <c r="MMY1" s="630"/>
      <c r="MMZ1" s="630"/>
      <c r="MNA1" s="630"/>
      <c r="MNB1" s="630"/>
      <c r="MNC1" s="630"/>
      <c r="MND1" s="630"/>
      <c r="MNE1" s="630"/>
      <c r="MNF1" s="630"/>
      <c r="MNG1" s="630"/>
      <c r="MNH1" s="630"/>
      <c r="MNI1" s="630"/>
      <c r="MNJ1" s="630"/>
      <c r="MNK1" s="630"/>
      <c r="MNL1" s="630"/>
      <c r="MNM1" s="630"/>
      <c r="MNN1" s="632"/>
      <c r="MNO1" s="631"/>
      <c r="MNP1" s="631"/>
      <c r="MNQ1" s="631"/>
      <c r="MNR1" s="631"/>
      <c r="MNS1" s="631"/>
      <c r="MNT1" s="631"/>
      <c r="MNU1" s="631"/>
      <c r="MNV1" s="631"/>
      <c r="MNW1" s="631"/>
      <c r="MNX1" s="631"/>
      <c r="MNY1" s="631"/>
      <c r="MNZ1" s="631"/>
      <c r="MOA1" s="631"/>
      <c r="MOB1" s="631"/>
      <c r="MOC1" s="631"/>
      <c r="MOD1" s="631"/>
      <c r="MOE1" s="631"/>
      <c r="MOF1" s="630"/>
      <c r="MOG1" s="630"/>
      <c r="MOH1" s="630"/>
      <c r="MOI1" s="630"/>
      <c r="MOJ1" s="630"/>
      <c r="MOK1" s="630"/>
      <c r="MOL1" s="630"/>
      <c r="MOM1" s="630"/>
      <c r="MON1" s="630"/>
      <c r="MOO1" s="630"/>
      <c r="MOP1" s="630"/>
      <c r="MOQ1" s="630"/>
      <c r="MOR1" s="630"/>
      <c r="MOS1" s="630"/>
      <c r="MOT1" s="630"/>
      <c r="MOU1" s="630"/>
      <c r="MOV1" s="630"/>
      <c r="MOW1" s="630"/>
      <c r="MOX1" s="630"/>
      <c r="MOY1" s="630"/>
      <c r="MOZ1" s="630"/>
      <c r="MPA1" s="630"/>
      <c r="MPB1" s="630"/>
      <c r="MPC1" s="630"/>
      <c r="MPD1" s="630"/>
      <c r="MPE1" s="630"/>
      <c r="MPF1" s="630"/>
      <c r="MPG1" s="630"/>
      <c r="MPH1" s="630"/>
      <c r="MPI1" s="630"/>
      <c r="MPJ1" s="630"/>
      <c r="MPK1" s="630"/>
      <c r="MPL1" s="630"/>
      <c r="MPM1" s="630"/>
      <c r="MPN1" s="630"/>
      <c r="MPO1" s="630"/>
      <c r="MPP1" s="630"/>
      <c r="MPQ1" s="630"/>
      <c r="MPR1" s="630"/>
      <c r="MPS1" s="630"/>
      <c r="MPT1" s="630"/>
      <c r="MPU1" s="630"/>
      <c r="MPV1" s="630"/>
      <c r="MPW1" s="630"/>
      <c r="MPX1" s="630"/>
      <c r="MPY1" s="630"/>
      <c r="MPZ1" s="630"/>
      <c r="MQA1" s="630"/>
      <c r="MQB1" s="630"/>
      <c r="MQC1" s="632"/>
      <c r="MQD1" s="631"/>
      <c r="MQE1" s="631"/>
      <c r="MQF1" s="631"/>
      <c r="MQG1" s="631"/>
      <c r="MQH1" s="631"/>
      <c r="MQI1" s="631"/>
      <c r="MQJ1" s="631"/>
      <c r="MQK1" s="631"/>
      <c r="MQL1" s="631"/>
      <c r="MQM1" s="631"/>
      <c r="MQN1" s="631"/>
      <c r="MQO1" s="631"/>
      <c r="MQP1" s="631"/>
      <c r="MQQ1" s="631"/>
      <c r="MQR1" s="631"/>
      <c r="MQS1" s="631"/>
      <c r="MQT1" s="631"/>
      <c r="MQU1" s="630"/>
      <c r="MQV1" s="630"/>
      <c r="MQW1" s="630"/>
      <c r="MQX1" s="630"/>
      <c r="MQY1" s="630"/>
      <c r="MQZ1" s="630"/>
      <c r="MRA1" s="630"/>
      <c r="MRB1" s="630"/>
      <c r="MRC1" s="630"/>
      <c r="MRD1" s="630"/>
      <c r="MRE1" s="630"/>
      <c r="MRF1" s="630"/>
      <c r="MRG1" s="630"/>
      <c r="MRH1" s="630"/>
      <c r="MRI1" s="630"/>
      <c r="MRJ1" s="630"/>
      <c r="MRK1" s="630"/>
      <c r="MRL1" s="630"/>
      <c r="MRM1" s="630"/>
      <c r="MRN1" s="630"/>
      <c r="MRO1" s="630"/>
      <c r="MRP1" s="630"/>
      <c r="MRQ1" s="630"/>
      <c r="MRR1" s="630"/>
      <c r="MRS1" s="630"/>
      <c r="MRT1" s="630"/>
      <c r="MRU1" s="630"/>
      <c r="MRV1" s="630"/>
      <c r="MRW1" s="630"/>
      <c r="MRX1" s="630"/>
      <c r="MRY1" s="630"/>
      <c r="MRZ1" s="630"/>
      <c r="MSA1" s="630"/>
      <c r="MSB1" s="630"/>
      <c r="MSC1" s="630"/>
      <c r="MSD1" s="630"/>
      <c r="MSE1" s="630"/>
      <c r="MSF1" s="630"/>
      <c r="MSG1" s="630"/>
      <c r="MSH1" s="630"/>
      <c r="MSI1" s="630"/>
      <c r="MSJ1" s="630"/>
      <c r="MSK1" s="630"/>
      <c r="MSL1" s="630"/>
      <c r="MSM1" s="630"/>
      <c r="MSN1" s="630"/>
      <c r="MSO1" s="630"/>
      <c r="MSP1" s="630"/>
      <c r="MSQ1" s="630"/>
      <c r="MSR1" s="632"/>
      <c r="MSS1" s="631"/>
      <c r="MST1" s="631"/>
      <c r="MSU1" s="631"/>
      <c r="MSV1" s="631"/>
      <c r="MSW1" s="631"/>
      <c r="MSX1" s="631"/>
      <c r="MSY1" s="631"/>
      <c r="MSZ1" s="631"/>
      <c r="MTA1" s="631"/>
      <c r="MTB1" s="631"/>
      <c r="MTC1" s="631"/>
      <c r="MTD1" s="631"/>
      <c r="MTE1" s="631"/>
      <c r="MTF1" s="631"/>
      <c r="MTG1" s="631"/>
      <c r="MTH1" s="631"/>
      <c r="MTI1" s="631"/>
      <c r="MTJ1" s="630"/>
      <c r="MTK1" s="630"/>
      <c r="MTL1" s="630"/>
      <c r="MTM1" s="630"/>
      <c r="MTN1" s="630"/>
      <c r="MTO1" s="630"/>
      <c r="MTP1" s="630"/>
      <c r="MTQ1" s="630"/>
      <c r="MTR1" s="630"/>
      <c r="MTS1" s="630"/>
      <c r="MTT1" s="630"/>
      <c r="MTU1" s="630"/>
      <c r="MTV1" s="630"/>
      <c r="MTW1" s="630"/>
      <c r="MTX1" s="630"/>
      <c r="MTY1" s="630"/>
      <c r="MTZ1" s="630"/>
      <c r="MUA1" s="630"/>
      <c r="MUB1" s="630"/>
      <c r="MUC1" s="630"/>
      <c r="MUD1" s="630"/>
      <c r="MUE1" s="630"/>
      <c r="MUF1" s="630"/>
      <c r="MUG1" s="630"/>
      <c r="MUH1" s="630"/>
      <c r="MUI1" s="630"/>
      <c r="MUJ1" s="630"/>
      <c r="MUK1" s="630"/>
      <c r="MUL1" s="630"/>
      <c r="MUM1" s="630"/>
      <c r="MUN1" s="630"/>
      <c r="MUO1" s="630"/>
      <c r="MUP1" s="630"/>
      <c r="MUQ1" s="630"/>
      <c r="MUR1" s="630"/>
      <c r="MUS1" s="630"/>
      <c r="MUT1" s="630"/>
      <c r="MUU1" s="630"/>
      <c r="MUV1" s="630"/>
      <c r="MUW1" s="630"/>
      <c r="MUX1" s="630"/>
      <c r="MUY1" s="630"/>
      <c r="MUZ1" s="630"/>
      <c r="MVA1" s="630"/>
      <c r="MVB1" s="630"/>
      <c r="MVC1" s="630"/>
      <c r="MVD1" s="630"/>
      <c r="MVE1" s="630"/>
      <c r="MVF1" s="630"/>
      <c r="MVG1" s="632"/>
      <c r="MVH1" s="631"/>
      <c r="MVI1" s="631"/>
      <c r="MVJ1" s="631"/>
      <c r="MVK1" s="631"/>
      <c r="MVL1" s="631"/>
      <c r="MVM1" s="631"/>
      <c r="MVN1" s="631"/>
      <c r="MVO1" s="631"/>
      <c r="MVP1" s="631"/>
      <c r="MVQ1" s="631"/>
      <c r="MVR1" s="631"/>
      <c r="MVS1" s="631"/>
      <c r="MVT1" s="631"/>
      <c r="MVU1" s="631"/>
      <c r="MVV1" s="631"/>
      <c r="MVW1" s="631"/>
      <c r="MVX1" s="631"/>
      <c r="MVY1" s="630"/>
      <c r="MVZ1" s="630"/>
      <c r="MWA1" s="630"/>
      <c r="MWB1" s="630"/>
      <c r="MWC1" s="630"/>
      <c r="MWD1" s="630"/>
      <c r="MWE1" s="630"/>
      <c r="MWF1" s="630"/>
      <c r="MWG1" s="630"/>
      <c r="MWH1" s="630"/>
      <c r="MWI1" s="630"/>
      <c r="MWJ1" s="630"/>
      <c r="MWK1" s="630"/>
      <c r="MWL1" s="630"/>
      <c r="MWM1" s="630"/>
      <c r="MWN1" s="630"/>
      <c r="MWO1" s="630"/>
      <c r="MWP1" s="630"/>
      <c r="MWQ1" s="630"/>
      <c r="MWR1" s="630"/>
      <c r="MWS1" s="630"/>
      <c r="MWT1" s="630"/>
      <c r="MWU1" s="630"/>
      <c r="MWV1" s="630"/>
      <c r="MWW1" s="630"/>
      <c r="MWX1" s="630"/>
      <c r="MWY1" s="630"/>
      <c r="MWZ1" s="630"/>
      <c r="MXA1" s="630"/>
      <c r="MXB1" s="630"/>
      <c r="MXC1" s="630"/>
      <c r="MXD1" s="630"/>
      <c r="MXE1" s="630"/>
      <c r="MXF1" s="630"/>
      <c r="MXG1" s="630"/>
      <c r="MXH1" s="630"/>
      <c r="MXI1" s="630"/>
      <c r="MXJ1" s="630"/>
      <c r="MXK1" s="630"/>
      <c r="MXL1" s="630"/>
      <c r="MXM1" s="630"/>
      <c r="MXN1" s="630"/>
      <c r="MXO1" s="630"/>
      <c r="MXP1" s="630"/>
      <c r="MXQ1" s="630"/>
      <c r="MXR1" s="630"/>
      <c r="MXS1" s="630"/>
      <c r="MXT1" s="630"/>
      <c r="MXU1" s="630"/>
      <c r="MXV1" s="632"/>
      <c r="MXW1" s="631"/>
      <c r="MXX1" s="631"/>
      <c r="MXY1" s="631"/>
      <c r="MXZ1" s="631"/>
      <c r="MYA1" s="631"/>
      <c r="MYB1" s="631"/>
      <c r="MYC1" s="631"/>
      <c r="MYD1" s="631"/>
      <c r="MYE1" s="631"/>
      <c r="MYF1" s="631"/>
      <c r="MYG1" s="631"/>
      <c r="MYH1" s="631"/>
      <c r="MYI1" s="631"/>
      <c r="MYJ1" s="631"/>
      <c r="MYK1" s="631"/>
      <c r="MYL1" s="631"/>
      <c r="MYM1" s="631"/>
      <c r="MYN1" s="630"/>
      <c r="MYO1" s="630"/>
      <c r="MYP1" s="630"/>
      <c r="MYQ1" s="630"/>
      <c r="MYR1" s="630"/>
      <c r="MYS1" s="630"/>
      <c r="MYT1" s="630"/>
      <c r="MYU1" s="630"/>
      <c r="MYV1" s="630"/>
      <c r="MYW1" s="630"/>
      <c r="MYX1" s="630"/>
      <c r="MYY1" s="630"/>
      <c r="MYZ1" s="630"/>
      <c r="MZA1" s="630"/>
      <c r="MZB1" s="630"/>
      <c r="MZC1" s="630"/>
      <c r="MZD1" s="630"/>
      <c r="MZE1" s="630"/>
      <c r="MZF1" s="630"/>
      <c r="MZG1" s="630"/>
      <c r="MZH1" s="630"/>
      <c r="MZI1" s="630"/>
      <c r="MZJ1" s="630"/>
      <c r="MZK1" s="630"/>
      <c r="MZL1" s="630"/>
      <c r="MZM1" s="630"/>
      <c r="MZN1" s="630"/>
      <c r="MZO1" s="630"/>
      <c r="MZP1" s="630"/>
      <c r="MZQ1" s="630"/>
      <c r="MZR1" s="630"/>
      <c r="MZS1" s="630"/>
      <c r="MZT1" s="630"/>
      <c r="MZU1" s="630"/>
      <c r="MZV1" s="630"/>
      <c r="MZW1" s="630"/>
      <c r="MZX1" s="630"/>
      <c r="MZY1" s="630"/>
      <c r="MZZ1" s="630"/>
      <c r="NAA1" s="630"/>
      <c r="NAB1" s="630"/>
      <c r="NAC1" s="630"/>
      <c r="NAD1" s="630"/>
      <c r="NAE1" s="630"/>
      <c r="NAF1" s="630"/>
      <c r="NAG1" s="630"/>
      <c r="NAH1" s="630"/>
      <c r="NAI1" s="630"/>
      <c r="NAJ1" s="630"/>
      <c r="NAK1" s="632"/>
      <c r="NAL1" s="631"/>
      <c r="NAM1" s="631"/>
      <c r="NAN1" s="631"/>
      <c r="NAO1" s="631"/>
      <c r="NAP1" s="631"/>
      <c r="NAQ1" s="631"/>
      <c r="NAR1" s="631"/>
      <c r="NAS1" s="631"/>
      <c r="NAT1" s="631"/>
      <c r="NAU1" s="631"/>
      <c r="NAV1" s="631"/>
      <c r="NAW1" s="631"/>
      <c r="NAX1" s="631"/>
      <c r="NAY1" s="631"/>
      <c r="NAZ1" s="631"/>
      <c r="NBA1" s="631"/>
      <c r="NBB1" s="631"/>
      <c r="NBC1" s="630"/>
      <c r="NBD1" s="630"/>
      <c r="NBE1" s="630"/>
      <c r="NBF1" s="630"/>
      <c r="NBG1" s="630"/>
      <c r="NBH1" s="630"/>
      <c r="NBI1" s="630"/>
      <c r="NBJ1" s="630"/>
      <c r="NBK1" s="630"/>
      <c r="NBL1" s="630"/>
      <c r="NBM1" s="630"/>
      <c r="NBN1" s="630"/>
      <c r="NBO1" s="630"/>
      <c r="NBP1" s="630"/>
      <c r="NBQ1" s="630"/>
      <c r="NBR1" s="630"/>
      <c r="NBS1" s="630"/>
      <c r="NBT1" s="630"/>
      <c r="NBU1" s="630"/>
      <c r="NBV1" s="630"/>
      <c r="NBW1" s="630"/>
      <c r="NBX1" s="630"/>
      <c r="NBY1" s="630"/>
      <c r="NBZ1" s="630"/>
      <c r="NCA1" s="630"/>
      <c r="NCB1" s="630"/>
      <c r="NCC1" s="630"/>
      <c r="NCD1" s="630"/>
      <c r="NCE1" s="630"/>
      <c r="NCF1" s="630"/>
      <c r="NCG1" s="630"/>
      <c r="NCH1" s="630"/>
      <c r="NCI1" s="630"/>
      <c r="NCJ1" s="630"/>
      <c r="NCK1" s="630"/>
      <c r="NCL1" s="630"/>
      <c r="NCM1" s="630"/>
      <c r="NCN1" s="630"/>
      <c r="NCO1" s="630"/>
      <c r="NCP1" s="630"/>
      <c r="NCQ1" s="630"/>
      <c r="NCR1" s="630"/>
      <c r="NCS1" s="630"/>
      <c r="NCT1" s="630"/>
      <c r="NCU1" s="630"/>
      <c r="NCV1" s="630"/>
      <c r="NCW1" s="630"/>
      <c r="NCX1" s="630"/>
      <c r="NCY1" s="630"/>
      <c r="NCZ1" s="632"/>
      <c r="NDA1" s="631"/>
      <c r="NDB1" s="631"/>
      <c r="NDC1" s="631"/>
      <c r="NDD1" s="631"/>
      <c r="NDE1" s="631"/>
      <c r="NDF1" s="631"/>
      <c r="NDG1" s="631"/>
      <c r="NDH1" s="631"/>
      <c r="NDI1" s="631"/>
      <c r="NDJ1" s="631"/>
      <c r="NDK1" s="631"/>
      <c r="NDL1" s="631"/>
      <c r="NDM1" s="631"/>
      <c r="NDN1" s="631"/>
      <c r="NDO1" s="631"/>
      <c r="NDP1" s="631"/>
      <c r="NDQ1" s="631"/>
      <c r="NDR1" s="630"/>
      <c r="NDS1" s="630"/>
      <c r="NDT1" s="630"/>
      <c r="NDU1" s="630"/>
      <c r="NDV1" s="630"/>
      <c r="NDW1" s="630"/>
      <c r="NDX1" s="630"/>
      <c r="NDY1" s="630"/>
      <c r="NDZ1" s="630"/>
      <c r="NEA1" s="630"/>
      <c r="NEB1" s="630"/>
      <c r="NEC1" s="630"/>
      <c r="NED1" s="630"/>
      <c r="NEE1" s="630"/>
      <c r="NEF1" s="630"/>
      <c r="NEG1" s="630"/>
      <c r="NEH1" s="630"/>
      <c r="NEI1" s="630"/>
      <c r="NEJ1" s="630"/>
      <c r="NEK1" s="630"/>
      <c r="NEL1" s="630"/>
      <c r="NEM1" s="630"/>
      <c r="NEN1" s="630"/>
      <c r="NEO1" s="630"/>
      <c r="NEP1" s="630"/>
      <c r="NEQ1" s="630"/>
      <c r="NER1" s="630"/>
      <c r="NES1" s="630"/>
      <c r="NET1" s="630"/>
      <c r="NEU1" s="630"/>
      <c r="NEV1" s="630"/>
      <c r="NEW1" s="630"/>
      <c r="NEX1" s="630"/>
      <c r="NEY1" s="630"/>
      <c r="NEZ1" s="630"/>
      <c r="NFA1" s="630"/>
      <c r="NFB1" s="630"/>
      <c r="NFC1" s="630"/>
      <c r="NFD1" s="630"/>
      <c r="NFE1" s="630"/>
      <c r="NFF1" s="630"/>
      <c r="NFG1" s="630"/>
      <c r="NFH1" s="630"/>
      <c r="NFI1" s="630"/>
      <c r="NFJ1" s="630"/>
      <c r="NFK1" s="630"/>
      <c r="NFL1" s="630"/>
      <c r="NFM1" s="630"/>
      <c r="NFN1" s="630"/>
      <c r="NFO1" s="632"/>
      <c r="NFP1" s="631"/>
      <c r="NFQ1" s="631"/>
      <c r="NFR1" s="631"/>
      <c r="NFS1" s="631"/>
      <c r="NFT1" s="631"/>
      <c r="NFU1" s="631"/>
      <c r="NFV1" s="631"/>
      <c r="NFW1" s="631"/>
      <c r="NFX1" s="631"/>
      <c r="NFY1" s="631"/>
      <c r="NFZ1" s="631"/>
      <c r="NGA1" s="631"/>
      <c r="NGB1" s="631"/>
      <c r="NGC1" s="631"/>
      <c r="NGD1" s="631"/>
      <c r="NGE1" s="631"/>
      <c r="NGF1" s="631"/>
      <c r="NGG1" s="630"/>
      <c r="NGH1" s="630"/>
      <c r="NGI1" s="630"/>
      <c r="NGJ1" s="630"/>
      <c r="NGK1" s="630"/>
      <c r="NGL1" s="630"/>
      <c r="NGM1" s="630"/>
      <c r="NGN1" s="630"/>
      <c r="NGO1" s="630"/>
      <c r="NGP1" s="630"/>
      <c r="NGQ1" s="630"/>
      <c r="NGR1" s="630"/>
      <c r="NGS1" s="630"/>
      <c r="NGT1" s="630"/>
      <c r="NGU1" s="630"/>
      <c r="NGV1" s="630"/>
      <c r="NGW1" s="630"/>
      <c r="NGX1" s="630"/>
      <c r="NGY1" s="630"/>
      <c r="NGZ1" s="630"/>
      <c r="NHA1" s="630"/>
      <c r="NHB1" s="630"/>
      <c r="NHC1" s="630"/>
      <c r="NHD1" s="630"/>
      <c r="NHE1" s="630"/>
      <c r="NHF1" s="630"/>
      <c r="NHG1" s="630"/>
      <c r="NHH1" s="630"/>
      <c r="NHI1" s="630"/>
      <c r="NHJ1" s="630"/>
      <c r="NHK1" s="630"/>
      <c r="NHL1" s="630"/>
      <c r="NHM1" s="630"/>
      <c r="NHN1" s="630"/>
      <c r="NHO1" s="630"/>
      <c r="NHP1" s="630"/>
      <c r="NHQ1" s="630"/>
      <c r="NHR1" s="630"/>
      <c r="NHS1" s="630"/>
      <c r="NHT1" s="630"/>
      <c r="NHU1" s="630"/>
      <c r="NHV1" s="630"/>
      <c r="NHW1" s="630"/>
      <c r="NHX1" s="630"/>
      <c r="NHY1" s="630"/>
      <c r="NHZ1" s="630"/>
      <c r="NIA1" s="630"/>
      <c r="NIB1" s="630"/>
      <c r="NIC1" s="630"/>
      <c r="NID1" s="632"/>
      <c r="NIE1" s="631"/>
      <c r="NIF1" s="631"/>
      <c r="NIG1" s="631"/>
      <c r="NIH1" s="631"/>
      <c r="NII1" s="631"/>
      <c r="NIJ1" s="631"/>
      <c r="NIK1" s="631"/>
      <c r="NIL1" s="631"/>
      <c r="NIM1" s="631"/>
      <c r="NIN1" s="631"/>
      <c r="NIO1" s="631"/>
      <c r="NIP1" s="631"/>
      <c r="NIQ1" s="631"/>
      <c r="NIR1" s="631"/>
      <c r="NIS1" s="631"/>
      <c r="NIT1" s="631"/>
      <c r="NIU1" s="631"/>
      <c r="NIV1" s="630"/>
      <c r="NIW1" s="630"/>
      <c r="NIX1" s="630"/>
      <c r="NIY1" s="630"/>
      <c r="NIZ1" s="630"/>
      <c r="NJA1" s="630"/>
      <c r="NJB1" s="630"/>
      <c r="NJC1" s="630"/>
      <c r="NJD1" s="630"/>
      <c r="NJE1" s="630"/>
      <c r="NJF1" s="630"/>
      <c r="NJG1" s="630"/>
      <c r="NJH1" s="630"/>
      <c r="NJI1" s="630"/>
      <c r="NJJ1" s="630"/>
      <c r="NJK1" s="630"/>
      <c r="NJL1" s="630"/>
      <c r="NJM1" s="630"/>
      <c r="NJN1" s="630"/>
      <c r="NJO1" s="630"/>
      <c r="NJP1" s="630"/>
      <c r="NJQ1" s="630"/>
      <c r="NJR1" s="630"/>
      <c r="NJS1" s="630"/>
      <c r="NJT1" s="630"/>
      <c r="NJU1" s="630"/>
      <c r="NJV1" s="630"/>
      <c r="NJW1" s="630"/>
      <c r="NJX1" s="630"/>
      <c r="NJY1" s="630"/>
      <c r="NJZ1" s="630"/>
      <c r="NKA1" s="630"/>
      <c r="NKB1" s="630"/>
      <c r="NKC1" s="630"/>
      <c r="NKD1" s="630"/>
      <c r="NKE1" s="630"/>
      <c r="NKF1" s="630"/>
      <c r="NKG1" s="630"/>
      <c r="NKH1" s="630"/>
      <c r="NKI1" s="630"/>
      <c r="NKJ1" s="630"/>
      <c r="NKK1" s="630"/>
      <c r="NKL1" s="630"/>
      <c r="NKM1" s="630"/>
      <c r="NKN1" s="630"/>
      <c r="NKO1" s="630"/>
      <c r="NKP1" s="630"/>
      <c r="NKQ1" s="630"/>
      <c r="NKR1" s="630"/>
      <c r="NKS1" s="632"/>
      <c r="NKT1" s="631"/>
      <c r="NKU1" s="631"/>
      <c r="NKV1" s="631"/>
      <c r="NKW1" s="631"/>
      <c r="NKX1" s="631"/>
      <c r="NKY1" s="631"/>
      <c r="NKZ1" s="631"/>
      <c r="NLA1" s="631"/>
      <c r="NLB1" s="631"/>
      <c r="NLC1" s="631"/>
      <c r="NLD1" s="631"/>
      <c r="NLE1" s="631"/>
      <c r="NLF1" s="631"/>
      <c r="NLG1" s="631"/>
      <c r="NLH1" s="631"/>
      <c r="NLI1" s="631"/>
      <c r="NLJ1" s="631"/>
      <c r="NLK1" s="630"/>
      <c r="NLL1" s="630"/>
      <c r="NLM1" s="630"/>
      <c r="NLN1" s="630"/>
      <c r="NLO1" s="630"/>
      <c r="NLP1" s="630"/>
      <c r="NLQ1" s="630"/>
      <c r="NLR1" s="630"/>
      <c r="NLS1" s="630"/>
      <c r="NLT1" s="630"/>
      <c r="NLU1" s="630"/>
      <c r="NLV1" s="630"/>
      <c r="NLW1" s="630"/>
      <c r="NLX1" s="630"/>
      <c r="NLY1" s="630"/>
      <c r="NLZ1" s="630"/>
      <c r="NMA1" s="630"/>
      <c r="NMB1" s="630"/>
      <c r="NMC1" s="630"/>
      <c r="NMD1" s="630"/>
      <c r="NME1" s="630"/>
      <c r="NMF1" s="630"/>
      <c r="NMG1" s="630"/>
      <c r="NMH1" s="630"/>
      <c r="NMI1" s="630"/>
      <c r="NMJ1" s="630"/>
      <c r="NMK1" s="630"/>
      <c r="NML1" s="630"/>
      <c r="NMM1" s="630"/>
      <c r="NMN1" s="630"/>
      <c r="NMO1" s="630"/>
      <c r="NMP1" s="630"/>
      <c r="NMQ1" s="630"/>
      <c r="NMR1" s="630"/>
      <c r="NMS1" s="630"/>
      <c r="NMT1" s="630"/>
      <c r="NMU1" s="630"/>
      <c r="NMV1" s="630"/>
      <c r="NMW1" s="630"/>
      <c r="NMX1" s="630"/>
      <c r="NMY1" s="630"/>
      <c r="NMZ1" s="630"/>
      <c r="NNA1" s="630"/>
      <c r="NNB1" s="630"/>
      <c r="NNC1" s="630"/>
      <c r="NND1" s="630"/>
      <c r="NNE1" s="630"/>
      <c r="NNF1" s="630"/>
      <c r="NNG1" s="630"/>
      <c r="NNH1" s="632"/>
      <c r="NNI1" s="631"/>
      <c r="NNJ1" s="631"/>
      <c r="NNK1" s="631"/>
      <c r="NNL1" s="631"/>
      <c r="NNM1" s="631"/>
      <c r="NNN1" s="631"/>
      <c r="NNO1" s="631"/>
      <c r="NNP1" s="631"/>
      <c r="NNQ1" s="631"/>
      <c r="NNR1" s="631"/>
      <c r="NNS1" s="631"/>
      <c r="NNT1" s="631"/>
      <c r="NNU1" s="631"/>
      <c r="NNV1" s="631"/>
      <c r="NNW1" s="631"/>
      <c r="NNX1" s="631"/>
      <c r="NNY1" s="631"/>
      <c r="NNZ1" s="630"/>
      <c r="NOA1" s="630"/>
      <c r="NOB1" s="630"/>
      <c r="NOC1" s="630"/>
      <c r="NOD1" s="630"/>
      <c r="NOE1" s="630"/>
      <c r="NOF1" s="630"/>
      <c r="NOG1" s="630"/>
      <c r="NOH1" s="630"/>
      <c r="NOI1" s="630"/>
      <c r="NOJ1" s="630"/>
      <c r="NOK1" s="630"/>
      <c r="NOL1" s="630"/>
      <c r="NOM1" s="630"/>
      <c r="NON1" s="630"/>
      <c r="NOO1" s="630"/>
      <c r="NOP1" s="630"/>
      <c r="NOQ1" s="630"/>
      <c r="NOR1" s="630"/>
      <c r="NOS1" s="630"/>
      <c r="NOT1" s="630"/>
      <c r="NOU1" s="630"/>
      <c r="NOV1" s="630"/>
      <c r="NOW1" s="630"/>
      <c r="NOX1" s="630"/>
      <c r="NOY1" s="630"/>
      <c r="NOZ1" s="630"/>
      <c r="NPA1" s="630"/>
      <c r="NPB1" s="630"/>
      <c r="NPC1" s="630"/>
      <c r="NPD1" s="630"/>
      <c r="NPE1" s="630"/>
      <c r="NPF1" s="630"/>
      <c r="NPG1" s="630"/>
      <c r="NPH1" s="630"/>
      <c r="NPI1" s="630"/>
      <c r="NPJ1" s="630"/>
      <c r="NPK1" s="630"/>
      <c r="NPL1" s="630"/>
      <c r="NPM1" s="630"/>
      <c r="NPN1" s="630"/>
      <c r="NPO1" s="630"/>
      <c r="NPP1" s="630"/>
      <c r="NPQ1" s="630"/>
      <c r="NPR1" s="630"/>
      <c r="NPS1" s="630"/>
      <c r="NPT1" s="630"/>
      <c r="NPU1" s="630"/>
      <c r="NPV1" s="630"/>
      <c r="NPW1" s="632"/>
      <c r="NPX1" s="631"/>
      <c r="NPY1" s="631"/>
      <c r="NPZ1" s="631"/>
      <c r="NQA1" s="631"/>
      <c r="NQB1" s="631"/>
      <c r="NQC1" s="631"/>
      <c r="NQD1" s="631"/>
      <c r="NQE1" s="631"/>
      <c r="NQF1" s="631"/>
      <c r="NQG1" s="631"/>
      <c r="NQH1" s="631"/>
      <c r="NQI1" s="631"/>
      <c r="NQJ1" s="631"/>
      <c r="NQK1" s="631"/>
      <c r="NQL1" s="631"/>
      <c r="NQM1" s="631"/>
      <c r="NQN1" s="631"/>
      <c r="NQO1" s="630"/>
      <c r="NQP1" s="630"/>
      <c r="NQQ1" s="630"/>
      <c r="NQR1" s="630"/>
      <c r="NQS1" s="630"/>
      <c r="NQT1" s="630"/>
      <c r="NQU1" s="630"/>
      <c r="NQV1" s="630"/>
      <c r="NQW1" s="630"/>
      <c r="NQX1" s="630"/>
      <c r="NQY1" s="630"/>
      <c r="NQZ1" s="630"/>
      <c r="NRA1" s="630"/>
      <c r="NRB1" s="630"/>
      <c r="NRC1" s="630"/>
      <c r="NRD1" s="630"/>
      <c r="NRE1" s="630"/>
      <c r="NRF1" s="630"/>
      <c r="NRG1" s="630"/>
      <c r="NRH1" s="630"/>
      <c r="NRI1" s="630"/>
      <c r="NRJ1" s="630"/>
      <c r="NRK1" s="630"/>
      <c r="NRL1" s="630"/>
      <c r="NRM1" s="630"/>
      <c r="NRN1" s="630"/>
      <c r="NRO1" s="630"/>
      <c r="NRP1" s="630"/>
      <c r="NRQ1" s="630"/>
      <c r="NRR1" s="630"/>
      <c r="NRS1" s="630"/>
      <c r="NRT1" s="630"/>
      <c r="NRU1" s="630"/>
      <c r="NRV1" s="630"/>
      <c r="NRW1" s="630"/>
      <c r="NRX1" s="630"/>
      <c r="NRY1" s="630"/>
      <c r="NRZ1" s="630"/>
      <c r="NSA1" s="630"/>
      <c r="NSB1" s="630"/>
      <c r="NSC1" s="630"/>
      <c r="NSD1" s="630"/>
      <c r="NSE1" s="630"/>
      <c r="NSF1" s="630"/>
      <c r="NSG1" s="630"/>
      <c r="NSH1" s="630"/>
      <c r="NSI1" s="630"/>
      <c r="NSJ1" s="630"/>
      <c r="NSK1" s="630"/>
      <c r="NSL1" s="632"/>
      <c r="NSM1" s="631"/>
      <c r="NSN1" s="631"/>
      <c r="NSO1" s="631"/>
      <c r="NSP1" s="631"/>
      <c r="NSQ1" s="631"/>
      <c r="NSR1" s="631"/>
      <c r="NSS1" s="631"/>
      <c r="NST1" s="631"/>
      <c r="NSU1" s="631"/>
      <c r="NSV1" s="631"/>
      <c r="NSW1" s="631"/>
      <c r="NSX1" s="631"/>
      <c r="NSY1" s="631"/>
      <c r="NSZ1" s="631"/>
      <c r="NTA1" s="631"/>
      <c r="NTB1" s="631"/>
      <c r="NTC1" s="631"/>
      <c r="NTD1" s="630"/>
      <c r="NTE1" s="630"/>
      <c r="NTF1" s="630"/>
      <c r="NTG1" s="630"/>
      <c r="NTH1" s="630"/>
      <c r="NTI1" s="630"/>
      <c r="NTJ1" s="630"/>
      <c r="NTK1" s="630"/>
      <c r="NTL1" s="630"/>
      <c r="NTM1" s="630"/>
      <c r="NTN1" s="630"/>
      <c r="NTO1" s="630"/>
      <c r="NTP1" s="630"/>
      <c r="NTQ1" s="630"/>
      <c r="NTR1" s="630"/>
      <c r="NTS1" s="630"/>
      <c r="NTT1" s="630"/>
      <c r="NTU1" s="630"/>
      <c r="NTV1" s="630"/>
      <c r="NTW1" s="630"/>
      <c r="NTX1" s="630"/>
      <c r="NTY1" s="630"/>
      <c r="NTZ1" s="630"/>
      <c r="NUA1" s="630"/>
      <c r="NUB1" s="630"/>
      <c r="NUC1" s="630"/>
      <c r="NUD1" s="630"/>
      <c r="NUE1" s="630"/>
      <c r="NUF1" s="630"/>
      <c r="NUG1" s="630"/>
      <c r="NUH1" s="630"/>
      <c r="NUI1" s="630"/>
      <c r="NUJ1" s="630"/>
      <c r="NUK1" s="630"/>
      <c r="NUL1" s="630"/>
      <c r="NUM1" s="630"/>
      <c r="NUN1" s="630"/>
      <c r="NUO1" s="630"/>
      <c r="NUP1" s="630"/>
      <c r="NUQ1" s="630"/>
      <c r="NUR1" s="630"/>
      <c r="NUS1" s="630"/>
      <c r="NUT1" s="630"/>
      <c r="NUU1" s="630"/>
      <c r="NUV1" s="630"/>
      <c r="NUW1" s="630"/>
      <c r="NUX1" s="630"/>
      <c r="NUY1" s="630"/>
      <c r="NUZ1" s="630"/>
      <c r="NVA1" s="632"/>
      <c r="NVB1" s="631"/>
      <c r="NVC1" s="631"/>
      <c r="NVD1" s="631"/>
      <c r="NVE1" s="631"/>
      <c r="NVF1" s="631"/>
      <c r="NVG1" s="631"/>
      <c r="NVH1" s="631"/>
      <c r="NVI1" s="631"/>
      <c r="NVJ1" s="631"/>
      <c r="NVK1" s="631"/>
      <c r="NVL1" s="631"/>
      <c r="NVM1" s="631"/>
      <c r="NVN1" s="631"/>
      <c r="NVO1" s="631"/>
      <c r="NVP1" s="631"/>
      <c r="NVQ1" s="631"/>
      <c r="NVR1" s="631"/>
      <c r="NVS1" s="630"/>
      <c r="NVT1" s="630"/>
      <c r="NVU1" s="630"/>
      <c r="NVV1" s="630"/>
      <c r="NVW1" s="630"/>
      <c r="NVX1" s="630"/>
      <c r="NVY1" s="630"/>
      <c r="NVZ1" s="630"/>
      <c r="NWA1" s="630"/>
      <c r="NWB1" s="630"/>
      <c r="NWC1" s="630"/>
      <c r="NWD1" s="630"/>
      <c r="NWE1" s="630"/>
      <c r="NWF1" s="630"/>
      <c r="NWG1" s="630"/>
      <c r="NWH1" s="630"/>
      <c r="NWI1" s="630"/>
      <c r="NWJ1" s="630"/>
      <c r="NWK1" s="630"/>
      <c r="NWL1" s="630"/>
      <c r="NWM1" s="630"/>
      <c r="NWN1" s="630"/>
      <c r="NWO1" s="630"/>
      <c r="NWP1" s="630"/>
      <c r="NWQ1" s="630"/>
      <c r="NWR1" s="630"/>
      <c r="NWS1" s="630"/>
      <c r="NWT1" s="630"/>
      <c r="NWU1" s="630"/>
      <c r="NWV1" s="630"/>
      <c r="NWW1" s="630"/>
      <c r="NWX1" s="630"/>
      <c r="NWY1" s="630"/>
      <c r="NWZ1" s="630"/>
      <c r="NXA1" s="630"/>
      <c r="NXB1" s="630"/>
      <c r="NXC1" s="630"/>
      <c r="NXD1" s="630"/>
      <c r="NXE1" s="630"/>
      <c r="NXF1" s="630"/>
      <c r="NXG1" s="630"/>
      <c r="NXH1" s="630"/>
      <c r="NXI1" s="630"/>
      <c r="NXJ1" s="630"/>
      <c r="NXK1" s="630"/>
      <c r="NXL1" s="630"/>
      <c r="NXM1" s="630"/>
      <c r="NXN1" s="630"/>
      <c r="NXO1" s="630"/>
      <c r="NXP1" s="632"/>
      <c r="NXQ1" s="631"/>
      <c r="NXR1" s="631"/>
      <c r="NXS1" s="631"/>
      <c r="NXT1" s="631"/>
      <c r="NXU1" s="631"/>
      <c r="NXV1" s="631"/>
      <c r="NXW1" s="631"/>
      <c r="NXX1" s="631"/>
      <c r="NXY1" s="631"/>
      <c r="NXZ1" s="631"/>
      <c r="NYA1" s="631"/>
      <c r="NYB1" s="631"/>
      <c r="NYC1" s="631"/>
      <c r="NYD1" s="631"/>
      <c r="NYE1" s="631"/>
      <c r="NYF1" s="631"/>
      <c r="NYG1" s="631"/>
      <c r="NYH1" s="630"/>
      <c r="NYI1" s="630"/>
      <c r="NYJ1" s="630"/>
      <c r="NYK1" s="630"/>
      <c r="NYL1" s="630"/>
      <c r="NYM1" s="630"/>
      <c r="NYN1" s="630"/>
      <c r="NYO1" s="630"/>
      <c r="NYP1" s="630"/>
      <c r="NYQ1" s="630"/>
      <c r="NYR1" s="630"/>
      <c r="NYS1" s="630"/>
      <c r="NYT1" s="630"/>
      <c r="NYU1" s="630"/>
      <c r="NYV1" s="630"/>
      <c r="NYW1" s="630"/>
      <c r="NYX1" s="630"/>
      <c r="NYY1" s="630"/>
      <c r="NYZ1" s="630"/>
      <c r="NZA1" s="630"/>
      <c r="NZB1" s="630"/>
      <c r="NZC1" s="630"/>
      <c r="NZD1" s="630"/>
      <c r="NZE1" s="630"/>
      <c r="NZF1" s="630"/>
      <c r="NZG1" s="630"/>
      <c r="NZH1" s="630"/>
      <c r="NZI1" s="630"/>
      <c r="NZJ1" s="630"/>
      <c r="NZK1" s="630"/>
      <c r="NZL1" s="630"/>
      <c r="NZM1" s="630"/>
      <c r="NZN1" s="630"/>
      <c r="NZO1" s="630"/>
      <c r="NZP1" s="630"/>
      <c r="NZQ1" s="630"/>
      <c r="NZR1" s="630"/>
      <c r="NZS1" s="630"/>
      <c r="NZT1" s="630"/>
      <c r="NZU1" s="630"/>
      <c r="NZV1" s="630"/>
      <c r="NZW1" s="630"/>
      <c r="NZX1" s="630"/>
      <c r="NZY1" s="630"/>
      <c r="NZZ1" s="630"/>
      <c r="OAA1" s="630"/>
      <c r="OAB1" s="630"/>
      <c r="OAC1" s="630"/>
      <c r="OAD1" s="630"/>
      <c r="OAE1" s="632"/>
      <c r="OAF1" s="631"/>
      <c r="OAG1" s="631"/>
      <c r="OAH1" s="631"/>
      <c r="OAI1" s="631"/>
      <c r="OAJ1" s="631"/>
      <c r="OAK1" s="631"/>
      <c r="OAL1" s="631"/>
      <c r="OAM1" s="631"/>
      <c r="OAN1" s="631"/>
      <c r="OAO1" s="631"/>
      <c r="OAP1" s="631"/>
      <c r="OAQ1" s="631"/>
      <c r="OAR1" s="631"/>
      <c r="OAS1" s="631"/>
      <c r="OAT1" s="631"/>
      <c r="OAU1" s="631"/>
      <c r="OAV1" s="631"/>
      <c r="OAW1" s="630"/>
      <c r="OAX1" s="630"/>
      <c r="OAY1" s="630"/>
      <c r="OAZ1" s="630"/>
      <c r="OBA1" s="630"/>
      <c r="OBB1" s="630"/>
      <c r="OBC1" s="630"/>
      <c r="OBD1" s="630"/>
      <c r="OBE1" s="630"/>
      <c r="OBF1" s="630"/>
      <c r="OBG1" s="630"/>
      <c r="OBH1" s="630"/>
      <c r="OBI1" s="630"/>
      <c r="OBJ1" s="630"/>
      <c r="OBK1" s="630"/>
      <c r="OBL1" s="630"/>
      <c r="OBM1" s="630"/>
      <c r="OBN1" s="630"/>
      <c r="OBO1" s="630"/>
      <c r="OBP1" s="630"/>
      <c r="OBQ1" s="630"/>
      <c r="OBR1" s="630"/>
      <c r="OBS1" s="630"/>
      <c r="OBT1" s="630"/>
      <c r="OBU1" s="630"/>
      <c r="OBV1" s="630"/>
      <c r="OBW1" s="630"/>
      <c r="OBX1" s="630"/>
      <c r="OBY1" s="630"/>
      <c r="OBZ1" s="630"/>
      <c r="OCA1" s="630"/>
      <c r="OCB1" s="630"/>
      <c r="OCC1" s="630"/>
      <c r="OCD1" s="630"/>
      <c r="OCE1" s="630"/>
      <c r="OCF1" s="630"/>
      <c r="OCG1" s="630"/>
      <c r="OCH1" s="630"/>
      <c r="OCI1" s="630"/>
      <c r="OCJ1" s="630"/>
      <c r="OCK1" s="630"/>
      <c r="OCL1" s="630"/>
      <c r="OCM1" s="630"/>
      <c r="OCN1" s="630"/>
      <c r="OCO1" s="630"/>
      <c r="OCP1" s="630"/>
      <c r="OCQ1" s="630"/>
      <c r="OCR1" s="630"/>
      <c r="OCS1" s="630"/>
      <c r="OCT1" s="632"/>
      <c r="OCU1" s="631"/>
      <c r="OCV1" s="631"/>
      <c r="OCW1" s="631"/>
      <c r="OCX1" s="631"/>
      <c r="OCY1" s="631"/>
      <c r="OCZ1" s="631"/>
      <c r="ODA1" s="631"/>
      <c r="ODB1" s="631"/>
      <c r="ODC1" s="631"/>
      <c r="ODD1" s="631"/>
      <c r="ODE1" s="631"/>
      <c r="ODF1" s="631"/>
      <c r="ODG1" s="631"/>
      <c r="ODH1" s="631"/>
      <c r="ODI1" s="631"/>
      <c r="ODJ1" s="631"/>
      <c r="ODK1" s="631"/>
      <c r="ODL1" s="630"/>
      <c r="ODM1" s="630"/>
      <c r="ODN1" s="630"/>
      <c r="ODO1" s="630"/>
      <c r="ODP1" s="630"/>
      <c r="ODQ1" s="630"/>
      <c r="ODR1" s="630"/>
      <c r="ODS1" s="630"/>
      <c r="ODT1" s="630"/>
      <c r="ODU1" s="630"/>
      <c r="ODV1" s="630"/>
      <c r="ODW1" s="630"/>
      <c r="ODX1" s="630"/>
      <c r="ODY1" s="630"/>
      <c r="ODZ1" s="630"/>
      <c r="OEA1" s="630"/>
      <c r="OEB1" s="630"/>
      <c r="OEC1" s="630"/>
      <c r="OED1" s="630"/>
      <c r="OEE1" s="630"/>
      <c r="OEF1" s="630"/>
      <c r="OEG1" s="630"/>
      <c r="OEH1" s="630"/>
      <c r="OEI1" s="630"/>
      <c r="OEJ1" s="630"/>
      <c r="OEK1" s="630"/>
      <c r="OEL1" s="630"/>
      <c r="OEM1" s="630"/>
      <c r="OEN1" s="630"/>
      <c r="OEO1" s="630"/>
      <c r="OEP1" s="630"/>
      <c r="OEQ1" s="630"/>
      <c r="OER1" s="630"/>
      <c r="OES1" s="630"/>
      <c r="OET1" s="630"/>
      <c r="OEU1" s="630"/>
      <c r="OEV1" s="630"/>
      <c r="OEW1" s="630"/>
      <c r="OEX1" s="630"/>
      <c r="OEY1" s="630"/>
      <c r="OEZ1" s="630"/>
      <c r="OFA1" s="630"/>
      <c r="OFB1" s="630"/>
      <c r="OFC1" s="630"/>
      <c r="OFD1" s="630"/>
      <c r="OFE1" s="630"/>
      <c r="OFF1" s="630"/>
      <c r="OFG1" s="630"/>
      <c r="OFH1" s="630"/>
      <c r="OFI1" s="632"/>
      <c r="OFJ1" s="631"/>
      <c r="OFK1" s="631"/>
      <c r="OFL1" s="631"/>
      <c r="OFM1" s="631"/>
      <c r="OFN1" s="631"/>
      <c r="OFO1" s="631"/>
      <c r="OFP1" s="631"/>
      <c r="OFQ1" s="631"/>
      <c r="OFR1" s="631"/>
      <c r="OFS1" s="631"/>
      <c r="OFT1" s="631"/>
      <c r="OFU1" s="631"/>
      <c r="OFV1" s="631"/>
      <c r="OFW1" s="631"/>
      <c r="OFX1" s="631"/>
      <c r="OFY1" s="631"/>
      <c r="OFZ1" s="631"/>
      <c r="OGA1" s="630"/>
      <c r="OGB1" s="630"/>
      <c r="OGC1" s="630"/>
      <c r="OGD1" s="630"/>
      <c r="OGE1" s="630"/>
      <c r="OGF1" s="630"/>
      <c r="OGG1" s="630"/>
      <c r="OGH1" s="630"/>
      <c r="OGI1" s="630"/>
      <c r="OGJ1" s="630"/>
      <c r="OGK1" s="630"/>
      <c r="OGL1" s="630"/>
      <c r="OGM1" s="630"/>
      <c r="OGN1" s="630"/>
      <c r="OGO1" s="630"/>
      <c r="OGP1" s="630"/>
      <c r="OGQ1" s="630"/>
      <c r="OGR1" s="630"/>
      <c r="OGS1" s="630"/>
      <c r="OGT1" s="630"/>
      <c r="OGU1" s="630"/>
      <c r="OGV1" s="630"/>
      <c r="OGW1" s="630"/>
      <c r="OGX1" s="630"/>
      <c r="OGY1" s="630"/>
      <c r="OGZ1" s="630"/>
      <c r="OHA1" s="630"/>
      <c r="OHB1" s="630"/>
      <c r="OHC1" s="630"/>
      <c r="OHD1" s="630"/>
      <c r="OHE1" s="630"/>
      <c r="OHF1" s="630"/>
      <c r="OHG1" s="630"/>
      <c r="OHH1" s="630"/>
      <c r="OHI1" s="630"/>
      <c r="OHJ1" s="630"/>
      <c r="OHK1" s="630"/>
      <c r="OHL1" s="630"/>
      <c r="OHM1" s="630"/>
      <c r="OHN1" s="630"/>
      <c r="OHO1" s="630"/>
      <c r="OHP1" s="630"/>
      <c r="OHQ1" s="630"/>
      <c r="OHR1" s="630"/>
      <c r="OHS1" s="630"/>
      <c r="OHT1" s="630"/>
      <c r="OHU1" s="630"/>
      <c r="OHV1" s="630"/>
      <c r="OHW1" s="630"/>
      <c r="OHX1" s="632"/>
      <c r="OHY1" s="631"/>
      <c r="OHZ1" s="631"/>
      <c r="OIA1" s="631"/>
      <c r="OIB1" s="631"/>
      <c r="OIC1" s="631"/>
      <c r="OID1" s="631"/>
      <c r="OIE1" s="631"/>
      <c r="OIF1" s="631"/>
      <c r="OIG1" s="631"/>
      <c r="OIH1" s="631"/>
      <c r="OII1" s="631"/>
      <c r="OIJ1" s="631"/>
      <c r="OIK1" s="631"/>
      <c r="OIL1" s="631"/>
      <c r="OIM1" s="631"/>
      <c r="OIN1" s="631"/>
      <c r="OIO1" s="631"/>
      <c r="OIP1" s="630"/>
      <c r="OIQ1" s="630"/>
      <c r="OIR1" s="630"/>
      <c r="OIS1" s="630"/>
      <c r="OIT1" s="630"/>
      <c r="OIU1" s="630"/>
      <c r="OIV1" s="630"/>
      <c r="OIW1" s="630"/>
      <c r="OIX1" s="630"/>
      <c r="OIY1" s="630"/>
      <c r="OIZ1" s="630"/>
      <c r="OJA1" s="630"/>
      <c r="OJB1" s="630"/>
      <c r="OJC1" s="630"/>
      <c r="OJD1" s="630"/>
      <c r="OJE1" s="630"/>
      <c r="OJF1" s="630"/>
      <c r="OJG1" s="630"/>
      <c r="OJH1" s="630"/>
      <c r="OJI1" s="630"/>
      <c r="OJJ1" s="630"/>
      <c r="OJK1" s="630"/>
      <c r="OJL1" s="630"/>
      <c r="OJM1" s="630"/>
      <c r="OJN1" s="630"/>
      <c r="OJO1" s="630"/>
      <c r="OJP1" s="630"/>
      <c r="OJQ1" s="630"/>
      <c r="OJR1" s="630"/>
      <c r="OJS1" s="630"/>
      <c r="OJT1" s="630"/>
      <c r="OJU1" s="630"/>
      <c r="OJV1" s="630"/>
      <c r="OJW1" s="630"/>
      <c r="OJX1" s="630"/>
      <c r="OJY1" s="630"/>
      <c r="OJZ1" s="630"/>
      <c r="OKA1" s="630"/>
      <c r="OKB1" s="630"/>
      <c r="OKC1" s="630"/>
      <c r="OKD1" s="630"/>
      <c r="OKE1" s="630"/>
      <c r="OKF1" s="630"/>
      <c r="OKG1" s="630"/>
      <c r="OKH1" s="630"/>
      <c r="OKI1" s="630"/>
      <c r="OKJ1" s="630"/>
      <c r="OKK1" s="630"/>
      <c r="OKL1" s="630"/>
      <c r="OKM1" s="632"/>
      <c r="OKN1" s="631"/>
      <c r="OKO1" s="631"/>
      <c r="OKP1" s="631"/>
      <c r="OKQ1" s="631"/>
      <c r="OKR1" s="631"/>
      <c r="OKS1" s="631"/>
      <c r="OKT1" s="631"/>
      <c r="OKU1" s="631"/>
      <c r="OKV1" s="631"/>
      <c r="OKW1" s="631"/>
      <c r="OKX1" s="631"/>
      <c r="OKY1" s="631"/>
      <c r="OKZ1" s="631"/>
      <c r="OLA1" s="631"/>
      <c r="OLB1" s="631"/>
      <c r="OLC1" s="631"/>
      <c r="OLD1" s="631"/>
      <c r="OLE1" s="630"/>
      <c r="OLF1" s="630"/>
      <c r="OLG1" s="630"/>
      <c r="OLH1" s="630"/>
      <c r="OLI1" s="630"/>
      <c r="OLJ1" s="630"/>
      <c r="OLK1" s="630"/>
      <c r="OLL1" s="630"/>
      <c r="OLM1" s="630"/>
      <c r="OLN1" s="630"/>
      <c r="OLO1" s="630"/>
      <c r="OLP1" s="630"/>
      <c r="OLQ1" s="630"/>
      <c r="OLR1" s="630"/>
      <c r="OLS1" s="630"/>
      <c r="OLT1" s="630"/>
      <c r="OLU1" s="630"/>
      <c r="OLV1" s="630"/>
      <c r="OLW1" s="630"/>
      <c r="OLX1" s="630"/>
      <c r="OLY1" s="630"/>
      <c r="OLZ1" s="630"/>
      <c r="OMA1" s="630"/>
      <c r="OMB1" s="630"/>
      <c r="OMC1" s="630"/>
      <c r="OMD1" s="630"/>
      <c r="OME1" s="630"/>
      <c r="OMF1" s="630"/>
      <c r="OMG1" s="630"/>
      <c r="OMH1" s="630"/>
      <c r="OMI1" s="630"/>
      <c r="OMJ1" s="630"/>
      <c r="OMK1" s="630"/>
      <c r="OML1" s="630"/>
      <c r="OMM1" s="630"/>
      <c r="OMN1" s="630"/>
      <c r="OMO1" s="630"/>
      <c r="OMP1" s="630"/>
      <c r="OMQ1" s="630"/>
      <c r="OMR1" s="630"/>
      <c r="OMS1" s="630"/>
      <c r="OMT1" s="630"/>
      <c r="OMU1" s="630"/>
      <c r="OMV1" s="630"/>
      <c r="OMW1" s="630"/>
      <c r="OMX1" s="630"/>
      <c r="OMY1" s="630"/>
      <c r="OMZ1" s="630"/>
      <c r="ONA1" s="630"/>
      <c r="ONB1" s="632"/>
      <c r="ONC1" s="631"/>
      <c r="OND1" s="631"/>
      <c r="ONE1" s="631"/>
      <c r="ONF1" s="631"/>
      <c r="ONG1" s="631"/>
      <c r="ONH1" s="631"/>
      <c r="ONI1" s="631"/>
      <c r="ONJ1" s="631"/>
      <c r="ONK1" s="631"/>
      <c r="ONL1" s="631"/>
      <c r="ONM1" s="631"/>
      <c r="ONN1" s="631"/>
      <c r="ONO1" s="631"/>
      <c r="ONP1" s="631"/>
      <c r="ONQ1" s="631"/>
      <c r="ONR1" s="631"/>
      <c r="ONS1" s="631"/>
      <c r="ONT1" s="630"/>
      <c r="ONU1" s="630"/>
      <c r="ONV1" s="630"/>
      <c r="ONW1" s="630"/>
      <c r="ONX1" s="630"/>
      <c r="ONY1" s="630"/>
      <c r="ONZ1" s="630"/>
      <c r="OOA1" s="630"/>
      <c r="OOB1" s="630"/>
      <c r="OOC1" s="630"/>
      <c r="OOD1" s="630"/>
      <c r="OOE1" s="630"/>
      <c r="OOF1" s="630"/>
      <c r="OOG1" s="630"/>
      <c r="OOH1" s="630"/>
      <c r="OOI1" s="630"/>
      <c r="OOJ1" s="630"/>
      <c r="OOK1" s="630"/>
      <c r="OOL1" s="630"/>
      <c r="OOM1" s="630"/>
      <c r="OON1" s="630"/>
      <c r="OOO1" s="630"/>
      <c r="OOP1" s="630"/>
      <c r="OOQ1" s="630"/>
      <c r="OOR1" s="630"/>
      <c r="OOS1" s="630"/>
      <c r="OOT1" s="630"/>
      <c r="OOU1" s="630"/>
      <c r="OOV1" s="630"/>
      <c r="OOW1" s="630"/>
      <c r="OOX1" s="630"/>
      <c r="OOY1" s="630"/>
      <c r="OOZ1" s="630"/>
      <c r="OPA1" s="630"/>
      <c r="OPB1" s="630"/>
      <c r="OPC1" s="630"/>
      <c r="OPD1" s="630"/>
      <c r="OPE1" s="630"/>
      <c r="OPF1" s="630"/>
      <c r="OPG1" s="630"/>
      <c r="OPH1" s="630"/>
      <c r="OPI1" s="630"/>
      <c r="OPJ1" s="630"/>
      <c r="OPK1" s="630"/>
      <c r="OPL1" s="630"/>
      <c r="OPM1" s="630"/>
      <c r="OPN1" s="630"/>
      <c r="OPO1" s="630"/>
      <c r="OPP1" s="630"/>
      <c r="OPQ1" s="632"/>
      <c r="OPR1" s="631"/>
      <c r="OPS1" s="631"/>
      <c r="OPT1" s="631"/>
      <c r="OPU1" s="631"/>
      <c r="OPV1" s="631"/>
      <c r="OPW1" s="631"/>
      <c r="OPX1" s="631"/>
      <c r="OPY1" s="631"/>
      <c r="OPZ1" s="631"/>
      <c r="OQA1" s="631"/>
      <c r="OQB1" s="631"/>
      <c r="OQC1" s="631"/>
      <c r="OQD1" s="631"/>
      <c r="OQE1" s="631"/>
      <c r="OQF1" s="631"/>
      <c r="OQG1" s="631"/>
      <c r="OQH1" s="631"/>
      <c r="OQI1" s="630"/>
      <c r="OQJ1" s="630"/>
      <c r="OQK1" s="630"/>
      <c r="OQL1" s="630"/>
      <c r="OQM1" s="630"/>
      <c r="OQN1" s="630"/>
      <c r="OQO1" s="630"/>
      <c r="OQP1" s="630"/>
      <c r="OQQ1" s="630"/>
      <c r="OQR1" s="630"/>
      <c r="OQS1" s="630"/>
      <c r="OQT1" s="630"/>
      <c r="OQU1" s="630"/>
      <c r="OQV1" s="630"/>
      <c r="OQW1" s="630"/>
      <c r="OQX1" s="630"/>
      <c r="OQY1" s="630"/>
      <c r="OQZ1" s="630"/>
      <c r="ORA1" s="630"/>
      <c r="ORB1" s="630"/>
      <c r="ORC1" s="630"/>
      <c r="ORD1" s="630"/>
      <c r="ORE1" s="630"/>
      <c r="ORF1" s="630"/>
      <c r="ORG1" s="630"/>
      <c r="ORH1" s="630"/>
      <c r="ORI1" s="630"/>
      <c r="ORJ1" s="630"/>
      <c r="ORK1" s="630"/>
      <c r="ORL1" s="630"/>
      <c r="ORM1" s="630"/>
      <c r="ORN1" s="630"/>
      <c r="ORO1" s="630"/>
      <c r="ORP1" s="630"/>
      <c r="ORQ1" s="630"/>
      <c r="ORR1" s="630"/>
      <c r="ORS1" s="630"/>
      <c r="ORT1" s="630"/>
      <c r="ORU1" s="630"/>
      <c r="ORV1" s="630"/>
      <c r="ORW1" s="630"/>
      <c r="ORX1" s="630"/>
      <c r="ORY1" s="630"/>
      <c r="ORZ1" s="630"/>
      <c r="OSA1" s="630"/>
      <c r="OSB1" s="630"/>
      <c r="OSC1" s="630"/>
      <c r="OSD1" s="630"/>
      <c r="OSE1" s="630"/>
      <c r="OSF1" s="632"/>
      <c r="OSG1" s="631"/>
      <c r="OSH1" s="631"/>
      <c r="OSI1" s="631"/>
      <c r="OSJ1" s="631"/>
      <c r="OSK1" s="631"/>
      <c r="OSL1" s="631"/>
      <c r="OSM1" s="631"/>
      <c r="OSN1" s="631"/>
      <c r="OSO1" s="631"/>
      <c r="OSP1" s="631"/>
      <c r="OSQ1" s="631"/>
      <c r="OSR1" s="631"/>
      <c r="OSS1" s="631"/>
      <c r="OST1" s="631"/>
      <c r="OSU1" s="631"/>
      <c r="OSV1" s="631"/>
      <c r="OSW1" s="631"/>
      <c r="OSX1" s="630"/>
      <c r="OSY1" s="630"/>
      <c r="OSZ1" s="630"/>
      <c r="OTA1" s="630"/>
      <c r="OTB1" s="630"/>
      <c r="OTC1" s="630"/>
      <c r="OTD1" s="630"/>
      <c r="OTE1" s="630"/>
      <c r="OTF1" s="630"/>
      <c r="OTG1" s="630"/>
      <c r="OTH1" s="630"/>
      <c r="OTI1" s="630"/>
      <c r="OTJ1" s="630"/>
      <c r="OTK1" s="630"/>
      <c r="OTL1" s="630"/>
      <c r="OTM1" s="630"/>
      <c r="OTN1" s="630"/>
      <c r="OTO1" s="630"/>
      <c r="OTP1" s="630"/>
      <c r="OTQ1" s="630"/>
      <c r="OTR1" s="630"/>
      <c r="OTS1" s="630"/>
      <c r="OTT1" s="630"/>
      <c r="OTU1" s="630"/>
      <c r="OTV1" s="630"/>
      <c r="OTW1" s="630"/>
      <c r="OTX1" s="630"/>
      <c r="OTY1" s="630"/>
      <c r="OTZ1" s="630"/>
      <c r="OUA1" s="630"/>
      <c r="OUB1" s="630"/>
      <c r="OUC1" s="630"/>
      <c r="OUD1" s="630"/>
      <c r="OUE1" s="630"/>
      <c r="OUF1" s="630"/>
      <c r="OUG1" s="630"/>
      <c r="OUH1" s="630"/>
      <c r="OUI1" s="630"/>
      <c r="OUJ1" s="630"/>
      <c r="OUK1" s="630"/>
      <c r="OUL1" s="630"/>
      <c r="OUM1" s="630"/>
      <c r="OUN1" s="630"/>
      <c r="OUO1" s="630"/>
      <c r="OUP1" s="630"/>
      <c r="OUQ1" s="630"/>
      <c r="OUR1" s="630"/>
      <c r="OUS1" s="630"/>
      <c r="OUT1" s="630"/>
      <c r="OUU1" s="632"/>
      <c r="OUV1" s="631"/>
      <c r="OUW1" s="631"/>
      <c r="OUX1" s="631"/>
      <c r="OUY1" s="631"/>
      <c r="OUZ1" s="631"/>
      <c r="OVA1" s="631"/>
      <c r="OVB1" s="631"/>
      <c r="OVC1" s="631"/>
      <c r="OVD1" s="631"/>
      <c r="OVE1" s="631"/>
      <c r="OVF1" s="631"/>
      <c r="OVG1" s="631"/>
      <c r="OVH1" s="631"/>
      <c r="OVI1" s="631"/>
      <c r="OVJ1" s="631"/>
      <c r="OVK1" s="631"/>
      <c r="OVL1" s="631"/>
      <c r="OVM1" s="630"/>
      <c r="OVN1" s="630"/>
      <c r="OVO1" s="630"/>
      <c r="OVP1" s="630"/>
      <c r="OVQ1" s="630"/>
      <c r="OVR1" s="630"/>
      <c r="OVS1" s="630"/>
      <c r="OVT1" s="630"/>
      <c r="OVU1" s="630"/>
      <c r="OVV1" s="630"/>
      <c r="OVW1" s="630"/>
      <c r="OVX1" s="630"/>
      <c r="OVY1" s="630"/>
      <c r="OVZ1" s="630"/>
      <c r="OWA1" s="630"/>
      <c r="OWB1" s="630"/>
      <c r="OWC1" s="630"/>
      <c r="OWD1" s="630"/>
      <c r="OWE1" s="630"/>
      <c r="OWF1" s="630"/>
      <c r="OWG1" s="630"/>
      <c r="OWH1" s="630"/>
      <c r="OWI1" s="630"/>
      <c r="OWJ1" s="630"/>
      <c r="OWK1" s="630"/>
      <c r="OWL1" s="630"/>
      <c r="OWM1" s="630"/>
      <c r="OWN1" s="630"/>
      <c r="OWO1" s="630"/>
      <c r="OWP1" s="630"/>
      <c r="OWQ1" s="630"/>
      <c r="OWR1" s="630"/>
      <c r="OWS1" s="630"/>
      <c r="OWT1" s="630"/>
      <c r="OWU1" s="630"/>
      <c r="OWV1" s="630"/>
      <c r="OWW1" s="630"/>
      <c r="OWX1" s="630"/>
      <c r="OWY1" s="630"/>
      <c r="OWZ1" s="630"/>
      <c r="OXA1" s="630"/>
      <c r="OXB1" s="630"/>
      <c r="OXC1" s="630"/>
      <c r="OXD1" s="630"/>
      <c r="OXE1" s="630"/>
      <c r="OXF1" s="630"/>
      <c r="OXG1" s="630"/>
      <c r="OXH1" s="630"/>
      <c r="OXI1" s="630"/>
      <c r="OXJ1" s="632"/>
      <c r="OXK1" s="631"/>
      <c r="OXL1" s="631"/>
      <c r="OXM1" s="631"/>
      <c r="OXN1" s="631"/>
      <c r="OXO1" s="631"/>
      <c r="OXP1" s="631"/>
      <c r="OXQ1" s="631"/>
      <c r="OXR1" s="631"/>
      <c r="OXS1" s="631"/>
      <c r="OXT1" s="631"/>
      <c r="OXU1" s="631"/>
      <c r="OXV1" s="631"/>
      <c r="OXW1" s="631"/>
      <c r="OXX1" s="631"/>
      <c r="OXY1" s="631"/>
      <c r="OXZ1" s="631"/>
      <c r="OYA1" s="631"/>
      <c r="OYB1" s="630"/>
      <c r="OYC1" s="630"/>
      <c r="OYD1" s="630"/>
      <c r="OYE1" s="630"/>
      <c r="OYF1" s="630"/>
      <c r="OYG1" s="630"/>
      <c r="OYH1" s="630"/>
      <c r="OYI1" s="630"/>
      <c r="OYJ1" s="630"/>
      <c r="OYK1" s="630"/>
      <c r="OYL1" s="630"/>
      <c r="OYM1" s="630"/>
      <c r="OYN1" s="630"/>
      <c r="OYO1" s="630"/>
      <c r="OYP1" s="630"/>
      <c r="OYQ1" s="630"/>
      <c r="OYR1" s="630"/>
      <c r="OYS1" s="630"/>
      <c r="OYT1" s="630"/>
      <c r="OYU1" s="630"/>
      <c r="OYV1" s="630"/>
      <c r="OYW1" s="630"/>
      <c r="OYX1" s="630"/>
      <c r="OYY1" s="630"/>
      <c r="OYZ1" s="630"/>
      <c r="OZA1" s="630"/>
      <c r="OZB1" s="630"/>
      <c r="OZC1" s="630"/>
      <c r="OZD1" s="630"/>
      <c r="OZE1" s="630"/>
      <c r="OZF1" s="630"/>
      <c r="OZG1" s="630"/>
      <c r="OZH1" s="630"/>
      <c r="OZI1" s="630"/>
      <c r="OZJ1" s="630"/>
      <c r="OZK1" s="630"/>
      <c r="OZL1" s="630"/>
      <c r="OZM1" s="630"/>
      <c r="OZN1" s="630"/>
      <c r="OZO1" s="630"/>
      <c r="OZP1" s="630"/>
      <c r="OZQ1" s="630"/>
      <c r="OZR1" s="630"/>
      <c r="OZS1" s="630"/>
      <c r="OZT1" s="630"/>
      <c r="OZU1" s="630"/>
      <c r="OZV1" s="630"/>
      <c r="OZW1" s="630"/>
      <c r="OZX1" s="630"/>
      <c r="OZY1" s="632"/>
      <c r="OZZ1" s="631"/>
      <c r="PAA1" s="631"/>
      <c r="PAB1" s="631"/>
      <c r="PAC1" s="631"/>
      <c r="PAD1" s="631"/>
      <c r="PAE1" s="631"/>
      <c r="PAF1" s="631"/>
      <c r="PAG1" s="631"/>
      <c r="PAH1" s="631"/>
      <c r="PAI1" s="631"/>
      <c r="PAJ1" s="631"/>
      <c r="PAK1" s="631"/>
      <c r="PAL1" s="631"/>
      <c r="PAM1" s="631"/>
      <c r="PAN1" s="631"/>
      <c r="PAO1" s="631"/>
      <c r="PAP1" s="631"/>
      <c r="PAQ1" s="630"/>
      <c r="PAR1" s="630"/>
      <c r="PAS1" s="630"/>
      <c r="PAT1" s="630"/>
      <c r="PAU1" s="630"/>
      <c r="PAV1" s="630"/>
      <c r="PAW1" s="630"/>
      <c r="PAX1" s="630"/>
      <c r="PAY1" s="630"/>
      <c r="PAZ1" s="630"/>
      <c r="PBA1" s="630"/>
      <c r="PBB1" s="630"/>
      <c r="PBC1" s="630"/>
      <c r="PBD1" s="630"/>
      <c r="PBE1" s="630"/>
      <c r="PBF1" s="630"/>
      <c r="PBG1" s="630"/>
      <c r="PBH1" s="630"/>
      <c r="PBI1" s="630"/>
      <c r="PBJ1" s="630"/>
      <c r="PBK1" s="630"/>
      <c r="PBL1" s="630"/>
      <c r="PBM1" s="630"/>
      <c r="PBN1" s="630"/>
      <c r="PBO1" s="630"/>
      <c r="PBP1" s="630"/>
      <c r="PBQ1" s="630"/>
      <c r="PBR1" s="630"/>
      <c r="PBS1" s="630"/>
      <c r="PBT1" s="630"/>
      <c r="PBU1" s="630"/>
      <c r="PBV1" s="630"/>
      <c r="PBW1" s="630"/>
      <c r="PBX1" s="630"/>
      <c r="PBY1" s="630"/>
      <c r="PBZ1" s="630"/>
      <c r="PCA1" s="630"/>
      <c r="PCB1" s="630"/>
      <c r="PCC1" s="630"/>
      <c r="PCD1" s="630"/>
      <c r="PCE1" s="630"/>
      <c r="PCF1" s="630"/>
      <c r="PCG1" s="630"/>
      <c r="PCH1" s="630"/>
      <c r="PCI1" s="630"/>
      <c r="PCJ1" s="630"/>
      <c r="PCK1" s="630"/>
      <c r="PCL1" s="630"/>
      <c r="PCM1" s="630"/>
      <c r="PCN1" s="632"/>
      <c r="PCO1" s="631"/>
      <c r="PCP1" s="631"/>
      <c r="PCQ1" s="631"/>
      <c r="PCR1" s="631"/>
      <c r="PCS1" s="631"/>
      <c r="PCT1" s="631"/>
      <c r="PCU1" s="631"/>
      <c r="PCV1" s="631"/>
      <c r="PCW1" s="631"/>
      <c r="PCX1" s="631"/>
      <c r="PCY1" s="631"/>
      <c r="PCZ1" s="631"/>
      <c r="PDA1" s="631"/>
      <c r="PDB1" s="631"/>
      <c r="PDC1" s="631"/>
      <c r="PDD1" s="631"/>
      <c r="PDE1" s="631"/>
      <c r="PDF1" s="630"/>
      <c r="PDG1" s="630"/>
      <c r="PDH1" s="630"/>
      <c r="PDI1" s="630"/>
      <c r="PDJ1" s="630"/>
      <c r="PDK1" s="630"/>
      <c r="PDL1" s="630"/>
      <c r="PDM1" s="630"/>
      <c r="PDN1" s="630"/>
      <c r="PDO1" s="630"/>
      <c r="PDP1" s="630"/>
      <c r="PDQ1" s="630"/>
      <c r="PDR1" s="630"/>
      <c r="PDS1" s="630"/>
      <c r="PDT1" s="630"/>
      <c r="PDU1" s="630"/>
      <c r="PDV1" s="630"/>
      <c r="PDW1" s="630"/>
      <c r="PDX1" s="630"/>
      <c r="PDY1" s="630"/>
      <c r="PDZ1" s="630"/>
      <c r="PEA1" s="630"/>
      <c r="PEB1" s="630"/>
      <c r="PEC1" s="630"/>
      <c r="PED1" s="630"/>
      <c r="PEE1" s="630"/>
      <c r="PEF1" s="630"/>
      <c r="PEG1" s="630"/>
      <c r="PEH1" s="630"/>
      <c r="PEI1" s="630"/>
      <c r="PEJ1" s="630"/>
      <c r="PEK1" s="630"/>
      <c r="PEL1" s="630"/>
      <c r="PEM1" s="630"/>
      <c r="PEN1" s="630"/>
      <c r="PEO1" s="630"/>
      <c r="PEP1" s="630"/>
      <c r="PEQ1" s="630"/>
      <c r="PER1" s="630"/>
      <c r="PES1" s="630"/>
      <c r="PET1" s="630"/>
      <c r="PEU1" s="630"/>
      <c r="PEV1" s="630"/>
      <c r="PEW1" s="630"/>
      <c r="PEX1" s="630"/>
      <c r="PEY1" s="630"/>
      <c r="PEZ1" s="630"/>
      <c r="PFA1" s="630"/>
      <c r="PFB1" s="630"/>
      <c r="PFC1" s="632"/>
      <c r="PFD1" s="631"/>
      <c r="PFE1" s="631"/>
      <c r="PFF1" s="631"/>
      <c r="PFG1" s="631"/>
      <c r="PFH1" s="631"/>
      <c r="PFI1" s="631"/>
      <c r="PFJ1" s="631"/>
      <c r="PFK1" s="631"/>
      <c r="PFL1" s="631"/>
      <c r="PFM1" s="631"/>
      <c r="PFN1" s="631"/>
      <c r="PFO1" s="631"/>
      <c r="PFP1" s="631"/>
      <c r="PFQ1" s="631"/>
      <c r="PFR1" s="631"/>
      <c r="PFS1" s="631"/>
      <c r="PFT1" s="631"/>
      <c r="PFU1" s="630"/>
      <c r="PFV1" s="630"/>
      <c r="PFW1" s="630"/>
      <c r="PFX1" s="630"/>
      <c r="PFY1" s="630"/>
      <c r="PFZ1" s="630"/>
      <c r="PGA1" s="630"/>
      <c r="PGB1" s="630"/>
      <c r="PGC1" s="630"/>
      <c r="PGD1" s="630"/>
      <c r="PGE1" s="630"/>
      <c r="PGF1" s="630"/>
      <c r="PGG1" s="630"/>
      <c r="PGH1" s="630"/>
      <c r="PGI1" s="630"/>
      <c r="PGJ1" s="630"/>
      <c r="PGK1" s="630"/>
      <c r="PGL1" s="630"/>
      <c r="PGM1" s="630"/>
      <c r="PGN1" s="630"/>
      <c r="PGO1" s="630"/>
      <c r="PGP1" s="630"/>
      <c r="PGQ1" s="630"/>
      <c r="PGR1" s="630"/>
      <c r="PGS1" s="630"/>
      <c r="PGT1" s="630"/>
      <c r="PGU1" s="630"/>
      <c r="PGV1" s="630"/>
      <c r="PGW1" s="630"/>
      <c r="PGX1" s="630"/>
      <c r="PGY1" s="630"/>
      <c r="PGZ1" s="630"/>
      <c r="PHA1" s="630"/>
      <c r="PHB1" s="630"/>
      <c r="PHC1" s="630"/>
      <c r="PHD1" s="630"/>
      <c r="PHE1" s="630"/>
      <c r="PHF1" s="630"/>
      <c r="PHG1" s="630"/>
      <c r="PHH1" s="630"/>
      <c r="PHI1" s="630"/>
      <c r="PHJ1" s="630"/>
      <c r="PHK1" s="630"/>
      <c r="PHL1" s="630"/>
      <c r="PHM1" s="630"/>
      <c r="PHN1" s="630"/>
      <c r="PHO1" s="630"/>
      <c r="PHP1" s="630"/>
      <c r="PHQ1" s="630"/>
      <c r="PHR1" s="632"/>
      <c r="PHS1" s="631"/>
      <c r="PHT1" s="631"/>
      <c r="PHU1" s="631"/>
      <c r="PHV1" s="631"/>
      <c r="PHW1" s="631"/>
      <c r="PHX1" s="631"/>
      <c r="PHY1" s="631"/>
      <c r="PHZ1" s="631"/>
      <c r="PIA1" s="631"/>
      <c r="PIB1" s="631"/>
      <c r="PIC1" s="631"/>
      <c r="PID1" s="631"/>
      <c r="PIE1" s="631"/>
      <c r="PIF1" s="631"/>
      <c r="PIG1" s="631"/>
      <c r="PIH1" s="631"/>
      <c r="PII1" s="631"/>
      <c r="PIJ1" s="630"/>
      <c r="PIK1" s="630"/>
      <c r="PIL1" s="630"/>
      <c r="PIM1" s="630"/>
      <c r="PIN1" s="630"/>
      <c r="PIO1" s="630"/>
      <c r="PIP1" s="630"/>
      <c r="PIQ1" s="630"/>
      <c r="PIR1" s="630"/>
      <c r="PIS1" s="630"/>
      <c r="PIT1" s="630"/>
      <c r="PIU1" s="630"/>
      <c r="PIV1" s="630"/>
      <c r="PIW1" s="630"/>
      <c r="PIX1" s="630"/>
      <c r="PIY1" s="630"/>
      <c r="PIZ1" s="630"/>
      <c r="PJA1" s="630"/>
      <c r="PJB1" s="630"/>
      <c r="PJC1" s="630"/>
      <c r="PJD1" s="630"/>
      <c r="PJE1" s="630"/>
      <c r="PJF1" s="630"/>
      <c r="PJG1" s="630"/>
      <c r="PJH1" s="630"/>
      <c r="PJI1" s="630"/>
      <c r="PJJ1" s="630"/>
      <c r="PJK1" s="630"/>
      <c r="PJL1" s="630"/>
      <c r="PJM1" s="630"/>
      <c r="PJN1" s="630"/>
      <c r="PJO1" s="630"/>
      <c r="PJP1" s="630"/>
      <c r="PJQ1" s="630"/>
      <c r="PJR1" s="630"/>
      <c r="PJS1" s="630"/>
      <c r="PJT1" s="630"/>
      <c r="PJU1" s="630"/>
      <c r="PJV1" s="630"/>
      <c r="PJW1" s="630"/>
      <c r="PJX1" s="630"/>
      <c r="PJY1" s="630"/>
      <c r="PJZ1" s="630"/>
      <c r="PKA1" s="630"/>
      <c r="PKB1" s="630"/>
      <c r="PKC1" s="630"/>
      <c r="PKD1" s="630"/>
      <c r="PKE1" s="630"/>
      <c r="PKF1" s="630"/>
      <c r="PKG1" s="632"/>
      <c r="PKH1" s="631"/>
      <c r="PKI1" s="631"/>
      <c r="PKJ1" s="631"/>
      <c r="PKK1" s="631"/>
      <c r="PKL1" s="631"/>
      <c r="PKM1" s="631"/>
      <c r="PKN1" s="631"/>
      <c r="PKO1" s="631"/>
      <c r="PKP1" s="631"/>
      <c r="PKQ1" s="631"/>
      <c r="PKR1" s="631"/>
      <c r="PKS1" s="631"/>
      <c r="PKT1" s="631"/>
      <c r="PKU1" s="631"/>
      <c r="PKV1" s="631"/>
      <c r="PKW1" s="631"/>
      <c r="PKX1" s="631"/>
      <c r="PKY1" s="630"/>
      <c r="PKZ1" s="630"/>
      <c r="PLA1" s="630"/>
      <c r="PLB1" s="630"/>
      <c r="PLC1" s="630"/>
      <c r="PLD1" s="630"/>
      <c r="PLE1" s="630"/>
      <c r="PLF1" s="630"/>
      <c r="PLG1" s="630"/>
      <c r="PLH1" s="630"/>
      <c r="PLI1" s="630"/>
      <c r="PLJ1" s="630"/>
      <c r="PLK1" s="630"/>
      <c r="PLL1" s="630"/>
      <c r="PLM1" s="630"/>
      <c r="PLN1" s="630"/>
      <c r="PLO1" s="630"/>
      <c r="PLP1" s="630"/>
      <c r="PLQ1" s="630"/>
      <c r="PLR1" s="630"/>
      <c r="PLS1" s="630"/>
      <c r="PLT1" s="630"/>
      <c r="PLU1" s="630"/>
      <c r="PLV1" s="630"/>
      <c r="PLW1" s="630"/>
      <c r="PLX1" s="630"/>
      <c r="PLY1" s="630"/>
      <c r="PLZ1" s="630"/>
      <c r="PMA1" s="630"/>
      <c r="PMB1" s="630"/>
      <c r="PMC1" s="630"/>
      <c r="PMD1" s="630"/>
      <c r="PME1" s="630"/>
      <c r="PMF1" s="630"/>
      <c r="PMG1" s="630"/>
      <c r="PMH1" s="630"/>
      <c r="PMI1" s="630"/>
      <c r="PMJ1" s="630"/>
      <c r="PMK1" s="630"/>
      <c r="PML1" s="630"/>
      <c r="PMM1" s="630"/>
      <c r="PMN1" s="630"/>
      <c r="PMO1" s="630"/>
      <c r="PMP1" s="630"/>
      <c r="PMQ1" s="630"/>
      <c r="PMR1" s="630"/>
      <c r="PMS1" s="630"/>
      <c r="PMT1" s="630"/>
      <c r="PMU1" s="630"/>
      <c r="PMV1" s="632"/>
      <c r="PMW1" s="631"/>
      <c r="PMX1" s="631"/>
      <c r="PMY1" s="631"/>
      <c r="PMZ1" s="631"/>
      <c r="PNA1" s="631"/>
      <c r="PNB1" s="631"/>
      <c r="PNC1" s="631"/>
      <c r="PND1" s="631"/>
      <c r="PNE1" s="631"/>
      <c r="PNF1" s="631"/>
      <c r="PNG1" s="631"/>
      <c r="PNH1" s="631"/>
      <c r="PNI1" s="631"/>
      <c r="PNJ1" s="631"/>
      <c r="PNK1" s="631"/>
      <c r="PNL1" s="631"/>
      <c r="PNM1" s="631"/>
      <c r="PNN1" s="630"/>
      <c r="PNO1" s="630"/>
      <c r="PNP1" s="630"/>
      <c r="PNQ1" s="630"/>
      <c r="PNR1" s="630"/>
      <c r="PNS1" s="630"/>
      <c r="PNT1" s="630"/>
      <c r="PNU1" s="630"/>
      <c r="PNV1" s="630"/>
      <c r="PNW1" s="630"/>
      <c r="PNX1" s="630"/>
      <c r="PNY1" s="630"/>
      <c r="PNZ1" s="630"/>
      <c r="POA1" s="630"/>
      <c r="POB1" s="630"/>
      <c r="POC1" s="630"/>
      <c r="POD1" s="630"/>
      <c r="POE1" s="630"/>
      <c r="POF1" s="630"/>
      <c r="POG1" s="630"/>
      <c r="POH1" s="630"/>
      <c r="POI1" s="630"/>
      <c r="POJ1" s="630"/>
      <c r="POK1" s="630"/>
      <c r="POL1" s="630"/>
      <c r="POM1" s="630"/>
      <c r="PON1" s="630"/>
      <c r="POO1" s="630"/>
      <c r="POP1" s="630"/>
      <c r="POQ1" s="630"/>
      <c r="POR1" s="630"/>
      <c r="POS1" s="630"/>
      <c r="POT1" s="630"/>
      <c r="POU1" s="630"/>
      <c r="POV1" s="630"/>
      <c r="POW1" s="630"/>
      <c r="POX1" s="630"/>
      <c r="POY1" s="630"/>
      <c r="POZ1" s="630"/>
      <c r="PPA1" s="630"/>
      <c r="PPB1" s="630"/>
      <c r="PPC1" s="630"/>
      <c r="PPD1" s="630"/>
      <c r="PPE1" s="630"/>
      <c r="PPF1" s="630"/>
      <c r="PPG1" s="630"/>
      <c r="PPH1" s="630"/>
      <c r="PPI1" s="630"/>
      <c r="PPJ1" s="630"/>
      <c r="PPK1" s="632"/>
      <c r="PPL1" s="631"/>
      <c r="PPM1" s="631"/>
      <c r="PPN1" s="631"/>
      <c r="PPO1" s="631"/>
      <c r="PPP1" s="631"/>
      <c r="PPQ1" s="631"/>
      <c r="PPR1" s="631"/>
      <c r="PPS1" s="631"/>
      <c r="PPT1" s="631"/>
      <c r="PPU1" s="631"/>
      <c r="PPV1" s="631"/>
      <c r="PPW1" s="631"/>
      <c r="PPX1" s="631"/>
      <c r="PPY1" s="631"/>
      <c r="PPZ1" s="631"/>
      <c r="PQA1" s="631"/>
      <c r="PQB1" s="631"/>
      <c r="PQC1" s="630"/>
      <c r="PQD1" s="630"/>
      <c r="PQE1" s="630"/>
      <c r="PQF1" s="630"/>
      <c r="PQG1" s="630"/>
      <c r="PQH1" s="630"/>
      <c r="PQI1" s="630"/>
      <c r="PQJ1" s="630"/>
      <c r="PQK1" s="630"/>
      <c r="PQL1" s="630"/>
      <c r="PQM1" s="630"/>
      <c r="PQN1" s="630"/>
      <c r="PQO1" s="630"/>
      <c r="PQP1" s="630"/>
      <c r="PQQ1" s="630"/>
      <c r="PQR1" s="630"/>
      <c r="PQS1" s="630"/>
      <c r="PQT1" s="630"/>
      <c r="PQU1" s="630"/>
      <c r="PQV1" s="630"/>
      <c r="PQW1" s="630"/>
      <c r="PQX1" s="630"/>
      <c r="PQY1" s="630"/>
      <c r="PQZ1" s="630"/>
      <c r="PRA1" s="630"/>
      <c r="PRB1" s="630"/>
      <c r="PRC1" s="630"/>
      <c r="PRD1" s="630"/>
      <c r="PRE1" s="630"/>
      <c r="PRF1" s="630"/>
      <c r="PRG1" s="630"/>
      <c r="PRH1" s="630"/>
      <c r="PRI1" s="630"/>
      <c r="PRJ1" s="630"/>
      <c r="PRK1" s="630"/>
      <c r="PRL1" s="630"/>
      <c r="PRM1" s="630"/>
      <c r="PRN1" s="630"/>
      <c r="PRO1" s="630"/>
      <c r="PRP1" s="630"/>
      <c r="PRQ1" s="630"/>
      <c r="PRR1" s="630"/>
      <c r="PRS1" s="630"/>
      <c r="PRT1" s="630"/>
      <c r="PRU1" s="630"/>
      <c r="PRV1" s="630"/>
      <c r="PRW1" s="630"/>
      <c r="PRX1" s="630"/>
      <c r="PRY1" s="630"/>
      <c r="PRZ1" s="632"/>
      <c r="PSA1" s="631"/>
      <c r="PSB1" s="631"/>
      <c r="PSC1" s="631"/>
      <c r="PSD1" s="631"/>
      <c r="PSE1" s="631"/>
      <c r="PSF1" s="631"/>
      <c r="PSG1" s="631"/>
      <c r="PSH1" s="631"/>
      <c r="PSI1" s="631"/>
      <c r="PSJ1" s="631"/>
      <c r="PSK1" s="631"/>
      <c r="PSL1" s="631"/>
      <c r="PSM1" s="631"/>
      <c r="PSN1" s="631"/>
      <c r="PSO1" s="631"/>
      <c r="PSP1" s="631"/>
      <c r="PSQ1" s="631"/>
      <c r="PSR1" s="630"/>
      <c r="PSS1" s="630"/>
      <c r="PST1" s="630"/>
      <c r="PSU1" s="630"/>
      <c r="PSV1" s="630"/>
      <c r="PSW1" s="630"/>
      <c r="PSX1" s="630"/>
      <c r="PSY1" s="630"/>
      <c r="PSZ1" s="630"/>
      <c r="PTA1" s="630"/>
      <c r="PTB1" s="630"/>
      <c r="PTC1" s="630"/>
      <c r="PTD1" s="630"/>
      <c r="PTE1" s="630"/>
      <c r="PTF1" s="630"/>
      <c r="PTG1" s="630"/>
      <c r="PTH1" s="630"/>
      <c r="PTI1" s="630"/>
      <c r="PTJ1" s="630"/>
      <c r="PTK1" s="630"/>
      <c r="PTL1" s="630"/>
      <c r="PTM1" s="630"/>
      <c r="PTN1" s="630"/>
      <c r="PTO1" s="630"/>
      <c r="PTP1" s="630"/>
      <c r="PTQ1" s="630"/>
      <c r="PTR1" s="630"/>
      <c r="PTS1" s="630"/>
      <c r="PTT1" s="630"/>
      <c r="PTU1" s="630"/>
      <c r="PTV1" s="630"/>
      <c r="PTW1" s="630"/>
      <c r="PTX1" s="630"/>
      <c r="PTY1" s="630"/>
      <c r="PTZ1" s="630"/>
      <c r="PUA1" s="630"/>
      <c r="PUB1" s="630"/>
      <c r="PUC1" s="630"/>
      <c r="PUD1" s="630"/>
      <c r="PUE1" s="630"/>
      <c r="PUF1" s="630"/>
      <c r="PUG1" s="630"/>
      <c r="PUH1" s="630"/>
      <c r="PUI1" s="630"/>
      <c r="PUJ1" s="630"/>
      <c r="PUK1" s="630"/>
      <c r="PUL1" s="630"/>
      <c r="PUM1" s="630"/>
      <c r="PUN1" s="630"/>
      <c r="PUO1" s="632"/>
      <c r="PUP1" s="631"/>
      <c r="PUQ1" s="631"/>
      <c r="PUR1" s="631"/>
      <c r="PUS1" s="631"/>
      <c r="PUT1" s="631"/>
      <c r="PUU1" s="631"/>
      <c r="PUV1" s="631"/>
      <c r="PUW1" s="631"/>
      <c r="PUX1" s="631"/>
      <c r="PUY1" s="631"/>
      <c r="PUZ1" s="631"/>
      <c r="PVA1" s="631"/>
      <c r="PVB1" s="631"/>
      <c r="PVC1" s="631"/>
      <c r="PVD1" s="631"/>
      <c r="PVE1" s="631"/>
      <c r="PVF1" s="631"/>
      <c r="PVG1" s="630"/>
      <c r="PVH1" s="630"/>
      <c r="PVI1" s="630"/>
      <c r="PVJ1" s="630"/>
      <c r="PVK1" s="630"/>
      <c r="PVL1" s="630"/>
      <c r="PVM1" s="630"/>
      <c r="PVN1" s="630"/>
      <c r="PVO1" s="630"/>
      <c r="PVP1" s="630"/>
      <c r="PVQ1" s="630"/>
      <c r="PVR1" s="630"/>
      <c r="PVS1" s="630"/>
      <c r="PVT1" s="630"/>
      <c r="PVU1" s="630"/>
      <c r="PVV1" s="630"/>
      <c r="PVW1" s="630"/>
      <c r="PVX1" s="630"/>
      <c r="PVY1" s="630"/>
      <c r="PVZ1" s="630"/>
      <c r="PWA1" s="630"/>
      <c r="PWB1" s="630"/>
      <c r="PWC1" s="630"/>
      <c r="PWD1" s="630"/>
      <c r="PWE1" s="630"/>
      <c r="PWF1" s="630"/>
      <c r="PWG1" s="630"/>
      <c r="PWH1" s="630"/>
      <c r="PWI1" s="630"/>
      <c r="PWJ1" s="630"/>
      <c r="PWK1" s="630"/>
      <c r="PWL1" s="630"/>
      <c r="PWM1" s="630"/>
      <c r="PWN1" s="630"/>
      <c r="PWO1" s="630"/>
      <c r="PWP1" s="630"/>
      <c r="PWQ1" s="630"/>
      <c r="PWR1" s="630"/>
      <c r="PWS1" s="630"/>
      <c r="PWT1" s="630"/>
      <c r="PWU1" s="630"/>
      <c r="PWV1" s="630"/>
      <c r="PWW1" s="630"/>
      <c r="PWX1" s="630"/>
      <c r="PWY1" s="630"/>
      <c r="PWZ1" s="630"/>
      <c r="PXA1" s="630"/>
      <c r="PXB1" s="630"/>
      <c r="PXC1" s="630"/>
      <c r="PXD1" s="632"/>
      <c r="PXE1" s="631"/>
      <c r="PXF1" s="631"/>
      <c r="PXG1" s="631"/>
      <c r="PXH1" s="631"/>
      <c r="PXI1" s="631"/>
      <c r="PXJ1" s="631"/>
      <c r="PXK1" s="631"/>
      <c r="PXL1" s="631"/>
      <c r="PXM1" s="631"/>
      <c r="PXN1" s="631"/>
      <c r="PXO1" s="631"/>
      <c r="PXP1" s="631"/>
      <c r="PXQ1" s="631"/>
      <c r="PXR1" s="631"/>
      <c r="PXS1" s="631"/>
      <c r="PXT1" s="631"/>
      <c r="PXU1" s="631"/>
      <c r="PXV1" s="630"/>
      <c r="PXW1" s="630"/>
      <c r="PXX1" s="630"/>
      <c r="PXY1" s="630"/>
      <c r="PXZ1" s="630"/>
      <c r="PYA1" s="630"/>
      <c r="PYB1" s="630"/>
      <c r="PYC1" s="630"/>
      <c r="PYD1" s="630"/>
      <c r="PYE1" s="630"/>
      <c r="PYF1" s="630"/>
      <c r="PYG1" s="630"/>
      <c r="PYH1" s="630"/>
      <c r="PYI1" s="630"/>
      <c r="PYJ1" s="630"/>
      <c r="PYK1" s="630"/>
      <c r="PYL1" s="630"/>
      <c r="PYM1" s="630"/>
      <c r="PYN1" s="630"/>
      <c r="PYO1" s="630"/>
      <c r="PYP1" s="630"/>
      <c r="PYQ1" s="630"/>
      <c r="PYR1" s="630"/>
      <c r="PYS1" s="630"/>
      <c r="PYT1" s="630"/>
      <c r="PYU1" s="630"/>
      <c r="PYV1" s="630"/>
      <c r="PYW1" s="630"/>
      <c r="PYX1" s="630"/>
      <c r="PYY1" s="630"/>
      <c r="PYZ1" s="630"/>
      <c r="PZA1" s="630"/>
      <c r="PZB1" s="630"/>
      <c r="PZC1" s="630"/>
      <c r="PZD1" s="630"/>
      <c r="PZE1" s="630"/>
      <c r="PZF1" s="630"/>
      <c r="PZG1" s="630"/>
      <c r="PZH1" s="630"/>
      <c r="PZI1" s="630"/>
      <c r="PZJ1" s="630"/>
      <c r="PZK1" s="630"/>
      <c r="PZL1" s="630"/>
      <c r="PZM1" s="630"/>
      <c r="PZN1" s="630"/>
      <c r="PZO1" s="630"/>
      <c r="PZP1" s="630"/>
      <c r="PZQ1" s="630"/>
      <c r="PZR1" s="630"/>
      <c r="PZS1" s="632"/>
      <c r="PZT1" s="631"/>
      <c r="PZU1" s="631"/>
      <c r="PZV1" s="631"/>
      <c r="PZW1" s="631"/>
      <c r="PZX1" s="631"/>
      <c r="PZY1" s="631"/>
      <c r="PZZ1" s="631"/>
      <c r="QAA1" s="631"/>
      <c r="QAB1" s="631"/>
      <c r="QAC1" s="631"/>
      <c r="QAD1" s="631"/>
      <c r="QAE1" s="631"/>
      <c r="QAF1" s="631"/>
      <c r="QAG1" s="631"/>
      <c r="QAH1" s="631"/>
      <c r="QAI1" s="631"/>
      <c r="QAJ1" s="631"/>
      <c r="QAK1" s="630"/>
      <c r="QAL1" s="630"/>
      <c r="QAM1" s="630"/>
      <c r="QAN1" s="630"/>
      <c r="QAO1" s="630"/>
      <c r="QAP1" s="630"/>
      <c r="QAQ1" s="630"/>
      <c r="QAR1" s="630"/>
      <c r="QAS1" s="630"/>
      <c r="QAT1" s="630"/>
      <c r="QAU1" s="630"/>
      <c r="QAV1" s="630"/>
      <c r="QAW1" s="630"/>
      <c r="QAX1" s="630"/>
      <c r="QAY1" s="630"/>
      <c r="QAZ1" s="630"/>
      <c r="QBA1" s="630"/>
      <c r="QBB1" s="630"/>
      <c r="QBC1" s="630"/>
      <c r="QBD1" s="630"/>
      <c r="QBE1" s="630"/>
      <c r="QBF1" s="630"/>
      <c r="QBG1" s="630"/>
      <c r="QBH1" s="630"/>
      <c r="QBI1" s="630"/>
      <c r="QBJ1" s="630"/>
      <c r="QBK1" s="630"/>
      <c r="QBL1" s="630"/>
      <c r="QBM1" s="630"/>
      <c r="QBN1" s="630"/>
      <c r="QBO1" s="630"/>
      <c r="QBP1" s="630"/>
      <c r="QBQ1" s="630"/>
      <c r="QBR1" s="630"/>
      <c r="QBS1" s="630"/>
      <c r="QBT1" s="630"/>
      <c r="QBU1" s="630"/>
      <c r="QBV1" s="630"/>
      <c r="QBW1" s="630"/>
      <c r="QBX1" s="630"/>
      <c r="QBY1" s="630"/>
      <c r="QBZ1" s="630"/>
      <c r="QCA1" s="630"/>
      <c r="QCB1" s="630"/>
      <c r="QCC1" s="630"/>
      <c r="QCD1" s="630"/>
      <c r="QCE1" s="630"/>
      <c r="QCF1" s="630"/>
      <c r="QCG1" s="630"/>
      <c r="QCH1" s="632"/>
      <c r="QCI1" s="631"/>
      <c r="QCJ1" s="631"/>
      <c r="QCK1" s="631"/>
      <c r="QCL1" s="631"/>
      <c r="QCM1" s="631"/>
      <c r="QCN1" s="631"/>
      <c r="QCO1" s="631"/>
      <c r="QCP1" s="631"/>
      <c r="QCQ1" s="631"/>
      <c r="QCR1" s="631"/>
      <c r="QCS1" s="631"/>
      <c r="QCT1" s="631"/>
      <c r="QCU1" s="631"/>
      <c r="QCV1" s="631"/>
      <c r="QCW1" s="631"/>
      <c r="QCX1" s="631"/>
      <c r="QCY1" s="631"/>
      <c r="QCZ1" s="630"/>
      <c r="QDA1" s="630"/>
      <c r="QDB1" s="630"/>
      <c r="QDC1" s="630"/>
      <c r="QDD1" s="630"/>
      <c r="QDE1" s="630"/>
      <c r="QDF1" s="630"/>
      <c r="QDG1" s="630"/>
      <c r="QDH1" s="630"/>
      <c r="QDI1" s="630"/>
      <c r="QDJ1" s="630"/>
      <c r="QDK1" s="630"/>
      <c r="QDL1" s="630"/>
      <c r="QDM1" s="630"/>
      <c r="QDN1" s="630"/>
      <c r="QDO1" s="630"/>
      <c r="QDP1" s="630"/>
      <c r="QDQ1" s="630"/>
      <c r="QDR1" s="630"/>
      <c r="QDS1" s="630"/>
      <c r="QDT1" s="630"/>
      <c r="QDU1" s="630"/>
      <c r="QDV1" s="630"/>
      <c r="QDW1" s="630"/>
      <c r="QDX1" s="630"/>
      <c r="QDY1" s="630"/>
      <c r="QDZ1" s="630"/>
      <c r="QEA1" s="630"/>
      <c r="QEB1" s="630"/>
      <c r="QEC1" s="630"/>
      <c r="QED1" s="630"/>
      <c r="QEE1" s="630"/>
      <c r="QEF1" s="630"/>
      <c r="QEG1" s="630"/>
      <c r="QEH1" s="630"/>
      <c r="QEI1" s="630"/>
      <c r="QEJ1" s="630"/>
      <c r="QEK1" s="630"/>
      <c r="QEL1" s="630"/>
      <c r="QEM1" s="630"/>
      <c r="QEN1" s="630"/>
      <c r="QEO1" s="630"/>
      <c r="QEP1" s="630"/>
      <c r="QEQ1" s="630"/>
      <c r="QER1" s="630"/>
      <c r="QES1" s="630"/>
      <c r="QET1" s="630"/>
      <c r="QEU1" s="630"/>
      <c r="QEV1" s="630"/>
      <c r="QEW1" s="632"/>
      <c r="QEX1" s="631"/>
      <c r="QEY1" s="631"/>
      <c r="QEZ1" s="631"/>
      <c r="QFA1" s="631"/>
      <c r="QFB1" s="631"/>
      <c r="QFC1" s="631"/>
      <c r="QFD1" s="631"/>
      <c r="QFE1" s="631"/>
      <c r="QFF1" s="631"/>
      <c r="QFG1" s="631"/>
      <c r="QFH1" s="631"/>
      <c r="QFI1" s="631"/>
      <c r="QFJ1" s="631"/>
      <c r="QFK1" s="631"/>
      <c r="QFL1" s="631"/>
      <c r="QFM1" s="631"/>
      <c r="QFN1" s="631"/>
      <c r="QFO1" s="630"/>
      <c r="QFP1" s="630"/>
      <c r="QFQ1" s="630"/>
      <c r="QFR1" s="630"/>
      <c r="QFS1" s="630"/>
      <c r="QFT1" s="630"/>
      <c r="QFU1" s="630"/>
      <c r="QFV1" s="630"/>
      <c r="QFW1" s="630"/>
      <c r="QFX1" s="630"/>
      <c r="QFY1" s="630"/>
      <c r="QFZ1" s="630"/>
      <c r="QGA1" s="630"/>
      <c r="QGB1" s="630"/>
      <c r="QGC1" s="630"/>
      <c r="QGD1" s="630"/>
      <c r="QGE1" s="630"/>
      <c r="QGF1" s="630"/>
      <c r="QGG1" s="630"/>
      <c r="QGH1" s="630"/>
      <c r="QGI1" s="630"/>
      <c r="QGJ1" s="630"/>
      <c r="QGK1" s="630"/>
      <c r="QGL1" s="630"/>
      <c r="QGM1" s="630"/>
      <c r="QGN1" s="630"/>
      <c r="QGO1" s="630"/>
      <c r="QGP1" s="630"/>
      <c r="QGQ1" s="630"/>
      <c r="QGR1" s="630"/>
      <c r="QGS1" s="630"/>
      <c r="QGT1" s="630"/>
      <c r="QGU1" s="630"/>
      <c r="QGV1" s="630"/>
      <c r="QGW1" s="630"/>
      <c r="QGX1" s="630"/>
      <c r="QGY1" s="630"/>
      <c r="QGZ1" s="630"/>
      <c r="QHA1" s="630"/>
      <c r="QHB1" s="630"/>
      <c r="QHC1" s="630"/>
      <c r="QHD1" s="630"/>
      <c r="QHE1" s="630"/>
      <c r="QHF1" s="630"/>
      <c r="QHG1" s="630"/>
      <c r="QHH1" s="630"/>
      <c r="QHI1" s="630"/>
      <c r="QHJ1" s="630"/>
      <c r="QHK1" s="630"/>
      <c r="QHL1" s="632"/>
      <c r="QHM1" s="631"/>
      <c r="QHN1" s="631"/>
      <c r="QHO1" s="631"/>
      <c r="QHP1" s="631"/>
      <c r="QHQ1" s="631"/>
      <c r="QHR1" s="631"/>
      <c r="QHS1" s="631"/>
      <c r="QHT1" s="631"/>
      <c r="QHU1" s="631"/>
      <c r="QHV1" s="631"/>
      <c r="QHW1" s="631"/>
      <c r="QHX1" s="631"/>
      <c r="QHY1" s="631"/>
      <c r="QHZ1" s="631"/>
      <c r="QIA1" s="631"/>
      <c r="QIB1" s="631"/>
      <c r="QIC1" s="631"/>
      <c r="QID1" s="630"/>
      <c r="QIE1" s="630"/>
      <c r="QIF1" s="630"/>
      <c r="QIG1" s="630"/>
      <c r="QIH1" s="630"/>
      <c r="QII1" s="630"/>
      <c r="QIJ1" s="630"/>
      <c r="QIK1" s="630"/>
      <c r="QIL1" s="630"/>
      <c r="QIM1" s="630"/>
      <c r="QIN1" s="630"/>
      <c r="QIO1" s="630"/>
      <c r="QIP1" s="630"/>
      <c r="QIQ1" s="630"/>
      <c r="QIR1" s="630"/>
      <c r="QIS1" s="630"/>
      <c r="QIT1" s="630"/>
      <c r="QIU1" s="630"/>
      <c r="QIV1" s="630"/>
      <c r="QIW1" s="630"/>
      <c r="QIX1" s="630"/>
      <c r="QIY1" s="630"/>
      <c r="QIZ1" s="630"/>
      <c r="QJA1" s="630"/>
      <c r="QJB1" s="630"/>
      <c r="QJC1" s="630"/>
      <c r="QJD1" s="630"/>
      <c r="QJE1" s="630"/>
      <c r="QJF1" s="630"/>
      <c r="QJG1" s="630"/>
      <c r="QJH1" s="630"/>
      <c r="QJI1" s="630"/>
      <c r="QJJ1" s="630"/>
      <c r="QJK1" s="630"/>
      <c r="QJL1" s="630"/>
      <c r="QJM1" s="630"/>
      <c r="QJN1" s="630"/>
      <c r="QJO1" s="630"/>
      <c r="QJP1" s="630"/>
      <c r="QJQ1" s="630"/>
      <c r="QJR1" s="630"/>
      <c r="QJS1" s="630"/>
      <c r="QJT1" s="630"/>
      <c r="QJU1" s="630"/>
      <c r="QJV1" s="630"/>
      <c r="QJW1" s="630"/>
      <c r="QJX1" s="630"/>
      <c r="QJY1" s="630"/>
      <c r="QJZ1" s="630"/>
      <c r="QKA1" s="632"/>
      <c r="QKB1" s="631"/>
      <c r="QKC1" s="631"/>
      <c r="QKD1" s="631"/>
      <c r="QKE1" s="631"/>
      <c r="QKF1" s="631"/>
      <c r="QKG1" s="631"/>
      <c r="QKH1" s="631"/>
      <c r="QKI1" s="631"/>
      <c r="QKJ1" s="631"/>
      <c r="QKK1" s="631"/>
      <c r="QKL1" s="631"/>
      <c r="QKM1" s="631"/>
      <c r="QKN1" s="631"/>
      <c r="QKO1" s="631"/>
      <c r="QKP1" s="631"/>
      <c r="QKQ1" s="631"/>
      <c r="QKR1" s="631"/>
      <c r="QKS1" s="630"/>
      <c r="QKT1" s="630"/>
      <c r="QKU1" s="630"/>
      <c r="QKV1" s="630"/>
      <c r="QKW1" s="630"/>
      <c r="QKX1" s="630"/>
      <c r="QKY1" s="630"/>
      <c r="QKZ1" s="630"/>
      <c r="QLA1" s="630"/>
      <c r="QLB1" s="630"/>
      <c r="QLC1" s="630"/>
      <c r="QLD1" s="630"/>
      <c r="QLE1" s="630"/>
      <c r="QLF1" s="630"/>
      <c r="QLG1" s="630"/>
      <c r="QLH1" s="630"/>
      <c r="QLI1" s="630"/>
      <c r="QLJ1" s="630"/>
      <c r="QLK1" s="630"/>
      <c r="QLL1" s="630"/>
      <c r="QLM1" s="630"/>
      <c r="QLN1" s="630"/>
      <c r="QLO1" s="630"/>
      <c r="QLP1" s="630"/>
      <c r="QLQ1" s="630"/>
      <c r="QLR1" s="630"/>
      <c r="QLS1" s="630"/>
      <c r="QLT1" s="630"/>
      <c r="QLU1" s="630"/>
      <c r="QLV1" s="630"/>
      <c r="QLW1" s="630"/>
      <c r="QLX1" s="630"/>
      <c r="QLY1" s="630"/>
      <c r="QLZ1" s="630"/>
      <c r="QMA1" s="630"/>
      <c r="QMB1" s="630"/>
      <c r="QMC1" s="630"/>
      <c r="QMD1" s="630"/>
      <c r="QME1" s="630"/>
      <c r="QMF1" s="630"/>
      <c r="QMG1" s="630"/>
      <c r="QMH1" s="630"/>
      <c r="QMI1" s="630"/>
      <c r="QMJ1" s="630"/>
      <c r="QMK1" s="630"/>
      <c r="QML1" s="630"/>
      <c r="QMM1" s="630"/>
      <c r="QMN1" s="630"/>
      <c r="QMO1" s="630"/>
      <c r="QMP1" s="632"/>
      <c r="QMQ1" s="631"/>
      <c r="QMR1" s="631"/>
      <c r="QMS1" s="631"/>
      <c r="QMT1" s="631"/>
      <c r="QMU1" s="631"/>
      <c r="QMV1" s="631"/>
      <c r="QMW1" s="631"/>
      <c r="QMX1" s="631"/>
      <c r="QMY1" s="631"/>
      <c r="QMZ1" s="631"/>
      <c r="QNA1" s="631"/>
      <c r="QNB1" s="631"/>
      <c r="QNC1" s="631"/>
      <c r="QND1" s="631"/>
      <c r="QNE1" s="631"/>
      <c r="QNF1" s="631"/>
      <c r="QNG1" s="631"/>
      <c r="QNH1" s="630"/>
      <c r="QNI1" s="630"/>
      <c r="QNJ1" s="630"/>
      <c r="QNK1" s="630"/>
      <c r="QNL1" s="630"/>
      <c r="QNM1" s="630"/>
      <c r="QNN1" s="630"/>
      <c r="QNO1" s="630"/>
      <c r="QNP1" s="630"/>
      <c r="QNQ1" s="630"/>
      <c r="QNR1" s="630"/>
      <c r="QNS1" s="630"/>
      <c r="QNT1" s="630"/>
      <c r="QNU1" s="630"/>
      <c r="QNV1" s="630"/>
      <c r="QNW1" s="630"/>
      <c r="QNX1" s="630"/>
      <c r="QNY1" s="630"/>
      <c r="QNZ1" s="630"/>
      <c r="QOA1" s="630"/>
      <c r="QOB1" s="630"/>
      <c r="QOC1" s="630"/>
      <c r="QOD1" s="630"/>
      <c r="QOE1" s="630"/>
      <c r="QOF1" s="630"/>
      <c r="QOG1" s="630"/>
      <c r="QOH1" s="630"/>
      <c r="QOI1" s="630"/>
      <c r="QOJ1" s="630"/>
      <c r="QOK1" s="630"/>
      <c r="QOL1" s="630"/>
      <c r="QOM1" s="630"/>
      <c r="QON1" s="630"/>
      <c r="QOO1" s="630"/>
      <c r="QOP1" s="630"/>
      <c r="QOQ1" s="630"/>
      <c r="QOR1" s="630"/>
      <c r="QOS1" s="630"/>
      <c r="QOT1" s="630"/>
      <c r="QOU1" s="630"/>
      <c r="QOV1" s="630"/>
      <c r="QOW1" s="630"/>
      <c r="QOX1" s="630"/>
      <c r="QOY1" s="630"/>
      <c r="QOZ1" s="630"/>
      <c r="QPA1" s="630"/>
      <c r="QPB1" s="630"/>
      <c r="QPC1" s="630"/>
      <c r="QPD1" s="630"/>
      <c r="QPE1" s="632"/>
      <c r="QPF1" s="631"/>
      <c r="QPG1" s="631"/>
      <c r="QPH1" s="631"/>
      <c r="QPI1" s="631"/>
      <c r="QPJ1" s="631"/>
      <c r="QPK1" s="631"/>
      <c r="QPL1" s="631"/>
      <c r="QPM1" s="631"/>
      <c r="QPN1" s="631"/>
      <c r="QPO1" s="631"/>
      <c r="QPP1" s="631"/>
      <c r="QPQ1" s="631"/>
      <c r="QPR1" s="631"/>
      <c r="QPS1" s="631"/>
      <c r="QPT1" s="631"/>
      <c r="QPU1" s="631"/>
      <c r="QPV1" s="631"/>
      <c r="QPW1" s="630"/>
      <c r="QPX1" s="630"/>
      <c r="QPY1" s="630"/>
      <c r="QPZ1" s="630"/>
      <c r="QQA1" s="630"/>
      <c r="QQB1" s="630"/>
      <c r="QQC1" s="630"/>
      <c r="QQD1" s="630"/>
      <c r="QQE1" s="630"/>
      <c r="QQF1" s="630"/>
      <c r="QQG1" s="630"/>
      <c r="QQH1" s="630"/>
      <c r="QQI1" s="630"/>
      <c r="QQJ1" s="630"/>
      <c r="QQK1" s="630"/>
      <c r="QQL1" s="630"/>
      <c r="QQM1" s="630"/>
      <c r="QQN1" s="630"/>
      <c r="QQO1" s="630"/>
      <c r="QQP1" s="630"/>
      <c r="QQQ1" s="630"/>
      <c r="QQR1" s="630"/>
      <c r="QQS1" s="630"/>
      <c r="QQT1" s="630"/>
      <c r="QQU1" s="630"/>
      <c r="QQV1" s="630"/>
      <c r="QQW1" s="630"/>
      <c r="QQX1" s="630"/>
      <c r="QQY1" s="630"/>
      <c r="QQZ1" s="630"/>
      <c r="QRA1" s="630"/>
      <c r="QRB1" s="630"/>
      <c r="QRC1" s="630"/>
      <c r="QRD1" s="630"/>
      <c r="QRE1" s="630"/>
      <c r="QRF1" s="630"/>
      <c r="QRG1" s="630"/>
      <c r="QRH1" s="630"/>
      <c r="QRI1" s="630"/>
      <c r="QRJ1" s="630"/>
      <c r="QRK1" s="630"/>
      <c r="QRL1" s="630"/>
      <c r="QRM1" s="630"/>
      <c r="QRN1" s="630"/>
      <c r="QRO1" s="630"/>
      <c r="QRP1" s="630"/>
      <c r="QRQ1" s="630"/>
      <c r="QRR1" s="630"/>
      <c r="QRS1" s="630"/>
      <c r="QRT1" s="632"/>
      <c r="QRU1" s="631"/>
      <c r="QRV1" s="631"/>
      <c r="QRW1" s="631"/>
      <c r="QRX1" s="631"/>
      <c r="QRY1" s="631"/>
      <c r="QRZ1" s="631"/>
      <c r="QSA1" s="631"/>
      <c r="QSB1" s="631"/>
      <c r="QSC1" s="631"/>
      <c r="QSD1" s="631"/>
      <c r="QSE1" s="631"/>
      <c r="QSF1" s="631"/>
      <c r="QSG1" s="631"/>
      <c r="QSH1" s="631"/>
      <c r="QSI1" s="631"/>
      <c r="QSJ1" s="631"/>
      <c r="QSK1" s="631"/>
      <c r="QSL1" s="630"/>
      <c r="QSM1" s="630"/>
      <c r="QSN1" s="630"/>
      <c r="QSO1" s="630"/>
      <c r="QSP1" s="630"/>
      <c r="QSQ1" s="630"/>
      <c r="QSR1" s="630"/>
      <c r="QSS1" s="630"/>
      <c r="QST1" s="630"/>
      <c r="QSU1" s="630"/>
      <c r="QSV1" s="630"/>
      <c r="QSW1" s="630"/>
      <c r="QSX1" s="630"/>
      <c r="QSY1" s="630"/>
      <c r="QSZ1" s="630"/>
      <c r="QTA1" s="630"/>
      <c r="QTB1" s="630"/>
      <c r="QTC1" s="630"/>
      <c r="QTD1" s="630"/>
      <c r="QTE1" s="630"/>
      <c r="QTF1" s="630"/>
      <c r="QTG1" s="630"/>
      <c r="QTH1" s="630"/>
      <c r="QTI1" s="630"/>
      <c r="QTJ1" s="630"/>
      <c r="QTK1" s="630"/>
      <c r="QTL1" s="630"/>
      <c r="QTM1" s="630"/>
      <c r="QTN1" s="630"/>
      <c r="QTO1" s="630"/>
      <c r="QTP1" s="630"/>
      <c r="QTQ1" s="630"/>
      <c r="QTR1" s="630"/>
      <c r="QTS1" s="630"/>
      <c r="QTT1" s="630"/>
      <c r="QTU1" s="630"/>
      <c r="QTV1" s="630"/>
      <c r="QTW1" s="630"/>
      <c r="QTX1" s="630"/>
      <c r="QTY1" s="630"/>
      <c r="QTZ1" s="630"/>
      <c r="QUA1" s="630"/>
      <c r="QUB1" s="630"/>
      <c r="QUC1" s="630"/>
      <c r="QUD1" s="630"/>
      <c r="QUE1" s="630"/>
      <c r="QUF1" s="630"/>
      <c r="QUG1" s="630"/>
      <c r="QUH1" s="630"/>
      <c r="QUI1" s="632"/>
      <c r="QUJ1" s="631"/>
      <c r="QUK1" s="631"/>
      <c r="QUL1" s="631"/>
      <c r="QUM1" s="631"/>
      <c r="QUN1" s="631"/>
      <c r="QUO1" s="631"/>
      <c r="QUP1" s="631"/>
      <c r="QUQ1" s="631"/>
      <c r="QUR1" s="631"/>
      <c r="QUS1" s="631"/>
      <c r="QUT1" s="631"/>
      <c r="QUU1" s="631"/>
      <c r="QUV1" s="631"/>
      <c r="QUW1" s="631"/>
      <c r="QUX1" s="631"/>
      <c r="QUY1" s="631"/>
      <c r="QUZ1" s="631"/>
      <c r="QVA1" s="630"/>
      <c r="QVB1" s="630"/>
      <c r="QVC1" s="630"/>
      <c r="QVD1" s="630"/>
      <c r="QVE1" s="630"/>
      <c r="QVF1" s="630"/>
      <c r="QVG1" s="630"/>
      <c r="QVH1" s="630"/>
      <c r="QVI1" s="630"/>
      <c r="QVJ1" s="630"/>
      <c r="QVK1" s="630"/>
      <c r="QVL1" s="630"/>
      <c r="QVM1" s="630"/>
      <c r="QVN1" s="630"/>
      <c r="QVO1" s="630"/>
      <c r="QVP1" s="630"/>
      <c r="QVQ1" s="630"/>
      <c r="QVR1" s="630"/>
      <c r="QVS1" s="630"/>
      <c r="QVT1" s="630"/>
      <c r="QVU1" s="630"/>
      <c r="QVV1" s="630"/>
      <c r="QVW1" s="630"/>
      <c r="QVX1" s="630"/>
      <c r="QVY1" s="630"/>
      <c r="QVZ1" s="630"/>
      <c r="QWA1" s="630"/>
      <c r="QWB1" s="630"/>
      <c r="QWC1" s="630"/>
      <c r="QWD1" s="630"/>
      <c r="QWE1" s="630"/>
      <c r="QWF1" s="630"/>
      <c r="QWG1" s="630"/>
      <c r="QWH1" s="630"/>
      <c r="QWI1" s="630"/>
      <c r="QWJ1" s="630"/>
      <c r="QWK1" s="630"/>
      <c r="QWL1" s="630"/>
      <c r="QWM1" s="630"/>
      <c r="QWN1" s="630"/>
      <c r="QWO1" s="630"/>
      <c r="QWP1" s="630"/>
      <c r="QWQ1" s="630"/>
      <c r="QWR1" s="630"/>
      <c r="QWS1" s="630"/>
      <c r="QWT1" s="630"/>
      <c r="QWU1" s="630"/>
      <c r="QWV1" s="630"/>
      <c r="QWW1" s="630"/>
      <c r="QWX1" s="632"/>
      <c r="QWY1" s="631"/>
      <c r="QWZ1" s="631"/>
      <c r="QXA1" s="631"/>
      <c r="QXB1" s="631"/>
      <c r="QXC1" s="631"/>
      <c r="QXD1" s="631"/>
      <c r="QXE1" s="631"/>
      <c r="QXF1" s="631"/>
      <c r="QXG1" s="631"/>
      <c r="QXH1" s="631"/>
      <c r="QXI1" s="631"/>
      <c r="QXJ1" s="631"/>
      <c r="QXK1" s="631"/>
      <c r="QXL1" s="631"/>
      <c r="QXM1" s="631"/>
      <c r="QXN1" s="631"/>
      <c r="QXO1" s="631"/>
      <c r="QXP1" s="630"/>
      <c r="QXQ1" s="630"/>
      <c r="QXR1" s="630"/>
      <c r="QXS1" s="630"/>
      <c r="QXT1" s="630"/>
      <c r="QXU1" s="630"/>
      <c r="QXV1" s="630"/>
      <c r="QXW1" s="630"/>
      <c r="QXX1" s="630"/>
      <c r="QXY1" s="630"/>
      <c r="QXZ1" s="630"/>
      <c r="QYA1" s="630"/>
      <c r="QYB1" s="630"/>
      <c r="QYC1" s="630"/>
      <c r="QYD1" s="630"/>
      <c r="QYE1" s="630"/>
      <c r="QYF1" s="630"/>
      <c r="QYG1" s="630"/>
      <c r="QYH1" s="630"/>
      <c r="QYI1" s="630"/>
      <c r="QYJ1" s="630"/>
      <c r="QYK1" s="630"/>
      <c r="QYL1" s="630"/>
      <c r="QYM1" s="630"/>
      <c r="QYN1" s="630"/>
      <c r="QYO1" s="630"/>
      <c r="QYP1" s="630"/>
      <c r="QYQ1" s="630"/>
      <c r="QYR1" s="630"/>
      <c r="QYS1" s="630"/>
      <c r="QYT1" s="630"/>
      <c r="QYU1" s="630"/>
      <c r="QYV1" s="630"/>
      <c r="QYW1" s="630"/>
      <c r="QYX1" s="630"/>
      <c r="QYY1" s="630"/>
      <c r="QYZ1" s="630"/>
      <c r="QZA1" s="630"/>
      <c r="QZB1" s="630"/>
      <c r="QZC1" s="630"/>
      <c r="QZD1" s="630"/>
      <c r="QZE1" s="630"/>
      <c r="QZF1" s="630"/>
      <c r="QZG1" s="630"/>
      <c r="QZH1" s="630"/>
      <c r="QZI1" s="630"/>
      <c r="QZJ1" s="630"/>
      <c r="QZK1" s="630"/>
      <c r="QZL1" s="630"/>
      <c r="QZM1" s="632"/>
      <c r="QZN1" s="631"/>
      <c r="QZO1" s="631"/>
      <c r="QZP1" s="631"/>
      <c r="QZQ1" s="631"/>
      <c r="QZR1" s="631"/>
      <c r="QZS1" s="631"/>
      <c r="QZT1" s="631"/>
      <c r="QZU1" s="631"/>
      <c r="QZV1" s="631"/>
      <c r="QZW1" s="631"/>
      <c r="QZX1" s="631"/>
      <c r="QZY1" s="631"/>
      <c r="QZZ1" s="631"/>
      <c r="RAA1" s="631"/>
      <c r="RAB1" s="631"/>
      <c r="RAC1" s="631"/>
      <c r="RAD1" s="631"/>
      <c r="RAE1" s="630"/>
      <c r="RAF1" s="630"/>
      <c r="RAG1" s="630"/>
      <c r="RAH1" s="630"/>
      <c r="RAI1" s="630"/>
      <c r="RAJ1" s="630"/>
      <c r="RAK1" s="630"/>
      <c r="RAL1" s="630"/>
      <c r="RAM1" s="630"/>
      <c r="RAN1" s="630"/>
      <c r="RAO1" s="630"/>
      <c r="RAP1" s="630"/>
      <c r="RAQ1" s="630"/>
      <c r="RAR1" s="630"/>
      <c r="RAS1" s="630"/>
      <c r="RAT1" s="630"/>
      <c r="RAU1" s="630"/>
      <c r="RAV1" s="630"/>
      <c r="RAW1" s="630"/>
      <c r="RAX1" s="630"/>
      <c r="RAY1" s="630"/>
      <c r="RAZ1" s="630"/>
      <c r="RBA1" s="630"/>
      <c r="RBB1" s="630"/>
      <c r="RBC1" s="630"/>
      <c r="RBD1" s="630"/>
      <c r="RBE1" s="630"/>
      <c r="RBF1" s="630"/>
      <c r="RBG1" s="630"/>
      <c r="RBH1" s="630"/>
      <c r="RBI1" s="630"/>
      <c r="RBJ1" s="630"/>
      <c r="RBK1" s="630"/>
      <c r="RBL1" s="630"/>
      <c r="RBM1" s="630"/>
      <c r="RBN1" s="630"/>
      <c r="RBO1" s="630"/>
      <c r="RBP1" s="630"/>
      <c r="RBQ1" s="630"/>
      <c r="RBR1" s="630"/>
      <c r="RBS1" s="630"/>
      <c r="RBT1" s="630"/>
      <c r="RBU1" s="630"/>
      <c r="RBV1" s="630"/>
      <c r="RBW1" s="630"/>
      <c r="RBX1" s="630"/>
      <c r="RBY1" s="630"/>
      <c r="RBZ1" s="630"/>
      <c r="RCA1" s="630"/>
      <c r="RCB1" s="632"/>
      <c r="RCC1" s="631"/>
      <c r="RCD1" s="631"/>
      <c r="RCE1" s="631"/>
      <c r="RCF1" s="631"/>
      <c r="RCG1" s="631"/>
      <c r="RCH1" s="631"/>
      <c r="RCI1" s="631"/>
      <c r="RCJ1" s="631"/>
      <c r="RCK1" s="631"/>
      <c r="RCL1" s="631"/>
      <c r="RCM1" s="631"/>
      <c r="RCN1" s="631"/>
      <c r="RCO1" s="631"/>
      <c r="RCP1" s="631"/>
      <c r="RCQ1" s="631"/>
      <c r="RCR1" s="631"/>
      <c r="RCS1" s="631"/>
      <c r="RCT1" s="630"/>
      <c r="RCU1" s="630"/>
      <c r="RCV1" s="630"/>
      <c r="RCW1" s="630"/>
      <c r="RCX1" s="630"/>
      <c r="RCY1" s="630"/>
      <c r="RCZ1" s="630"/>
      <c r="RDA1" s="630"/>
      <c r="RDB1" s="630"/>
      <c r="RDC1" s="630"/>
      <c r="RDD1" s="630"/>
      <c r="RDE1" s="630"/>
      <c r="RDF1" s="630"/>
      <c r="RDG1" s="630"/>
      <c r="RDH1" s="630"/>
      <c r="RDI1" s="630"/>
      <c r="RDJ1" s="630"/>
      <c r="RDK1" s="630"/>
      <c r="RDL1" s="630"/>
      <c r="RDM1" s="630"/>
      <c r="RDN1" s="630"/>
      <c r="RDO1" s="630"/>
      <c r="RDP1" s="630"/>
      <c r="RDQ1" s="630"/>
      <c r="RDR1" s="630"/>
      <c r="RDS1" s="630"/>
      <c r="RDT1" s="630"/>
      <c r="RDU1" s="630"/>
      <c r="RDV1" s="630"/>
      <c r="RDW1" s="630"/>
      <c r="RDX1" s="630"/>
      <c r="RDY1" s="630"/>
      <c r="RDZ1" s="630"/>
      <c r="REA1" s="630"/>
      <c r="REB1" s="630"/>
      <c r="REC1" s="630"/>
      <c r="RED1" s="630"/>
      <c r="REE1" s="630"/>
      <c r="REF1" s="630"/>
      <c r="REG1" s="630"/>
      <c r="REH1" s="630"/>
      <c r="REI1" s="630"/>
      <c r="REJ1" s="630"/>
      <c r="REK1" s="630"/>
      <c r="REL1" s="630"/>
      <c r="REM1" s="630"/>
      <c r="REN1" s="630"/>
      <c r="REO1" s="630"/>
      <c r="REP1" s="630"/>
      <c r="REQ1" s="632"/>
      <c r="RER1" s="631"/>
      <c r="RES1" s="631"/>
      <c r="RET1" s="631"/>
      <c r="REU1" s="631"/>
      <c r="REV1" s="631"/>
      <c r="REW1" s="631"/>
      <c r="REX1" s="631"/>
      <c r="REY1" s="631"/>
      <c r="REZ1" s="631"/>
      <c r="RFA1" s="631"/>
      <c r="RFB1" s="631"/>
      <c r="RFC1" s="631"/>
      <c r="RFD1" s="631"/>
      <c r="RFE1" s="631"/>
      <c r="RFF1" s="631"/>
      <c r="RFG1" s="631"/>
      <c r="RFH1" s="631"/>
      <c r="RFI1" s="630"/>
      <c r="RFJ1" s="630"/>
      <c r="RFK1" s="630"/>
      <c r="RFL1" s="630"/>
      <c r="RFM1" s="630"/>
      <c r="RFN1" s="630"/>
      <c r="RFO1" s="630"/>
      <c r="RFP1" s="630"/>
      <c r="RFQ1" s="630"/>
      <c r="RFR1" s="630"/>
      <c r="RFS1" s="630"/>
      <c r="RFT1" s="630"/>
      <c r="RFU1" s="630"/>
      <c r="RFV1" s="630"/>
      <c r="RFW1" s="630"/>
      <c r="RFX1" s="630"/>
      <c r="RFY1" s="630"/>
      <c r="RFZ1" s="630"/>
      <c r="RGA1" s="630"/>
      <c r="RGB1" s="630"/>
      <c r="RGC1" s="630"/>
      <c r="RGD1" s="630"/>
      <c r="RGE1" s="630"/>
      <c r="RGF1" s="630"/>
      <c r="RGG1" s="630"/>
      <c r="RGH1" s="630"/>
      <c r="RGI1" s="630"/>
      <c r="RGJ1" s="630"/>
      <c r="RGK1" s="630"/>
      <c r="RGL1" s="630"/>
      <c r="RGM1" s="630"/>
      <c r="RGN1" s="630"/>
      <c r="RGO1" s="630"/>
      <c r="RGP1" s="630"/>
      <c r="RGQ1" s="630"/>
      <c r="RGR1" s="630"/>
      <c r="RGS1" s="630"/>
      <c r="RGT1" s="630"/>
      <c r="RGU1" s="630"/>
      <c r="RGV1" s="630"/>
      <c r="RGW1" s="630"/>
      <c r="RGX1" s="630"/>
      <c r="RGY1" s="630"/>
      <c r="RGZ1" s="630"/>
      <c r="RHA1" s="630"/>
      <c r="RHB1" s="630"/>
      <c r="RHC1" s="630"/>
      <c r="RHD1" s="630"/>
      <c r="RHE1" s="630"/>
      <c r="RHF1" s="632"/>
      <c r="RHG1" s="631"/>
      <c r="RHH1" s="631"/>
      <c r="RHI1" s="631"/>
      <c r="RHJ1" s="631"/>
      <c r="RHK1" s="631"/>
      <c r="RHL1" s="631"/>
      <c r="RHM1" s="631"/>
      <c r="RHN1" s="631"/>
      <c r="RHO1" s="631"/>
      <c r="RHP1" s="631"/>
      <c r="RHQ1" s="631"/>
      <c r="RHR1" s="631"/>
      <c r="RHS1" s="631"/>
      <c r="RHT1" s="631"/>
      <c r="RHU1" s="631"/>
      <c r="RHV1" s="631"/>
      <c r="RHW1" s="631"/>
      <c r="RHX1" s="630"/>
      <c r="RHY1" s="630"/>
      <c r="RHZ1" s="630"/>
      <c r="RIA1" s="630"/>
      <c r="RIB1" s="630"/>
      <c r="RIC1" s="630"/>
      <c r="RID1" s="630"/>
      <c r="RIE1" s="630"/>
      <c r="RIF1" s="630"/>
      <c r="RIG1" s="630"/>
      <c r="RIH1" s="630"/>
      <c r="RII1" s="630"/>
      <c r="RIJ1" s="630"/>
      <c r="RIK1" s="630"/>
      <c r="RIL1" s="630"/>
      <c r="RIM1" s="630"/>
      <c r="RIN1" s="630"/>
      <c r="RIO1" s="630"/>
      <c r="RIP1" s="630"/>
      <c r="RIQ1" s="630"/>
      <c r="RIR1" s="630"/>
      <c r="RIS1" s="630"/>
      <c r="RIT1" s="630"/>
      <c r="RIU1" s="630"/>
      <c r="RIV1" s="630"/>
      <c r="RIW1" s="630"/>
      <c r="RIX1" s="630"/>
      <c r="RIY1" s="630"/>
      <c r="RIZ1" s="630"/>
      <c r="RJA1" s="630"/>
      <c r="RJB1" s="630"/>
      <c r="RJC1" s="630"/>
      <c r="RJD1" s="630"/>
      <c r="RJE1" s="630"/>
      <c r="RJF1" s="630"/>
      <c r="RJG1" s="630"/>
      <c r="RJH1" s="630"/>
      <c r="RJI1" s="630"/>
      <c r="RJJ1" s="630"/>
      <c r="RJK1" s="630"/>
      <c r="RJL1" s="630"/>
      <c r="RJM1" s="630"/>
      <c r="RJN1" s="630"/>
      <c r="RJO1" s="630"/>
      <c r="RJP1" s="630"/>
      <c r="RJQ1" s="630"/>
      <c r="RJR1" s="630"/>
      <c r="RJS1" s="630"/>
      <c r="RJT1" s="630"/>
      <c r="RJU1" s="632"/>
      <c r="RJV1" s="631"/>
      <c r="RJW1" s="631"/>
      <c r="RJX1" s="631"/>
      <c r="RJY1" s="631"/>
      <c r="RJZ1" s="631"/>
      <c r="RKA1" s="631"/>
      <c r="RKB1" s="631"/>
      <c r="RKC1" s="631"/>
      <c r="RKD1" s="631"/>
      <c r="RKE1" s="631"/>
      <c r="RKF1" s="631"/>
      <c r="RKG1" s="631"/>
      <c r="RKH1" s="631"/>
      <c r="RKI1" s="631"/>
      <c r="RKJ1" s="631"/>
      <c r="RKK1" s="631"/>
      <c r="RKL1" s="631"/>
      <c r="RKM1" s="630"/>
      <c r="RKN1" s="630"/>
      <c r="RKO1" s="630"/>
      <c r="RKP1" s="630"/>
      <c r="RKQ1" s="630"/>
      <c r="RKR1" s="630"/>
      <c r="RKS1" s="630"/>
      <c r="RKT1" s="630"/>
      <c r="RKU1" s="630"/>
      <c r="RKV1" s="630"/>
      <c r="RKW1" s="630"/>
      <c r="RKX1" s="630"/>
      <c r="RKY1" s="630"/>
      <c r="RKZ1" s="630"/>
      <c r="RLA1" s="630"/>
      <c r="RLB1" s="630"/>
      <c r="RLC1" s="630"/>
      <c r="RLD1" s="630"/>
      <c r="RLE1" s="630"/>
      <c r="RLF1" s="630"/>
      <c r="RLG1" s="630"/>
      <c r="RLH1" s="630"/>
      <c r="RLI1" s="630"/>
      <c r="RLJ1" s="630"/>
      <c r="RLK1" s="630"/>
      <c r="RLL1" s="630"/>
      <c r="RLM1" s="630"/>
      <c r="RLN1" s="630"/>
      <c r="RLO1" s="630"/>
      <c r="RLP1" s="630"/>
      <c r="RLQ1" s="630"/>
      <c r="RLR1" s="630"/>
      <c r="RLS1" s="630"/>
      <c r="RLT1" s="630"/>
      <c r="RLU1" s="630"/>
      <c r="RLV1" s="630"/>
      <c r="RLW1" s="630"/>
      <c r="RLX1" s="630"/>
      <c r="RLY1" s="630"/>
      <c r="RLZ1" s="630"/>
      <c r="RMA1" s="630"/>
      <c r="RMB1" s="630"/>
      <c r="RMC1" s="630"/>
      <c r="RMD1" s="630"/>
      <c r="RME1" s="630"/>
      <c r="RMF1" s="630"/>
      <c r="RMG1" s="630"/>
      <c r="RMH1" s="630"/>
      <c r="RMI1" s="630"/>
      <c r="RMJ1" s="632"/>
      <c r="RMK1" s="631"/>
      <c r="RML1" s="631"/>
      <c r="RMM1" s="631"/>
      <c r="RMN1" s="631"/>
      <c r="RMO1" s="631"/>
      <c r="RMP1" s="631"/>
      <c r="RMQ1" s="631"/>
      <c r="RMR1" s="631"/>
      <c r="RMS1" s="631"/>
      <c r="RMT1" s="631"/>
      <c r="RMU1" s="631"/>
      <c r="RMV1" s="631"/>
      <c r="RMW1" s="631"/>
      <c r="RMX1" s="631"/>
      <c r="RMY1" s="631"/>
      <c r="RMZ1" s="631"/>
      <c r="RNA1" s="631"/>
      <c r="RNB1" s="630"/>
      <c r="RNC1" s="630"/>
      <c r="RND1" s="630"/>
      <c r="RNE1" s="630"/>
      <c r="RNF1" s="630"/>
      <c r="RNG1" s="630"/>
      <c r="RNH1" s="630"/>
      <c r="RNI1" s="630"/>
      <c r="RNJ1" s="630"/>
      <c r="RNK1" s="630"/>
      <c r="RNL1" s="630"/>
      <c r="RNM1" s="630"/>
      <c r="RNN1" s="630"/>
      <c r="RNO1" s="630"/>
      <c r="RNP1" s="630"/>
      <c r="RNQ1" s="630"/>
      <c r="RNR1" s="630"/>
      <c r="RNS1" s="630"/>
      <c r="RNT1" s="630"/>
      <c r="RNU1" s="630"/>
      <c r="RNV1" s="630"/>
      <c r="RNW1" s="630"/>
      <c r="RNX1" s="630"/>
      <c r="RNY1" s="630"/>
      <c r="RNZ1" s="630"/>
      <c r="ROA1" s="630"/>
      <c r="ROB1" s="630"/>
      <c r="ROC1" s="630"/>
      <c r="ROD1" s="630"/>
      <c r="ROE1" s="630"/>
      <c r="ROF1" s="630"/>
      <c r="ROG1" s="630"/>
      <c r="ROH1" s="630"/>
      <c r="ROI1" s="630"/>
      <c r="ROJ1" s="630"/>
      <c r="ROK1" s="630"/>
      <c r="ROL1" s="630"/>
      <c r="ROM1" s="630"/>
      <c r="RON1" s="630"/>
      <c r="ROO1" s="630"/>
      <c r="ROP1" s="630"/>
      <c r="ROQ1" s="630"/>
      <c r="ROR1" s="630"/>
      <c r="ROS1" s="630"/>
      <c r="ROT1" s="630"/>
      <c r="ROU1" s="630"/>
      <c r="ROV1" s="630"/>
      <c r="ROW1" s="630"/>
      <c r="ROX1" s="630"/>
      <c r="ROY1" s="632"/>
      <c r="ROZ1" s="631"/>
      <c r="RPA1" s="631"/>
      <c r="RPB1" s="631"/>
      <c r="RPC1" s="631"/>
      <c r="RPD1" s="631"/>
      <c r="RPE1" s="631"/>
      <c r="RPF1" s="631"/>
      <c r="RPG1" s="631"/>
      <c r="RPH1" s="631"/>
      <c r="RPI1" s="631"/>
      <c r="RPJ1" s="631"/>
      <c r="RPK1" s="631"/>
      <c r="RPL1" s="631"/>
      <c r="RPM1" s="631"/>
      <c r="RPN1" s="631"/>
      <c r="RPO1" s="631"/>
      <c r="RPP1" s="631"/>
      <c r="RPQ1" s="630"/>
      <c r="RPR1" s="630"/>
      <c r="RPS1" s="630"/>
      <c r="RPT1" s="630"/>
      <c r="RPU1" s="630"/>
      <c r="RPV1" s="630"/>
      <c r="RPW1" s="630"/>
      <c r="RPX1" s="630"/>
      <c r="RPY1" s="630"/>
      <c r="RPZ1" s="630"/>
      <c r="RQA1" s="630"/>
      <c r="RQB1" s="630"/>
      <c r="RQC1" s="630"/>
      <c r="RQD1" s="630"/>
      <c r="RQE1" s="630"/>
      <c r="RQF1" s="630"/>
      <c r="RQG1" s="630"/>
      <c r="RQH1" s="630"/>
      <c r="RQI1" s="630"/>
      <c r="RQJ1" s="630"/>
      <c r="RQK1" s="630"/>
      <c r="RQL1" s="630"/>
      <c r="RQM1" s="630"/>
      <c r="RQN1" s="630"/>
      <c r="RQO1" s="630"/>
      <c r="RQP1" s="630"/>
      <c r="RQQ1" s="630"/>
      <c r="RQR1" s="630"/>
      <c r="RQS1" s="630"/>
      <c r="RQT1" s="630"/>
      <c r="RQU1" s="630"/>
      <c r="RQV1" s="630"/>
      <c r="RQW1" s="630"/>
      <c r="RQX1" s="630"/>
      <c r="RQY1" s="630"/>
      <c r="RQZ1" s="630"/>
      <c r="RRA1" s="630"/>
      <c r="RRB1" s="630"/>
      <c r="RRC1" s="630"/>
      <c r="RRD1" s="630"/>
      <c r="RRE1" s="630"/>
      <c r="RRF1" s="630"/>
      <c r="RRG1" s="630"/>
      <c r="RRH1" s="630"/>
      <c r="RRI1" s="630"/>
      <c r="RRJ1" s="630"/>
      <c r="RRK1" s="630"/>
      <c r="RRL1" s="630"/>
      <c r="RRM1" s="630"/>
      <c r="RRN1" s="632"/>
      <c r="RRO1" s="631"/>
      <c r="RRP1" s="631"/>
      <c r="RRQ1" s="631"/>
      <c r="RRR1" s="631"/>
      <c r="RRS1" s="631"/>
      <c r="RRT1" s="631"/>
      <c r="RRU1" s="631"/>
      <c r="RRV1" s="631"/>
      <c r="RRW1" s="631"/>
      <c r="RRX1" s="631"/>
      <c r="RRY1" s="631"/>
      <c r="RRZ1" s="631"/>
      <c r="RSA1" s="631"/>
      <c r="RSB1" s="631"/>
      <c r="RSC1" s="631"/>
      <c r="RSD1" s="631"/>
      <c r="RSE1" s="631"/>
      <c r="RSF1" s="630"/>
      <c r="RSG1" s="630"/>
      <c r="RSH1" s="630"/>
      <c r="RSI1" s="630"/>
      <c r="RSJ1" s="630"/>
      <c r="RSK1" s="630"/>
      <c r="RSL1" s="630"/>
      <c r="RSM1" s="630"/>
      <c r="RSN1" s="630"/>
      <c r="RSO1" s="630"/>
      <c r="RSP1" s="630"/>
      <c r="RSQ1" s="630"/>
      <c r="RSR1" s="630"/>
      <c r="RSS1" s="630"/>
      <c r="RST1" s="630"/>
      <c r="RSU1" s="630"/>
      <c r="RSV1" s="630"/>
      <c r="RSW1" s="630"/>
      <c r="RSX1" s="630"/>
      <c r="RSY1" s="630"/>
      <c r="RSZ1" s="630"/>
      <c r="RTA1" s="630"/>
      <c r="RTB1" s="630"/>
      <c r="RTC1" s="630"/>
      <c r="RTD1" s="630"/>
      <c r="RTE1" s="630"/>
      <c r="RTF1" s="630"/>
      <c r="RTG1" s="630"/>
      <c r="RTH1" s="630"/>
      <c r="RTI1" s="630"/>
      <c r="RTJ1" s="630"/>
      <c r="RTK1" s="630"/>
      <c r="RTL1" s="630"/>
      <c r="RTM1" s="630"/>
      <c r="RTN1" s="630"/>
      <c r="RTO1" s="630"/>
      <c r="RTP1" s="630"/>
      <c r="RTQ1" s="630"/>
      <c r="RTR1" s="630"/>
      <c r="RTS1" s="630"/>
      <c r="RTT1" s="630"/>
      <c r="RTU1" s="630"/>
      <c r="RTV1" s="630"/>
      <c r="RTW1" s="630"/>
      <c r="RTX1" s="630"/>
      <c r="RTY1" s="630"/>
      <c r="RTZ1" s="630"/>
      <c r="RUA1" s="630"/>
      <c r="RUB1" s="630"/>
      <c r="RUC1" s="632"/>
      <c r="RUD1" s="631"/>
      <c r="RUE1" s="631"/>
      <c r="RUF1" s="631"/>
      <c r="RUG1" s="631"/>
      <c r="RUH1" s="631"/>
      <c r="RUI1" s="631"/>
      <c r="RUJ1" s="631"/>
      <c r="RUK1" s="631"/>
      <c r="RUL1" s="631"/>
      <c r="RUM1" s="631"/>
      <c r="RUN1" s="631"/>
      <c r="RUO1" s="631"/>
      <c r="RUP1" s="631"/>
      <c r="RUQ1" s="631"/>
      <c r="RUR1" s="631"/>
      <c r="RUS1" s="631"/>
      <c r="RUT1" s="631"/>
      <c r="RUU1" s="630"/>
      <c r="RUV1" s="630"/>
      <c r="RUW1" s="630"/>
      <c r="RUX1" s="630"/>
      <c r="RUY1" s="630"/>
      <c r="RUZ1" s="630"/>
      <c r="RVA1" s="630"/>
      <c r="RVB1" s="630"/>
      <c r="RVC1" s="630"/>
      <c r="RVD1" s="630"/>
      <c r="RVE1" s="630"/>
      <c r="RVF1" s="630"/>
      <c r="RVG1" s="630"/>
      <c r="RVH1" s="630"/>
      <c r="RVI1" s="630"/>
      <c r="RVJ1" s="630"/>
      <c r="RVK1" s="630"/>
      <c r="RVL1" s="630"/>
      <c r="RVM1" s="630"/>
      <c r="RVN1" s="630"/>
      <c r="RVO1" s="630"/>
      <c r="RVP1" s="630"/>
      <c r="RVQ1" s="630"/>
      <c r="RVR1" s="630"/>
      <c r="RVS1" s="630"/>
      <c r="RVT1" s="630"/>
      <c r="RVU1" s="630"/>
      <c r="RVV1" s="630"/>
      <c r="RVW1" s="630"/>
      <c r="RVX1" s="630"/>
      <c r="RVY1" s="630"/>
      <c r="RVZ1" s="630"/>
      <c r="RWA1" s="630"/>
      <c r="RWB1" s="630"/>
      <c r="RWC1" s="630"/>
      <c r="RWD1" s="630"/>
      <c r="RWE1" s="630"/>
      <c r="RWF1" s="630"/>
      <c r="RWG1" s="630"/>
      <c r="RWH1" s="630"/>
      <c r="RWI1" s="630"/>
      <c r="RWJ1" s="630"/>
      <c r="RWK1" s="630"/>
      <c r="RWL1" s="630"/>
      <c r="RWM1" s="630"/>
      <c r="RWN1" s="630"/>
      <c r="RWO1" s="630"/>
      <c r="RWP1" s="630"/>
      <c r="RWQ1" s="630"/>
      <c r="RWR1" s="632"/>
      <c r="RWS1" s="631"/>
      <c r="RWT1" s="631"/>
      <c r="RWU1" s="631"/>
      <c r="RWV1" s="631"/>
      <c r="RWW1" s="631"/>
      <c r="RWX1" s="631"/>
      <c r="RWY1" s="631"/>
      <c r="RWZ1" s="631"/>
      <c r="RXA1" s="631"/>
      <c r="RXB1" s="631"/>
      <c r="RXC1" s="631"/>
      <c r="RXD1" s="631"/>
      <c r="RXE1" s="631"/>
      <c r="RXF1" s="631"/>
      <c r="RXG1" s="631"/>
      <c r="RXH1" s="631"/>
      <c r="RXI1" s="631"/>
      <c r="RXJ1" s="630"/>
      <c r="RXK1" s="630"/>
      <c r="RXL1" s="630"/>
      <c r="RXM1" s="630"/>
      <c r="RXN1" s="630"/>
      <c r="RXO1" s="630"/>
      <c r="RXP1" s="630"/>
      <c r="RXQ1" s="630"/>
      <c r="RXR1" s="630"/>
      <c r="RXS1" s="630"/>
      <c r="RXT1" s="630"/>
      <c r="RXU1" s="630"/>
      <c r="RXV1" s="630"/>
      <c r="RXW1" s="630"/>
      <c r="RXX1" s="630"/>
      <c r="RXY1" s="630"/>
      <c r="RXZ1" s="630"/>
      <c r="RYA1" s="630"/>
      <c r="RYB1" s="630"/>
      <c r="RYC1" s="630"/>
      <c r="RYD1" s="630"/>
      <c r="RYE1" s="630"/>
      <c r="RYF1" s="630"/>
      <c r="RYG1" s="630"/>
      <c r="RYH1" s="630"/>
      <c r="RYI1" s="630"/>
      <c r="RYJ1" s="630"/>
      <c r="RYK1" s="630"/>
      <c r="RYL1" s="630"/>
      <c r="RYM1" s="630"/>
      <c r="RYN1" s="630"/>
      <c r="RYO1" s="630"/>
      <c r="RYP1" s="630"/>
      <c r="RYQ1" s="630"/>
      <c r="RYR1" s="630"/>
      <c r="RYS1" s="630"/>
      <c r="RYT1" s="630"/>
      <c r="RYU1" s="630"/>
      <c r="RYV1" s="630"/>
      <c r="RYW1" s="630"/>
      <c r="RYX1" s="630"/>
      <c r="RYY1" s="630"/>
      <c r="RYZ1" s="630"/>
      <c r="RZA1" s="630"/>
      <c r="RZB1" s="630"/>
      <c r="RZC1" s="630"/>
      <c r="RZD1" s="630"/>
      <c r="RZE1" s="630"/>
      <c r="RZF1" s="630"/>
      <c r="RZG1" s="632"/>
      <c r="RZH1" s="631"/>
      <c r="RZI1" s="631"/>
      <c r="RZJ1" s="631"/>
      <c r="RZK1" s="631"/>
      <c r="RZL1" s="631"/>
      <c r="RZM1" s="631"/>
      <c r="RZN1" s="631"/>
      <c r="RZO1" s="631"/>
      <c r="RZP1" s="631"/>
      <c r="RZQ1" s="631"/>
      <c r="RZR1" s="631"/>
      <c r="RZS1" s="631"/>
      <c r="RZT1" s="631"/>
      <c r="RZU1" s="631"/>
      <c r="RZV1" s="631"/>
      <c r="RZW1" s="631"/>
      <c r="RZX1" s="631"/>
      <c r="RZY1" s="630"/>
      <c r="RZZ1" s="630"/>
      <c r="SAA1" s="630"/>
      <c r="SAB1" s="630"/>
      <c r="SAC1" s="630"/>
      <c r="SAD1" s="630"/>
      <c r="SAE1" s="630"/>
      <c r="SAF1" s="630"/>
      <c r="SAG1" s="630"/>
      <c r="SAH1" s="630"/>
      <c r="SAI1" s="630"/>
      <c r="SAJ1" s="630"/>
      <c r="SAK1" s="630"/>
      <c r="SAL1" s="630"/>
      <c r="SAM1" s="630"/>
      <c r="SAN1" s="630"/>
      <c r="SAO1" s="630"/>
      <c r="SAP1" s="630"/>
      <c r="SAQ1" s="630"/>
      <c r="SAR1" s="630"/>
      <c r="SAS1" s="630"/>
      <c r="SAT1" s="630"/>
      <c r="SAU1" s="630"/>
      <c r="SAV1" s="630"/>
      <c r="SAW1" s="630"/>
      <c r="SAX1" s="630"/>
      <c r="SAY1" s="630"/>
      <c r="SAZ1" s="630"/>
      <c r="SBA1" s="630"/>
      <c r="SBB1" s="630"/>
      <c r="SBC1" s="630"/>
      <c r="SBD1" s="630"/>
      <c r="SBE1" s="630"/>
      <c r="SBF1" s="630"/>
      <c r="SBG1" s="630"/>
      <c r="SBH1" s="630"/>
      <c r="SBI1" s="630"/>
      <c r="SBJ1" s="630"/>
      <c r="SBK1" s="630"/>
      <c r="SBL1" s="630"/>
      <c r="SBM1" s="630"/>
      <c r="SBN1" s="630"/>
      <c r="SBO1" s="630"/>
      <c r="SBP1" s="630"/>
      <c r="SBQ1" s="630"/>
      <c r="SBR1" s="630"/>
      <c r="SBS1" s="630"/>
      <c r="SBT1" s="630"/>
      <c r="SBU1" s="630"/>
      <c r="SBV1" s="632"/>
      <c r="SBW1" s="631"/>
      <c r="SBX1" s="631"/>
      <c r="SBY1" s="631"/>
      <c r="SBZ1" s="631"/>
      <c r="SCA1" s="631"/>
      <c r="SCB1" s="631"/>
      <c r="SCC1" s="631"/>
      <c r="SCD1" s="631"/>
      <c r="SCE1" s="631"/>
      <c r="SCF1" s="631"/>
      <c r="SCG1" s="631"/>
      <c r="SCH1" s="631"/>
      <c r="SCI1" s="631"/>
      <c r="SCJ1" s="631"/>
      <c r="SCK1" s="631"/>
      <c r="SCL1" s="631"/>
      <c r="SCM1" s="631"/>
      <c r="SCN1" s="630"/>
      <c r="SCO1" s="630"/>
      <c r="SCP1" s="630"/>
      <c r="SCQ1" s="630"/>
      <c r="SCR1" s="630"/>
      <c r="SCS1" s="630"/>
      <c r="SCT1" s="630"/>
      <c r="SCU1" s="630"/>
      <c r="SCV1" s="630"/>
      <c r="SCW1" s="630"/>
      <c r="SCX1" s="630"/>
      <c r="SCY1" s="630"/>
      <c r="SCZ1" s="630"/>
      <c r="SDA1" s="630"/>
      <c r="SDB1" s="630"/>
      <c r="SDC1" s="630"/>
      <c r="SDD1" s="630"/>
      <c r="SDE1" s="630"/>
      <c r="SDF1" s="630"/>
      <c r="SDG1" s="630"/>
      <c r="SDH1" s="630"/>
      <c r="SDI1" s="630"/>
      <c r="SDJ1" s="630"/>
      <c r="SDK1" s="630"/>
      <c r="SDL1" s="630"/>
      <c r="SDM1" s="630"/>
      <c r="SDN1" s="630"/>
      <c r="SDO1" s="630"/>
      <c r="SDP1" s="630"/>
      <c r="SDQ1" s="630"/>
      <c r="SDR1" s="630"/>
      <c r="SDS1" s="630"/>
      <c r="SDT1" s="630"/>
      <c r="SDU1" s="630"/>
      <c r="SDV1" s="630"/>
      <c r="SDW1" s="630"/>
      <c r="SDX1" s="630"/>
      <c r="SDY1" s="630"/>
      <c r="SDZ1" s="630"/>
      <c r="SEA1" s="630"/>
      <c r="SEB1" s="630"/>
      <c r="SEC1" s="630"/>
      <c r="SED1" s="630"/>
      <c r="SEE1" s="630"/>
      <c r="SEF1" s="630"/>
      <c r="SEG1" s="630"/>
      <c r="SEH1" s="630"/>
      <c r="SEI1" s="630"/>
      <c r="SEJ1" s="630"/>
      <c r="SEK1" s="632"/>
      <c r="SEL1" s="631"/>
      <c r="SEM1" s="631"/>
      <c r="SEN1" s="631"/>
      <c r="SEO1" s="631"/>
      <c r="SEP1" s="631"/>
      <c r="SEQ1" s="631"/>
      <c r="SER1" s="631"/>
      <c r="SES1" s="631"/>
      <c r="SET1" s="631"/>
      <c r="SEU1" s="631"/>
      <c r="SEV1" s="631"/>
      <c r="SEW1" s="631"/>
      <c r="SEX1" s="631"/>
      <c r="SEY1" s="631"/>
      <c r="SEZ1" s="631"/>
      <c r="SFA1" s="631"/>
      <c r="SFB1" s="631"/>
      <c r="SFC1" s="630"/>
      <c r="SFD1" s="630"/>
      <c r="SFE1" s="630"/>
      <c r="SFF1" s="630"/>
      <c r="SFG1" s="630"/>
      <c r="SFH1" s="630"/>
      <c r="SFI1" s="630"/>
      <c r="SFJ1" s="630"/>
      <c r="SFK1" s="630"/>
      <c r="SFL1" s="630"/>
      <c r="SFM1" s="630"/>
      <c r="SFN1" s="630"/>
      <c r="SFO1" s="630"/>
      <c r="SFP1" s="630"/>
      <c r="SFQ1" s="630"/>
      <c r="SFR1" s="630"/>
      <c r="SFS1" s="630"/>
      <c r="SFT1" s="630"/>
      <c r="SFU1" s="630"/>
      <c r="SFV1" s="630"/>
      <c r="SFW1" s="630"/>
      <c r="SFX1" s="630"/>
      <c r="SFY1" s="630"/>
      <c r="SFZ1" s="630"/>
      <c r="SGA1" s="630"/>
      <c r="SGB1" s="630"/>
      <c r="SGC1" s="630"/>
      <c r="SGD1" s="630"/>
      <c r="SGE1" s="630"/>
      <c r="SGF1" s="630"/>
      <c r="SGG1" s="630"/>
      <c r="SGH1" s="630"/>
      <c r="SGI1" s="630"/>
      <c r="SGJ1" s="630"/>
      <c r="SGK1" s="630"/>
      <c r="SGL1" s="630"/>
      <c r="SGM1" s="630"/>
      <c r="SGN1" s="630"/>
      <c r="SGO1" s="630"/>
      <c r="SGP1" s="630"/>
      <c r="SGQ1" s="630"/>
      <c r="SGR1" s="630"/>
      <c r="SGS1" s="630"/>
      <c r="SGT1" s="630"/>
      <c r="SGU1" s="630"/>
      <c r="SGV1" s="630"/>
      <c r="SGW1" s="630"/>
      <c r="SGX1" s="630"/>
      <c r="SGY1" s="630"/>
      <c r="SGZ1" s="632"/>
      <c r="SHA1" s="631"/>
      <c r="SHB1" s="631"/>
      <c r="SHC1" s="631"/>
      <c r="SHD1" s="631"/>
      <c r="SHE1" s="631"/>
      <c r="SHF1" s="631"/>
      <c r="SHG1" s="631"/>
      <c r="SHH1" s="631"/>
      <c r="SHI1" s="631"/>
      <c r="SHJ1" s="631"/>
      <c r="SHK1" s="631"/>
      <c r="SHL1" s="631"/>
      <c r="SHM1" s="631"/>
      <c r="SHN1" s="631"/>
      <c r="SHO1" s="631"/>
      <c r="SHP1" s="631"/>
      <c r="SHQ1" s="631"/>
      <c r="SHR1" s="630"/>
      <c r="SHS1" s="630"/>
      <c r="SHT1" s="630"/>
      <c r="SHU1" s="630"/>
      <c r="SHV1" s="630"/>
      <c r="SHW1" s="630"/>
      <c r="SHX1" s="630"/>
      <c r="SHY1" s="630"/>
      <c r="SHZ1" s="630"/>
      <c r="SIA1" s="630"/>
      <c r="SIB1" s="630"/>
      <c r="SIC1" s="630"/>
      <c r="SID1" s="630"/>
      <c r="SIE1" s="630"/>
      <c r="SIF1" s="630"/>
      <c r="SIG1" s="630"/>
      <c r="SIH1" s="630"/>
      <c r="SII1" s="630"/>
      <c r="SIJ1" s="630"/>
      <c r="SIK1" s="630"/>
      <c r="SIL1" s="630"/>
      <c r="SIM1" s="630"/>
      <c r="SIN1" s="630"/>
      <c r="SIO1" s="630"/>
      <c r="SIP1" s="630"/>
      <c r="SIQ1" s="630"/>
      <c r="SIR1" s="630"/>
      <c r="SIS1" s="630"/>
      <c r="SIT1" s="630"/>
      <c r="SIU1" s="630"/>
      <c r="SIV1" s="630"/>
      <c r="SIW1" s="630"/>
      <c r="SIX1" s="630"/>
      <c r="SIY1" s="630"/>
      <c r="SIZ1" s="630"/>
      <c r="SJA1" s="630"/>
      <c r="SJB1" s="630"/>
      <c r="SJC1" s="630"/>
      <c r="SJD1" s="630"/>
      <c r="SJE1" s="630"/>
      <c r="SJF1" s="630"/>
      <c r="SJG1" s="630"/>
      <c r="SJH1" s="630"/>
      <c r="SJI1" s="630"/>
      <c r="SJJ1" s="630"/>
      <c r="SJK1" s="630"/>
      <c r="SJL1" s="630"/>
      <c r="SJM1" s="630"/>
      <c r="SJN1" s="630"/>
      <c r="SJO1" s="632"/>
      <c r="SJP1" s="631"/>
      <c r="SJQ1" s="631"/>
      <c r="SJR1" s="631"/>
      <c r="SJS1" s="631"/>
      <c r="SJT1" s="631"/>
      <c r="SJU1" s="631"/>
      <c r="SJV1" s="631"/>
      <c r="SJW1" s="631"/>
      <c r="SJX1" s="631"/>
      <c r="SJY1" s="631"/>
      <c r="SJZ1" s="631"/>
      <c r="SKA1" s="631"/>
      <c r="SKB1" s="631"/>
      <c r="SKC1" s="631"/>
      <c r="SKD1" s="631"/>
      <c r="SKE1" s="631"/>
      <c r="SKF1" s="631"/>
      <c r="SKG1" s="630"/>
      <c r="SKH1" s="630"/>
      <c r="SKI1" s="630"/>
      <c r="SKJ1" s="630"/>
      <c r="SKK1" s="630"/>
      <c r="SKL1" s="630"/>
      <c r="SKM1" s="630"/>
      <c r="SKN1" s="630"/>
      <c r="SKO1" s="630"/>
      <c r="SKP1" s="630"/>
      <c r="SKQ1" s="630"/>
      <c r="SKR1" s="630"/>
      <c r="SKS1" s="630"/>
      <c r="SKT1" s="630"/>
      <c r="SKU1" s="630"/>
      <c r="SKV1" s="630"/>
      <c r="SKW1" s="630"/>
      <c r="SKX1" s="630"/>
      <c r="SKY1" s="630"/>
      <c r="SKZ1" s="630"/>
      <c r="SLA1" s="630"/>
      <c r="SLB1" s="630"/>
      <c r="SLC1" s="630"/>
      <c r="SLD1" s="630"/>
      <c r="SLE1" s="630"/>
      <c r="SLF1" s="630"/>
      <c r="SLG1" s="630"/>
      <c r="SLH1" s="630"/>
      <c r="SLI1" s="630"/>
      <c r="SLJ1" s="630"/>
      <c r="SLK1" s="630"/>
      <c r="SLL1" s="630"/>
      <c r="SLM1" s="630"/>
      <c r="SLN1" s="630"/>
      <c r="SLO1" s="630"/>
      <c r="SLP1" s="630"/>
      <c r="SLQ1" s="630"/>
      <c r="SLR1" s="630"/>
      <c r="SLS1" s="630"/>
      <c r="SLT1" s="630"/>
      <c r="SLU1" s="630"/>
      <c r="SLV1" s="630"/>
      <c r="SLW1" s="630"/>
      <c r="SLX1" s="630"/>
      <c r="SLY1" s="630"/>
      <c r="SLZ1" s="630"/>
      <c r="SMA1" s="630"/>
      <c r="SMB1" s="630"/>
      <c r="SMC1" s="630"/>
      <c r="SMD1" s="632"/>
      <c r="SME1" s="631"/>
      <c r="SMF1" s="631"/>
      <c r="SMG1" s="631"/>
      <c r="SMH1" s="631"/>
      <c r="SMI1" s="631"/>
      <c r="SMJ1" s="631"/>
      <c r="SMK1" s="631"/>
      <c r="SML1" s="631"/>
      <c r="SMM1" s="631"/>
      <c r="SMN1" s="631"/>
      <c r="SMO1" s="631"/>
      <c r="SMP1" s="631"/>
      <c r="SMQ1" s="631"/>
      <c r="SMR1" s="631"/>
      <c r="SMS1" s="631"/>
      <c r="SMT1" s="631"/>
      <c r="SMU1" s="631"/>
      <c r="SMV1" s="630"/>
      <c r="SMW1" s="630"/>
      <c r="SMX1" s="630"/>
      <c r="SMY1" s="630"/>
      <c r="SMZ1" s="630"/>
      <c r="SNA1" s="630"/>
      <c r="SNB1" s="630"/>
      <c r="SNC1" s="630"/>
      <c r="SND1" s="630"/>
      <c r="SNE1" s="630"/>
      <c r="SNF1" s="630"/>
      <c r="SNG1" s="630"/>
      <c r="SNH1" s="630"/>
      <c r="SNI1" s="630"/>
      <c r="SNJ1" s="630"/>
      <c r="SNK1" s="630"/>
      <c r="SNL1" s="630"/>
      <c r="SNM1" s="630"/>
      <c r="SNN1" s="630"/>
      <c r="SNO1" s="630"/>
      <c r="SNP1" s="630"/>
      <c r="SNQ1" s="630"/>
      <c r="SNR1" s="630"/>
      <c r="SNS1" s="630"/>
      <c r="SNT1" s="630"/>
      <c r="SNU1" s="630"/>
      <c r="SNV1" s="630"/>
      <c r="SNW1" s="630"/>
      <c r="SNX1" s="630"/>
      <c r="SNY1" s="630"/>
      <c r="SNZ1" s="630"/>
      <c r="SOA1" s="630"/>
      <c r="SOB1" s="630"/>
      <c r="SOC1" s="630"/>
      <c r="SOD1" s="630"/>
      <c r="SOE1" s="630"/>
      <c r="SOF1" s="630"/>
      <c r="SOG1" s="630"/>
      <c r="SOH1" s="630"/>
      <c r="SOI1" s="630"/>
      <c r="SOJ1" s="630"/>
      <c r="SOK1" s="630"/>
      <c r="SOL1" s="630"/>
      <c r="SOM1" s="630"/>
      <c r="SON1" s="630"/>
      <c r="SOO1" s="630"/>
      <c r="SOP1" s="630"/>
      <c r="SOQ1" s="630"/>
      <c r="SOR1" s="630"/>
      <c r="SOS1" s="632"/>
      <c r="SOT1" s="631"/>
      <c r="SOU1" s="631"/>
      <c r="SOV1" s="631"/>
      <c r="SOW1" s="631"/>
      <c r="SOX1" s="631"/>
      <c r="SOY1" s="631"/>
      <c r="SOZ1" s="631"/>
      <c r="SPA1" s="631"/>
      <c r="SPB1" s="631"/>
      <c r="SPC1" s="631"/>
      <c r="SPD1" s="631"/>
      <c r="SPE1" s="631"/>
      <c r="SPF1" s="631"/>
      <c r="SPG1" s="631"/>
      <c r="SPH1" s="631"/>
      <c r="SPI1" s="631"/>
      <c r="SPJ1" s="631"/>
      <c r="SPK1" s="630"/>
      <c r="SPL1" s="630"/>
      <c r="SPM1" s="630"/>
      <c r="SPN1" s="630"/>
      <c r="SPO1" s="630"/>
      <c r="SPP1" s="630"/>
      <c r="SPQ1" s="630"/>
      <c r="SPR1" s="630"/>
      <c r="SPS1" s="630"/>
      <c r="SPT1" s="630"/>
      <c r="SPU1" s="630"/>
      <c r="SPV1" s="630"/>
      <c r="SPW1" s="630"/>
      <c r="SPX1" s="630"/>
      <c r="SPY1" s="630"/>
      <c r="SPZ1" s="630"/>
      <c r="SQA1" s="630"/>
      <c r="SQB1" s="630"/>
      <c r="SQC1" s="630"/>
      <c r="SQD1" s="630"/>
      <c r="SQE1" s="630"/>
      <c r="SQF1" s="630"/>
      <c r="SQG1" s="630"/>
      <c r="SQH1" s="630"/>
      <c r="SQI1" s="630"/>
      <c r="SQJ1" s="630"/>
      <c r="SQK1" s="630"/>
      <c r="SQL1" s="630"/>
      <c r="SQM1" s="630"/>
      <c r="SQN1" s="630"/>
      <c r="SQO1" s="630"/>
      <c r="SQP1" s="630"/>
      <c r="SQQ1" s="630"/>
      <c r="SQR1" s="630"/>
      <c r="SQS1" s="630"/>
      <c r="SQT1" s="630"/>
      <c r="SQU1" s="630"/>
      <c r="SQV1" s="630"/>
      <c r="SQW1" s="630"/>
      <c r="SQX1" s="630"/>
      <c r="SQY1" s="630"/>
      <c r="SQZ1" s="630"/>
      <c r="SRA1" s="630"/>
      <c r="SRB1" s="630"/>
      <c r="SRC1" s="630"/>
      <c r="SRD1" s="630"/>
      <c r="SRE1" s="630"/>
      <c r="SRF1" s="630"/>
      <c r="SRG1" s="630"/>
      <c r="SRH1" s="632"/>
      <c r="SRI1" s="631"/>
      <c r="SRJ1" s="631"/>
      <c r="SRK1" s="631"/>
      <c r="SRL1" s="631"/>
      <c r="SRM1" s="631"/>
      <c r="SRN1" s="631"/>
      <c r="SRO1" s="631"/>
      <c r="SRP1" s="631"/>
      <c r="SRQ1" s="631"/>
      <c r="SRR1" s="631"/>
      <c r="SRS1" s="631"/>
      <c r="SRT1" s="631"/>
      <c r="SRU1" s="631"/>
      <c r="SRV1" s="631"/>
      <c r="SRW1" s="631"/>
      <c r="SRX1" s="631"/>
      <c r="SRY1" s="631"/>
      <c r="SRZ1" s="630"/>
      <c r="SSA1" s="630"/>
      <c r="SSB1" s="630"/>
      <c r="SSC1" s="630"/>
      <c r="SSD1" s="630"/>
      <c r="SSE1" s="630"/>
      <c r="SSF1" s="630"/>
      <c r="SSG1" s="630"/>
      <c r="SSH1" s="630"/>
      <c r="SSI1" s="630"/>
      <c r="SSJ1" s="630"/>
      <c r="SSK1" s="630"/>
      <c r="SSL1" s="630"/>
      <c r="SSM1" s="630"/>
      <c r="SSN1" s="630"/>
      <c r="SSO1" s="630"/>
      <c r="SSP1" s="630"/>
      <c r="SSQ1" s="630"/>
      <c r="SSR1" s="630"/>
      <c r="SSS1" s="630"/>
      <c r="SST1" s="630"/>
      <c r="SSU1" s="630"/>
      <c r="SSV1" s="630"/>
      <c r="SSW1" s="630"/>
      <c r="SSX1" s="630"/>
      <c r="SSY1" s="630"/>
      <c r="SSZ1" s="630"/>
      <c r="STA1" s="630"/>
      <c r="STB1" s="630"/>
      <c r="STC1" s="630"/>
      <c r="STD1" s="630"/>
      <c r="STE1" s="630"/>
      <c r="STF1" s="630"/>
      <c r="STG1" s="630"/>
      <c r="STH1" s="630"/>
      <c r="STI1" s="630"/>
      <c r="STJ1" s="630"/>
      <c r="STK1" s="630"/>
      <c r="STL1" s="630"/>
      <c r="STM1" s="630"/>
      <c r="STN1" s="630"/>
      <c r="STO1" s="630"/>
      <c r="STP1" s="630"/>
      <c r="STQ1" s="630"/>
      <c r="STR1" s="630"/>
      <c r="STS1" s="630"/>
      <c r="STT1" s="630"/>
      <c r="STU1" s="630"/>
      <c r="STV1" s="630"/>
      <c r="STW1" s="632"/>
      <c r="STX1" s="631"/>
      <c r="STY1" s="631"/>
      <c r="STZ1" s="631"/>
      <c r="SUA1" s="631"/>
      <c r="SUB1" s="631"/>
      <c r="SUC1" s="631"/>
      <c r="SUD1" s="631"/>
      <c r="SUE1" s="631"/>
      <c r="SUF1" s="631"/>
      <c r="SUG1" s="631"/>
      <c r="SUH1" s="631"/>
      <c r="SUI1" s="631"/>
      <c r="SUJ1" s="631"/>
      <c r="SUK1" s="631"/>
      <c r="SUL1" s="631"/>
      <c r="SUM1" s="631"/>
      <c r="SUN1" s="631"/>
      <c r="SUO1" s="630"/>
      <c r="SUP1" s="630"/>
      <c r="SUQ1" s="630"/>
      <c r="SUR1" s="630"/>
      <c r="SUS1" s="630"/>
      <c r="SUT1" s="630"/>
      <c r="SUU1" s="630"/>
      <c r="SUV1" s="630"/>
      <c r="SUW1" s="630"/>
      <c r="SUX1" s="630"/>
      <c r="SUY1" s="630"/>
      <c r="SUZ1" s="630"/>
      <c r="SVA1" s="630"/>
      <c r="SVB1" s="630"/>
      <c r="SVC1" s="630"/>
      <c r="SVD1" s="630"/>
      <c r="SVE1" s="630"/>
      <c r="SVF1" s="630"/>
      <c r="SVG1" s="630"/>
      <c r="SVH1" s="630"/>
      <c r="SVI1" s="630"/>
      <c r="SVJ1" s="630"/>
      <c r="SVK1" s="630"/>
      <c r="SVL1" s="630"/>
      <c r="SVM1" s="630"/>
      <c r="SVN1" s="630"/>
      <c r="SVO1" s="630"/>
      <c r="SVP1" s="630"/>
      <c r="SVQ1" s="630"/>
      <c r="SVR1" s="630"/>
      <c r="SVS1" s="630"/>
      <c r="SVT1" s="630"/>
      <c r="SVU1" s="630"/>
      <c r="SVV1" s="630"/>
      <c r="SVW1" s="630"/>
      <c r="SVX1" s="630"/>
      <c r="SVY1" s="630"/>
      <c r="SVZ1" s="630"/>
      <c r="SWA1" s="630"/>
      <c r="SWB1" s="630"/>
      <c r="SWC1" s="630"/>
      <c r="SWD1" s="630"/>
      <c r="SWE1" s="630"/>
      <c r="SWF1" s="630"/>
      <c r="SWG1" s="630"/>
      <c r="SWH1" s="630"/>
      <c r="SWI1" s="630"/>
      <c r="SWJ1" s="630"/>
      <c r="SWK1" s="630"/>
      <c r="SWL1" s="632"/>
      <c r="SWM1" s="631"/>
      <c r="SWN1" s="631"/>
      <c r="SWO1" s="631"/>
      <c r="SWP1" s="631"/>
      <c r="SWQ1" s="631"/>
      <c r="SWR1" s="631"/>
      <c r="SWS1" s="631"/>
      <c r="SWT1" s="631"/>
      <c r="SWU1" s="631"/>
      <c r="SWV1" s="631"/>
      <c r="SWW1" s="631"/>
      <c r="SWX1" s="631"/>
      <c r="SWY1" s="631"/>
      <c r="SWZ1" s="631"/>
      <c r="SXA1" s="631"/>
      <c r="SXB1" s="631"/>
      <c r="SXC1" s="631"/>
      <c r="SXD1" s="630"/>
      <c r="SXE1" s="630"/>
      <c r="SXF1" s="630"/>
      <c r="SXG1" s="630"/>
      <c r="SXH1" s="630"/>
      <c r="SXI1" s="630"/>
      <c r="SXJ1" s="630"/>
      <c r="SXK1" s="630"/>
      <c r="SXL1" s="630"/>
      <c r="SXM1" s="630"/>
      <c r="SXN1" s="630"/>
      <c r="SXO1" s="630"/>
      <c r="SXP1" s="630"/>
      <c r="SXQ1" s="630"/>
      <c r="SXR1" s="630"/>
      <c r="SXS1" s="630"/>
      <c r="SXT1" s="630"/>
      <c r="SXU1" s="630"/>
      <c r="SXV1" s="630"/>
      <c r="SXW1" s="630"/>
      <c r="SXX1" s="630"/>
      <c r="SXY1" s="630"/>
      <c r="SXZ1" s="630"/>
      <c r="SYA1" s="630"/>
      <c r="SYB1" s="630"/>
      <c r="SYC1" s="630"/>
      <c r="SYD1" s="630"/>
      <c r="SYE1" s="630"/>
      <c r="SYF1" s="630"/>
      <c r="SYG1" s="630"/>
      <c r="SYH1" s="630"/>
      <c r="SYI1" s="630"/>
      <c r="SYJ1" s="630"/>
      <c r="SYK1" s="630"/>
      <c r="SYL1" s="630"/>
      <c r="SYM1" s="630"/>
      <c r="SYN1" s="630"/>
      <c r="SYO1" s="630"/>
      <c r="SYP1" s="630"/>
      <c r="SYQ1" s="630"/>
      <c r="SYR1" s="630"/>
      <c r="SYS1" s="630"/>
      <c r="SYT1" s="630"/>
      <c r="SYU1" s="630"/>
      <c r="SYV1" s="630"/>
      <c r="SYW1" s="630"/>
      <c r="SYX1" s="630"/>
      <c r="SYY1" s="630"/>
      <c r="SYZ1" s="630"/>
      <c r="SZA1" s="632"/>
      <c r="SZB1" s="631"/>
      <c r="SZC1" s="631"/>
      <c r="SZD1" s="631"/>
      <c r="SZE1" s="631"/>
      <c r="SZF1" s="631"/>
      <c r="SZG1" s="631"/>
      <c r="SZH1" s="631"/>
      <c r="SZI1" s="631"/>
      <c r="SZJ1" s="631"/>
      <c r="SZK1" s="631"/>
      <c r="SZL1" s="631"/>
      <c r="SZM1" s="631"/>
      <c r="SZN1" s="631"/>
      <c r="SZO1" s="631"/>
      <c r="SZP1" s="631"/>
      <c r="SZQ1" s="631"/>
      <c r="SZR1" s="631"/>
      <c r="SZS1" s="630"/>
      <c r="SZT1" s="630"/>
      <c r="SZU1" s="630"/>
      <c r="SZV1" s="630"/>
      <c r="SZW1" s="630"/>
      <c r="SZX1" s="630"/>
      <c r="SZY1" s="630"/>
      <c r="SZZ1" s="630"/>
      <c r="TAA1" s="630"/>
      <c r="TAB1" s="630"/>
      <c r="TAC1" s="630"/>
      <c r="TAD1" s="630"/>
      <c r="TAE1" s="630"/>
      <c r="TAF1" s="630"/>
      <c r="TAG1" s="630"/>
      <c r="TAH1" s="630"/>
      <c r="TAI1" s="630"/>
      <c r="TAJ1" s="630"/>
      <c r="TAK1" s="630"/>
      <c r="TAL1" s="630"/>
      <c r="TAM1" s="630"/>
      <c r="TAN1" s="630"/>
      <c r="TAO1" s="630"/>
      <c r="TAP1" s="630"/>
      <c r="TAQ1" s="630"/>
      <c r="TAR1" s="630"/>
      <c r="TAS1" s="630"/>
      <c r="TAT1" s="630"/>
      <c r="TAU1" s="630"/>
      <c r="TAV1" s="630"/>
      <c r="TAW1" s="630"/>
      <c r="TAX1" s="630"/>
      <c r="TAY1" s="630"/>
      <c r="TAZ1" s="630"/>
      <c r="TBA1" s="630"/>
      <c r="TBB1" s="630"/>
      <c r="TBC1" s="630"/>
      <c r="TBD1" s="630"/>
      <c r="TBE1" s="630"/>
      <c r="TBF1" s="630"/>
      <c r="TBG1" s="630"/>
      <c r="TBH1" s="630"/>
      <c r="TBI1" s="630"/>
      <c r="TBJ1" s="630"/>
      <c r="TBK1" s="630"/>
      <c r="TBL1" s="630"/>
      <c r="TBM1" s="630"/>
      <c r="TBN1" s="630"/>
      <c r="TBO1" s="630"/>
      <c r="TBP1" s="632"/>
      <c r="TBQ1" s="631"/>
      <c r="TBR1" s="631"/>
      <c r="TBS1" s="631"/>
      <c r="TBT1" s="631"/>
      <c r="TBU1" s="631"/>
      <c r="TBV1" s="631"/>
      <c r="TBW1" s="631"/>
      <c r="TBX1" s="631"/>
      <c r="TBY1" s="631"/>
      <c r="TBZ1" s="631"/>
      <c r="TCA1" s="631"/>
      <c r="TCB1" s="631"/>
      <c r="TCC1" s="631"/>
      <c r="TCD1" s="631"/>
      <c r="TCE1" s="631"/>
      <c r="TCF1" s="631"/>
      <c r="TCG1" s="631"/>
      <c r="TCH1" s="630"/>
      <c r="TCI1" s="630"/>
      <c r="TCJ1" s="630"/>
      <c r="TCK1" s="630"/>
      <c r="TCL1" s="630"/>
      <c r="TCM1" s="630"/>
      <c r="TCN1" s="630"/>
      <c r="TCO1" s="630"/>
      <c r="TCP1" s="630"/>
      <c r="TCQ1" s="630"/>
      <c r="TCR1" s="630"/>
      <c r="TCS1" s="630"/>
      <c r="TCT1" s="630"/>
      <c r="TCU1" s="630"/>
      <c r="TCV1" s="630"/>
      <c r="TCW1" s="630"/>
      <c r="TCX1" s="630"/>
      <c r="TCY1" s="630"/>
      <c r="TCZ1" s="630"/>
      <c r="TDA1" s="630"/>
      <c r="TDB1" s="630"/>
      <c r="TDC1" s="630"/>
      <c r="TDD1" s="630"/>
      <c r="TDE1" s="630"/>
      <c r="TDF1" s="630"/>
      <c r="TDG1" s="630"/>
      <c r="TDH1" s="630"/>
      <c r="TDI1" s="630"/>
      <c r="TDJ1" s="630"/>
      <c r="TDK1" s="630"/>
      <c r="TDL1" s="630"/>
      <c r="TDM1" s="630"/>
      <c r="TDN1" s="630"/>
      <c r="TDO1" s="630"/>
      <c r="TDP1" s="630"/>
      <c r="TDQ1" s="630"/>
      <c r="TDR1" s="630"/>
      <c r="TDS1" s="630"/>
      <c r="TDT1" s="630"/>
      <c r="TDU1" s="630"/>
      <c r="TDV1" s="630"/>
      <c r="TDW1" s="630"/>
      <c r="TDX1" s="630"/>
      <c r="TDY1" s="630"/>
      <c r="TDZ1" s="630"/>
      <c r="TEA1" s="630"/>
      <c r="TEB1" s="630"/>
      <c r="TEC1" s="630"/>
      <c r="TED1" s="630"/>
      <c r="TEE1" s="632"/>
      <c r="TEF1" s="631"/>
      <c r="TEG1" s="631"/>
      <c r="TEH1" s="631"/>
      <c r="TEI1" s="631"/>
      <c r="TEJ1" s="631"/>
      <c r="TEK1" s="631"/>
      <c r="TEL1" s="631"/>
      <c r="TEM1" s="631"/>
      <c r="TEN1" s="631"/>
      <c r="TEO1" s="631"/>
      <c r="TEP1" s="631"/>
      <c r="TEQ1" s="631"/>
      <c r="TER1" s="631"/>
      <c r="TES1" s="631"/>
      <c r="TET1" s="631"/>
      <c r="TEU1" s="631"/>
      <c r="TEV1" s="631"/>
      <c r="TEW1" s="630"/>
      <c r="TEX1" s="630"/>
      <c r="TEY1" s="630"/>
      <c r="TEZ1" s="630"/>
      <c r="TFA1" s="630"/>
      <c r="TFB1" s="630"/>
      <c r="TFC1" s="630"/>
      <c r="TFD1" s="630"/>
      <c r="TFE1" s="630"/>
      <c r="TFF1" s="630"/>
      <c r="TFG1" s="630"/>
      <c r="TFH1" s="630"/>
      <c r="TFI1" s="630"/>
      <c r="TFJ1" s="630"/>
      <c r="TFK1" s="630"/>
      <c r="TFL1" s="630"/>
      <c r="TFM1" s="630"/>
      <c r="TFN1" s="630"/>
      <c r="TFO1" s="630"/>
      <c r="TFP1" s="630"/>
      <c r="TFQ1" s="630"/>
      <c r="TFR1" s="630"/>
      <c r="TFS1" s="630"/>
      <c r="TFT1" s="630"/>
      <c r="TFU1" s="630"/>
      <c r="TFV1" s="630"/>
      <c r="TFW1" s="630"/>
      <c r="TFX1" s="630"/>
      <c r="TFY1" s="630"/>
      <c r="TFZ1" s="630"/>
      <c r="TGA1" s="630"/>
      <c r="TGB1" s="630"/>
      <c r="TGC1" s="630"/>
      <c r="TGD1" s="630"/>
      <c r="TGE1" s="630"/>
      <c r="TGF1" s="630"/>
      <c r="TGG1" s="630"/>
      <c r="TGH1" s="630"/>
      <c r="TGI1" s="630"/>
      <c r="TGJ1" s="630"/>
      <c r="TGK1" s="630"/>
      <c r="TGL1" s="630"/>
      <c r="TGM1" s="630"/>
      <c r="TGN1" s="630"/>
      <c r="TGO1" s="630"/>
      <c r="TGP1" s="630"/>
      <c r="TGQ1" s="630"/>
      <c r="TGR1" s="630"/>
      <c r="TGS1" s="630"/>
      <c r="TGT1" s="632"/>
      <c r="TGU1" s="631"/>
      <c r="TGV1" s="631"/>
      <c r="TGW1" s="631"/>
      <c r="TGX1" s="631"/>
      <c r="TGY1" s="631"/>
      <c r="TGZ1" s="631"/>
      <c r="THA1" s="631"/>
      <c r="THB1" s="631"/>
      <c r="THC1" s="631"/>
      <c r="THD1" s="631"/>
      <c r="THE1" s="631"/>
      <c r="THF1" s="631"/>
      <c r="THG1" s="631"/>
      <c r="THH1" s="631"/>
      <c r="THI1" s="631"/>
      <c r="THJ1" s="631"/>
      <c r="THK1" s="631"/>
      <c r="THL1" s="630"/>
      <c r="THM1" s="630"/>
      <c r="THN1" s="630"/>
      <c r="THO1" s="630"/>
      <c r="THP1" s="630"/>
      <c r="THQ1" s="630"/>
      <c r="THR1" s="630"/>
      <c r="THS1" s="630"/>
      <c r="THT1" s="630"/>
      <c r="THU1" s="630"/>
      <c r="THV1" s="630"/>
      <c r="THW1" s="630"/>
      <c r="THX1" s="630"/>
      <c r="THY1" s="630"/>
      <c r="THZ1" s="630"/>
      <c r="TIA1" s="630"/>
      <c r="TIB1" s="630"/>
      <c r="TIC1" s="630"/>
      <c r="TID1" s="630"/>
      <c r="TIE1" s="630"/>
      <c r="TIF1" s="630"/>
      <c r="TIG1" s="630"/>
      <c r="TIH1" s="630"/>
      <c r="TII1" s="630"/>
      <c r="TIJ1" s="630"/>
      <c r="TIK1" s="630"/>
      <c r="TIL1" s="630"/>
      <c r="TIM1" s="630"/>
      <c r="TIN1" s="630"/>
      <c r="TIO1" s="630"/>
      <c r="TIP1" s="630"/>
      <c r="TIQ1" s="630"/>
      <c r="TIR1" s="630"/>
      <c r="TIS1" s="630"/>
      <c r="TIT1" s="630"/>
      <c r="TIU1" s="630"/>
      <c r="TIV1" s="630"/>
      <c r="TIW1" s="630"/>
      <c r="TIX1" s="630"/>
      <c r="TIY1" s="630"/>
      <c r="TIZ1" s="630"/>
      <c r="TJA1" s="630"/>
      <c r="TJB1" s="630"/>
      <c r="TJC1" s="630"/>
      <c r="TJD1" s="630"/>
      <c r="TJE1" s="630"/>
      <c r="TJF1" s="630"/>
      <c r="TJG1" s="630"/>
      <c r="TJH1" s="630"/>
      <c r="TJI1" s="632"/>
      <c r="TJJ1" s="631"/>
      <c r="TJK1" s="631"/>
      <c r="TJL1" s="631"/>
      <c r="TJM1" s="631"/>
      <c r="TJN1" s="631"/>
      <c r="TJO1" s="631"/>
      <c r="TJP1" s="631"/>
      <c r="TJQ1" s="631"/>
      <c r="TJR1" s="631"/>
      <c r="TJS1" s="631"/>
      <c r="TJT1" s="631"/>
      <c r="TJU1" s="631"/>
      <c r="TJV1" s="631"/>
      <c r="TJW1" s="631"/>
      <c r="TJX1" s="631"/>
      <c r="TJY1" s="631"/>
      <c r="TJZ1" s="631"/>
      <c r="TKA1" s="630"/>
      <c r="TKB1" s="630"/>
      <c r="TKC1" s="630"/>
      <c r="TKD1" s="630"/>
      <c r="TKE1" s="630"/>
      <c r="TKF1" s="630"/>
      <c r="TKG1" s="630"/>
      <c r="TKH1" s="630"/>
      <c r="TKI1" s="630"/>
      <c r="TKJ1" s="630"/>
      <c r="TKK1" s="630"/>
      <c r="TKL1" s="630"/>
      <c r="TKM1" s="630"/>
      <c r="TKN1" s="630"/>
      <c r="TKO1" s="630"/>
      <c r="TKP1" s="630"/>
      <c r="TKQ1" s="630"/>
      <c r="TKR1" s="630"/>
      <c r="TKS1" s="630"/>
      <c r="TKT1" s="630"/>
      <c r="TKU1" s="630"/>
      <c r="TKV1" s="630"/>
      <c r="TKW1" s="630"/>
      <c r="TKX1" s="630"/>
      <c r="TKY1" s="630"/>
      <c r="TKZ1" s="630"/>
      <c r="TLA1" s="630"/>
      <c r="TLB1" s="630"/>
      <c r="TLC1" s="630"/>
      <c r="TLD1" s="630"/>
      <c r="TLE1" s="630"/>
      <c r="TLF1" s="630"/>
      <c r="TLG1" s="630"/>
      <c r="TLH1" s="630"/>
      <c r="TLI1" s="630"/>
      <c r="TLJ1" s="630"/>
      <c r="TLK1" s="630"/>
      <c r="TLL1" s="630"/>
      <c r="TLM1" s="630"/>
      <c r="TLN1" s="630"/>
      <c r="TLO1" s="630"/>
      <c r="TLP1" s="630"/>
      <c r="TLQ1" s="630"/>
      <c r="TLR1" s="630"/>
      <c r="TLS1" s="630"/>
      <c r="TLT1" s="630"/>
      <c r="TLU1" s="630"/>
      <c r="TLV1" s="630"/>
      <c r="TLW1" s="630"/>
      <c r="TLX1" s="632"/>
      <c r="TLY1" s="631"/>
      <c r="TLZ1" s="631"/>
      <c r="TMA1" s="631"/>
      <c r="TMB1" s="631"/>
      <c r="TMC1" s="631"/>
      <c r="TMD1" s="631"/>
      <c r="TME1" s="631"/>
      <c r="TMF1" s="631"/>
      <c r="TMG1" s="631"/>
      <c r="TMH1" s="631"/>
      <c r="TMI1" s="631"/>
      <c r="TMJ1" s="631"/>
      <c r="TMK1" s="631"/>
      <c r="TML1" s="631"/>
      <c r="TMM1" s="631"/>
      <c r="TMN1" s="631"/>
      <c r="TMO1" s="631"/>
      <c r="TMP1" s="630"/>
      <c r="TMQ1" s="630"/>
      <c r="TMR1" s="630"/>
      <c r="TMS1" s="630"/>
      <c r="TMT1" s="630"/>
      <c r="TMU1" s="630"/>
      <c r="TMV1" s="630"/>
      <c r="TMW1" s="630"/>
      <c r="TMX1" s="630"/>
      <c r="TMY1" s="630"/>
      <c r="TMZ1" s="630"/>
      <c r="TNA1" s="630"/>
      <c r="TNB1" s="630"/>
      <c r="TNC1" s="630"/>
      <c r="TND1" s="630"/>
      <c r="TNE1" s="630"/>
      <c r="TNF1" s="630"/>
      <c r="TNG1" s="630"/>
      <c r="TNH1" s="630"/>
      <c r="TNI1" s="630"/>
      <c r="TNJ1" s="630"/>
      <c r="TNK1" s="630"/>
      <c r="TNL1" s="630"/>
      <c r="TNM1" s="630"/>
      <c r="TNN1" s="630"/>
      <c r="TNO1" s="630"/>
      <c r="TNP1" s="630"/>
      <c r="TNQ1" s="630"/>
      <c r="TNR1" s="630"/>
      <c r="TNS1" s="630"/>
      <c r="TNT1" s="630"/>
      <c r="TNU1" s="630"/>
      <c r="TNV1" s="630"/>
      <c r="TNW1" s="630"/>
      <c r="TNX1" s="630"/>
      <c r="TNY1" s="630"/>
      <c r="TNZ1" s="630"/>
      <c r="TOA1" s="630"/>
      <c r="TOB1" s="630"/>
      <c r="TOC1" s="630"/>
      <c r="TOD1" s="630"/>
      <c r="TOE1" s="630"/>
      <c r="TOF1" s="630"/>
      <c r="TOG1" s="630"/>
      <c r="TOH1" s="630"/>
      <c r="TOI1" s="630"/>
      <c r="TOJ1" s="630"/>
      <c r="TOK1" s="630"/>
      <c r="TOL1" s="630"/>
      <c r="TOM1" s="632"/>
      <c r="TON1" s="631"/>
      <c r="TOO1" s="631"/>
      <c r="TOP1" s="631"/>
      <c r="TOQ1" s="631"/>
      <c r="TOR1" s="631"/>
      <c r="TOS1" s="631"/>
      <c r="TOT1" s="631"/>
      <c r="TOU1" s="631"/>
      <c r="TOV1" s="631"/>
      <c r="TOW1" s="631"/>
      <c r="TOX1" s="631"/>
      <c r="TOY1" s="631"/>
      <c r="TOZ1" s="631"/>
      <c r="TPA1" s="631"/>
      <c r="TPB1" s="631"/>
      <c r="TPC1" s="631"/>
      <c r="TPD1" s="631"/>
      <c r="TPE1" s="630"/>
      <c r="TPF1" s="630"/>
      <c r="TPG1" s="630"/>
      <c r="TPH1" s="630"/>
      <c r="TPI1" s="630"/>
      <c r="TPJ1" s="630"/>
      <c r="TPK1" s="630"/>
      <c r="TPL1" s="630"/>
      <c r="TPM1" s="630"/>
      <c r="TPN1" s="630"/>
      <c r="TPO1" s="630"/>
      <c r="TPP1" s="630"/>
      <c r="TPQ1" s="630"/>
      <c r="TPR1" s="630"/>
      <c r="TPS1" s="630"/>
      <c r="TPT1" s="630"/>
      <c r="TPU1" s="630"/>
      <c r="TPV1" s="630"/>
      <c r="TPW1" s="630"/>
      <c r="TPX1" s="630"/>
      <c r="TPY1" s="630"/>
      <c r="TPZ1" s="630"/>
      <c r="TQA1" s="630"/>
      <c r="TQB1" s="630"/>
      <c r="TQC1" s="630"/>
      <c r="TQD1" s="630"/>
      <c r="TQE1" s="630"/>
      <c r="TQF1" s="630"/>
      <c r="TQG1" s="630"/>
      <c r="TQH1" s="630"/>
      <c r="TQI1" s="630"/>
      <c r="TQJ1" s="630"/>
      <c r="TQK1" s="630"/>
      <c r="TQL1" s="630"/>
      <c r="TQM1" s="630"/>
      <c r="TQN1" s="630"/>
      <c r="TQO1" s="630"/>
      <c r="TQP1" s="630"/>
      <c r="TQQ1" s="630"/>
      <c r="TQR1" s="630"/>
      <c r="TQS1" s="630"/>
      <c r="TQT1" s="630"/>
      <c r="TQU1" s="630"/>
      <c r="TQV1" s="630"/>
      <c r="TQW1" s="630"/>
      <c r="TQX1" s="630"/>
      <c r="TQY1" s="630"/>
      <c r="TQZ1" s="630"/>
      <c r="TRA1" s="630"/>
      <c r="TRB1" s="632"/>
      <c r="TRC1" s="631"/>
      <c r="TRD1" s="631"/>
      <c r="TRE1" s="631"/>
      <c r="TRF1" s="631"/>
      <c r="TRG1" s="631"/>
      <c r="TRH1" s="631"/>
      <c r="TRI1" s="631"/>
      <c r="TRJ1" s="631"/>
      <c r="TRK1" s="631"/>
      <c r="TRL1" s="631"/>
      <c r="TRM1" s="631"/>
      <c r="TRN1" s="631"/>
      <c r="TRO1" s="631"/>
      <c r="TRP1" s="631"/>
      <c r="TRQ1" s="631"/>
      <c r="TRR1" s="631"/>
      <c r="TRS1" s="631"/>
      <c r="TRT1" s="630"/>
      <c r="TRU1" s="630"/>
      <c r="TRV1" s="630"/>
      <c r="TRW1" s="630"/>
      <c r="TRX1" s="630"/>
      <c r="TRY1" s="630"/>
      <c r="TRZ1" s="630"/>
      <c r="TSA1" s="630"/>
      <c r="TSB1" s="630"/>
      <c r="TSC1" s="630"/>
      <c r="TSD1" s="630"/>
      <c r="TSE1" s="630"/>
      <c r="TSF1" s="630"/>
      <c r="TSG1" s="630"/>
      <c r="TSH1" s="630"/>
      <c r="TSI1" s="630"/>
      <c r="TSJ1" s="630"/>
      <c r="TSK1" s="630"/>
      <c r="TSL1" s="630"/>
      <c r="TSM1" s="630"/>
      <c r="TSN1" s="630"/>
      <c r="TSO1" s="630"/>
      <c r="TSP1" s="630"/>
      <c r="TSQ1" s="630"/>
      <c r="TSR1" s="630"/>
      <c r="TSS1" s="630"/>
      <c r="TST1" s="630"/>
      <c r="TSU1" s="630"/>
      <c r="TSV1" s="630"/>
      <c r="TSW1" s="630"/>
      <c r="TSX1" s="630"/>
      <c r="TSY1" s="630"/>
      <c r="TSZ1" s="630"/>
      <c r="TTA1" s="630"/>
      <c r="TTB1" s="630"/>
      <c r="TTC1" s="630"/>
      <c r="TTD1" s="630"/>
      <c r="TTE1" s="630"/>
      <c r="TTF1" s="630"/>
      <c r="TTG1" s="630"/>
      <c r="TTH1" s="630"/>
      <c r="TTI1" s="630"/>
      <c r="TTJ1" s="630"/>
      <c r="TTK1" s="630"/>
      <c r="TTL1" s="630"/>
      <c r="TTM1" s="630"/>
      <c r="TTN1" s="630"/>
      <c r="TTO1" s="630"/>
      <c r="TTP1" s="630"/>
      <c r="TTQ1" s="632"/>
      <c r="TTR1" s="631"/>
      <c r="TTS1" s="631"/>
      <c r="TTT1" s="631"/>
      <c r="TTU1" s="631"/>
      <c r="TTV1" s="631"/>
      <c r="TTW1" s="631"/>
      <c r="TTX1" s="631"/>
      <c r="TTY1" s="631"/>
      <c r="TTZ1" s="631"/>
      <c r="TUA1" s="631"/>
      <c r="TUB1" s="631"/>
      <c r="TUC1" s="631"/>
      <c r="TUD1" s="631"/>
      <c r="TUE1" s="631"/>
      <c r="TUF1" s="631"/>
      <c r="TUG1" s="631"/>
      <c r="TUH1" s="631"/>
      <c r="TUI1" s="630"/>
      <c r="TUJ1" s="630"/>
      <c r="TUK1" s="630"/>
      <c r="TUL1" s="630"/>
      <c r="TUM1" s="630"/>
      <c r="TUN1" s="630"/>
      <c r="TUO1" s="630"/>
      <c r="TUP1" s="630"/>
      <c r="TUQ1" s="630"/>
      <c r="TUR1" s="630"/>
      <c r="TUS1" s="630"/>
      <c r="TUT1" s="630"/>
      <c r="TUU1" s="630"/>
      <c r="TUV1" s="630"/>
      <c r="TUW1" s="630"/>
      <c r="TUX1" s="630"/>
      <c r="TUY1" s="630"/>
      <c r="TUZ1" s="630"/>
      <c r="TVA1" s="630"/>
      <c r="TVB1" s="630"/>
      <c r="TVC1" s="630"/>
      <c r="TVD1" s="630"/>
      <c r="TVE1" s="630"/>
      <c r="TVF1" s="630"/>
      <c r="TVG1" s="630"/>
      <c r="TVH1" s="630"/>
      <c r="TVI1" s="630"/>
      <c r="TVJ1" s="630"/>
      <c r="TVK1" s="630"/>
      <c r="TVL1" s="630"/>
      <c r="TVM1" s="630"/>
      <c r="TVN1" s="630"/>
      <c r="TVO1" s="630"/>
      <c r="TVP1" s="630"/>
      <c r="TVQ1" s="630"/>
      <c r="TVR1" s="630"/>
      <c r="TVS1" s="630"/>
      <c r="TVT1" s="630"/>
      <c r="TVU1" s="630"/>
      <c r="TVV1" s="630"/>
      <c r="TVW1" s="630"/>
      <c r="TVX1" s="630"/>
      <c r="TVY1" s="630"/>
      <c r="TVZ1" s="630"/>
      <c r="TWA1" s="630"/>
      <c r="TWB1" s="630"/>
      <c r="TWC1" s="630"/>
      <c r="TWD1" s="630"/>
      <c r="TWE1" s="630"/>
      <c r="TWF1" s="632"/>
      <c r="TWG1" s="631"/>
      <c r="TWH1" s="631"/>
      <c r="TWI1" s="631"/>
      <c r="TWJ1" s="631"/>
      <c r="TWK1" s="631"/>
      <c r="TWL1" s="631"/>
      <c r="TWM1" s="631"/>
      <c r="TWN1" s="631"/>
      <c r="TWO1" s="631"/>
      <c r="TWP1" s="631"/>
      <c r="TWQ1" s="631"/>
      <c r="TWR1" s="631"/>
      <c r="TWS1" s="631"/>
      <c r="TWT1" s="631"/>
      <c r="TWU1" s="631"/>
      <c r="TWV1" s="631"/>
      <c r="TWW1" s="631"/>
      <c r="TWX1" s="630"/>
      <c r="TWY1" s="630"/>
      <c r="TWZ1" s="630"/>
      <c r="TXA1" s="630"/>
      <c r="TXB1" s="630"/>
      <c r="TXC1" s="630"/>
      <c r="TXD1" s="630"/>
      <c r="TXE1" s="630"/>
      <c r="TXF1" s="630"/>
      <c r="TXG1" s="630"/>
      <c r="TXH1" s="630"/>
      <c r="TXI1" s="630"/>
      <c r="TXJ1" s="630"/>
      <c r="TXK1" s="630"/>
      <c r="TXL1" s="630"/>
      <c r="TXM1" s="630"/>
      <c r="TXN1" s="630"/>
      <c r="TXO1" s="630"/>
      <c r="TXP1" s="630"/>
      <c r="TXQ1" s="630"/>
      <c r="TXR1" s="630"/>
      <c r="TXS1" s="630"/>
      <c r="TXT1" s="630"/>
      <c r="TXU1" s="630"/>
      <c r="TXV1" s="630"/>
      <c r="TXW1" s="630"/>
      <c r="TXX1" s="630"/>
      <c r="TXY1" s="630"/>
      <c r="TXZ1" s="630"/>
      <c r="TYA1" s="630"/>
      <c r="TYB1" s="630"/>
      <c r="TYC1" s="630"/>
      <c r="TYD1" s="630"/>
      <c r="TYE1" s="630"/>
      <c r="TYF1" s="630"/>
      <c r="TYG1" s="630"/>
      <c r="TYH1" s="630"/>
      <c r="TYI1" s="630"/>
      <c r="TYJ1" s="630"/>
      <c r="TYK1" s="630"/>
      <c r="TYL1" s="630"/>
      <c r="TYM1" s="630"/>
      <c r="TYN1" s="630"/>
      <c r="TYO1" s="630"/>
      <c r="TYP1" s="630"/>
      <c r="TYQ1" s="630"/>
      <c r="TYR1" s="630"/>
      <c r="TYS1" s="630"/>
      <c r="TYT1" s="630"/>
      <c r="TYU1" s="632"/>
      <c r="TYV1" s="631"/>
      <c r="TYW1" s="631"/>
      <c r="TYX1" s="631"/>
      <c r="TYY1" s="631"/>
      <c r="TYZ1" s="631"/>
      <c r="TZA1" s="631"/>
      <c r="TZB1" s="631"/>
      <c r="TZC1" s="631"/>
      <c r="TZD1" s="631"/>
      <c r="TZE1" s="631"/>
      <c r="TZF1" s="631"/>
      <c r="TZG1" s="631"/>
      <c r="TZH1" s="631"/>
      <c r="TZI1" s="631"/>
      <c r="TZJ1" s="631"/>
      <c r="TZK1" s="631"/>
      <c r="TZL1" s="631"/>
      <c r="TZM1" s="630"/>
      <c r="TZN1" s="630"/>
      <c r="TZO1" s="630"/>
      <c r="TZP1" s="630"/>
      <c r="TZQ1" s="630"/>
      <c r="TZR1" s="630"/>
      <c r="TZS1" s="630"/>
      <c r="TZT1" s="630"/>
      <c r="TZU1" s="630"/>
      <c r="TZV1" s="630"/>
      <c r="TZW1" s="630"/>
      <c r="TZX1" s="630"/>
      <c r="TZY1" s="630"/>
      <c r="TZZ1" s="630"/>
      <c r="UAA1" s="630"/>
      <c r="UAB1" s="630"/>
      <c r="UAC1" s="630"/>
      <c r="UAD1" s="630"/>
      <c r="UAE1" s="630"/>
      <c r="UAF1" s="630"/>
      <c r="UAG1" s="630"/>
      <c r="UAH1" s="630"/>
      <c r="UAI1" s="630"/>
      <c r="UAJ1" s="630"/>
      <c r="UAK1" s="630"/>
      <c r="UAL1" s="630"/>
      <c r="UAM1" s="630"/>
      <c r="UAN1" s="630"/>
      <c r="UAO1" s="630"/>
      <c r="UAP1" s="630"/>
      <c r="UAQ1" s="630"/>
      <c r="UAR1" s="630"/>
      <c r="UAS1" s="630"/>
      <c r="UAT1" s="630"/>
      <c r="UAU1" s="630"/>
      <c r="UAV1" s="630"/>
      <c r="UAW1" s="630"/>
      <c r="UAX1" s="630"/>
      <c r="UAY1" s="630"/>
      <c r="UAZ1" s="630"/>
      <c r="UBA1" s="630"/>
      <c r="UBB1" s="630"/>
      <c r="UBC1" s="630"/>
      <c r="UBD1" s="630"/>
      <c r="UBE1" s="630"/>
      <c r="UBF1" s="630"/>
      <c r="UBG1" s="630"/>
      <c r="UBH1" s="630"/>
      <c r="UBI1" s="630"/>
      <c r="UBJ1" s="632"/>
      <c r="UBK1" s="631"/>
      <c r="UBL1" s="631"/>
      <c r="UBM1" s="631"/>
      <c r="UBN1" s="631"/>
      <c r="UBO1" s="631"/>
      <c r="UBP1" s="631"/>
      <c r="UBQ1" s="631"/>
      <c r="UBR1" s="631"/>
      <c r="UBS1" s="631"/>
      <c r="UBT1" s="631"/>
      <c r="UBU1" s="631"/>
      <c r="UBV1" s="631"/>
      <c r="UBW1" s="631"/>
      <c r="UBX1" s="631"/>
      <c r="UBY1" s="631"/>
      <c r="UBZ1" s="631"/>
      <c r="UCA1" s="631"/>
      <c r="UCB1" s="630"/>
      <c r="UCC1" s="630"/>
      <c r="UCD1" s="630"/>
      <c r="UCE1" s="630"/>
      <c r="UCF1" s="630"/>
      <c r="UCG1" s="630"/>
      <c r="UCH1" s="630"/>
      <c r="UCI1" s="630"/>
      <c r="UCJ1" s="630"/>
      <c r="UCK1" s="630"/>
      <c r="UCL1" s="630"/>
      <c r="UCM1" s="630"/>
      <c r="UCN1" s="630"/>
      <c r="UCO1" s="630"/>
      <c r="UCP1" s="630"/>
      <c r="UCQ1" s="630"/>
      <c r="UCR1" s="630"/>
      <c r="UCS1" s="630"/>
      <c r="UCT1" s="630"/>
      <c r="UCU1" s="630"/>
      <c r="UCV1" s="630"/>
      <c r="UCW1" s="630"/>
      <c r="UCX1" s="630"/>
      <c r="UCY1" s="630"/>
      <c r="UCZ1" s="630"/>
      <c r="UDA1" s="630"/>
      <c r="UDB1" s="630"/>
      <c r="UDC1" s="630"/>
      <c r="UDD1" s="630"/>
      <c r="UDE1" s="630"/>
      <c r="UDF1" s="630"/>
      <c r="UDG1" s="630"/>
      <c r="UDH1" s="630"/>
      <c r="UDI1" s="630"/>
      <c r="UDJ1" s="630"/>
      <c r="UDK1" s="630"/>
      <c r="UDL1" s="630"/>
      <c r="UDM1" s="630"/>
      <c r="UDN1" s="630"/>
      <c r="UDO1" s="630"/>
      <c r="UDP1" s="630"/>
      <c r="UDQ1" s="630"/>
      <c r="UDR1" s="630"/>
      <c r="UDS1" s="630"/>
      <c r="UDT1" s="630"/>
      <c r="UDU1" s="630"/>
      <c r="UDV1" s="630"/>
      <c r="UDW1" s="630"/>
      <c r="UDX1" s="630"/>
      <c r="UDY1" s="632"/>
      <c r="UDZ1" s="631"/>
      <c r="UEA1" s="631"/>
      <c r="UEB1" s="631"/>
      <c r="UEC1" s="631"/>
      <c r="UED1" s="631"/>
      <c r="UEE1" s="631"/>
      <c r="UEF1" s="631"/>
      <c r="UEG1" s="631"/>
      <c r="UEH1" s="631"/>
      <c r="UEI1" s="631"/>
      <c r="UEJ1" s="631"/>
      <c r="UEK1" s="631"/>
      <c r="UEL1" s="631"/>
      <c r="UEM1" s="631"/>
      <c r="UEN1" s="631"/>
      <c r="UEO1" s="631"/>
      <c r="UEP1" s="631"/>
      <c r="UEQ1" s="630"/>
      <c r="UER1" s="630"/>
      <c r="UES1" s="630"/>
      <c r="UET1" s="630"/>
      <c r="UEU1" s="630"/>
      <c r="UEV1" s="630"/>
      <c r="UEW1" s="630"/>
      <c r="UEX1" s="630"/>
      <c r="UEY1" s="630"/>
      <c r="UEZ1" s="630"/>
      <c r="UFA1" s="630"/>
      <c r="UFB1" s="630"/>
      <c r="UFC1" s="630"/>
      <c r="UFD1" s="630"/>
      <c r="UFE1" s="630"/>
      <c r="UFF1" s="630"/>
      <c r="UFG1" s="630"/>
      <c r="UFH1" s="630"/>
      <c r="UFI1" s="630"/>
      <c r="UFJ1" s="630"/>
      <c r="UFK1" s="630"/>
      <c r="UFL1" s="630"/>
      <c r="UFM1" s="630"/>
      <c r="UFN1" s="630"/>
      <c r="UFO1" s="630"/>
      <c r="UFP1" s="630"/>
      <c r="UFQ1" s="630"/>
      <c r="UFR1" s="630"/>
      <c r="UFS1" s="630"/>
      <c r="UFT1" s="630"/>
      <c r="UFU1" s="630"/>
      <c r="UFV1" s="630"/>
      <c r="UFW1" s="630"/>
      <c r="UFX1" s="630"/>
      <c r="UFY1" s="630"/>
      <c r="UFZ1" s="630"/>
      <c r="UGA1" s="630"/>
      <c r="UGB1" s="630"/>
      <c r="UGC1" s="630"/>
      <c r="UGD1" s="630"/>
      <c r="UGE1" s="630"/>
      <c r="UGF1" s="630"/>
      <c r="UGG1" s="630"/>
      <c r="UGH1" s="630"/>
      <c r="UGI1" s="630"/>
      <c r="UGJ1" s="630"/>
      <c r="UGK1" s="630"/>
      <c r="UGL1" s="630"/>
      <c r="UGM1" s="630"/>
      <c r="UGN1" s="632"/>
      <c r="UGO1" s="631"/>
      <c r="UGP1" s="631"/>
      <c r="UGQ1" s="631"/>
      <c r="UGR1" s="631"/>
      <c r="UGS1" s="631"/>
      <c r="UGT1" s="631"/>
      <c r="UGU1" s="631"/>
      <c r="UGV1" s="631"/>
      <c r="UGW1" s="631"/>
      <c r="UGX1" s="631"/>
      <c r="UGY1" s="631"/>
      <c r="UGZ1" s="631"/>
      <c r="UHA1" s="631"/>
      <c r="UHB1" s="631"/>
      <c r="UHC1" s="631"/>
      <c r="UHD1" s="631"/>
      <c r="UHE1" s="631"/>
      <c r="UHF1" s="630"/>
      <c r="UHG1" s="630"/>
      <c r="UHH1" s="630"/>
      <c r="UHI1" s="630"/>
      <c r="UHJ1" s="630"/>
      <c r="UHK1" s="630"/>
      <c r="UHL1" s="630"/>
      <c r="UHM1" s="630"/>
      <c r="UHN1" s="630"/>
      <c r="UHO1" s="630"/>
      <c r="UHP1" s="630"/>
      <c r="UHQ1" s="630"/>
      <c r="UHR1" s="630"/>
      <c r="UHS1" s="630"/>
      <c r="UHT1" s="630"/>
      <c r="UHU1" s="630"/>
      <c r="UHV1" s="630"/>
      <c r="UHW1" s="630"/>
      <c r="UHX1" s="630"/>
      <c r="UHY1" s="630"/>
      <c r="UHZ1" s="630"/>
      <c r="UIA1" s="630"/>
      <c r="UIB1" s="630"/>
      <c r="UIC1" s="630"/>
      <c r="UID1" s="630"/>
      <c r="UIE1" s="630"/>
      <c r="UIF1" s="630"/>
      <c r="UIG1" s="630"/>
      <c r="UIH1" s="630"/>
      <c r="UII1" s="630"/>
      <c r="UIJ1" s="630"/>
      <c r="UIK1" s="630"/>
      <c r="UIL1" s="630"/>
      <c r="UIM1" s="630"/>
      <c r="UIN1" s="630"/>
      <c r="UIO1" s="630"/>
      <c r="UIP1" s="630"/>
      <c r="UIQ1" s="630"/>
      <c r="UIR1" s="630"/>
      <c r="UIS1" s="630"/>
      <c r="UIT1" s="630"/>
      <c r="UIU1" s="630"/>
      <c r="UIV1" s="630"/>
      <c r="UIW1" s="630"/>
      <c r="UIX1" s="630"/>
      <c r="UIY1" s="630"/>
      <c r="UIZ1" s="630"/>
      <c r="UJA1" s="630"/>
      <c r="UJB1" s="630"/>
      <c r="UJC1" s="632"/>
      <c r="UJD1" s="631"/>
      <c r="UJE1" s="631"/>
      <c r="UJF1" s="631"/>
      <c r="UJG1" s="631"/>
      <c r="UJH1" s="631"/>
      <c r="UJI1" s="631"/>
      <c r="UJJ1" s="631"/>
      <c r="UJK1" s="631"/>
      <c r="UJL1" s="631"/>
      <c r="UJM1" s="631"/>
      <c r="UJN1" s="631"/>
      <c r="UJO1" s="631"/>
      <c r="UJP1" s="631"/>
      <c r="UJQ1" s="631"/>
      <c r="UJR1" s="631"/>
      <c r="UJS1" s="631"/>
      <c r="UJT1" s="631"/>
      <c r="UJU1" s="630"/>
      <c r="UJV1" s="630"/>
      <c r="UJW1" s="630"/>
      <c r="UJX1" s="630"/>
      <c r="UJY1" s="630"/>
      <c r="UJZ1" s="630"/>
      <c r="UKA1" s="630"/>
      <c r="UKB1" s="630"/>
      <c r="UKC1" s="630"/>
      <c r="UKD1" s="630"/>
      <c r="UKE1" s="630"/>
      <c r="UKF1" s="630"/>
      <c r="UKG1" s="630"/>
      <c r="UKH1" s="630"/>
      <c r="UKI1" s="630"/>
      <c r="UKJ1" s="630"/>
      <c r="UKK1" s="630"/>
      <c r="UKL1" s="630"/>
      <c r="UKM1" s="630"/>
      <c r="UKN1" s="630"/>
      <c r="UKO1" s="630"/>
      <c r="UKP1" s="630"/>
      <c r="UKQ1" s="630"/>
      <c r="UKR1" s="630"/>
      <c r="UKS1" s="630"/>
      <c r="UKT1" s="630"/>
      <c r="UKU1" s="630"/>
      <c r="UKV1" s="630"/>
      <c r="UKW1" s="630"/>
      <c r="UKX1" s="630"/>
      <c r="UKY1" s="630"/>
      <c r="UKZ1" s="630"/>
      <c r="ULA1" s="630"/>
      <c r="ULB1" s="630"/>
      <c r="ULC1" s="630"/>
      <c r="ULD1" s="630"/>
      <c r="ULE1" s="630"/>
      <c r="ULF1" s="630"/>
      <c r="ULG1" s="630"/>
      <c r="ULH1" s="630"/>
      <c r="ULI1" s="630"/>
      <c r="ULJ1" s="630"/>
      <c r="ULK1" s="630"/>
      <c r="ULL1" s="630"/>
      <c r="ULM1" s="630"/>
      <c r="ULN1" s="630"/>
      <c r="ULO1" s="630"/>
      <c r="ULP1" s="630"/>
      <c r="ULQ1" s="630"/>
      <c r="ULR1" s="632"/>
      <c r="ULS1" s="631"/>
      <c r="ULT1" s="631"/>
      <c r="ULU1" s="631"/>
      <c r="ULV1" s="631"/>
      <c r="ULW1" s="631"/>
      <c r="ULX1" s="631"/>
      <c r="ULY1" s="631"/>
      <c r="ULZ1" s="631"/>
      <c r="UMA1" s="631"/>
      <c r="UMB1" s="631"/>
      <c r="UMC1" s="631"/>
      <c r="UMD1" s="631"/>
      <c r="UME1" s="631"/>
      <c r="UMF1" s="631"/>
      <c r="UMG1" s="631"/>
      <c r="UMH1" s="631"/>
      <c r="UMI1" s="631"/>
      <c r="UMJ1" s="630"/>
      <c r="UMK1" s="630"/>
      <c r="UML1" s="630"/>
      <c r="UMM1" s="630"/>
      <c r="UMN1" s="630"/>
      <c r="UMO1" s="630"/>
      <c r="UMP1" s="630"/>
      <c r="UMQ1" s="630"/>
      <c r="UMR1" s="630"/>
      <c r="UMS1" s="630"/>
      <c r="UMT1" s="630"/>
      <c r="UMU1" s="630"/>
      <c r="UMV1" s="630"/>
      <c r="UMW1" s="630"/>
      <c r="UMX1" s="630"/>
      <c r="UMY1" s="630"/>
      <c r="UMZ1" s="630"/>
      <c r="UNA1" s="630"/>
      <c r="UNB1" s="630"/>
      <c r="UNC1" s="630"/>
      <c r="UND1" s="630"/>
      <c r="UNE1" s="630"/>
      <c r="UNF1" s="630"/>
      <c r="UNG1" s="630"/>
      <c r="UNH1" s="630"/>
      <c r="UNI1" s="630"/>
      <c r="UNJ1" s="630"/>
      <c r="UNK1" s="630"/>
      <c r="UNL1" s="630"/>
      <c r="UNM1" s="630"/>
      <c r="UNN1" s="630"/>
      <c r="UNO1" s="630"/>
      <c r="UNP1" s="630"/>
      <c r="UNQ1" s="630"/>
      <c r="UNR1" s="630"/>
      <c r="UNS1" s="630"/>
      <c r="UNT1" s="630"/>
      <c r="UNU1" s="630"/>
      <c r="UNV1" s="630"/>
      <c r="UNW1" s="630"/>
      <c r="UNX1" s="630"/>
      <c r="UNY1" s="630"/>
      <c r="UNZ1" s="630"/>
      <c r="UOA1" s="630"/>
      <c r="UOB1" s="630"/>
      <c r="UOC1" s="630"/>
      <c r="UOD1" s="630"/>
      <c r="UOE1" s="630"/>
      <c r="UOF1" s="630"/>
      <c r="UOG1" s="632"/>
      <c r="UOH1" s="631"/>
      <c r="UOI1" s="631"/>
      <c r="UOJ1" s="631"/>
      <c r="UOK1" s="631"/>
      <c r="UOL1" s="631"/>
      <c r="UOM1" s="631"/>
      <c r="UON1" s="631"/>
      <c r="UOO1" s="631"/>
      <c r="UOP1" s="631"/>
      <c r="UOQ1" s="631"/>
      <c r="UOR1" s="631"/>
      <c r="UOS1" s="631"/>
      <c r="UOT1" s="631"/>
      <c r="UOU1" s="631"/>
      <c r="UOV1" s="631"/>
      <c r="UOW1" s="631"/>
      <c r="UOX1" s="631"/>
      <c r="UOY1" s="630"/>
      <c r="UOZ1" s="630"/>
      <c r="UPA1" s="630"/>
      <c r="UPB1" s="630"/>
      <c r="UPC1" s="630"/>
      <c r="UPD1" s="630"/>
      <c r="UPE1" s="630"/>
      <c r="UPF1" s="630"/>
      <c r="UPG1" s="630"/>
      <c r="UPH1" s="630"/>
      <c r="UPI1" s="630"/>
      <c r="UPJ1" s="630"/>
      <c r="UPK1" s="630"/>
      <c r="UPL1" s="630"/>
      <c r="UPM1" s="630"/>
      <c r="UPN1" s="630"/>
      <c r="UPO1" s="630"/>
      <c r="UPP1" s="630"/>
      <c r="UPQ1" s="630"/>
      <c r="UPR1" s="630"/>
      <c r="UPS1" s="630"/>
      <c r="UPT1" s="630"/>
      <c r="UPU1" s="630"/>
      <c r="UPV1" s="630"/>
      <c r="UPW1" s="630"/>
      <c r="UPX1" s="630"/>
      <c r="UPY1" s="630"/>
      <c r="UPZ1" s="630"/>
      <c r="UQA1" s="630"/>
      <c r="UQB1" s="630"/>
      <c r="UQC1" s="630"/>
      <c r="UQD1" s="630"/>
      <c r="UQE1" s="630"/>
      <c r="UQF1" s="630"/>
      <c r="UQG1" s="630"/>
      <c r="UQH1" s="630"/>
      <c r="UQI1" s="630"/>
      <c r="UQJ1" s="630"/>
      <c r="UQK1" s="630"/>
      <c r="UQL1" s="630"/>
      <c r="UQM1" s="630"/>
      <c r="UQN1" s="630"/>
      <c r="UQO1" s="630"/>
      <c r="UQP1" s="630"/>
      <c r="UQQ1" s="630"/>
      <c r="UQR1" s="630"/>
      <c r="UQS1" s="630"/>
      <c r="UQT1" s="630"/>
      <c r="UQU1" s="630"/>
      <c r="UQV1" s="632"/>
      <c r="UQW1" s="631"/>
      <c r="UQX1" s="631"/>
      <c r="UQY1" s="631"/>
      <c r="UQZ1" s="631"/>
      <c r="URA1" s="631"/>
      <c r="URB1" s="631"/>
      <c r="URC1" s="631"/>
      <c r="URD1" s="631"/>
      <c r="URE1" s="631"/>
      <c r="URF1" s="631"/>
      <c r="URG1" s="631"/>
      <c r="URH1" s="631"/>
      <c r="URI1" s="631"/>
      <c r="URJ1" s="631"/>
      <c r="URK1" s="631"/>
      <c r="URL1" s="631"/>
      <c r="URM1" s="631"/>
      <c r="URN1" s="630"/>
      <c r="URO1" s="630"/>
      <c r="URP1" s="630"/>
      <c r="URQ1" s="630"/>
      <c r="URR1" s="630"/>
      <c r="URS1" s="630"/>
      <c r="URT1" s="630"/>
      <c r="URU1" s="630"/>
      <c r="URV1" s="630"/>
      <c r="URW1" s="630"/>
      <c r="URX1" s="630"/>
      <c r="URY1" s="630"/>
      <c r="URZ1" s="630"/>
      <c r="USA1" s="630"/>
      <c r="USB1" s="630"/>
      <c r="USC1" s="630"/>
      <c r="USD1" s="630"/>
      <c r="USE1" s="630"/>
      <c r="USF1" s="630"/>
      <c r="USG1" s="630"/>
      <c r="USH1" s="630"/>
      <c r="USI1" s="630"/>
      <c r="USJ1" s="630"/>
      <c r="USK1" s="630"/>
      <c r="USL1" s="630"/>
      <c r="USM1" s="630"/>
      <c r="USN1" s="630"/>
      <c r="USO1" s="630"/>
      <c r="USP1" s="630"/>
      <c r="USQ1" s="630"/>
      <c r="USR1" s="630"/>
      <c r="USS1" s="630"/>
      <c r="UST1" s="630"/>
      <c r="USU1" s="630"/>
      <c r="USV1" s="630"/>
      <c r="USW1" s="630"/>
      <c r="USX1" s="630"/>
      <c r="USY1" s="630"/>
      <c r="USZ1" s="630"/>
      <c r="UTA1" s="630"/>
      <c r="UTB1" s="630"/>
      <c r="UTC1" s="630"/>
      <c r="UTD1" s="630"/>
      <c r="UTE1" s="630"/>
      <c r="UTF1" s="630"/>
      <c r="UTG1" s="630"/>
      <c r="UTH1" s="630"/>
      <c r="UTI1" s="630"/>
      <c r="UTJ1" s="630"/>
      <c r="UTK1" s="632"/>
      <c r="UTL1" s="631"/>
      <c r="UTM1" s="631"/>
      <c r="UTN1" s="631"/>
      <c r="UTO1" s="631"/>
      <c r="UTP1" s="631"/>
      <c r="UTQ1" s="631"/>
      <c r="UTR1" s="631"/>
      <c r="UTS1" s="631"/>
      <c r="UTT1" s="631"/>
      <c r="UTU1" s="631"/>
      <c r="UTV1" s="631"/>
      <c r="UTW1" s="631"/>
      <c r="UTX1" s="631"/>
      <c r="UTY1" s="631"/>
      <c r="UTZ1" s="631"/>
      <c r="UUA1" s="631"/>
      <c r="UUB1" s="631"/>
      <c r="UUC1" s="630"/>
      <c r="UUD1" s="630"/>
      <c r="UUE1" s="630"/>
      <c r="UUF1" s="630"/>
      <c r="UUG1" s="630"/>
      <c r="UUH1" s="630"/>
      <c r="UUI1" s="630"/>
      <c r="UUJ1" s="630"/>
      <c r="UUK1" s="630"/>
      <c r="UUL1" s="630"/>
      <c r="UUM1" s="630"/>
      <c r="UUN1" s="630"/>
      <c r="UUO1" s="630"/>
      <c r="UUP1" s="630"/>
      <c r="UUQ1" s="630"/>
      <c r="UUR1" s="630"/>
      <c r="UUS1" s="630"/>
      <c r="UUT1" s="630"/>
      <c r="UUU1" s="630"/>
      <c r="UUV1" s="630"/>
      <c r="UUW1" s="630"/>
      <c r="UUX1" s="630"/>
      <c r="UUY1" s="630"/>
      <c r="UUZ1" s="630"/>
      <c r="UVA1" s="630"/>
      <c r="UVB1" s="630"/>
      <c r="UVC1" s="630"/>
      <c r="UVD1" s="630"/>
      <c r="UVE1" s="630"/>
      <c r="UVF1" s="630"/>
      <c r="UVG1" s="630"/>
      <c r="UVH1" s="630"/>
      <c r="UVI1" s="630"/>
      <c r="UVJ1" s="630"/>
      <c r="UVK1" s="630"/>
      <c r="UVL1" s="630"/>
      <c r="UVM1" s="630"/>
      <c r="UVN1" s="630"/>
      <c r="UVO1" s="630"/>
      <c r="UVP1" s="630"/>
      <c r="UVQ1" s="630"/>
      <c r="UVR1" s="630"/>
      <c r="UVS1" s="630"/>
      <c r="UVT1" s="630"/>
      <c r="UVU1" s="630"/>
      <c r="UVV1" s="630"/>
      <c r="UVW1" s="630"/>
      <c r="UVX1" s="630"/>
      <c r="UVY1" s="630"/>
      <c r="UVZ1" s="632"/>
      <c r="UWA1" s="631"/>
      <c r="UWB1" s="631"/>
      <c r="UWC1" s="631"/>
      <c r="UWD1" s="631"/>
      <c r="UWE1" s="631"/>
      <c r="UWF1" s="631"/>
      <c r="UWG1" s="631"/>
      <c r="UWH1" s="631"/>
      <c r="UWI1" s="631"/>
      <c r="UWJ1" s="631"/>
      <c r="UWK1" s="631"/>
      <c r="UWL1" s="631"/>
      <c r="UWM1" s="631"/>
      <c r="UWN1" s="631"/>
      <c r="UWO1" s="631"/>
      <c r="UWP1" s="631"/>
      <c r="UWQ1" s="631"/>
      <c r="UWR1" s="630"/>
      <c r="UWS1" s="630"/>
      <c r="UWT1" s="630"/>
      <c r="UWU1" s="630"/>
      <c r="UWV1" s="630"/>
      <c r="UWW1" s="630"/>
      <c r="UWX1" s="630"/>
      <c r="UWY1" s="630"/>
      <c r="UWZ1" s="630"/>
      <c r="UXA1" s="630"/>
      <c r="UXB1" s="630"/>
      <c r="UXC1" s="630"/>
      <c r="UXD1" s="630"/>
      <c r="UXE1" s="630"/>
      <c r="UXF1" s="630"/>
      <c r="UXG1" s="630"/>
      <c r="UXH1" s="630"/>
      <c r="UXI1" s="630"/>
      <c r="UXJ1" s="630"/>
      <c r="UXK1" s="630"/>
      <c r="UXL1" s="630"/>
      <c r="UXM1" s="630"/>
      <c r="UXN1" s="630"/>
      <c r="UXO1" s="630"/>
      <c r="UXP1" s="630"/>
      <c r="UXQ1" s="630"/>
      <c r="UXR1" s="630"/>
      <c r="UXS1" s="630"/>
      <c r="UXT1" s="630"/>
      <c r="UXU1" s="630"/>
      <c r="UXV1" s="630"/>
      <c r="UXW1" s="630"/>
      <c r="UXX1" s="630"/>
      <c r="UXY1" s="630"/>
      <c r="UXZ1" s="630"/>
      <c r="UYA1" s="630"/>
      <c r="UYB1" s="630"/>
      <c r="UYC1" s="630"/>
      <c r="UYD1" s="630"/>
      <c r="UYE1" s="630"/>
      <c r="UYF1" s="630"/>
      <c r="UYG1" s="630"/>
      <c r="UYH1" s="630"/>
      <c r="UYI1" s="630"/>
      <c r="UYJ1" s="630"/>
      <c r="UYK1" s="630"/>
      <c r="UYL1" s="630"/>
      <c r="UYM1" s="630"/>
      <c r="UYN1" s="630"/>
      <c r="UYO1" s="632"/>
      <c r="UYP1" s="631"/>
      <c r="UYQ1" s="631"/>
      <c r="UYR1" s="631"/>
      <c r="UYS1" s="631"/>
      <c r="UYT1" s="631"/>
      <c r="UYU1" s="631"/>
      <c r="UYV1" s="631"/>
      <c r="UYW1" s="631"/>
      <c r="UYX1" s="631"/>
      <c r="UYY1" s="631"/>
      <c r="UYZ1" s="631"/>
      <c r="UZA1" s="631"/>
      <c r="UZB1" s="631"/>
      <c r="UZC1" s="631"/>
      <c r="UZD1" s="631"/>
      <c r="UZE1" s="631"/>
      <c r="UZF1" s="631"/>
      <c r="UZG1" s="630"/>
      <c r="UZH1" s="630"/>
      <c r="UZI1" s="630"/>
      <c r="UZJ1" s="630"/>
      <c r="UZK1" s="630"/>
      <c r="UZL1" s="630"/>
      <c r="UZM1" s="630"/>
      <c r="UZN1" s="630"/>
      <c r="UZO1" s="630"/>
      <c r="UZP1" s="630"/>
      <c r="UZQ1" s="630"/>
      <c r="UZR1" s="630"/>
      <c r="UZS1" s="630"/>
      <c r="UZT1" s="630"/>
      <c r="UZU1" s="630"/>
      <c r="UZV1" s="630"/>
      <c r="UZW1" s="630"/>
      <c r="UZX1" s="630"/>
      <c r="UZY1" s="630"/>
      <c r="UZZ1" s="630"/>
      <c r="VAA1" s="630"/>
      <c r="VAB1" s="630"/>
      <c r="VAC1" s="630"/>
      <c r="VAD1" s="630"/>
      <c r="VAE1" s="630"/>
      <c r="VAF1" s="630"/>
      <c r="VAG1" s="630"/>
      <c r="VAH1" s="630"/>
      <c r="VAI1" s="630"/>
      <c r="VAJ1" s="630"/>
      <c r="VAK1" s="630"/>
      <c r="VAL1" s="630"/>
      <c r="VAM1" s="630"/>
      <c r="VAN1" s="630"/>
      <c r="VAO1" s="630"/>
      <c r="VAP1" s="630"/>
      <c r="VAQ1" s="630"/>
      <c r="VAR1" s="630"/>
      <c r="VAS1" s="630"/>
      <c r="VAT1" s="630"/>
      <c r="VAU1" s="630"/>
      <c r="VAV1" s="630"/>
      <c r="VAW1" s="630"/>
      <c r="VAX1" s="630"/>
      <c r="VAY1" s="630"/>
      <c r="VAZ1" s="630"/>
      <c r="VBA1" s="630"/>
      <c r="VBB1" s="630"/>
      <c r="VBC1" s="630"/>
      <c r="VBD1" s="632"/>
      <c r="VBE1" s="631"/>
      <c r="VBF1" s="631"/>
      <c r="VBG1" s="631"/>
      <c r="VBH1" s="631"/>
      <c r="VBI1" s="631"/>
      <c r="VBJ1" s="631"/>
      <c r="VBK1" s="631"/>
      <c r="VBL1" s="631"/>
      <c r="VBM1" s="631"/>
      <c r="VBN1" s="631"/>
      <c r="VBO1" s="631"/>
      <c r="VBP1" s="631"/>
      <c r="VBQ1" s="631"/>
      <c r="VBR1" s="631"/>
      <c r="VBS1" s="631"/>
      <c r="VBT1" s="631"/>
      <c r="VBU1" s="631"/>
      <c r="VBV1" s="630"/>
      <c r="VBW1" s="630"/>
      <c r="VBX1" s="630"/>
      <c r="VBY1" s="630"/>
      <c r="VBZ1" s="630"/>
      <c r="VCA1" s="630"/>
      <c r="VCB1" s="630"/>
      <c r="VCC1" s="630"/>
      <c r="VCD1" s="630"/>
      <c r="VCE1" s="630"/>
      <c r="VCF1" s="630"/>
      <c r="VCG1" s="630"/>
      <c r="VCH1" s="630"/>
      <c r="VCI1" s="630"/>
      <c r="VCJ1" s="630"/>
      <c r="VCK1" s="630"/>
      <c r="VCL1" s="630"/>
      <c r="VCM1" s="630"/>
      <c r="VCN1" s="630"/>
      <c r="VCO1" s="630"/>
      <c r="VCP1" s="630"/>
      <c r="VCQ1" s="630"/>
      <c r="VCR1" s="630"/>
      <c r="VCS1" s="630"/>
      <c r="VCT1" s="630"/>
      <c r="VCU1" s="630"/>
      <c r="VCV1" s="630"/>
      <c r="VCW1" s="630"/>
      <c r="VCX1" s="630"/>
      <c r="VCY1" s="630"/>
      <c r="VCZ1" s="630"/>
      <c r="VDA1" s="630"/>
      <c r="VDB1" s="630"/>
      <c r="VDC1" s="630"/>
      <c r="VDD1" s="630"/>
      <c r="VDE1" s="630"/>
      <c r="VDF1" s="630"/>
      <c r="VDG1" s="630"/>
      <c r="VDH1" s="630"/>
      <c r="VDI1" s="630"/>
      <c r="VDJ1" s="630"/>
      <c r="VDK1" s="630"/>
      <c r="VDL1" s="630"/>
      <c r="VDM1" s="630"/>
      <c r="VDN1" s="630"/>
      <c r="VDO1" s="630"/>
      <c r="VDP1" s="630"/>
      <c r="VDQ1" s="630"/>
      <c r="VDR1" s="630"/>
      <c r="VDS1" s="632"/>
      <c r="VDT1" s="631"/>
      <c r="VDU1" s="631"/>
      <c r="VDV1" s="631"/>
      <c r="VDW1" s="631"/>
      <c r="VDX1" s="631"/>
      <c r="VDY1" s="631"/>
      <c r="VDZ1" s="631"/>
      <c r="VEA1" s="631"/>
      <c r="VEB1" s="631"/>
      <c r="VEC1" s="631"/>
      <c r="VED1" s="631"/>
      <c r="VEE1" s="631"/>
      <c r="VEF1" s="631"/>
      <c r="VEG1" s="631"/>
      <c r="VEH1" s="631"/>
      <c r="VEI1" s="631"/>
      <c r="VEJ1" s="631"/>
      <c r="VEK1" s="630"/>
      <c r="VEL1" s="630"/>
      <c r="VEM1" s="630"/>
      <c r="VEN1" s="630"/>
      <c r="VEO1" s="630"/>
      <c r="VEP1" s="630"/>
      <c r="VEQ1" s="630"/>
      <c r="VER1" s="630"/>
      <c r="VES1" s="630"/>
      <c r="VET1" s="630"/>
      <c r="VEU1" s="630"/>
      <c r="VEV1" s="630"/>
      <c r="VEW1" s="630"/>
      <c r="VEX1" s="630"/>
      <c r="VEY1" s="630"/>
      <c r="VEZ1" s="630"/>
      <c r="VFA1" s="630"/>
      <c r="VFB1" s="630"/>
      <c r="VFC1" s="630"/>
      <c r="VFD1" s="630"/>
      <c r="VFE1" s="630"/>
      <c r="VFF1" s="630"/>
      <c r="VFG1" s="630"/>
      <c r="VFH1" s="630"/>
      <c r="VFI1" s="630"/>
      <c r="VFJ1" s="630"/>
      <c r="VFK1" s="630"/>
      <c r="VFL1" s="630"/>
      <c r="VFM1" s="630"/>
      <c r="VFN1" s="630"/>
      <c r="VFO1" s="630"/>
      <c r="VFP1" s="630"/>
      <c r="VFQ1" s="630"/>
      <c r="VFR1" s="630"/>
      <c r="VFS1" s="630"/>
      <c r="VFT1" s="630"/>
      <c r="VFU1" s="630"/>
      <c r="VFV1" s="630"/>
      <c r="VFW1" s="630"/>
      <c r="VFX1" s="630"/>
      <c r="VFY1" s="630"/>
      <c r="VFZ1" s="630"/>
      <c r="VGA1" s="630"/>
      <c r="VGB1" s="630"/>
      <c r="VGC1" s="630"/>
      <c r="VGD1" s="630"/>
      <c r="VGE1" s="630"/>
      <c r="VGF1" s="630"/>
      <c r="VGG1" s="630"/>
      <c r="VGH1" s="632"/>
      <c r="VGI1" s="631"/>
      <c r="VGJ1" s="631"/>
      <c r="VGK1" s="631"/>
      <c r="VGL1" s="631"/>
      <c r="VGM1" s="631"/>
      <c r="VGN1" s="631"/>
      <c r="VGO1" s="631"/>
      <c r="VGP1" s="631"/>
      <c r="VGQ1" s="631"/>
      <c r="VGR1" s="631"/>
      <c r="VGS1" s="631"/>
      <c r="VGT1" s="631"/>
      <c r="VGU1" s="631"/>
      <c r="VGV1" s="631"/>
      <c r="VGW1" s="631"/>
      <c r="VGX1" s="631"/>
      <c r="VGY1" s="631"/>
      <c r="VGZ1" s="630"/>
      <c r="VHA1" s="630"/>
      <c r="VHB1" s="630"/>
      <c r="VHC1" s="630"/>
      <c r="VHD1" s="630"/>
      <c r="VHE1" s="630"/>
      <c r="VHF1" s="630"/>
      <c r="VHG1" s="630"/>
      <c r="VHH1" s="630"/>
      <c r="VHI1" s="630"/>
      <c r="VHJ1" s="630"/>
      <c r="VHK1" s="630"/>
      <c r="VHL1" s="630"/>
      <c r="VHM1" s="630"/>
      <c r="VHN1" s="630"/>
      <c r="VHO1" s="630"/>
      <c r="VHP1" s="630"/>
      <c r="VHQ1" s="630"/>
      <c r="VHR1" s="630"/>
      <c r="VHS1" s="630"/>
      <c r="VHT1" s="630"/>
      <c r="VHU1" s="630"/>
      <c r="VHV1" s="630"/>
      <c r="VHW1" s="630"/>
      <c r="VHX1" s="630"/>
      <c r="VHY1" s="630"/>
      <c r="VHZ1" s="630"/>
      <c r="VIA1" s="630"/>
      <c r="VIB1" s="630"/>
      <c r="VIC1" s="630"/>
      <c r="VID1" s="630"/>
      <c r="VIE1" s="630"/>
      <c r="VIF1" s="630"/>
      <c r="VIG1" s="630"/>
      <c r="VIH1" s="630"/>
      <c r="VII1" s="630"/>
      <c r="VIJ1" s="630"/>
      <c r="VIK1" s="630"/>
      <c r="VIL1" s="630"/>
      <c r="VIM1" s="630"/>
      <c r="VIN1" s="630"/>
      <c r="VIO1" s="630"/>
      <c r="VIP1" s="630"/>
      <c r="VIQ1" s="630"/>
      <c r="VIR1" s="630"/>
      <c r="VIS1" s="630"/>
      <c r="VIT1" s="630"/>
      <c r="VIU1" s="630"/>
      <c r="VIV1" s="630"/>
      <c r="VIW1" s="632"/>
      <c r="VIX1" s="631"/>
      <c r="VIY1" s="631"/>
      <c r="VIZ1" s="631"/>
      <c r="VJA1" s="631"/>
      <c r="VJB1" s="631"/>
      <c r="VJC1" s="631"/>
      <c r="VJD1" s="631"/>
      <c r="VJE1" s="631"/>
      <c r="VJF1" s="631"/>
      <c r="VJG1" s="631"/>
      <c r="VJH1" s="631"/>
      <c r="VJI1" s="631"/>
      <c r="VJJ1" s="631"/>
      <c r="VJK1" s="631"/>
      <c r="VJL1" s="631"/>
      <c r="VJM1" s="631"/>
      <c r="VJN1" s="631"/>
      <c r="VJO1" s="630"/>
      <c r="VJP1" s="630"/>
      <c r="VJQ1" s="630"/>
      <c r="VJR1" s="630"/>
      <c r="VJS1" s="630"/>
      <c r="VJT1" s="630"/>
      <c r="VJU1" s="630"/>
      <c r="VJV1" s="630"/>
      <c r="VJW1" s="630"/>
      <c r="VJX1" s="630"/>
      <c r="VJY1" s="630"/>
      <c r="VJZ1" s="630"/>
      <c r="VKA1" s="630"/>
      <c r="VKB1" s="630"/>
      <c r="VKC1" s="630"/>
      <c r="VKD1" s="630"/>
      <c r="VKE1" s="630"/>
      <c r="VKF1" s="630"/>
      <c r="VKG1" s="630"/>
      <c r="VKH1" s="630"/>
      <c r="VKI1" s="630"/>
      <c r="VKJ1" s="630"/>
      <c r="VKK1" s="630"/>
      <c r="VKL1" s="630"/>
      <c r="VKM1" s="630"/>
      <c r="VKN1" s="630"/>
      <c r="VKO1" s="630"/>
      <c r="VKP1" s="630"/>
      <c r="VKQ1" s="630"/>
      <c r="VKR1" s="630"/>
      <c r="VKS1" s="630"/>
      <c r="VKT1" s="630"/>
      <c r="VKU1" s="630"/>
      <c r="VKV1" s="630"/>
      <c r="VKW1" s="630"/>
      <c r="VKX1" s="630"/>
      <c r="VKY1" s="630"/>
      <c r="VKZ1" s="630"/>
      <c r="VLA1" s="630"/>
      <c r="VLB1" s="630"/>
      <c r="VLC1" s="630"/>
      <c r="VLD1" s="630"/>
      <c r="VLE1" s="630"/>
      <c r="VLF1" s="630"/>
      <c r="VLG1" s="630"/>
      <c r="VLH1" s="630"/>
      <c r="VLI1" s="630"/>
      <c r="VLJ1" s="630"/>
      <c r="VLK1" s="630"/>
      <c r="VLL1" s="632"/>
      <c r="VLM1" s="631"/>
      <c r="VLN1" s="631"/>
      <c r="VLO1" s="631"/>
      <c r="VLP1" s="631"/>
      <c r="VLQ1" s="631"/>
      <c r="VLR1" s="631"/>
      <c r="VLS1" s="631"/>
      <c r="VLT1" s="631"/>
      <c r="VLU1" s="631"/>
      <c r="VLV1" s="631"/>
      <c r="VLW1" s="631"/>
      <c r="VLX1" s="631"/>
      <c r="VLY1" s="631"/>
      <c r="VLZ1" s="631"/>
      <c r="VMA1" s="631"/>
      <c r="VMB1" s="631"/>
      <c r="VMC1" s="631"/>
      <c r="VMD1" s="630"/>
      <c r="VME1" s="630"/>
      <c r="VMF1" s="630"/>
      <c r="VMG1" s="630"/>
      <c r="VMH1" s="630"/>
      <c r="VMI1" s="630"/>
      <c r="VMJ1" s="630"/>
      <c r="VMK1" s="630"/>
      <c r="VML1" s="630"/>
      <c r="VMM1" s="630"/>
      <c r="VMN1" s="630"/>
      <c r="VMO1" s="630"/>
      <c r="VMP1" s="630"/>
      <c r="VMQ1" s="630"/>
      <c r="VMR1" s="630"/>
      <c r="VMS1" s="630"/>
      <c r="VMT1" s="630"/>
      <c r="VMU1" s="630"/>
      <c r="VMV1" s="630"/>
      <c r="VMW1" s="630"/>
      <c r="VMX1" s="630"/>
      <c r="VMY1" s="630"/>
      <c r="VMZ1" s="630"/>
      <c r="VNA1" s="630"/>
      <c r="VNB1" s="630"/>
      <c r="VNC1" s="630"/>
      <c r="VND1" s="630"/>
      <c r="VNE1" s="630"/>
      <c r="VNF1" s="630"/>
      <c r="VNG1" s="630"/>
      <c r="VNH1" s="630"/>
      <c r="VNI1" s="630"/>
      <c r="VNJ1" s="630"/>
      <c r="VNK1" s="630"/>
      <c r="VNL1" s="630"/>
      <c r="VNM1" s="630"/>
      <c r="VNN1" s="630"/>
      <c r="VNO1" s="630"/>
      <c r="VNP1" s="630"/>
      <c r="VNQ1" s="630"/>
      <c r="VNR1" s="630"/>
      <c r="VNS1" s="630"/>
      <c r="VNT1" s="630"/>
      <c r="VNU1" s="630"/>
      <c r="VNV1" s="630"/>
      <c r="VNW1" s="630"/>
      <c r="VNX1" s="630"/>
      <c r="VNY1" s="630"/>
      <c r="VNZ1" s="630"/>
      <c r="VOA1" s="632"/>
      <c r="VOB1" s="631"/>
      <c r="VOC1" s="631"/>
      <c r="VOD1" s="631"/>
      <c r="VOE1" s="631"/>
      <c r="VOF1" s="631"/>
      <c r="VOG1" s="631"/>
      <c r="VOH1" s="631"/>
      <c r="VOI1" s="631"/>
      <c r="VOJ1" s="631"/>
      <c r="VOK1" s="631"/>
      <c r="VOL1" s="631"/>
      <c r="VOM1" s="631"/>
      <c r="VON1" s="631"/>
      <c r="VOO1" s="631"/>
      <c r="VOP1" s="631"/>
      <c r="VOQ1" s="631"/>
      <c r="VOR1" s="631"/>
      <c r="VOS1" s="630"/>
      <c r="VOT1" s="630"/>
      <c r="VOU1" s="630"/>
      <c r="VOV1" s="630"/>
      <c r="VOW1" s="630"/>
      <c r="VOX1" s="630"/>
      <c r="VOY1" s="630"/>
      <c r="VOZ1" s="630"/>
      <c r="VPA1" s="630"/>
      <c r="VPB1" s="630"/>
      <c r="VPC1" s="630"/>
      <c r="VPD1" s="630"/>
      <c r="VPE1" s="630"/>
      <c r="VPF1" s="630"/>
      <c r="VPG1" s="630"/>
      <c r="VPH1" s="630"/>
      <c r="VPI1" s="630"/>
      <c r="VPJ1" s="630"/>
      <c r="VPK1" s="630"/>
      <c r="VPL1" s="630"/>
      <c r="VPM1" s="630"/>
      <c r="VPN1" s="630"/>
      <c r="VPO1" s="630"/>
      <c r="VPP1" s="630"/>
      <c r="VPQ1" s="630"/>
      <c r="VPR1" s="630"/>
      <c r="VPS1" s="630"/>
      <c r="VPT1" s="630"/>
      <c r="VPU1" s="630"/>
      <c r="VPV1" s="630"/>
      <c r="VPW1" s="630"/>
      <c r="VPX1" s="630"/>
      <c r="VPY1" s="630"/>
      <c r="VPZ1" s="630"/>
      <c r="VQA1" s="630"/>
      <c r="VQB1" s="630"/>
      <c r="VQC1" s="630"/>
      <c r="VQD1" s="630"/>
      <c r="VQE1" s="630"/>
      <c r="VQF1" s="630"/>
      <c r="VQG1" s="630"/>
      <c r="VQH1" s="630"/>
      <c r="VQI1" s="630"/>
      <c r="VQJ1" s="630"/>
      <c r="VQK1" s="630"/>
      <c r="VQL1" s="630"/>
      <c r="VQM1" s="630"/>
      <c r="VQN1" s="630"/>
      <c r="VQO1" s="630"/>
      <c r="VQP1" s="632"/>
      <c r="VQQ1" s="631"/>
      <c r="VQR1" s="631"/>
      <c r="VQS1" s="631"/>
      <c r="VQT1" s="631"/>
      <c r="VQU1" s="631"/>
      <c r="VQV1" s="631"/>
      <c r="VQW1" s="631"/>
      <c r="VQX1" s="631"/>
      <c r="VQY1" s="631"/>
      <c r="VQZ1" s="631"/>
      <c r="VRA1" s="631"/>
      <c r="VRB1" s="631"/>
      <c r="VRC1" s="631"/>
      <c r="VRD1" s="631"/>
      <c r="VRE1" s="631"/>
      <c r="VRF1" s="631"/>
      <c r="VRG1" s="631"/>
      <c r="VRH1" s="630"/>
      <c r="VRI1" s="630"/>
      <c r="VRJ1" s="630"/>
      <c r="VRK1" s="630"/>
      <c r="VRL1" s="630"/>
      <c r="VRM1" s="630"/>
      <c r="VRN1" s="630"/>
      <c r="VRO1" s="630"/>
      <c r="VRP1" s="630"/>
      <c r="VRQ1" s="630"/>
      <c r="VRR1" s="630"/>
      <c r="VRS1" s="630"/>
      <c r="VRT1" s="630"/>
      <c r="VRU1" s="630"/>
      <c r="VRV1" s="630"/>
      <c r="VRW1" s="630"/>
      <c r="VRX1" s="630"/>
      <c r="VRY1" s="630"/>
      <c r="VRZ1" s="630"/>
      <c r="VSA1" s="630"/>
      <c r="VSB1" s="630"/>
      <c r="VSC1" s="630"/>
      <c r="VSD1" s="630"/>
      <c r="VSE1" s="630"/>
      <c r="VSF1" s="630"/>
      <c r="VSG1" s="630"/>
      <c r="VSH1" s="630"/>
      <c r="VSI1" s="630"/>
      <c r="VSJ1" s="630"/>
      <c r="VSK1" s="630"/>
      <c r="VSL1" s="630"/>
      <c r="VSM1" s="630"/>
      <c r="VSN1" s="630"/>
      <c r="VSO1" s="630"/>
      <c r="VSP1" s="630"/>
      <c r="VSQ1" s="630"/>
      <c r="VSR1" s="630"/>
      <c r="VSS1" s="630"/>
      <c r="VST1" s="630"/>
      <c r="VSU1" s="630"/>
      <c r="VSV1" s="630"/>
      <c r="VSW1" s="630"/>
      <c r="VSX1" s="630"/>
      <c r="VSY1" s="630"/>
      <c r="VSZ1" s="630"/>
      <c r="VTA1" s="630"/>
      <c r="VTB1" s="630"/>
      <c r="VTC1" s="630"/>
      <c r="VTD1" s="630"/>
      <c r="VTE1" s="632"/>
      <c r="VTF1" s="631"/>
      <c r="VTG1" s="631"/>
      <c r="VTH1" s="631"/>
      <c r="VTI1" s="631"/>
      <c r="VTJ1" s="631"/>
      <c r="VTK1" s="631"/>
      <c r="VTL1" s="631"/>
      <c r="VTM1" s="631"/>
      <c r="VTN1" s="631"/>
      <c r="VTO1" s="631"/>
      <c r="VTP1" s="631"/>
      <c r="VTQ1" s="631"/>
      <c r="VTR1" s="631"/>
      <c r="VTS1" s="631"/>
      <c r="VTT1" s="631"/>
      <c r="VTU1" s="631"/>
      <c r="VTV1" s="631"/>
      <c r="VTW1" s="630"/>
      <c r="VTX1" s="630"/>
      <c r="VTY1" s="630"/>
      <c r="VTZ1" s="630"/>
      <c r="VUA1" s="630"/>
      <c r="VUB1" s="630"/>
      <c r="VUC1" s="630"/>
      <c r="VUD1" s="630"/>
      <c r="VUE1" s="630"/>
      <c r="VUF1" s="630"/>
      <c r="VUG1" s="630"/>
      <c r="VUH1" s="630"/>
      <c r="VUI1" s="630"/>
      <c r="VUJ1" s="630"/>
      <c r="VUK1" s="630"/>
      <c r="VUL1" s="630"/>
      <c r="VUM1" s="630"/>
      <c r="VUN1" s="630"/>
      <c r="VUO1" s="630"/>
      <c r="VUP1" s="630"/>
      <c r="VUQ1" s="630"/>
      <c r="VUR1" s="630"/>
      <c r="VUS1" s="630"/>
      <c r="VUT1" s="630"/>
      <c r="VUU1" s="630"/>
      <c r="VUV1" s="630"/>
      <c r="VUW1" s="630"/>
      <c r="VUX1" s="630"/>
      <c r="VUY1" s="630"/>
      <c r="VUZ1" s="630"/>
      <c r="VVA1" s="630"/>
      <c r="VVB1" s="630"/>
      <c r="VVC1" s="630"/>
      <c r="VVD1" s="630"/>
      <c r="VVE1" s="630"/>
      <c r="VVF1" s="630"/>
      <c r="VVG1" s="630"/>
      <c r="VVH1" s="630"/>
      <c r="VVI1" s="630"/>
      <c r="VVJ1" s="630"/>
      <c r="VVK1" s="630"/>
      <c r="VVL1" s="630"/>
      <c r="VVM1" s="630"/>
      <c r="VVN1" s="630"/>
      <c r="VVO1" s="630"/>
      <c r="VVP1" s="630"/>
      <c r="VVQ1" s="630"/>
      <c r="VVR1" s="630"/>
      <c r="VVS1" s="630"/>
      <c r="VVT1" s="632"/>
      <c r="VVU1" s="631"/>
      <c r="VVV1" s="631"/>
      <c r="VVW1" s="631"/>
      <c r="VVX1" s="631"/>
      <c r="VVY1" s="631"/>
      <c r="VVZ1" s="631"/>
      <c r="VWA1" s="631"/>
      <c r="VWB1" s="631"/>
      <c r="VWC1" s="631"/>
      <c r="VWD1" s="631"/>
      <c r="VWE1" s="631"/>
      <c r="VWF1" s="631"/>
      <c r="VWG1" s="631"/>
      <c r="VWH1" s="631"/>
      <c r="VWI1" s="631"/>
      <c r="VWJ1" s="631"/>
      <c r="VWK1" s="631"/>
      <c r="VWL1" s="630"/>
      <c r="VWM1" s="630"/>
      <c r="VWN1" s="630"/>
      <c r="VWO1" s="630"/>
      <c r="VWP1" s="630"/>
      <c r="VWQ1" s="630"/>
      <c r="VWR1" s="630"/>
      <c r="VWS1" s="630"/>
      <c r="VWT1" s="630"/>
      <c r="VWU1" s="630"/>
      <c r="VWV1" s="630"/>
      <c r="VWW1" s="630"/>
      <c r="VWX1" s="630"/>
      <c r="VWY1" s="630"/>
      <c r="VWZ1" s="630"/>
      <c r="VXA1" s="630"/>
      <c r="VXB1" s="630"/>
      <c r="VXC1" s="630"/>
      <c r="VXD1" s="630"/>
      <c r="VXE1" s="630"/>
      <c r="VXF1" s="630"/>
      <c r="VXG1" s="630"/>
      <c r="VXH1" s="630"/>
      <c r="VXI1" s="630"/>
      <c r="VXJ1" s="630"/>
      <c r="VXK1" s="630"/>
      <c r="VXL1" s="630"/>
      <c r="VXM1" s="630"/>
      <c r="VXN1" s="630"/>
      <c r="VXO1" s="630"/>
      <c r="VXP1" s="630"/>
      <c r="VXQ1" s="630"/>
      <c r="VXR1" s="630"/>
      <c r="VXS1" s="630"/>
      <c r="VXT1" s="630"/>
      <c r="VXU1" s="630"/>
      <c r="VXV1" s="630"/>
      <c r="VXW1" s="630"/>
      <c r="VXX1" s="630"/>
      <c r="VXY1" s="630"/>
      <c r="VXZ1" s="630"/>
      <c r="VYA1" s="630"/>
      <c r="VYB1" s="630"/>
      <c r="VYC1" s="630"/>
      <c r="VYD1" s="630"/>
      <c r="VYE1" s="630"/>
      <c r="VYF1" s="630"/>
      <c r="VYG1" s="630"/>
      <c r="VYH1" s="630"/>
      <c r="VYI1" s="632"/>
      <c r="VYJ1" s="631"/>
      <c r="VYK1" s="631"/>
      <c r="VYL1" s="631"/>
      <c r="VYM1" s="631"/>
      <c r="VYN1" s="631"/>
      <c r="VYO1" s="631"/>
      <c r="VYP1" s="631"/>
      <c r="VYQ1" s="631"/>
      <c r="VYR1" s="631"/>
      <c r="VYS1" s="631"/>
      <c r="VYT1" s="631"/>
      <c r="VYU1" s="631"/>
      <c r="VYV1" s="631"/>
      <c r="VYW1" s="631"/>
      <c r="VYX1" s="631"/>
      <c r="VYY1" s="631"/>
      <c r="VYZ1" s="631"/>
      <c r="VZA1" s="630"/>
      <c r="VZB1" s="630"/>
      <c r="VZC1" s="630"/>
      <c r="VZD1" s="630"/>
      <c r="VZE1" s="630"/>
      <c r="VZF1" s="630"/>
      <c r="VZG1" s="630"/>
      <c r="VZH1" s="630"/>
      <c r="VZI1" s="630"/>
      <c r="VZJ1" s="630"/>
      <c r="VZK1" s="630"/>
      <c r="VZL1" s="630"/>
      <c r="VZM1" s="630"/>
      <c r="VZN1" s="630"/>
      <c r="VZO1" s="630"/>
      <c r="VZP1" s="630"/>
      <c r="VZQ1" s="630"/>
      <c r="VZR1" s="630"/>
      <c r="VZS1" s="630"/>
      <c r="VZT1" s="630"/>
      <c r="VZU1" s="630"/>
      <c r="VZV1" s="630"/>
      <c r="VZW1" s="630"/>
      <c r="VZX1" s="630"/>
      <c r="VZY1" s="630"/>
      <c r="VZZ1" s="630"/>
      <c r="WAA1" s="630"/>
      <c r="WAB1" s="630"/>
      <c r="WAC1" s="630"/>
      <c r="WAD1" s="630"/>
      <c r="WAE1" s="630"/>
      <c r="WAF1" s="630"/>
      <c r="WAG1" s="630"/>
      <c r="WAH1" s="630"/>
      <c r="WAI1" s="630"/>
      <c r="WAJ1" s="630"/>
      <c r="WAK1" s="630"/>
      <c r="WAL1" s="630"/>
      <c r="WAM1" s="630"/>
      <c r="WAN1" s="630"/>
      <c r="WAO1" s="630"/>
      <c r="WAP1" s="630"/>
      <c r="WAQ1" s="630"/>
      <c r="WAR1" s="630"/>
      <c r="WAS1" s="630"/>
      <c r="WAT1" s="630"/>
      <c r="WAU1" s="630"/>
      <c r="WAV1" s="630"/>
      <c r="WAW1" s="630"/>
      <c r="WAX1" s="632"/>
      <c r="WAY1" s="631"/>
      <c r="WAZ1" s="631"/>
      <c r="WBA1" s="631"/>
      <c r="WBB1" s="631"/>
      <c r="WBC1" s="631"/>
      <c r="WBD1" s="631"/>
      <c r="WBE1" s="631"/>
      <c r="WBF1" s="631"/>
      <c r="WBG1" s="631"/>
      <c r="WBH1" s="631"/>
      <c r="WBI1" s="631"/>
      <c r="WBJ1" s="631"/>
      <c r="WBK1" s="631"/>
      <c r="WBL1" s="631"/>
      <c r="WBM1" s="631"/>
      <c r="WBN1" s="631"/>
      <c r="WBO1" s="631"/>
      <c r="WBP1" s="630"/>
      <c r="WBQ1" s="630"/>
      <c r="WBR1" s="630"/>
      <c r="WBS1" s="630"/>
      <c r="WBT1" s="630"/>
      <c r="WBU1" s="630"/>
      <c r="WBV1" s="630"/>
      <c r="WBW1" s="630"/>
      <c r="WBX1" s="630"/>
      <c r="WBY1" s="630"/>
      <c r="WBZ1" s="630"/>
      <c r="WCA1" s="630"/>
      <c r="WCB1" s="630"/>
      <c r="WCC1" s="630"/>
      <c r="WCD1" s="630"/>
      <c r="WCE1" s="630"/>
      <c r="WCF1" s="630"/>
      <c r="WCG1" s="630"/>
      <c r="WCH1" s="630"/>
      <c r="WCI1" s="630"/>
      <c r="WCJ1" s="630"/>
      <c r="WCK1" s="630"/>
      <c r="WCL1" s="630"/>
      <c r="WCM1" s="630"/>
      <c r="WCN1" s="630"/>
      <c r="WCO1" s="630"/>
      <c r="WCP1" s="630"/>
      <c r="WCQ1" s="630"/>
      <c r="WCR1" s="630"/>
      <c r="WCS1" s="630"/>
      <c r="WCT1" s="630"/>
      <c r="WCU1" s="630"/>
      <c r="WCV1" s="630"/>
      <c r="WCW1" s="630"/>
      <c r="WCX1" s="630"/>
      <c r="WCY1" s="630"/>
      <c r="WCZ1" s="630"/>
      <c r="WDA1" s="630"/>
      <c r="WDB1" s="630"/>
      <c r="WDC1" s="630"/>
      <c r="WDD1" s="630"/>
      <c r="WDE1" s="630"/>
      <c r="WDF1" s="630"/>
      <c r="WDG1" s="630"/>
      <c r="WDH1" s="630"/>
      <c r="WDI1" s="630"/>
      <c r="WDJ1" s="630"/>
      <c r="WDK1" s="630"/>
      <c r="WDL1" s="630"/>
      <c r="WDM1" s="632"/>
      <c r="WDN1" s="631"/>
      <c r="WDO1" s="631"/>
      <c r="WDP1" s="631"/>
      <c r="WDQ1" s="631"/>
      <c r="WDR1" s="631"/>
      <c r="WDS1" s="631"/>
      <c r="WDT1" s="631"/>
      <c r="WDU1" s="631"/>
      <c r="WDV1" s="631"/>
      <c r="WDW1" s="631"/>
      <c r="WDX1" s="631"/>
      <c r="WDY1" s="631"/>
      <c r="WDZ1" s="631"/>
      <c r="WEA1" s="631"/>
      <c r="WEB1" s="631"/>
      <c r="WEC1" s="631"/>
      <c r="WED1" s="631"/>
      <c r="WEE1" s="630"/>
      <c r="WEF1" s="630"/>
      <c r="WEG1" s="630"/>
      <c r="WEH1" s="630"/>
      <c r="WEI1" s="630"/>
      <c r="WEJ1" s="630"/>
      <c r="WEK1" s="630"/>
      <c r="WEL1" s="630"/>
      <c r="WEM1" s="630"/>
      <c r="WEN1" s="630"/>
      <c r="WEO1" s="630"/>
      <c r="WEP1" s="630"/>
      <c r="WEQ1" s="630"/>
      <c r="WER1" s="630"/>
      <c r="WES1" s="630"/>
      <c r="WET1" s="630"/>
      <c r="WEU1" s="630"/>
      <c r="WEV1" s="630"/>
      <c r="WEW1" s="630"/>
      <c r="WEX1" s="630"/>
      <c r="WEY1" s="630"/>
      <c r="WEZ1" s="630"/>
      <c r="WFA1" s="630"/>
      <c r="WFB1" s="630"/>
      <c r="WFC1" s="630"/>
      <c r="WFD1" s="630"/>
      <c r="WFE1" s="630"/>
      <c r="WFF1" s="630"/>
      <c r="WFG1" s="630"/>
      <c r="WFH1" s="630"/>
      <c r="WFI1" s="630"/>
      <c r="WFJ1" s="630"/>
      <c r="WFK1" s="630"/>
      <c r="WFL1" s="630"/>
      <c r="WFM1" s="630"/>
      <c r="WFN1" s="630"/>
      <c r="WFO1" s="630"/>
      <c r="WFP1" s="630"/>
      <c r="WFQ1" s="630"/>
      <c r="WFR1" s="630"/>
      <c r="WFS1" s="630"/>
      <c r="WFT1" s="630"/>
      <c r="WFU1" s="630"/>
      <c r="WFV1" s="630"/>
      <c r="WFW1" s="630"/>
      <c r="WFX1" s="630"/>
      <c r="WFY1" s="630"/>
      <c r="WFZ1" s="630"/>
      <c r="WGA1" s="630"/>
      <c r="WGB1" s="632"/>
      <c r="WGC1" s="631"/>
      <c r="WGD1" s="631"/>
      <c r="WGE1" s="631"/>
      <c r="WGF1" s="631"/>
      <c r="WGG1" s="631"/>
      <c r="WGH1" s="631"/>
      <c r="WGI1" s="631"/>
      <c r="WGJ1" s="631"/>
      <c r="WGK1" s="631"/>
      <c r="WGL1" s="631"/>
      <c r="WGM1" s="631"/>
      <c r="WGN1" s="631"/>
      <c r="WGO1" s="631"/>
      <c r="WGP1" s="631"/>
      <c r="WGQ1" s="631"/>
      <c r="WGR1" s="631"/>
      <c r="WGS1" s="631"/>
      <c r="WGT1" s="630"/>
      <c r="WGU1" s="630"/>
      <c r="WGV1" s="630"/>
      <c r="WGW1" s="630"/>
      <c r="WGX1" s="630"/>
      <c r="WGY1" s="630"/>
      <c r="WGZ1" s="630"/>
      <c r="WHA1" s="630"/>
      <c r="WHB1" s="630"/>
      <c r="WHC1" s="630"/>
      <c r="WHD1" s="630"/>
      <c r="WHE1" s="630"/>
      <c r="WHF1" s="630"/>
      <c r="WHG1" s="630"/>
      <c r="WHH1" s="630"/>
      <c r="WHI1" s="630"/>
      <c r="WHJ1" s="630"/>
      <c r="WHK1" s="630"/>
      <c r="WHL1" s="630"/>
      <c r="WHM1" s="630"/>
      <c r="WHN1" s="630"/>
      <c r="WHO1" s="630"/>
      <c r="WHP1" s="630"/>
      <c r="WHQ1" s="630"/>
      <c r="WHR1" s="630"/>
      <c r="WHS1" s="630"/>
      <c r="WHT1" s="630"/>
      <c r="WHU1" s="630"/>
      <c r="WHV1" s="630"/>
      <c r="WHW1" s="630"/>
      <c r="WHX1" s="630"/>
      <c r="WHY1" s="630"/>
      <c r="WHZ1" s="630"/>
      <c r="WIA1" s="630"/>
      <c r="WIB1" s="630"/>
      <c r="WIC1" s="630"/>
      <c r="WID1" s="630"/>
      <c r="WIE1" s="630"/>
      <c r="WIF1" s="630"/>
      <c r="WIG1" s="630"/>
      <c r="WIH1" s="630"/>
      <c r="WII1" s="630"/>
      <c r="WIJ1" s="630"/>
      <c r="WIK1" s="630"/>
      <c r="WIL1" s="630"/>
      <c r="WIM1" s="630"/>
      <c r="WIN1" s="630"/>
      <c r="WIO1" s="630"/>
      <c r="WIP1" s="630"/>
      <c r="WIQ1" s="632"/>
      <c r="WIR1" s="631"/>
      <c r="WIS1" s="631"/>
      <c r="WIT1" s="631"/>
      <c r="WIU1" s="631"/>
      <c r="WIV1" s="631"/>
      <c r="WIW1" s="631"/>
      <c r="WIX1" s="631"/>
      <c r="WIY1" s="631"/>
      <c r="WIZ1" s="631"/>
      <c r="WJA1" s="631"/>
      <c r="WJB1" s="631"/>
      <c r="WJC1" s="631"/>
      <c r="WJD1" s="631"/>
      <c r="WJE1" s="631"/>
      <c r="WJF1" s="631"/>
      <c r="WJG1" s="631"/>
      <c r="WJH1" s="631"/>
      <c r="WJI1" s="630"/>
      <c r="WJJ1" s="630"/>
      <c r="WJK1" s="630"/>
      <c r="WJL1" s="630"/>
      <c r="WJM1" s="630"/>
      <c r="WJN1" s="630"/>
      <c r="WJO1" s="630"/>
      <c r="WJP1" s="630"/>
      <c r="WJQ1" s="630"/>
      <c r="WJR1" s="630"/>
      <c r="WJS1" s="630"/>
      <c r="WJT1" s="630"/>
      <c r="WJU1" s="630"/>
      <c r="WJV1" s="630"/>
      <c r="WJW1" s="630"/>
      <c r="WJX1" s="630"/>
      <c r="WJY1" s="630"/>
      <c r="WJZ1" s="630"/>
      <c r="WKA1" s="630"/>
      <c r="WKB1" s="630"/>
      <c r="WKC1" s="630"/>
      <c r="WKD1" s="630"/>
      <c r="WKE1" s="630"/>
      <c r="WKF1" s="630"/>
      <c r="WKG1" s="630"/>
      <c r="WKH1" s="630"/>
      <c r="WKI1" s="630"/>
      <c r="WKJ1" s="630"/>
      <c r="WKK1" s="630"/>
      <c r="WKL1" s="630"/>
      <c r="WKM1" s="630"/>
      <c r="WKN1" s="630"/>
      <c r="WKO1" s="630"/>
      <c r="WKP1" s="630"/>
      <c r="WKQ1" s="630"/>
      <c r="WKR1" s="630"/>
      <c r="WKS1" s="630"/>
      <c r="WKT1" s="630"/>
      <c r="WKU1" s="630"/>
      <c r="WKV1" s="630"/>
      <c r="WKW1" s="630"/>
      <c r="WKX1" s="630"/>
      <c r="WKY1" s="630"/>
      <c r="WKZ1" s="630"/>
      <c r="WLA1" s="630"/>
      <c r="WLB1" s="630"/>
      <c r="WLC1" s="630"/>
      <c r="WLD1" s="630"/>
      <c r="WLE1" s="630"/>
      <c r="WLF1" s="632"/>
      <c r="WLG1" s="631"/>
      <c r="WLH1" s="631"/>
      <c r="WLI1" s="631"/>
      <c r="WLJ1" s="631"/>
      <c r="WLK1" s="631"/>
      <c r="WLL1" s="631"/>
      <c r="WLM1" s="631"/>
      <c r="WLN1" s="631"/>
      <c r="WLO1" s="631"/>
      <c r="WLP1" s="631"/>
      <c r="WLQ1" s="631"/>
      <c r="WLR1" s="631"/>
      <c r="WLS1" s="631"/>
      <c r="WLT1" s="631"/>
      <c r="WLU1" s="631"/>
      <c r="WLV1" s="631"/>
      <c r="WLW1" s="631"/>
      <c r="WLX1" s="630"/>
      <c r="WLY1" s="630"/>
      <c r="WLZ1" s="630"/>
      <c r="WMA1" s="630"/>
      <c r="WMB1" s="630"/>
      <c r="WMC1" s="630"/>
      <c r="WMD1" s="630"/>
      <c r="WME1" s="630"/>
      <c r="WMF1" s="630"/>
      <c r="WMG1" s="630"/>
      <c r="WMH1" s="630"/>
      <c r="WMI1" s="630"/>
      <c r="WMJ1" s="630"/>
      <c r="WMK1" s="630"/>
      <c r="WML1" s="630"/>
      <c r="WMM1" s="630"/>
      <c r="WMN1" s="630"/>
      <c r="WMO1" s="630"/>
      <c r="WMP1" s="630"/>
      <c r="WMQ1" s="630"/>
      <c r="WMR1" s="630"/>
      <c r="WMS1" s="630"/>
      <c r="WMT1" s="630"/>
      <c r="WMU1" s="630"/>
      <c r="WMV1" s="630"/>
      <c r="WMW1" s="630"/>
      <c r="WMX1" s="630"/>
      <c r="WMY1" s="630"/>
      <c r="WMZ1" s="630"/>
      <c r="WNA1" s="630"/>
      <c r="WNB1" s="630"/>
      <c r="WNC1" s="630"/>
      <c r="WND1" s="630"/>
      <c r="WNE1" s="630"/>
      <c r="WNF1" s="630"/>
      <c r="WNG1" s="630"/>
      <c r="WNH1" s="630"/>
      <c r="WNI1" s="630"/>
      <c r="WNJ1" s="630"/>
      <c r="WNK1" s="630"/>
      <c r="WNL1" s="630"/>
      <c r="WNM1" s="630"/>
      <c r="WNN1" s="630"/>
      <c r="WNO1" s="630"/>
      <c r="WNP1" s="630"/>
      <c r="WNQ1" s="630"/>
      <c r="WNR1" s="630"/>
      <c r="WNS1" s="630"/>
      <c r="WNT1" s="630"/>
      <c r="WNU1" s="632"/>
      <c r="WNV1" s="631"/>
      <c r="WNW1" s="631"/>
      <c r="WNX1" s="631"/>
      <c r="WNY1" s="631"/>
      <c r="WNZ1" s="631"/>
      <c r="WOA1" s="631"/>
      <c r="WOB1" s="631"/>
      <c r="WOC1" s="631"/>
      <c r="WOD1" s="631"/>
      <c r="WOE1" s="631"/>
      <c r="WOF1" s="631"/>
      <c r="WOG1" s="631"/>
      <c r="WOH1" s="631"/>
      <c r="WOI1" s="631"/>
      <c r="WOJ1" s="631"/>
      <c r="WOK1" s="631"/>
      <c r="WOL1" s="631"/>
      <c r="WOM1" s="630"/>
      <c r="WON1" s="630"/>
      <c r="WOO1" s="630"/>
      <c r="WOP1" s="630"/>
      <c r="WOQ1" s="630"/>
      <c r="WOR1" s="630"/>
      <c r="WOS1" s="630"/>
      <c r="WOT1" s="630"/>
      <c r="WOU1" s="630"/>
      <c r="WOV1" s="630"/>
      <c r="WOW1" s="630"/>
      <c r="WOX1" s="630"/>
      <c r="WOY1" s="630"/>
      <c r="WOZ1" s="630"/>
      <c r="WPA1" s="630"/>
      <c r="WPB1" s="630"/>
      <c r="WPC1" s="630"/>
      <c r="WPD1" s="630"/>
      <c r="WPE1" s="630"/>
      <c r="WPF1" s="630"/>
      <c r="WPG1" s="630"/>
      <c r="WPH1" s="630"/>
      <c r="WPI1" s="630"/>
      <c r="WPJ1" s="630"/>
      <c r="WPK1" s="630"/>
      <c r="WPL1" s="630"/>
      <c r="WPM1" s="630"/>
      <c r="WPN1" s="630"/>
      <c r="WPO1" s="630"/>
      <c r="WPP1" s="630"/>
      <c r="WPQ1" s="630"/>
      <c r="WPR1" s="630"/>
      <c r="WPS1" s="630"/>
      <c r="WPT1" s="630"/>
      <c r="WPU1" s="630"/>
      <c r="WPV1" s="630"/>
      <c r="WPW1" s="630"/>
      <c r="WPX1" s="630"/>
      <c r="WPY1" s="630"/>
      <c r="WPZ1" s="630"/>
      <c r="WQA1" s="630"/>
      <c r="WQB1" s="630"/>
      <c r="WQC1" s="630"/>
      <c r="WQD1" s="630"/>
      <c r="WQE1" s="630"/>
      <c r="WQF1" s="630"/>
      <c r="WQG1" s="630"/>
      <c r="WQH1" s="630"/>
      <c r="WQI1" s="630"/>
      <c r="WQJ1" s="632"/>
      <c r="WQK1" s="631"/>
      <c r="WQL1" s="631"/>
      <c r="WQM1" s="631"/>
      <c r="WQN1" s="631"/>
      <c r="WQO1" s="631"/>
      <c r="WQP1" s="631"/>
      <c r="WQQ1" s="631"/>
      <c r="WQR1" s="631"/>
      <c r="WQS1" s="631"/>
      <c r="WQT1" s="631"/>
      <c r="WQU1" s="631"/>
      <c r="WQV1" s="631"/>
      <c r="WQW1" s="631"/>
      <c r="WQX1" s="631"/>
      <c r="WQY1" s="631"/>
      <c r="WQZ1" s="631"/>
      <c r="WRA1" s="631"/>
      <c r="WRB1" s="630"/>
      <c r="WRC1" s="630"/>
      <c r="WRD1" s="630"/>
      <c r="WRE1" s="630"/>
      <c r="WRF1" s="630"/>
      <c r="WRG1" s="630"/>
      <c r="WRH1" s="630"/>
      <c r="WRI1" s="630"/>
      <c r="WRJ1" s="630"/>
      <c r="WRK1" s="630"/>
      <c r="WRL1" s="630"/>
      <c r="WRM1" s="630"/>
      <c r="WRN1" s="630"/>
      <c r="WRO1" s="630"/>
      <c r="WRP1" s="630"/>
      <c r="WRQ1" s="630"/>
      <c r="WRR1" s="630"/>
      <c r="WRS1" s="630"/>
      <c r="WRT1" s="630"/>
      <c r="WRU1" s="630"/>
      <c r="WRV1" s="630"/>
      <c r="WRW1" s="630"/>
      <c r="WRX1" s="630"/>
      <c r="WRY1" s="630"/>
      <c r="WRZ1" s="630"/>
      <c r="WSA1" s="630"/>
      <c r="WSB1" s="630"/>
      <c r="WSC1" s="630"/>
      <c r="WSD1" s="630"/>
      <c r="WSE1" s="630"/>
      <c r="WSF1" s="630"/>
      <c r="WSG1" s="630"/>
      <c r="WSH1" s="630"/>
      <c r="WSI1" s="630"/>
      <c r="WSJ1" s="630"/>
      <c r="WSK1" s="630"/>
      <c r="WSL1" s="630"/>
      <c r="WSM1" s="630"/>
      <c r="WSN1" s="630"/>
      <c r="WSO1" s="630"/>
      <c r="WSP1" s="630"/>
      <c r="WSQ1" s="630"/>
      <c r="WSR1" s="630"/>
      <c r="WSS1" s="630"/>
      <c r="WST1" s="630"/>
      <c r="WSU1" s="630"/>
      <c r="WSV1" s="630"/>
      <c r="WSW1" s="630"/>
      <c r="WSX1" s="630"/>
      <c r="WSY1" s="632"/>
      <c r="WSZ1" s="631"/>
      <c r="WTA1" s="631"/>
      <c r="WTB1" s="631"/>
      <c r="WTC1" s="631"/>
      <c r="WTD1" s="631"/>
      <c r="WTE1" s="631"/>
      <c r="WTF1" s="631"/>
      <c r="WTG1" s="631"/>
      <c r="WTH1" s="631"/>
      <c r="WTI1" s="631"/>
      <c r="WTJ1" s="631"/>
      <c r="WTK1" s="631"/>
      <c r="WTL1" s="631"/>
      <c r="WTM1" s="631"/>
      <c r="WTN1" s="631"/>
      <c r="WTO1" s="631"/>
      <c r="WTP1" s="631"/>
      <c r="WTQ1" s="630"/>
      <c r="WTR1" s="630"/>
      <c r="WTS1" s="630"/>
      <c r="WTT1" s="630"/>
      <c r="WTU1" s="630"/>
      <c r="WTV1" s="630"/>
      <c r="WTW1" s="630"/>
      <c r="WTX1" s="630"/>
      <c r="WTY1" s="630"/>
      <c r="WTZ1" s="630"/>
      <c r="WUA1" s="630"/>
      <c r="WUB1" s="630"/>
      <c r="WUC1" s="630"/>
      <c r="WUD1" s="630"/>
      <c r="WUE1" s="630"/>
      <c r="WUF1" s="630"/>
      <c r="WUG1" s="630"/>
      <c r="WUH1" s="630"/>
      <c r="WUI1" s="630"/>
      <c r="WUJ1" s="630"/>
      <c r="WUK1" s="630"/>
      <c r="WUL1" s="630"/>
      <c r="WUM1" s="630"/>
      <c r="WUN1" s="630"/>
      <c r="WUO1" s="630"/>
      <c r="WUP1" s="630"/>
      <c r="WUQ1" s="630"/>
      <c r="WUR1" s="630"/>
      <c r="WUS1" s="630"/>
      <c r="WUT1" s="630"/>
      <c r="WUU1" s="630"/>
      <c r="WUV1" s="630"/>
      <c r="WUW1" s="630"/>
      <c r="WUX1" s="630"/>
      <c r="WUY1" s="630"/>
      <c r="WUZ1" s="630"/>
      <c r="WVA1" s="630"/>
      <c r="WVB1" s="630"/>
      <c r="WVC1" s="630"/>
      <c r="WVD1" s="630"/>
      <c r="WVE1" s="630"/>
      <c r="WVF1" s="630"/>
      <c r="WVG1" s="630"/>
      <c r="WVH1" s="630"/>
      <c r="WVI1" s="630"/>
      <c r="WVJ1" s="630"/>
      <c r="WVK1" s="630"/>
      <c r="WVL1" s="630"/>
      <c r="WVM1" s="630"/>
      <c r="WVN1" s="632"/>
      <c r="WVO1" s="631"/>
      <c r="WVP1" s="631"/>
      <c r="WVQ1" s="631"/>
      <c r="WVR1" s="631"/>
      <c r="WVS1" s="631"/>
      <c r="WVT1" s="631"/>
      <c r="WVU1" s="631"/>
      <c r="WVV1" s="631"/>
      <c r="WVW1" s="631"/>
      <c r="WVX1" s="631"/>
      <c r="WVY1" s="631"/>
      <c r="WVZ1" s="631"/>
      <c r="WWA1" s="631"/>
      <c r="WWB1" s="631"/>
      <c r="WWC1" s="631"/>
      <c r="WWD1" s="631"/>
      <c r="WWE1" s="631"/>
      <c r="WWF1" s="630"/>
      <c r="WWG1" s="630"/>
      <c r="WWH1" s="630"/>
      <c r="WWI1" s="630"/>
      <c r="WWJ1" s="630"/>
      <c r="WWK1" s="630"/>
      <c r="WWL1" s="630"/>
      <c r="WWM1" s="630"/>
      <c r="WWN1" s="630"/>
      <c r="WWO1" s="630"/>
      <c r="WWP1" s="630"/>
      <c r="WWQ1" s="630"/>
      <c r="WWR1" s="630"/>
      <c r="WWS1" s="630"/>
      <c r="WWT1" s="630"/>
      <c r="WWU1" s="630"/>
      <c r="WWV1" s="630"/>
      <c r="WWW1" s="630"/>
      <c r="WWX1" s="630"/>
      <c r="WWY1" s="630"/>
      <c r="WWZ1" s="630"/>
      <c r="WXA1" s="630"/>
      <c r="WXB1" s="630"/>
      <c r="WXC1" s="630"/>
      <c r="WXD1" s="630"/>
      <c r="WXE1" s="630"/>
      <c r="WXF1" s="630"/>
      <c r="WXG1" s="630"/>
      <c r="WXH1" s="630"/>
      <c r="WXI1" s="630"/>
      <c r="WXJ1" s="630"/>
      <c r="WXK1" s="630"/>
      <c r="WXL1" s="630"/>
      <c r="WXM1" s="630"/>
      <c r="WXN1" s="630"/>
      <c r="WXO1" s="630"/>
      <c r="WXP1" s="630"/>
      <c r="WXQ1" s="630"/>
      <c r="WXR1" s="630"/>
      <c r="WXS1" s="630"/>
      <c r="WXT1" s="630"/>
      <c r="WXU1" s="630"/>
      <c r="WXV1" s="630"/>
      <c r="WXW1" s="630"/>
      <c r="WXX1" s="630"/>
      <c r="WXY1" s="630"/>
      <c r="WXZ1" s="630"/>
      <c r="WYA1" s="630"/>
      <c r="WYB1" s="630"/>
      <c r="WYC1" s="632"/>
      <c r="WYD1" s="631"/>
      <c r="WYE1" s="631"/>
      <c r="WYF1" s="631"/>
      <c r="WYG1" s="631"/>
      <c r="WYH1" s="631"/>
      <c r="WYI1" s="631"/>
      <c r="WYJ1" s="631"/>
      <c r="WYK1" s="631"/>
      <c r="WYL1" s="631"/>
      <c r="WYM1" s="631"/>
      <c r="WYN1" s="631"/>
      <c r="WYO1" s="631"/>
      <c r="WYP1" s="631"/>
      <c r="WYQ1" s="631"/>
      <c r="WYR1" s="631"/>
      <c r="WYS1" s="631"/>
      <c r="WYT1" s="631"/>
      <c r="WYU1" s="630"/>
      <c r="WYV1" s="630"/>
      <c r="WYW1" s="630"/>
      <c r="WYX1" s="630"/>
      <c r="WYY1" s="630"/>
      <c r="WYZ1" s="630"/>
      <c r="WZA1" s="630"/>
      <c r="WZB1" s="630"/>
      <c r="WZC1" s="630"/>
      <c r="WZD1" s="630"/>
      <c r="WZE1" s="630"/>
      <c r="WZF1" s="630"/>
      <c r="WZG1" s="630"/>
      <c r="WZH1" s="630"/>
      <c r="WZI1" s="630"/>
      <c r="WZJ1" s="630"/>
      <c r="WZK1" s="630"/>
      <c r="WZL1" s="630"/>
      <c r="WZM1" s="630"/>
      <c r="WZN1" s="630"/>
      <c r="WZO1" s="630"/>
      <c r="WZP1" s="630"/>
      <c r="WZQ1" s="630"/>
      <c r="WZR1" s="630"/>
      <c r="WZS1" s="630"/>
      <c r="WZT1" s="630"/>
      <c r="WZU1" s="630"/>
      <c r="WZV1" s="630"/>
      <c r="WZW1" s="630"/>
      <c r="WZX1" s="630"/>
      <c r="WZY1" s="630"/>
      <c r="WZZ1" s="630"/>
      <c r="XAA1" s="630"/>
      <c r="XAB1" s="630"/>
      <c r="XAC1" s="630"/>
      <c r="XAD1" s="630"/>
      <c r="XAE1" s="630"/>
      <c r="XAF1" s="630"/>
      <c r="XAG1" s="630"/>
      <c r="XAH1" s="630"/>
      <c r="XAI1" s="630"/>
      <c r="XAJ1" s="630"/>
      <c r="XAK1" s="630"/>
      <c r="XAL1" s="630"/>
      <c r="XAM1" s="630"/>
      <c r="XAN1" s="630"/>
      <c r="XAO1" s="630"/>
      <c r="XAP1" s="630"/>
      <c r="XAQ1" s="630"/>
      <c r="XAR1" s="632"/>
      <c r="XAS1" s="631"/>
      <c r="XAT1" s="631"/>
      <c r="XAU1" s="631"/>
      <c r="XAV1" s="631"/>
      <c r="XAW1" s="631"/>
      <c r="XAX1" s="631"/>
      <c r="XAY1" s="631"/>
      <c r="XAZ1" s="631"/>
      <c r="XBA1" s="631"/>
      <c r="XBB1" s="631"/>
      <c r="XBC1" s="631"/>
      <c r="XBD1" s="631"/>
      <c r="XBE1" s="631"/>
      <c r="XBF1" s="631"/>
      <c r="XBG1" s="631"/>
      <c r="XBH1" s="631"/>
      <c r="XBI1" s="631"/>
      <c r="XBJ1" s="630"/>
      <c r="XBK1" s="630"/>
      <c r="XBL1" s="630"/>
      <c r="XBM1" s="630"/>
      <c r="XBN1" s="630"/>
      <c r="XBO1" s="630"/>
      <c r="XBP1" s="630"/>
      <c r="XBQ1" s="630"/>
      <c r="XBR1" s="630"/>
      <c r="XBS1" s="630"/>
      <c r="XBT1" s="630"/>
      <c r="XBU1" s="630"/>
      <c r="XBV1" s="630"/>
      <c r="XBW1" s="630"/>
      <c r="XBX1" s="630"/>
      <c r="XBY1" s="630"/>
      <c r="XBZ1" s="630"/>
      <c r="XCA1" s="630"/>
      <c r="XCB1" s="630"/>
      <c r="XCC1" s="630"/>
      <c r="XCD1" s="630"/>
      <c r="XCE1" s="630"/>
      <c r="XCF1" s="630"/>
      <c r="XCG1" s="630"/>
      <c r="XCH1" s="630"/>
      <c r="XCI1" s="630"/>
      <c r="XCJ1" s="630"/>
      <c r="XCK1" s="630"/>
      <c r="XCL1" s="630"/>
      <c r="XCM1" s="630"/>
      <c r="XCN1" s="630"/>
      <c r="XCO1" s="630"/>
      <c r="XCP1" s="630"/>
      <c r="XCQ1" s="630"/>
      <c r="XCR1" s="630"/>
      <c r="XCS1" s="630"/>
      <c r="XCT1" s="630"/>
      <c r="XCU1" s="630"/>
      <c r="XCV1" s="630"/>
      <c r="XCW1" s="630"/>
      <c r="XCX1" s="630"/>
      <c r="XCY1" s="630"/>
      <c r="XCZ1" s="630"/>
      <c r="XDA1" s="630"/>
      <c r="XDB1" s="630"/>
      <c r="XDC1" s="630"/>
      <c r="XDD1" s="630"/>
      <c r="XDE1" s="630"/>
      <c r="XDF1" s="630"/>
      <c r="XDG1" s="632"/>
      <c r="XDH1" s="631"/>
      <c r="XDI1" s="631"/>
      <c r="XDJ1" s="631"/>
      <c r="XDK1" s="631"/>
      <c r="XDL1" s="631"/>
      <c r="XDM1" s="631"/>
      <c r="XDN1" s="631"/>
      <c r="XDO1" s="631"/>
      <c r="XDP1" s="631"/>
      <c r="XDQ1" s="631"/>
      <c r="XDR1" s="631"/>
      <c r="XDS1" s="631"/>
      <c r="XDT1" s="631"/>
      <c r="XDU1" s="631"/>
      <c r="XDV1" s="631"/>
      <c r="XDW1" s="631"/>
      <c r="XDX1" s="631"/>
      <c r="XDY1" s="630"/>
      <c r="XDZ1" s="630"/>
      <c r="XEA1" s="630"/>
      <c r="XEB1" s="630"/>
      <c r="XEC1" s="630"/>
      <c r="XED1" s="630"/>
      <c r="XEE1" s="630"/>
      <c r="XEF1" s="630"/>
      <c r="XEG1" s="630"/>
      <c r="XEH1" s="630"/>
      <c r="XEI1" s="630"/>
      <c r="XEJ1" s="630"/>
      <c r="XEK1" s="630"/>
      <c r="XEL1" s="630"/>
      <c r="XEM1" s="630"/>
      <c r="XEN1" s="630"/>
      <c r="XEO1" s="630"/>
      <c r="XEP1" s="630"/>
    </row>
    <row r="2" spans="1:16370" ht="21">
      <c r="A2" s="668" t="str">
        <f>IF(rng01_ProjectName="","[Project Name]", rng01_ProjectName)</f>
        <v>[Project Name]</v>
      </c>
      <c r="B2" s="664"/>
      <c r="C2" s="664"/>
      <c r="D2" s="664"/>
      <c r="E2" s="665"/>
      <c r="F2" s="666" t="s">
        <v>245</v>
      </c>
      <c r="G2" s="666"/>
      <c r="H2" s="667">
        <f>tbl00ModelProgress[[#Totals],[Date of Progress /
Last Edit]]</f>
        <v>0</v>
      </c>
      <c r="I2" s="664"/>
      <c r="J2" s="664"/>
      <c r="K2" s="664"/>
      <c r="L2" s="664"/>
      <c r="M2" s="664"/>
      <c r="N2" s="664"/>
      <c r="O2" s="664"/>
      <c r="P2" s="664"/>
      <c r="Q2" s="42"/>
      <c r="R2" s="43"/>
      <c r="S2" s="43"/>
      <c r="T2" s="43"/>
      <c r="U2" s="43"/>
      <c r="V2" s="43"/>
      <c r="W2" s="43"/>
      <c r="X2" s="43"/>
      <c r="Y2" s="43"/>
      <c r="Z2" s="43"/>
      <c r="AA2" s="43"/>
      <c r="AB2" s="43"/>
      <c r="AC2" s="43"/>
      <c r="AD2" s="43"/>
      <c r="AE2" s="43"/>
      <c r="AF2" s="43"/>
      <c r="AG2" s="43"/>
      <c r="AH2" s="43"/>
      <c r="AI2" s="43"/>
      <c r="AJ2" s="43"/>
      <c r="AK2" s="1494"/>
      <c r="AM2" s="100"/>
      <c r="AN2" s="100"/>
      <c r="AO2" s="100"/>
      <c r="AP2" s="100"/>
      <c r="AQ2" s="100"/>
      <c r="AR2" s="100"/>
      <c r="AS2" s="100"/>
      <c r="AT2" s="100"/>
      <c r="AU2" s="100"/>
      <c r="AV2" s="100"/>
      <c r="AW2" s="100"/>
      <c r="AX2" s="100"/>
      <c r="AY2" s="100"/>
      <c r="AZ2" s="100"/>
      <c r="BA2" s="100"/>
      <c r="BB2" s="100"/>
      <c r="BC2" s="100"/>
      <c r="BD2" s="100"/>
      <c r="BE2" s="100"/>
      <c r="BF2" s="199"/>
      <c r="BG2" s="200"/>
      <c r="BH2" s="201"/>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633"/>
      <c r="DR2" s="100"/>
      <c r="DS2" s="100"/>
      <c r="DT2" s="100"/>
      <c r="DU2" s="199"/>
      <c r="DV2" s="200"/>
      <c r="DW2" s="201"/>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633"/>
      <c r="GG2" s="100"/>
      <c r="GH2" s="100"/>
      <c r="GI2" s="100"/>
      <c r="GJ2" s="199"/>
      <c r="GK2" s="200"/>
      <c r="GL2" s="201"/>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633"/>
      <c r="IV2" s="100"/>
      <c r="IW2" s="100"/>
      <c r="IX2" s="100"/>
      <c r="IY2" s="199"/>
      <c r="IZ2" s="200"/>
      <c r="JA2" s="201"/>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c r="KM2" s="100"/>
      <c r="KN2" s="100"/>
      <c r="KO2" s="100"/>
      <c r="KP2" s="100"/>
      <c r="KQ2" s="100"/>
      <c r="KR2" s="100"/>
      <c r="KS2" s="100"/>
      <c r="KT2" s="100"/>
      <c r="KU2" s="100"/>
      <c r="KV2" s="100"/>
      <c r="KW2" s="100"/>
      <c r="KX2" s="100"/>
      <c r="KY2" s="100"/>
      <c r="KZ2" s="100"/>
      <c r="LA2" s="100"/>
      <c r="LB2" s="100"/>
      <c r="LC2" s="100"/>
      <c r="LD2" s="100"/>
      <c r="LE2" s="100"/>
      <c r="LF2" s="100"/>
      <c r="LG2" s="100"/>
      <c r="LH2" s="100"/>
      <c r="LI2" s="100"/>
      <c r="LJ2" s="633"/>
      <c r="LK2" s="100"/>
      <c r="LL2" s="100"/>
      <c r="LM2" s="100"/>
      <c r="LN2" s="199"/>
      <c r="LO2" s="200"/>
      <c r="LP2" s="201"/>
      <c r="LQ2" s="100"/>
      <c r="LR2" s="100"/>
      <c r="LS2" s="100"/>
      <c r="LT2" s="100"/>
      <c r="LU2" s="100"/>
      <c r="LV2" s="100"/>
      <c r="LW2" s="100"/>
      <c r="LX2" s="100"/>
      <c r="LY2" s="100"/>
      <c r="LZ2" s="100"/>
      <c r="MA2" s="100"/>
      <c r="MB2" s="100"/>
      <c r="MC2" s="100"/>
      <c r="MD2" s="100"/>
      <c r="ME2" s="100"/>
      <c r="MF2" s="100"/>
      <c r="MG2" s="100"/>
      <c r="MH2" s="100"/>
      <c r="MI2" s="100"/>
      <c r="MJ2" s="100"/>
      <c r="MK2" s="100"/>
      <c r="ML2" s="100"/>
      <c r="MM2" s="100"/>
      <c r="MN2" s="100"/>
      <c r="MO2" s="100"/>
      <c r="MP2" s="100"/>
      <c r="MQ2" s="100"/>
      <c r="MR2" s="100"/>
      <c r="MS2" s="100"/>
      <c r="MT2" s="100"/>
      <c r="MU2" s="100"/>
      <c r="MV2" s="100"/>
      <c r="MW2" s="100"/>
      <c r="MX2" s="100"/>
      <c r="MY2" s="100"/>
      <c r="MZ2" s="100"/>
      <c r="NA2" s="100"/>
      <c r="NB2" s="100"/>
      <c r="NC2" s="100"/>
      <c r="ND2" s="100"/>
      <c r="NE2" s="100"/>
      <c r="NF2" s="100"/>
      <c r="NG2" s="100"/>
      <c r="NH2" s="100"/>
      <c r="NI2" s="100"/>
      <c r="NJ2" s="100"/>
      <c r="NK2" s="100"/>
      <c r="NL2" s="100"/>
      <c r="NM2" s="100"/>
      <c r="NN2" s="100"/>
      <c r="NO2" s="100"/>
      <c r="NP2" s="100"/>
      <c r="NQ2" s="100"/>
      <c r="NR2" s="100"/>
      <c r="NS2" s="100"/>
      <c r="NT2" s="100"/>
      <c r="NU2" s="100"/>
      <c r="NV2" s="100"/>
      <c r="NW2" s="100"/>
      <c r="NX2" s="100"/>
      <c r="NY2" s="633"/>
      <c r="NZ2" s="100"/>
      <c r="OA2" s="100"/>
      <c r="OB2" s="100"/>
      <c r="OC2" s="199"/>
      <c r="OD2" s="200"/>
      <c r="OE2" s="201"/>
      <c r="OF2" s="100"/>
      <c r="OG2" s="100"/>
      <c r="OH2" s="100"/>
      <c r="OI2" s="100"/>
      <c r="OJ2" s="100"/>
      <c r="OK2" s="100"/>
      <c r="OL2" s="100"/>
      <c r="OM2" s="100"/>
      <c r="ON2" s="100"/>
      <c r="OO2" s="100"/>
      <c r="OP2" s="100"/>
      <c r="OQ2" s="100"/>
      <c r="OR2" s="100"/>
      <c r="OS2" s="100"/>
      <c r="OT2" s="100"/>
      <c r="OU2" s="100"/>
      <c r="OV2" s="100"/>
      <c r="OW2" s="100"/>
      <c r="OX2" s="100"/>
      <c r="OY2" s="100"/>
      <c r="OZ2" s="100"/>
      <c r="PA2" s="100"/>
      <c r="PB2" s="100"/>
      <c r="PC2" s="100"/>
      <c r="PD2" s="100"/>
      <c r="PE2" s="100"/>
      <c r="PF2" s="100"/>
      <c r="PG2" s="100"/>
      <c r="PH2" s="100"/>
      <c r="PI2" s="100"/>
      <c r="PJ2" s="100"/>
      <c r="PK2" s="100"/>
      <c r="PL2" s="100"/>
      <c r="PM2" s="100"/>
      <c r="PN2" s="100"/>
      <c r="PO2" s="100"/>
      <c r="PP2" s="100"/>
      <c r="PQ2" s="100"/>
      <c r="PR2" s="100"/>
      <c r="PS2" s="100"/>
      <c r="PT2" s="100"/>
      <c r="PU2" s="100"/>
      <c r="PV2" s="100"/>
      <c r="PW2" s="100"/>
      <c r="PX2" s="100"/>
      <c r="PY2" s="100"/>
      <c r="PZ2" s="100"/>
      <c r="QA2" s="100"/>
      <c r="QB2" s="100"/>
      <c r="QC2" s="100"/>
      <c r="QD2" s="100"/>
      <c r="QE2" s="100"/>
      <c r="QF2" s="100"/>
      <c r="QG2" s="100"/>
      <c r="QH2" s="100"/>
      <c r="QI2" s="100"/>
      <c r="QJ2" s="100"/>
      <c r="QK2" s="100"/>
      <c r="QL2" s="100"/>
      <c r="QM2" s="100"/>
      <c r="QN2" s="633"/>
      <c r="QO2" s="100"/>
      <c r="QP2" s="100"/>
      <c r="QQ2" s="100"/>
      <c r="QR2" s="199"/>
      <c r="QS2" s="200"/>
      <c r="QT2" s="201"/>
      <c r="QU2" s="100"/>
      <c r="QV2" s="100"/>
      <c r="QW2" s="100"/>
      <c r="QX2" s="100"/>
      <c r="QY2" s="100"/>
      <c r="QZ2" s="100"/>
      <c r="RA2" s="100"/>
      <c r="RB2" s="100"/>
      <c r="RC2" s="100"/>
      <c r="RD2" s="100"/>
      <c r="RE2" s="100"/>
      <c r="RF2" s="100"/>
      <c r="RG2" s="100"/>
      <c r="RH2" s="100"/>
      <c r="RI2" s="100"/>
      <c r="RJ2" s="100"/>
      <c r="RK2" s="100"/>
      <c r="RL2" s="100"/>
      <c r="RM2" s="100"/>
      <c r="RN2" s="100"/>
      <c r="RO2" s="100"/>
      <c r="RP2" s="100"/>
      <c r="RQ2" s="100"/>
      <c r="RR2" s="100"/>
      <c r="RS2" s="100"/>
      <c r="RT2" s="100"/>
      <c r="RU2" s="100"/>
      <c r="RV2" s="100"/>
      <c r="RW2" s="100"/>
      <c r="RX2" s="100"/>
      <c r="RY2" s="100"/>
      <c r="RZ2" s="100"/>
      <c r="SA2" s="100"/>
      <c r="SB2" s="100"/>
      <c r="SC2" s="100"/>
      <c r="SD2" s="100"/>
      <c r="SE2" s="100"/>
      <c r="SF2" s="100"/>
      <c r="SG2" s="100"/>
      <c r="SH2" s="100"/>
      <c r="SI2" s="100"/>
      <c r="SJ2" s="100"/>
      <c r="SK2" s="100"/>
      <c r="SL2" s="100"/>
      <c r="SM2" s="100"/>
      <c r="SN2" s="100"/>
      <c r="SO2" s="100"/>
      <c r="SP2" s="100"/>
      <c r="SQ2" s="100"/>
      <c r="SR2" s="100"/>
      <c r="SS2" s="100"/>
      <c r="ST2" s="100"/>
      <c r="SU2" s="100"/>
      <c r="SV2" s="100"/>
      <c r="SW2" s="100"/>
      <c r="SX2" s="100"/>
      <c r="SY2" s="100"/>
      <c r="SZ2" s="100"/>
      <c r="TA2" s="100"/>
      <c r="TB2" s="100"/>
      <c r="TC2" s="633"/>
      <c r="TD2" s="100"/>
      <c r="TE2" s="100"/>
      <c r="TF2" s="100"/>
      <c r="TG2" s="199"/>
      <c r="TH2" s="200"/>
      <c r="TI2" s="201"/>
      <c r="TJ2" s="100"/>
      <c r="TK2" s="100"/>
      <c r="TL2" s="100"/>
      <c r="TM2" s="100"/>
      <c r="TN2" s="100"/>
      <c r="TO2" s="100"/>
      <c r="TP2" s="100"/>
      <c r="TQ2" s="100"/>
      <c r="TR2" s="100"/>
      <c r="TS2" s="100"/>
      <c r="TT2" s="100"/>
      <c r="TU2" s="100"/>
      <c r="TV2" s="100"/>
      <c r="TW2" s="100"/>
      <c r="TX2" s="100"/>
      <c r="TY2" s="100"/>
      <c r="TZ2" s="100"/>
      <c r="UA2" s="100"/>
      <c r="UB2" s="100"/>
      <c r="UC2" s="100"/>
      <c r="UD2" s="100"/>
      <c r="UE2" s="100"/>
      <c r="UF2" s="100"/>
      <c r="UG2" s="100"/>
      <c r="UH2" s="100"/>
      <c r="UI2" s="100"/>
      <c r="UJ2" s="100"/>
      <c r="UK2" s="100"/>
      <c r="UL2" s="100"/>
      <c r="UM2" s="100"/>
      <c r="UN2" s="100"/>
      <c r="UO2" s="100"/>
      <c r="UP2" s="100"/>
      <c r="UQ2" s="100"/>
      <c r="UR2" s="100"/>
      <c r="US2" s="100"/>
      <c r="UT2" s="100"/>
      <c r="UU2" s="100"/>
      <c r="UV2" s="100"/>
      <c r="UW2" s="100"/>
      <c r="UX2" s="100"/>
      <c r="UY2" s="100"/>
      <c r="UZ2" s="100"/>
      <c r="VA2" s="100"/>
      <c r="VB2" s="100"/>
      <c r="VC2" s="100"/>
      <c r="VD2" s="100"/>
      <c r="VE2" s="100"/>
      <c r="VF2" s="100"/>
      <c r="VG2" s="100"/>
      <c r="VH2" s="100"/>
      <c r="VI2" s="100"/>
      <c r="VJ2" s="100"/>
      <c r="VK2" s="100"/>
      <c r="VL2" s="100"/>
      <c r="VM2" s="100"/>
      <c r="VN2" s="100"/>
      <c r="VO2" s="100"/>
      <c r="VP2" s="100"/>
      <c r="VQ2" s="100"/>
      <c r="VR2" s="633"/>
      <c r="VS2" s="100"/>
      <c r="VT2" s="100"/>
      <c r="VU2" s="100"/>
      <c r="VV2" s="199"/>
      <c r="VW2" s="200"/>
      <c r="VX2" s="201"/>
      <c r="VY2" s="100"/>
      <c r="VZ2" s="100"/>
      <c r="WA2" s="100"/>
      <c r="WB2" s="100"/>
      <c r="WC2" s="100"/>
      <c r="WD2" s="100"/>
      <c r="WE2" s="100"/>
      <c r="WF2" s="100"/>
      <c r="WG2" s="100"/>
      <c r="WH2" s="100"/>
      <c r="WI2" s="100"/>
      <c r="WJ2" s="100"/>
      <c r="WK2" s="100"/>
      <c r="WL2" s="100"/>
      <c r="WM2" s="100"/>
      <c r="WN2" s="100"/>
      <c r="WO2" s="100"/>
      <c r="WP2" s="100"/>
      <c r="WQ2" s="100"/>
      <c r="WR2" s="100"/>
      <c r="WS2" s="100"/>
      <c r="WT2" s="100"/>
      <c r="WU2" s="100"/>
      <c r="WV2" s="100"/>
      <c r="WW2" s="100"/>
      <c r="WX2" s="100"/>
      <c r="WY2" s="100"/>
      <c r="WZ2" s="100"/>
      <c r="XA2" s="100"/>
      <c r="XB2" s="100"/>
      <c r="XC2" s="100"/>
      <c r="XD2" s="100"/>
      <c r="XE2" s="100"/>
      <c r="XF2" s="100"/>
      <c r="XG2" s="100"/>
      <c r="XH2" s="100"/>
      <c r="XI2" s="100"/>
      <c r="XJ2" s="100"/>
      <c r="XK2" s="100"/>
      <c r="XL2" s="100"/>
      <c r="XM2" s="100"/>
      <c r="XN2" s="100"/>
      <c r="XO2" s="100"/>
      <c r="XP2" s="100"/>
      <c r="XQ2" s="100"/>
      <c r="XR2" s="100"/>
      <c r="XS2" s="100"/>
      <c r="XT2" s="100"/>
      <c r="XU2" s="100"/>
      <c r="XV2" s="100"/>
      <c r="XW2" s="100"/>
      <c r="XX2" s="100"/>
      <c r="XY2" s="100"/>
      <c r="XZ2" s="100"/>
      <c r="YA2" s="100"/>
      <c r="YB2" s="100"/>
      <c r="YC2" s="100"/>
      <c r="YD2" s="100"/>
      <c r="YE2" s="100"/>
      <c r="YF2" s="100"/>
      <c r="YG2" s="633"/>
      <c r="YH2" s="100"/>
      <c r="YI2" s="100"/>
      <c r="YJ2" s="100"/>
      <c r="YK2" s="199"/>
      <c r="YL2" s="200"/>
      <c r="YM2" s="201"/>
      <c r="YN2" s="100"/>
      <c r="YO2" s="100"/>
      <c r="YP2" s="100"/>
      <c r="YQ2" s="100"/>
      <c r="YR2" s="100"/>
      <c r="YS2" s="100"/>
      <c r="YT2" s="100"/>
      <c r="YU2" s="100"/>
      <c r="YV2" s="100"/>
      <c r="YW2" s="100"/>
      <c r="YX2" s="100"/>
      <c r="YY2" s="100"/>
      <c r="YZ2" s="100"/>
      <c r="ZA2" s="100"/>
      <c r="ZB2" s="100"/>
      <c r="ZC2" s="100"/>
      <c r="ZD2" s="100"/>
      <c r="ZE2" s="100"/>
      <c r="ZF2" s="100"/>
      <c r="ZG2" s="100"/>
      <c r="ZH2" s="100"/>
      <c r="ZI2" s="100"/>
      <c r="ZJ2" s="100"/>
      <c r="ZK2" s="100"/>
      <c r="ZL2" s="100"/>
      <c r="ZM2" s="100"/>
      <c r="ZN2" s="100"/>
      <c r="ZO2" s="100"/>
      <c r="ZP2" s="100"/>
      <c r="ZQ2" s="100"/>
      <c r="ZR2" s="100"/>
      <c r="ZS2" s="100"/>
      <c r="ZT2" s="100"/>
      <c r="ZU2" s="100"/>
      <c r="ZV2" s="100"/>
      <c r="ZW2" s="100"/>
      <c r="ZX2" s="100"/>
      <c r="ZY2" s="100"/>
      <c r="ZZ2" s="100"/>
      <c r="AAA2" s="100"/>
      <c r="AAB2" s="100"/>
      <c r="AAC2" s="100"/>
      <c r="AAD2" s="100"/>
      <c r="AAE2" s="100"/>
      <c r="AAF2" s="100"/>
      <c r="AAG2" s="100"/>
      <c r="AAH2" s="100"/>
      <c r="AAI2" s="100"/>
      <c r="AAJ2" s="100"/>
      <c r="AAK2" s="100"/>
      <c r="AAL2" s="100"/>
      <c r="AAM2" s="100"/>
      <c r="AAN2" s="100"/>
      <c r="AAO2" s="100"/>
      <c r="AAP2" s="100"/>
      <c r="AAQ2" s="100"/>
      <c r="AAR2" s="100"/>
      <c r="AAS2" s="100"/>
      <c r="AAT2" s="100"/>
      <c r="AAU2" s="100"/>
      <c r="AAV2" s="633"/>
      <c r="AAW2" s="100"/>
      <c r="AAX2" s="100"/>
      <c r="AAY2" s="100"/>
      <c r="AAZ2" s="199"/>
      <c r="ABA2" s="200"/>
      <c r="ABB2" s="201"/>
      <c r="ABC2" s="100"/>
      <c r="ABD2" s="100"/>
      <c r="ABE2" s="100"/>
      <c r="ABF2" s="100"/>
      <c r="ABG2" s="100"/>
      <c r="ABH2" s="100"/>
      <c r="ABI2" s="100"/>
      <c r="ABJ2" s="100"/>
      <c r="ABK2" s="100"/>
      <c r="ABL2" s="100"/>
      <c r="ABM2" s="100"/>
      <c r="ABN2" s="100"/>
      <c r="ABO2" s="100"/>
      <c r="ABP2" s="100"/>
      <c r="ABQ2" s="100"/>
      <c r="ABR2" s="100"/>
      <c r="ABS2" s="100"/>
      <c r="ABT2" s="100"/>
      <c r="ABU2" s="100"/>
      <c r="ABV2" s="100"/>
      <c r="ABW2" s="100"/>
      <c r="ABX2" s="100"/>
      <c r="ABY2" s="100"/>
      <c r="ABZ2" s="100"/>
      <c r="ACA2" s="100"/>
      <c r="ACB2" s="100"/>
      <c r="ACC2" s="100"/>
      <c r="ACD2" s="100"/>
      <c r="ACE2" s="100"/>
      <c r="ACF2" s="100"/>
      <c r="ACG2" s="100"/>
      <c r="ACH2" s="100"/>
      <c r="ACI2" s="100"/>
      <c r="ACJ2" s="100"/>
      <c r="ACK2" s="100"/>
      <c r="ACL2" s="100"/>
      <c r="ACM2" s="100"/>
      <c r="ACN2" s="100"/>
      <c r="ACO2" s="100"/>
      <c r="ACP2" s="100"/>
      <c r="ACQ2" s="100"/>
      <c r="ACR2" s="100"/>
      <c r="ACS2" s="100"/>
      <c r="ACT2" s="100"/>
      <c r="ACU2" s="100"/>
      <c r="ACV2" s="100"/>
      <c r="ACW2" s="100"/>
      <c r="ACX2" s="100"/>
      <c r="ACY2" s="100"/>
      <c r="ACZ2" s="100"/>
      <c r="ADA2" s="100"/>
      <c r="ADB2" s="100"/>
      <c r="ADC2" s="100"/>
      <c r="ADD2" s="100"/>
      <c r="ADE2" s="100"/>
      <c r="ADF2" s="100"/>
      <c r="ADG2" s="100"/>
      <c r="ADH2" s="100"/>
      <c r="ADI2" s="100"/>
      <c r="ADJ2" s="100"/>
      <c r="ADK2" s="633"/>
      <c r="ADL2" s="100"/>
      <c r="ADM2" s="100"/>
      <c r="ADN2" s="100"/>
      <c r="ADO2" s="199"/>
      <c r="ADP2" s="200"/>
      <c r="ADQ2" s="201"/>
      <c r="ADR2" s="100"/>
      <c r="ADS2" s="100"/>
      <c r="ADT2" s="100"/>
      <c r="ADU2" s="100"/>
      <c r="ADV2" s="100"/>
      <c r="ADW2" s="100"/>
      <c r="ADX2" s="100"/>
      <c r="ADY2" s="100"/>
      <c r="ADZ2" s="100"/>
      <c r="AEA2" s="100"/>
      <c r="AEB2" s="100"/>
      <c r="AEC2" s="100"/>
      <c r="AED2" s="100"/>
      <c r="AEE2" s="100"/>
      <c r="AEF2" s="100"/>
      <c r="AEG2" s="100"/>
      <c r="AEH2" s="100"/>
      <c r="AEI2" s="100"/>
      <c r="AEJ2" s="100"/>
      <c r="AEK2" s="100"/>
      <c r="AEL2" s="100"/>
      <c r="AEM2" s="100"/>
      <c r="AEN2" s="100"/>
      <c r="AEO2" s="100"/>
      <c r="AEP2" s="100"/>
      <c r="AEQ2" s="100"/>
      <c r="AER2" s="100"/>
      <c r="AES2" s="100"/>
      <c r="AET2" s="100"/>
      <c r="AEU2" s="100"/>
      <c r="AEV2" s="100"/>
      <c r="AEW2" s="100"/>
      <c r="AEX2" s="100"/>
      <c r="AEY2" s="100"/>
      <c r="AEZ2" s="100"/>
      <c r="AFA2" s="100"/>
      <c r="AFB2" s="100"/>
      <c r="AFC2" s="100"/>
      <c r="AFD2" s="100"/>
      <c r="AFE2" s="100"/>
      <c r="AFF2" s="100"/>
      <c r="AFG2" s="100"/>
      <c r="AFH2" s="100"/>
      <c r="AFI2" s="100"/>
      <c r="AFJ2" s="100"/>
      <c r="AFK2" s="100"/>
      <c r="AFL2" s="100"/>
      <c r="AFM2" s="100"/>
      <c r="AFN2" s="100"/>
      <c r="AFO2" s="100"/>
      <c r="AFP2" s="100"/>
      <c r="AFQ2" s="100"/>
      <c r="AFR2" s="100"/>
      <c r="AFS2" s="100"/>
      <c r="AFT2" s="100"/>
      <c r="AFU2" s="100"/>
      <c r="AFV2" s="100"/>
      <c r="AFW2" s="100"/>
      <c r="AFX2" s="100"/>
      <c r="AFY2" s="100"/>
      <c r="AFZ2" s="633"/>
      <c r="AGA2" s="100"/>
      <c r="AGB2" s="100"/>
      <c r="AGC2" s="100"/>
      <c r="AGD2" s="199"/>
      <c r="AGE2" s="200"/>
      <c r="AGF2" s="201"/>
      <c r="AGG2" s="100"/>
      <c r="AGH2" s="100"/>
      <c r="AGI2" s="100"/>
      <c r="AGJ2" s="100"/>
      <c r="AGK2" s="100"/>
      <c r="AGL2" s="100"/>
      <c r="AGM2" s="100"/>
      <c r="AGN2" s="100"/>
      <c r="AGO2" s="100"/>
      <c r="AGP2" s="100"/>
      <c r="AGQ2" s="100"/>
      <c r="AGR2" s="100"/>
      <c r="AGS2" s="100"/>
      <c r="AGT2" s="100"/>
      <c r="AGU2" s="100"/>
      <c r="AGV2" s="100"/>
      <c r="AGW2" s="100"/>
      <c r="AGX2" s="100"/>
      <c r="AGY2" s="100"/>
      <c r="AGZ2" s="100"/>
      <c r="AHA2" s="100"/>
      <c r="AHB2" s="100"/>
      <c r="AHC2" s="100"/>
      <c r="AHD2" s="100"/>
      <c r="AHE2" s="100"/>
      <c r="AHF2" s="100"/>
      <c r="AHG2" s="100"/>
      <c r="AHH2" s="100"/>
      <c r="AHI2" s="100"/>
      <c r="AHJ2" s="100"/>
      <c r="AHK2" s="100"/>
      <c r="AHL2" s="100"/>
      <c r="AHM2" s="100"/>
      <c r="AHN2" s="100"/>
      <c r="AHO2" s="100"/>
      <c r="AHP2" s="100"/>
      <c r="AHQ2" s="100"/>
      <c r="AHR2" s="100"/>
      <c r="AHS2" s="100"/>
      <c r="AHT2" s="100"/>
      <c r="AHU2" s="100"/>
      <c r="AHV2" s="100"/>
      <c r="AHW2" s="100"/>
      <c r="AHX2" s="100"/>
      <c r="AHY2" s="100"/>
      <c r="AHZ2" s="100"/>
      <c r="AIA2" s="100"/>
      <c r="AIB2" s="100"/>
      <c r="AIC2" s="100"/>
      <c r="AID2" s="100"/>
      <c r="AIE2" s="100"/>
      <c r="AIF2" s="100"/>
      <c r="AIG2" s="100"/>
      <c r="AIH2" s="100"/>
      <c r="AII2" s="100"/>
      <c r="AIJ2" s="100"/>
      <c r="AIK2" s="100"/>
      <c r="AIL2" s="100"/>
      <c r="AIM2" s="100"/>
      <c r="AIN2" s="100"/>
      <c r="AIO2" s="633"/>
      <c r="AIP2" s="100"/>
      <c r="AIQ2" s="100"/>
      <c r="AIR2" s="100"/>
      <c r="AIS2" s="199"/>
      <c r="AIT2" s="200"/>
      <c r="AIU2" s="201"/>
      <c r="AIV2" s="100"/>
      <c r="AIW2" s="100"/>
      <c r="AIX2" s="100"/>
      <c r="AIY2" s="100"/>
      <c r="AIZ2" s="100"/>
      <c r="AJA2" s="100"/>
      <c r="AJB2" s="100"/>
      <c r="AJC2" s="100"/>
      <c r="AJD2" s="100"/>
      <c r="AJE2" s="100"/>
      <c r="AJF2" s="100"/>
      <c r="AJG2" s="100"/>
      <c r="AJH2" s="100"/>
      <c r="AJI2" s="100"/>
      <c r="AJJ2" s="100"/>
      <c r="AJK2" s="100"/>
      <c r="AJL2" s="100"/>
      <c r="AJM2" s="100"/>
      <c r="AJN2" s="100"/>
      <c r="AJO2" s="100"/>
      <c r="AJP2" s="100"/>
      <c r="AJQ2" s="100"/>
      <c r="AJR2" s="100"/>
      <c r="AJS2" s="100"/>
      <c r="AJT2" s="100"/>
      <c r="AJU2" s="100"/>
      <c r="AJV2" s="100"/>
      <c r="AJW2" s="100"/>
      <c r="AJX2" s="100"/>
      <c r="AJY2" s="100"/>
      <c r="AJZ2" s="100"/>
      <c r="AKA2" s="100"/>
      <c r="AKB2" s="100"/>
      <c r="AKC2" s="100"/>
      <c r="AKD2" s="100"/>
      <c r="AKE2" s="100"/>
      <c r="AKF2" s="100"/>
      <c r="AKG2" s="100"/>
      <c r="AKH2" s="100"/>
      <c r="AKI2" s="100"/>
      <c r="AKJ2" s="100"/>
      <c r="AKK2" s="100"/>
      <c r="AKL2" s="100"/>
      <c r="AKM2" s="100"/>
      <c r="AKN2" s="100"/>
      <c r="AKO2" s="100"/>
      <c r="AKP2" s="100"/>
      <c r="AKQ2" s="100"/>
      <c r="AKR2" s="100"/>
      <c r="AKS2" s="100"/>
      <c r="AKT2" s="100"/>
      <c r="AKU2" s="100"/>
      <c r="AKV2" s="100"/>
      <c r="AKW2" s="100"/>
      <c r="AKX2" s="100"/>
      <c r="AKY2" s="100"/>
      <c r="AKZ2" s="100"/>
      <c r="ALA2" s="100"/>
      <c r="ALB2" s="100"/>
      <c r="ALC2" s="100"/>
      <c r="ALD2" s="633"/>
      <c r="ALE2" s="100"/>
      <c r="ALF2" s="100"/>
      <c r="ALG2" s="100"/>
      <c r="ALH2" s="199"/>
      <c r="ALI2" s="200"/>
      <c r="ALJ2" s="201"/>
      <c r="ALK2" s="100"/>
      <c r="ALL2" s="100"/>
      <c r="ALM2" s="100"/>
      <c r="ALN2" s="100"/>
      <c r="ALO2" s="100"/>
      <c r="ALP2" s="100"/>
      <c r="ALQ2" s="100"/>
      <c r="ALR2" s="100"/>
      <c r="ALS2" s="100"/>
      <c r="ALT2" s="100"/>
      <c r="ALU2" s="100"/>
      <c r="ALV2" s="100"/>
      <c r="ALW2" s="100"/>
      <c r="ALX2" s="100"/>
      <c r="ALY2" s="100"/>
      <c r="ALZ2" s="100"/>
      <c r="AMA2" s="100"/>
      <c r="AMB2" s="100"/>
      <c r="AMC2" s="100"/>
      <c r="AMD2" s="100"/>
      <c r="AME2" s="100"/>
      <c r="AMF2" s="100"/>
      <c r="AMG2" s="100"/>
      <c r="AMH2" s="100"/>
      <c r="AMI2" s="100"/>
      <c r="AMJ2" s="100"/>
      <c r="AMK2" s="100"/>
      <c r="AML2" s="100"/>
      <c r="AMM2" s="100"/>
      <c r="AMN2" s="100"/>
      <c r="AMO2" s="100"/>
      <c r="AMP2" s="100"/>
      <c r="AMQ2" s="100"/>
      <c r="AMR2" s="100"/>
      <c r="AMS2" s="100"/>
      <c r="AMT2" s="100"/>
      <c r="AMU2" s="100"/>
      <c r="AMV2" s="100"/>
      <c r="AMW2" s="100"/>
      <c r="AMX2" s="100"/>
      <c r="AMY2" s="100"/>
      <c r="AMZ2" s="100"/>
      <c r="ANA2" s="100"/>
      <c r="ANB2" s="100"/>
      <c r="ANC2" s="100"/>
      <c r="AND2" s="100"/>
      <c r="ANE2" s="100"/>
      <c r="ANF2" s="100"/>
      <c r="ANG2" s="100"/>
      <c r="ANH2" s="100"/>
      <c r="ANI2" s="100"/>
      <c r="ANJ2" s="100"/>
      <c r="ANK2" s="100"/>
      <c r="ANL2" s="100"/>
      <c r="ANM2" s="100"/>
      <c r="ANN2" s="100"/>
      <c r="ANO2" s="100"/>
      <c r="ANP2" s="100"/>
      <c r="ANQ2" s="100"/>
      <c r="ANR2" s="100"/>
      <c r="ANS2" s="633"/>
      <c r="ANT2" s="100"/>
      <c r="ANU2" s="100"/>
      <c r="ANV2" s="100"/>
      <c r="ANW2" s="199"/>
      <c r="ANX2" s="200"/>
      <c r="ANY2" s="201"/>
      <c r="ANZ2" s="100"/>
      <c r="AOA2" s="100"/>
      <c r="AOB2" s="100"/>
      <c r="AOC2" s="100"/>
      <c r="AOD2" s="100"/>
      <c r="AOE2" s="100"/>
      <c r="AOF2" s="100"/>
      <c r="AOG2" s="100"/>
      <c r="AOH2" s="100"/>
      <c r="AOI2" s="100"/>
      <c r="AOJ2" s="100"/>
      <c r="AOK2" s="100"/>
      <c r="AOL2" s="100"/>
      <c r="AOM2" s="100"/>
      <c r="AON2" s="100"/>
      <c r="AOO2" s="100"/>
      <c r="AOP2" s="100"/>
      <c r="AOQ2" s="100"/>
      <c r="AOR2" s="100"/>
      <c r="AOS2" s="100"/>
      <c r="AOT2" s="100"/>
      <c r="AOU2" s="100"/>
      <c r="AOV2" s="100"/>
      <c r="AOW2" s="100"/>
      <c r="AOX2" s="100"/>
      <c r="AOY2" s="100"/>
      <c r="AOZ2" s="100"/>
      <c r="APA2" s="100"/>
      <c r="APB2" s="100"/>
      <c r="APC2" s="100"/>
      <c r="APD2" s="100"/>
      <c r="APE2" s="100"/>
      <c r="APF2" s="100"/>
      <c r="APG2" s="100"/>
      <c r="APH2" s="100"/>
      <c r="API2" s="100"/>
      <c r="APJ2" s="100"/>
      <c r="APK2" s="100"/>
      <c r="APL2" s="100"/>
      <c r="APM2" s="100"/>
      <c r="APN2" s="100"/>
      <c r="APO2" s="100"/>
      <c r="APP2" s="100"/>
      <c r="APQ2" s="100"/>
      <c r="APR2" s="100"/>
      <c r="APS2" s="100"/>
      <c r="APT2" s="100"/>
      <c r="APU2" s="100"/>
      <c r="APV2" s="100"/>
      <c r="APW2" s="100"/>
      <c r="APX2" s="100"/>
      <c r="APY2" s="100"/>
      <c r="APZ2" s="100"/>
      <c r="AQA2" s="100"/>
      <c r="AQB2" s="100"/>
      <c r="AQC2" s="100"/>
      <c r="AQD2" s="100"/>
      <c r="AQE2" s="100"/>
      <c r="AQF2" s="100"/>
      <c r="AQG2" s="100"/>
      <c r="AQH2" s="633"/>
      <c r="AQI2" s="100"/>
      <c r="AQJ2" s="100"/>
      <c r="AQK2" s="100"/>
      <c r="AQL2" s="199"/>
      <c r="AQM2" s="200"/>
      <c r="AQN2" s="201"/>
      <c r="AQO2" s="100"/>
      <c r="AQP2" s="100"/>
      <c r="AQQ2" s="100"/>
      <c r="AQR2" s="100"/>
      <c r="AQS2" s="100"/>
      <c r="AQT2" s="100"/>
      <c r="AQU2" s="100"/>
      <c r="AQV2" s="100"/>
      <c r="AQW2" s="100"/>
      <c r="AQX2" s="100"/>
      <c r="AQY2" s="100"/>
      <c r="AQZ2" s="100"/>
      <c r="ARA2" s="100"/>
      <c r="ARB2" s="100"/>
      <c r="ARC2" s="100"/>
      <c r="ARD2" s="100"/>
      <c r="ARE2" s="100"/>
      <c r="ARF2" s="100"/>
      <c r="ARG2" s="100"/>
      <c r="ARH2" s="100"/>
      <c r="ARI2" s="100"/>
      <c r="ARJ2" s="100"/>
      <c r="ARK2" s="100"/>
      <c r="ARL2" s="100"/>
      <c r="ARM2" s="100"/>
      <c r="ARN2" s="100"/>
      <c r="ARO2" s="100"/>
      <c r="ARP2" s="100"/>
      <c r="ARQ2" s="100"/>
      <c r="ARR2" s="100"/>
      <c r="ARS2" s="100"/>
      <c r="ART2" s="100"/>
      <c r="ARU2" s="100"/>
      <c r="ARV2" s="100"/>
      <c r="ARW2" s="100"/>
      <c r="ARX2" s="100"/>
      <c r="ARY2" s="100"/>
      <c r="ARZ2" s="100"/>
      <c r="ASA2" s="100"/>
      <c r="ASB2" s="100"/>
      <c r="ASC2" s="100"/>
      <c r="ASD2" s="100"/>
      <c r="ASE2" s="100"/>
      <c r="ASF2" s="100"/>
      <c r="ASG2" s="100"/>
      <c r="ASH2" s="100"/>
      <c r="ASI2" s="100"/>
      <c r="ASJ2" s="100"/>
      <c r="ASK2" s="100"/>
      <c r="ASL2" s="100"/>
      <c r="ASM2" s="100"/>
      <c r="ASN2" s="100"/>
      <c r="ASO2" s="100"/>
      <c r="ASP2" s="100"/>
      <c r="ASQ2" s="100"/>
      <c r="ASR2" s="100"/>
      <c r="ASS2" s="100"/>
      <c r="AST2" s="100"/>
      <c r="ASU2" s="100"/>
      <c r="ASV2" s="100"/>
      <c r="ASW2" s="633"/>
      <c r="ASX2" s="100"/>
      <c r="ASY2" s="100"/>
      <c r="ASZ2" s="100"/>
      <c r="ATA2" s="199"/>
      <c r="ATB2" s="200"/>
      <c r="ATC2" s="201"/>
      <c r="ATD2" s="100"/>
      <c r="ATE2" s="100"/>
      <c r="ATF2" s="100"/>
      <c r="ATG2" s="100"/>
      <c r="ATH2" s="100"/>
      <c r="ATI2" s="100"/>
      <c r="ATJ2" s="100"/>
      <c r="ATK2" s="100"/>
      <c r="ATL2" s="100"/>
      <c r="ATM2" s="100"/>
      <c r="ATN2" s="100"/>
      <c r="ATO2" s="100"/>
      <c r="ATP2" s="100"/>
      <c r="ATQ2" s="100"/>
      <c r="ATR2" s="100"/>
      <c r="ATS2" s="100"/>
      <c r="ATT2" s="100"/>
      <c r="ATU2" s="100"/>
      <c r="ATV2" s="100"/>
      <c r="ATW2" s="100"/>
      <c r="ATX2" s="100"/>
      <c r="ATY2" s="100"/>
      <c r="ATZ2" s="100"/>
      <c r="AUA2" s="100"/>
      <c r="AUB2" s="100"/>
      <c r="AUC2" s="100"/>
      <c r="AUD2" s="100"/>
      <c r="AUE2" s="100"/>
      <c r="AUF2" s="100"/>
      <c r="AUG2" s="100"/>
      <c r="AUH2" s="100"/>
      <c r="AUI2" s="100"/>
      <c r="AUJ2" s="100"/>
      <c r="AUK2" s="100"/>
      <c r="AUL2" s="100"/>
      <c r="AUM2" s="100"/>
      <c r="AUN2" s="100"/>
      <c r="AUO2" s="100"/>
      <c r="AUP2" s="100"/>
      <c r="AUQ2" s="100"/>
      <c r="AUR2" s="100"/>
      <c r="AUS2" s="100"/>
      <c r="AUT2" s="100"/>
      <c r="AUU2" s="100"/>
      <c r="AUV2" s="100"/>
      <c r="AUW2" s="100"/>
      <c r="AUX2" s="100"/>
      <c r="AUY2" s="100"/>
      <c r="AUZ2" s="100"/>
      <c r="AVA2" s="100"/>
      <c r="AVB2" s="100"/>
      <c r="AVC2" s="100"/>
      <c r="AVD2" s="100"/>
      <c r="AVE2" s="100"/>
      <c r="AVF2" s="100"/>
      <c r="AVG2" s="100"/>
      <c r="AVH2" s="100"/>
      <c r="AVI2" s="100"/>
      <c r="AVJ2" s="100"/>
      <c r="AVK2" s="100"/>
      <c r="AVL2" s="633"/>
      <c r="AVM2" s="100"/>
      <c r="AVN2" s="100"/>
      <c r="AVO2" s="100"/>
      <c r="AVP2" s="199"/>
      <c r="AVQ2" s="200"/>
      <c r="AVR2" s="201"/>
      <c r="AVS2" s="100"/>
      <c r="AVT2" s="100"/>
      <c r="AVU2" s="100"/>
      <c r="AVV2" s="100"/>
      <c r="AVW2" s="100"/>
      <c r="AVX2" s="100"/>
      <c r="AVY2" s="100"/>
      <c r="AVZ2" s="100"/>
      <c r="AWA2" s="100"/>
      <c r="AWB2" s="100"/>
      <c r="AWC2" s="100"/>
      <c r="AWD2" s="100"/>
      <c r="AWE2" s="100"/>
      <c r="AWF2" s="100"/>
      <c r="AWG2" s="100"/>
      <c r="AWH2" s="100"/>
      <c r="AWI2" s="100"/>
      <c r="AWJ2" s="100"/>
      <c r="AWK2" s="100"/>
      <c r="AWL2" s="100"/>
      <c r="AWM2" s="100"/>
      <c r="AWN2" s="100"/>
      <c r="AWO2" s="100"/>
      <c r="AWP2" s="100"/>
      <c r="AWQ2" s="100"/>
      <c r="AWR2" s="100"/>
      <c r="AWS2" s="100"/>
      <c r="AWT2" s="100"/>
      <c r="AWU2" s="100"/>
      <c r="AWV2" s="100"/>
      <c r="AWW2" s="100"/>
      <c r="AWX2" s="100"/>
      <c r="AWY2" s="100"/>
      <c r="AWZ2" s="100"/>
      <c r="AXA2" s="100"/>
      <c r="AXB2" s="100"/>
      <c r="AXC2" s="100"/>
      <c r="AXD2" s="100"/>
      <c r="AXE2" s="100"/>
      <c r="AXF2" s="100"/>
      <c r="AXG2" s="100"/>
      <c r="AXH2" s="100"/>
      <c r="AXI2" s="100"/>
      <c r="AXJ2" s="100"/>
      <c r="AXK2" s="100"/>
      <c r="AXL2" s="100"/>
      <c r="AXM2" s="100"/>
      <c r="AXN2" s="100"/>
      <c r="AXO2" s="100"/>
      <c r="AXP2" s="100"/>
      <c r="AXQ2" s="100"/>
      <c r="AXR2" s="100"/>
      <c r="AXS2" s="100"/>
      <c r="AXT2" s="100"/>
      <c r="AXU2" s="100"/>
      <c r="AXV2" s="100"/>
      <c r="AXW2" s="100"/>
      <c r="AXX2" s="100"/>
      <c r="AXY2" s="100"/>
      <c r="AXZ2" s="100"/>
      <c r="AYA2" s="633"/>
      <c r="AYB2" s="100"/>
      <c r="AYC2" s="100"/>
      <c r="AYD2" s="100"/>
      <c r="AYE2" s="199"/>
      <c r="AYF2" s="200"/>
      <c r="AYG2" s="201"/>
      <c r="AYH2" s="100"/>
      <c r="AYI2" s="100"/>
      <c r="AYJ2" s="100"/>
      <c r="AYK2" s="100"/>
      <c r="AYL2" s="100"/>
      <c r="AYM2" s="100"/>
      <c r="AYN2" s="100"/>
      <c r="AYO2" s="100"/>
      <c r="AYP2" s="100"/>
      <c r="AYQ2" s="100"/>
      <c r="AYR2" s="100"/>
      <c r="AYS2" s="100"/>
      <c r="AYT2" s="100"/>
      <c r="AYU2" s="100"/>
      <c r="AYV2" s="100"/>
      <c r="AYW2" s="100"/>
      <c r="AYX2" s="100"/>
      <c r="AYY2" s="100"/>
      <c r="AYZ2" s="100"/>
      <c r="AZA2" s="100"/>
      <c r="AZB2" s="100"/>
      <c r="AZC2" s="100"/>
      <c r="AZD2" s="100"/>
      <c r="AZE2" s="100"/>
      <c r="AZF2" s="100"/>
      <c r="AZG2" s="100"/>
      <c r="AZH2" s="100"/>
      <c r="AZI2" s="100"/>
      <c r="AZJ2" s="100"/>
      <c r="AZK2" s="100"/>
      <c r="AZL2" s="100"/>
      <c r="AZM2" s="100"/>
      <c r="AZN2" s="100"/>
      <c r="AZO2" s="100"/>
      <c r="AZP2" s="100"/>
      <c r="AZQ2" s="100"/>
      <c r="AZR2" s="100"/>
      <c r="AZS2" s="100"/>
      <c r="AZT2" s="100"/>
      <c r="AZU2" s="100"/>
      <c r="AZV2" s="100"/>
      <c r="AZW2" s="100"/>
      <c r="AZX2" s="100"/>
      <c r="AZY2" s="100"/>
      <c r="AZZ2" s="100"/>
      <c r="BAA2" s="100"/>
      <c r="BAB2" s="100"/>
      <c r="BAC2" s="100"/>
      <c r="BAD2" s="100"/>
      <c r="BAE2" s="100"/>
      <c r="BAF2" s="100"/>
      <c r="BAG2" s="100"/>
      <c r="BAH2" s="100"/>
      <c r="BAI2" s="100"/>
      <c r="BAJ2" s="100"/>
      <c r="BAK2" s="100"/>
      <c r="BAL2" s="100"/>
      <c r="BAM2" s="100"/>
      <c r="BAN2" s="100"/>
      <c r="BAO2" s="100"/>
      <c r="BAP2" s="633"/>
      <c r="BAQ2" s="100"/>
      <c r="BAR2" s="100"/>
      <c r="BAS2" s="100"/>
      <c r="BAT2" s="199"/>
      <c r="BAU2" s="200"/>
      <c r="BAV2" s="201"/>
      <c r="BAW2" s="100"/>
      <c r="BAX2" s="100"/>
      <c r="BAY2" s="100"/>
      <c r="BAZ2" s="100"/>
      <c r="BBA2" s="100"/>
      <c r="BBB2" s="100"/>
      <c r="BBC2" s="100"/>
      <c r="BBD2" s="100"/>
      <c r="BBE2" s="100"/>
      <c r="BBF2" s="100"/>
      <c r="BBG2" s="100"/>
      <c r="BBH2" s="100"/>
      <c r="BBI2" s="100"/>
      <c r="BBJ2" s="100"/>
      <c r="BBK2" s="100"/>
      <c r="BBL2" s="100"/>
      <c r="BBM2" s="100"/>
      <c r="BBN2" s="100"/>
      <c r="BBO2" s="100"/>
      <c r="BBP2" s="100"/>
      <c r="BBQ2" s="100"/>
      <c r="BBR2" s="100"/>
      <c r="BBS2" s="100"/>
      <c r="BBT2" s="100"/>
      <c r="BBU2" s="100"/>
      <c r="BBV2" s="100"/>
      <c r="BBW2" s="100"/>
      <c r="BBX2" s="100"/>
      <c r="BBY2" s="100"/>
      <c r="BBZ2" s="100"/>
      <c r="BCA2" s="100"/>
      <c r="BCB2" s="100"/>
      <c r="BCC2" s="100"/>
      <c r="BCD2" s="100"/>
      <c r="BCE2" s="100"/>
      <c r="BCF2" s="100"/>
      <c r="BCG2" s="100"/>
      <c r="BCH2" s="100"/>
      <c r="BCI2" s="100"/>
      <c r="BCJ2" s="100"/>
      <c r="BCK2" s="100"/>
      <c r="BCL2" s="100"/>
      <c r="BCM2" s="100"/>
      <c r="BCN2" s="100"/>
      <c r="BCO2" s="100"/>
      <c r="BCP2" s="100"/>
      <c r="BCQ2" s="100"/>
      <c r="BCR2" s="100"/>
      <c r="BCS2" s="100"/>
      <c r="BCT2" s="100"/>
      <c r="BCU2" s="100"/>
      <c r="BCV2" s="100"/>
      <c r="BCW2" s="100"/>
      <c r="BCX2" s="100"/>
      <c r="BCY2" s="100"/>
      <c r="BCZ2" s="100"/>
      <c r="BDA2" s="100"/>
      <c r="BDB2" s="100"/>
      <c r="BDC2" s="100"/>
      <c r="BDD2" s="100"/>
      <c r="BDE2" s="633"/>
      <c r="BDF2" s="100"/>
      <c r="BDG2" s="100"/>
      <c r="BDH2" s="100"/>
      <c r="BDI2" s="199"/>
      <c r="BDJ2" s="200"/>
      <c r="BDK2" s="201"/>
      <c r="BDL2" s="100"/>
      <c r="BDM2" s="100"/>
      <c r="BDN2" s="100"/>
      <c r="BDO2" s="100"/>
      <c r="BDP2" s="100"/>
      <c r="BDQ2" s="100"/>
      <c r="BDR2" s="100"/>
      <c r="BDS2" s="100"/>
      <c r="BDT2" s="100"/>
      <c r="BDU2" s="100"/>
      <c r="BDV2" s="100"/>
      <c r="BDW2" s="100"/>
      <c r="BDX2" s="100"/>
      <c r="BDY2" s="100"/>
      <c r="BDZ2" s="100"/>
      <c r="BEA2" s="100"/>
      <c r="BEB2" s="100"/>
      <c r="BEC2" s="100"/>
      <c r="BED2" s="100"/>
      <c r="BEE2" s="100"/>
      <c r="BEF2" s="100"/>
      <c r="BEG2" s="100"/>
      <c r="BEH2" s="100"/>
      <c r="BEI2" s="100"/>
      <c r="BEJ2" s="100"/>
      <c r="BEK2" s="100"/>
      <c r="BEL2" s="100"/>
      <c r="BEM2" s="100"/>
      <c r="BEN2" s="100"/>
      <c r="BEO2" s="100"/>
      <c r="BEP2" s="100"/>
      <c r="BEQ2" s="100"/>
      <c r="BER2" s="100"/>
      <c r="BES2" s="100"/>
      <c r="BET2" s="100"/>
      <c r="BEU2" s="100"/>
      <c r="BEV2" s="100"/>
      <c r="BEW2" s="100"/>
      <c r="BEX2" s="100"/>
      <c r="BEY2" s="100"/>
      <c r="BEZ2" s="100"/>
      <c r="BFA2" s="100"/>
      <c r="BFB2" s="100"/>
      <c r="BFC2" s="100"/>
      <c r="BFD2" s="100"/>
      <c r="BFE2" s="100"/>
      <c r="BFF2" s="100"/>
      <c r="BFG2" s="100"/>
      <c r="BFH2" s="100"/>
      <c r="BFI2" s="100"/>
      <c r="BFJ2" s="100"/>
      <c r="BFK2" s="100"/>
      <c r="BFL2" s="100"/>
      <c r="BFM2" s="100"/>
      <c r="BFN2" s="100"/>
      <c r="BFO2" s="100"/>
      <c r="BFP2" s="100"/>
      <c r="BFQ2" s="100"/>
      <c r="BFR2" s="100"/>
      <c r="BFS2" s="100"/>
      <c r="BFT2" s="633"/>
      <c r="BFU2" s="100"/>
      <c r="BFV2" s="100"/>
      <c r="BFW2" s="100"/>
      <c r="BFX2" s="199"/>
      <c r="BFY2" s="200"/>
      <c r="BFZ2" s="201"/>
      <c r="BGA2" s="100"/>
      <c r="BGB2" s="100"/>
      <c r="BGC2" s="100"/>
      <c r="BGD2" s="100"/>
      <c r="BGE2" s="100"/>
      <c r="BGF2" s="100"/>
      <c r="BGG2" s="100"/>
      <c r="BGH2" s="100"/>
      <c r="BGI2" s="100"/>
      <c r="BGJ2" s="100"/>
      <c r="BGK2" s="100"/>
      <c r="BGL2" s="100"/>
      <c r="BGM2" s="100"/>
      <c r="BGN2" s="100"/>
      <c r="BGO2" s="100"/>
      <c r="BGP2" s="100"/>
      <c r="BGQ2" s="100"/>
      <c r="BGR2" s="100"/>
      <c r="BGS2" s="100"/>
      <c r="BGT2" s="100"/>
      <c r="BGU2" s="100"/>
      <c r="BGV2" s="100"/>
      <c r="BGW2" s="100"/>
      <c r="BGX2" s="100"/>
      <c r="BGY2" s="100"/>
      <c r="BGZ2" s="100"/>
      <c r="BHA2" s="100"/>
      <c r="BHB2" s="100"/>
      <c r="BHC2" s="100"/>
      <c r="BHD2" s="100"/>
      <c r="BHE2" s="100"/>
      <c r="BHF2" s="100"/>
      <c r="BHG2" s="100"/>
      <c r="BHH2" s="100"/>
      <c r="BHI2" s="100"/>
      <c r="BHJ2" s="100"/>
      <c r="BHK2" s="100"/>
      <c r="BHL2" s="100"/>
      <c r="BHM2" s="100"/>
      <c r="BHN2" s="100"/>
      <c r="BHO2" s="100"/>
      <c r="BHP2" s="100"/>
      <c r="BHQ2" s="100"/>
      <c r="BHR2" s="100"/>
      <c r="BHS2" s="100"/>
      <c r="BHT2" s="100"/>
      <c r="BHU2" s="100"/>
      <c r="BHV2" s="100"/>
      <c r="BHW2" s="100"/>
      <c r="BHX2" s="100"/>
      <c r="BHY2" s="100"/>
      <c r="BHZ2" s="100"/>
      <c r="BIA2" s="100"/>
      <c r="BIB2" s="100"/>
      <c r="BIC2" s="100"/>
      <c r="BID2" s="100"/>
      <c r="BIE2" s="100"/>
      <c r="BIF2" s="100"/>
      <c r="BIG2" s="100"/>
      <c r="BIH2" s="100"/>
      <c r="BII2" s="633"/>
      <c r="BIJ2" s="100"/>
      <c r="BIK2" s="100"/>
      <c r="BIL2" s="100"/>
      <c r="BIM2" s="199"/>
      <c r="BIN2" s="200"/>
      <c r="BIO2" s="201"/>
      <c r="BIP2" s="100"/>
      <c r="BIQ2" s="100"/>
      <c r="BIR2" s="100"/>
      <c r="BIS2" s="100"/>
      <c r="BIT2" s="100"/>
      <c r="BIU2" s="100"/>
      <c r="BIV2" s="100"/>
      <c r="BIW2" s="100"/>
      <c r="BIX2" s="100"/>
      <c r="BIY2" s="100"/>
      <c r="BIZ2" s="100"/>
      <c r="BJA2" s="100"/>
      <c r="BJB2" s="100"/>
      <c r="BJC2" s="100"/>
      <c r="BJD2" s="100"/>
      <c r="BJE2" s="100"/>
      <c r="BJF2" s="100"/>
      <c r="BJG2" s="100"/>
      <c r="BJH2" s="100"/>
      <c r="BJI2" s="100"/>
      <c r="BJJ2" s="100"/>
      <c r="BJK2" s="100"/>
      <c r="BJL2" s="100"/>
      <c r="BJM2" s="100"/>
      <c r="BJN2" s="100"/>
      <c r="BJO2" s="100"/>
      <c r="BJP2" s="100"/>
      <c r="BJQ2" s="100"/>
      <c r="BJR2" s="100"/>
      <c r="BJS2" s="100"/>
      <c r="BJT2" s="100"/>
      <c r="BJU2" s="100"/>
      <c r="BJV2" s="100"/>
      <c r="BJW2" s="100"/>
      <c r="BJX2" s="100"/>
      <c r="BJY2" s="100"/>
      <c r="BJZ2" s="100"/>
      <c r="BKA2" s="100"/>
      <c r="BKB2" s="100"/>
      <c r="BKC2" s="100"/>
      <c r="BKD2" s="100"/>
      <c r="BKE2" s="100"/>
      <c r="BKF2" s="100"/>
      <c r="BKG2" s="100"/>
      <c r="BKH2" s="100"/>
      <c r="BKI2" s="100"/>
      <c r="BKJ2" s="100"/>
      <c r="BKK2" s="100"/>
      <c r="BKL2" s="100"/>
      <c r="BKM2" s="100"/>
      <c r="BKN2" s="100"/>
      <c r="BKO2" s="100"/>
      <c r="BKP2" s="100"/>
      <c r="BKQ2" s="100"/>
      <c r="BKR2" s="100"/>
      <c r="BKS2" s="100"/>
      <c r="BKT2" s="100"/>
      <c r="BKU2" s="100"/>
      <c r="BKV2" s="100"/>
      <c r="BKW2" s="100"/>
      <c r="BKX2" s="633"/>
      <c r="BKY2" s="100"/>
      <c r="BKZ2" s="100"/>
      <c r="BLA2" s="100"/>
      <c r="BLB2" s="199"/>
      <c r="BLC2" s="200"/>
      <c r="BLD2" s="201"/>
      <c r="BLE2" s="100"/>
      <c r="BLF2" s="100"/>
      <c r="BLG2" s="100"/>
      <c r="BLH2" s="100"/>
      <c r="BLI2" s="100"/>
      <c r="BLJ2" s="100"/>
      <c r="BLK2" s="100"/>
      <c r="BLL2" s="100"/>
      <c r="BLM2" s="100"/>
      <c r="BLN2" s="100"/>
      <c r="BLO2" s="100"/>
      <c r="BLP2" s="100"/>
      <c r="BLQ2" s="100"/>
      <c r="BLR2" s="100"/>
      <c r="BLS2" s="100"/>
      <c r="BLT2" s="100"/>
      <c r="BLU2" s="100"/>
      <c r="BLV2" s="100"/>
      <c r="BLW2" s="100"/>
      <c r="BLX2" s="100"/>
      <c r="BLY2" s="100"/>
      <c r="BLZ2" s="100"/>
      <c r="BMA2" s="100"/>
      <c r="BMB2" s="100"/>
      <c r="BMC2" s="100"/>
      <c r="BMD2" s="100"/>
      <c r="BME2" s="100"/>
      <c r="BMF2" s="100"/>
      <c r="BMG2" s="100"/>
      <c r="BMH2" s="100"/>
      <c r="BMI2" s="100"/>
      <c r="BMJ2" s="100"/>
      <c r="BMK2" s="100"/>
      <c r="BML2" s="100"/>
      <c r="BMM2" s="100"/>
      <c r="BMN2" s="100"/>
      <c r="BMO2" s="100"/>
      <c r="BMP2" s="100"/>
      <c r="BMQ2" s="100"/>
      <c r="BMR2" s="100"/>
      <c r="BMS2" s="100"/>
      <c r="BMT2" s="100"/>
      <c r="BMU2" s="100"/>
      <c r="BMV2" s="100"/>
      <c r="BMW2" s="100"/>
      <c r="BMX2" s="100"/>
      <c r="BMY2" s="100"/>
      <c r="BMZ2" s="100"/>
      <c r="BNA2" s="100"/>
      <c r="BNB2" s="100"/>
      <c r="BNC2" s="100"/>
      <c r="BND2" s="100"/>
      <c r="BNE2" s="100"/>
      <c r="BNF2" s="100"/>
      <c r="BNG2" s="100"/>
      <c r="BNH2" s="100"/>
      <c r="BNI2" s="100"/>
      <c r="BNJ2" s="100"/>
      <c r="BNK2" s="100"/>
      <c r="BNL2" s="100"/>
      <c r="BNM2" s="633"/>
      <c r="BNN2" s="100"/>
      <c r="BNO2" s="100"/>
      <c r="BNP2" s="100"/>
      <c r="BNQ2" s="199"/>
      <c r="BNR2" s="200"/>
      <c r="BNS2" s="201"/>
      <c r="BNT2" s="100"/>
      <c r="BNU2" s="100"/>
      <c r="BNV2" s="100"/>
      <c r="BNW2" s="100"/>
      <c r="BNX2" s="100"/>
      <c r="BNY2" s="100"/>
      <c r="BNZ2" s="100"/>
      <c r="BOA2" s="100"/>
      <c r="BOB2" s="100"/>
      <c r="BOC2" s="100"/>
      <c r="BOD2" s="100"/>
      <c r="BOE2" s="100"/>
      <c r="BOF2" s="100"/>
      <c r="BOG2" s="100"/>
      <c r="BOH2" s="100"/>
      <c r="BOI2" s="100"/>
      <c r="BOJ2" s="100"/>
      <c r="BOK2" s="100"/>
      <c r="BOL2" s="100"/>
      <c r="BOM2" s="100"/>
      <c r="BON2" s="100"/>
      <c r="BOO2" s="100"/>
      <c r="BOP2" s="100"/>
      <c r="BOQ2" s="100"/>
      <c r="BOR2" s="100"/>
      <c r="BOS2" s="100"/>
      <c r="BOT2" s="100"/>
      <c r="BOU2" s="100"/>
      <c r="BOV2" s="100"/>
      <c r="BOW2" s="100"/>
      <c r="BOX2" s="100"/>
      <c r="BOY2" s="100"/>
      <c r="BOZ2" s="100"/>
      <c r="BPA2" s="100"/>
      <c r="BPB2" s="100"/>
      <c r="BPC2" s="100"/>
      <c r="BPD2" s="100"/>
      <c r="BPE2" s="100"/>
      <c r="BPF2" s="100"/>
      <c r="BPG2" s="100"/>
      <c r="BPH2" s="100"/>
      <c r="BPI2" s="100"/>
      <c r="BPJ2" s="100"/>
      <c r="BPK2" s="100"/>
      <c r="BPL2" s="100"/>
      <c r="BPM2" s="100"/>
      <c r="BPN2" s="100"/>
      <c r="BPO2" s="100"/>
      <c r="BPP2" s="100"/>
      <c r="BPQ2" s="100"/>
      <c r="BPR2" s="100"/>
      <c r="BPS2" s="100"/>
      <c r="BPT2" s="100"/>
      <c r="BPU2" s="100"/>
      <c r="BPV2" s="100"/>
      <c r="BPW2" s="100"/>
      <c r="BPX2" s="100"/>
      <c r="BPY2" s="100"/>
      <c r="BPZ2" s="100"/>
      <c r="BQA2" s="100"/>
      <c r="BQB2" s="633"/>
      <c r="BQC2" s="100"/>
      <c r="BQD2" s="100"/>
      <c r="BQE2" s="100"/>
      <c r="BQF2" s="199"/>
      <c r="BQG2" s="200"/>
      <c r="BQH2" s="201"/>
      <c r="BQI2" s="100"/>
      <c r="BQJ2" s="100"/>
      <c r="BQK2" s="100"/>
      <c r="BQL2" s="100"/>
      <c r="BQM2" s="100"/>
      <c r="BQN2" s="100"/>
      <c r="BQO2" s="100"/>
      <c r="BQP2" s="100"/>
      <c r="BQQ2" s="100"/>
      <c r="BQR2" s="100"/>
      <c r="BQS2" s="100"/>
      <c r="BQT2" s="100"/>
      <c r="BQU2" s="100"/>
      <c r="BQV2" s="100"/>
      <c r="BQW2" s="100"/>
      <c r="BQX2" s="100"/>
      <c r="BQY2" s="100"/>
      <c r="BQZ2" s="100"/>
      <c r="BRA2" s="100"/>
      <c r="BRB2" s="100"/>
      <c r="BRC2" s="100"/>
      <c r="BRD2" s="100"/>
      <c r="BRE2" s="100"/>
      <c r="BRF2" s="100"/>
      <c r="BRG2" s="100"/>
      <c r="BRH2" s="100"/>
      <c r="BRI2" s="100"/>
      <c r="BRJ2" s="100"/>
      <c r="BRK2" s="100"/>
      <c r="BRL2" s="100"/>
      <c r="BRM2" s="100"/>
      <c r="BRN2" s="100"/>
      <c r="BRO2" s="100"/>
      <c r="BRP2" s="100"/>
      <c r="BRQ2" s="100"/>
      <c r="BRR2" s="100"/>
      <c r="BRS2" s="100"/>
      <c r="BRT2" s="100"/>
      <c r="BRU2" s="100"/>
      <c r="BRV2" s="100"/>
      <c r="BRW2" s="100"/>
      <c r="BRX2" s="100"/>
      <c r="BRY2" s="100"/>
      <c r="BRZ2" s="100"/>
      <c r="BSA2" s="100"/>
      <c r="BSB2" s="100"/>
      <c r="BSC2" s="100"/>
      <c r="BSD2" s="100"/>
      <c r="BSE2" s="100"/>
      <c r="BSF2" s="100"/>
      <c r="BSG2" s="100"/>
      <c r="BSH2" s="100"/>
      <c r="BSI2" s="100"/>
      <c r="BSJ2" s="100"/>
      <c r="BSK2" s="100"/>
      <c r="BSL2" s="100"/>
      <c r="BSM2" s="100"/>
      <c r="BSN2" s="100"/>
      <c r="BSO2" s="100"/>
      <c r="BSP2" s="100"/>
      <c r="BSQ2" s="633"/>
      <c r="BSR2" s="100"/>
      <c r="BSS2" s="100"/>
      <c r="BST2" s="100"/>
      <c r="BSU2" s="199"/>
      <c r="BSV2" s="200"/>
      <c r="BSW2" s="201"/>
      <c r="BSX2" s="100"/>
      <c r="BSY2" s="100"/>
      <c r="BSZ2" s="100"/>
      <c r="BTA2" s="100"/>
      <c r="BTB2" s="100"/>
      <c r="BTC2" s="100"/>
      <c r="BTD2" s="100"/>
      <c r="BTE2" s="100"/>
      <c r="BTF2" s="100"/>
      <c r="BTG2" s="100"/>
      <c r="BTH2" s="100"/>
      <c r="BTI2" s="100"/>
      <c r="BTJ2" s="100"/>
      <c r="BTK2" s="100"/>
      <c r="BTL2" s="100"/>
      <c r="BTM2" s="100"/>
      <c r="BTN2" s="100"/>
      <c r="BTO2" s="100"/>
      <c r="BTP2" s="100"/>
      <c r="BTQ2" s="100"/>
      <c r="BTR2" s="100"/>
      <c r="BTS2" s="100"/>
      <c r="BTT2" s="100"/>
      <c r="BTU2" s="100"/>
      <c r="BTV2" s="100"/>
      <c r="BTW2" s="100"/>
      <c r="BTX2" s="100"/>
      <c r="BTY2" s="100"/>
      <c r="BTZ2" s="100"/>
      <c r="BUA2" s="100"/>
      <c r="BUB2" s="100"/>
      <c r="BUC2" s="100"/>
      <c r="BUD2" s="100"/>
      <c r="BUE2" s="100"/>
      <c r="BUF2" s="100"/>
      <c r="BUG2" s="100"/>
      <c r="BUH2" s="100"/>
      <c r="BUI2" s="100"/>
      <c r="BUJ2" s="100"/>
      <c r="BUK2" s="100"/>
      <c r="BUL2" s="100"/>
      <c r="BUM2" s="100"/>
      <c r="BUN2" s="100"/>
      <c r="BUO2" s="100"/>
      <c r="BUP2" s="100"/>
      <c r="BUQ2" s="100"/>
      <c r="BUR2" s="100"/>
      <c r="BUS2" s="100"/>
      <c r="BUT2" s="100"/>
      <c r="BUU2" s="100"/>
      <c r="BUV2" s="100"/>
      <c r="BUW2" s="100"/>
      <c r="BUX2" s="100"/>
      <c r="BUY2" s="100"/>
      <c r="BUZ2" s="100"/>
      <c r="BVA2" s="100"/>
      <c r="BVB2" s="100"/>
      <c r="BVC2" s="100"/>
      <c r="BVD2" s="100"/>
      <c r="BVE2" s="100"/>
      <c r="BVF2" s="633"/>
      <c r="BVG2" s="100"/>
      <c r="BVH2" s="100"/>
      <c r="BVI2" s="100"/>
      <c r="BVJ2" s="199"/>
      <c r="BVK2" s="200"/>
      <c r="BVL2" s="201"/>
      <c r="BVM2" s="100"/>
      <c r="BVN2" s="100"/>
      <c r="BVO2" s="100"/>
      <c r="BVP2" s="100"/>
      <c r="BVQ2" s="100"/>
      <c r="BVR2" s="100"/>
      <c r="BVS2" s="100"/>
      <c r="BVT2" s="100"/>
      <c r="BVU2" s="100"/>
      <c r="BVV2" s="100"/>
      <c r="BVW2" s="100"/>
      <c r="BVX2" s="100"/>
      <c r="BVY2" s="100"/>
      <c r="BVZ2" s="100"/>
      <c r="BWA2" s="100"/>
      <c r="BWB2" s="100"/>
      <c r="BWC2" s="100"/>
      <c r="BWD2" s="100"/>
      <c r="BWE2" s="100"/>
      <c r="BWF2" s="100"/>
      <c r="BWG2" s="100"/>
      <c r="BWH2" s="100"/>
      <c r="BWI2" s="100"/>
      <c r="BWJ2" s="100"/>
      <c r="BWK2" s="100"/>
      <c r="BWL2" s="100"/>
      <c r="BWM2" s="100"/>
      <c r="BWN2" s="100"/>
      <c r="BWO2" s="100"/>
      <c r="BWP2" s="100"/>
      <c r="BWQ2" s="100"/>
      <c r="BWR2" s="100"/>
      <c r="BWS2" s="100"/>
      <c r="BWT2" s="100"/>
      <c r="BWU2" s="100"/>
      <c r="BWV2" s="100"/>
      <c r="BWW2" s="100"/>
      <c r="BWX2" s="100"/>
      <c r="BWY2" s="100"/>
      <c r="BWZ2" s="100"/>
      <c r="BXA2" s="100"/>
      <c r="BXB2" s="100"/>
      <c r="BXC2" s="100"/>
      <c r="BXD2" s="100"/>
      <c r="BXE2" s="100"/>
      <c r="BXF2" s="100"/>
      <c r="BXG2" s="100"/>
      <c r="BXH2" s="100"/>
      <c r="BXI2" s="100"/>
      <c r="BXJ2" s="100"/>
      <c r="BXK2" s="100"/>
      <c r="BXL2" s="100"/>
      <c r="BXM2" s="100"/>
      <c r="BXN2" s="100"/>
      <c r="BXO2" s="100"/>
      <c r="BXP2" s="100"/>
      <c r="BXQ2" s="100"/>
      <c r="BXR2" s="100"/>
      <c r="BXS2" s="100"/>
      <c r="BXT2" s="100"/>
      <c r="BXU2" s="633"/>
      <c r="BXV2" s="100"/>
      <c r="BXW2" s="100"/>
      <c r="BXX2" s="100"/>
      <c r="BXY2" s="199"/>
      <c r="BXZ2" s="200"/>
      <c r="BYA2" s="201"/>
      <c r="BYB2" s="100"/>
      <c r="BYC2" s="100"/>
      <c r="BYD2" s="100"/>
      <c r="BYE2" s="100"/>
      <c r="BYF2" s="100"/>
      <c r="BYG2" s="100"/>
      <c r="BYH2" s="100"/>
      <c r="BYI2" s="100"/>
      <c r="BYJ2" s="100"/>
      <c r="BYK2" s="100"/>
      <c r="BYL2" s="100"/>
      <c r="BYM2" s="100"/>
      <c r="BYN2" s="100"/>
      <c r="BYO2" s="100"/>
      <c r="BYP2" s="100"/>
      <c r="BYQ2" s="100"/>
      <c r="BYR2" s="100"/>
      <c r="BYS2" s="100"/>
      <c r="BYT2" s="100"/>
      <c r="BYU2" s="100"/>
      <c r="BYV2" s="100"/>
      <c r="BYW2" s="100"/>
      <c r="BYX2" s="100"/>
      <c r="BYY2" s="100"/>
      <c r="BYZ2" s="100"/>
      <c r="BZA2" s="100"/>
      <c r="BZB2" s="100"/>
      <c r="BZC2" s="100"/>
      <c r="BZD2" s="100"/>
      <c r="BZE2" s="100"/>
      <c r="BZF2" s="100"/>
      <c r="BZG2" s="100"/>
      <c r="BZH2" s="100"/>
      <c r="BZI2" s="100"/>
      <c r="BZJ2" s="100"/>
      <c r="BZK2" s="100"/>
      <c r="BZL2" s="100"/>
      <c r="BZM2" s="100"/>
      <c r="BZN2" s="100"/>
      <c r="BZO2" s="100"/>
      <c r="BZP2" s="100"/>
      <c r="BZQ2" s="100"/>
      <c r="BZR2" s="100"/>
      <c r="BZS2" s="100"/>
      <c r="BZT2" s="100"/>
      <c r="BZU2" s="100"/>
      <c r="BZV2" s="100"/>
      <c r="BZW2" s="100"/>
      <c r="BZX2" s="100"/>
      <c r="BZY2" s="100"/>
      <c r="BZZ2" s="100"/>
      <c r="CAA2" s="100"/>
      <c r="CAB2" s="100"/>
      <c r="CAC2" s="100"/>
      <c r="CAD2" s="100"/>
      <c r="CAE2" s="100"/>
      <c r="CAF2" s="100"/>
      <c r="CAG2" s="100"/>
      <c r="CAH2" s="100"/>
      <c r="CAI2" s="100"/>
      <c r="CAJ2" s="633"/>
      <c r="CAK2" s="100"/>
      <c r="CAL2" s="100"/>
      <c r="CAM2" s="100"/>
      <c r="CAN2" s="199"/>
      <c r="CAO2" s="200"/>
      <c r="CAP2" s="201"/>
      <c r="CAQ2" s="100"/>
      <c r="CAR2" s="100"/>
      <c r="CAS2" s="100"/>
      <c r="CAT2" s="100"/>
      <c r="CAU2" s="100"/>
      <c r="CAV2" s="100"/>
      <c r="CAW2" s="100"/>
      <c r="CAX2" s="100"/>
      <c r="CAY2" s="100"/>
      <c r="CAZ2" s="100"/>
      <c r="CBA2" s="100"/>
      <c r="CBB2" s="100"/>
      <c r="CBC2" s="100"/>
      <c r="CBD2" s="100"/>
      <c r="CBE2" s="100"/>
      <c r="CBF2" s="100"/>
      <c r="CBG2" s="100"/>
      <c r="CBH2" s="100"/>
      <c r="CBI2" s="100"/>
      <c r="CBJ2" s="100"/>
      <c r="CBK2" s="100"/>
      <c r="CBL2" s="100"/>
      <c r="CBM2" s="100"/>
      <c r="CBN2" s="100"/>
      <c r="CBO2" s="100"/>
      <c r="CBP2" s="100"/>
      <c r="CBQ2" s="100"/>
      <c r="CBR2" s="100"/>
      <c r="CBS2" s="100"/>
      <c r="CBT2" s="100"/>
      <c r="CBU2" s="100"/>
      <c r="CBV2" s="100"/>
      <c r="CBW2" s="100"/>
      <c r="CBX2" s="100"/>
      <c r="CBY2" s="100"/>
      <c r="CBZ2" s="100"/>
      <c r="CCA2" s="100"/>
      <c r="CCB2" s="100"/>
      <c r="CCC2" s="100"/>
      <c r="CCD2" s="100"/>
      <c r="CCE2" s="100"/>
      <c r="CCF2" s="100"/>
      <c r="CCG2" s="100"/>
      <c r="CCH2" s="100"/>
      <c r="CCI2" s="100"/>
      <c r="CCJ2" s="100"/>
      <c r="CCK2" s="100"/>
      <c r="CCL2" s="100"/>
      <c r="CCM2" s="100"/>
      <c r="CCN2" s="100"/>
      <c r="CCO2" s="100"/>
      <c r="CCP2" s="100"/>
      <c r="CCQ2" s="100"/>
      <c r="CCR2" s="100"/>
      <c r="CCS2" s="100"/>
      <c r="CCT2" s="100"/>
      <c r="CCU2" s="100"/>
      <c r="CCV2" s="100"/>
      <c r="CCW2" s="100"/>
      <c r="CCX2" s="100"/>
      <c r="CCY2" s="633"/>
      <c r="CCZ2" s="100"/>
      <c r="CDA2" s="100"/>
      <c r="CDB2" s="100"/>
      <c r="CDC2" s="199"/>
      <c r="CDD2" s="200"/>
      <c r="CDE2" s="201"/>
      <c r="CDF2" s="100"/>
      <c r="CDG2" s="100"/>
      <c r="CDH2" s="100"/>
      <c r="CDI2" s="100"/>
      <c r="CDJ2" s="100"/>
      <c r="CDK2" s="100"/>
      <c r="CDL2" s="100"/>
      <c r="CDM2" s="100"/>
      <c r="CDN2" s="100"/>
      <c r="CDO2" s="100"/>
      <c r="CDP2" s="100"/>
      <c r="CDQ2" s="100"/>
      <c r="CDR2" s="100"/>
      <c r="CDS2" s="100"/>
      <c r="CDT2" s="100"/>
      <c r="CDU2" s="100"/>
      <c r="CDV2" s="100"/>
      <c r="CDW2" s="100"/>
      <c r="CDX2" s="100"/>
      <c r="CDY2" s="100"/>
      <c r="CDZ2" s="100"/>
      <c r="CEA2" s="100"/>
      <c r="CEB2" s="100"/>
      <c r="CEC2" s="100"/>
      <c r="CED2" s="100"/>
      <c r="CEE2" s="100"/>
      <c r="CEF2" s="100"/>
      <c r="CEG2" s="100"/>
      <c r="CEH2" s="100"/>
      <c r="CEI2" s="100"/>
      <c r="CEJ2" s="100"/>
      <c r="CEK2" s="100"/>
      <c r="CEL2" s="100"/>
      <c r="CEM2" s="100"/>
      <c r="CEN2" s="100"/>
      <c r="CEO2" s="100"/>
      <c r="CEP2" s="100"/>
      <c r="CEQ2" s="100"/>
      <c r="CER2" s="100"/>
      <c r="CES2" s="100"/>
      <c r="CET2" s="100"/>
      <c r="CEU2" s="100"/>
      <c r="CEV2" s="100"/>
      <c r="CEW2" s="100"/>
      <c r="CEX2" s="100"/>
      <c r="CEY2" s="100"/>
      <c r="CEZ2" s="100"/>
      <c r="CFA2" s="100"/>
      <c r="CFB2" s="100"/>
      <c r="CFC2" s="100"/>
      <c r="CFD2" s="100"/>
      <c r="CFE2" s="100"/>
      <c r="CFF2" s="100"/>
      <c r="CFG2" s="100"/>
      <c r="CFH2" s="100"/>
      <c r="CFI2" s="100"/>
      <c r="CFJ2" s="100"/>
      <c r="CFK2" s="100"/>
      <c r="CFL2" s="100"/>
      <c r="CFM2" s="100"/>
      <c r="CFN2" s="633"/>
      <c r="CFO2" s="100"/>
      <c r="CFP2" s="100"/>
      <c r="CFQ2" s="100"/>
      <c r="CFR2" s="199"/>
      <c r="CFS2" s="200"/>
      <c r="CFT2" s="201"/>
      <c r="CFU2" s="100"/>
      <c r="CFV2" s="100"/>
      <c r="CFW2" s="100"/>
      <c r="CFX2" s="100"/>
      <c r="CFY2" s="100"/>
      <c r="CFZ2" s="100"/>
      <c r="CGA2" s="100"/>
      <c r="CGB2" s="100"/>
      <c r="CGC2" s="100"/>
      <c r="CGD2" s="100"/>
      <c r="CGE2" s="100"/>
      <c r="CGF2" s="100"/>
      <c r="CGG2" s="100"/>
      <c r="CGH2" s="100"/>
      <c r="CGI2" s="100"/>
      <c r="CGJ2" s="100"/>
      <c r="CGK2" s="100"/>
      <c r="CGL2" s="100"/>
      <c r="CGM2" s="100"/>
      <c r="CGN2" s="100"/>
      <c r="CGO2" s="100"/>
      <c r="CGP2" s="100"/>
      <c r="CGQ2" s="100"/>
      <c r="CGR2" s="100"/>
      <c r="CGS2" s="100"/>
      <c r="CGT2" s="100"/>
      <c r="CGU2" s="100"/>
      <c r="CGV2" s="100"/>
      <c r="CGW2" s="100"/>
      <c r="CGX2" s="100"/>
      <c r="CGY2" s="100"/>
      <c r="CGZ2" s="100"/>
      <c r="CHA2" s="100"/>
      <c r="CHB2" s="100"/>
      <c r="CHC2" s="100"/>
      <c r="CHD2" s="100"/>
      <c r="CHE2" s="100"/>
      <c r="CHF2" s="100"/>
      <c r="CHG2" s="100"/>
      <c r="CHH2" s="100"/>
      <c r="CHI2" s="100"/>
      <c r="CHJ2" s="100"/>
      <c r="CHK2" s="100"/>
      <c r="CHL2" s="100"/>
      <c r="CHM2" s="100"/>
      <c r="CHN2" s="100"/>
      <c r="CHO2" s="100"/>
      <c r="CHP2" s="100"/>
      <c r="CHQ2" s="100"/>
      <c r="CHR2" s="100"/>
      <c r="CHS2" s="100"/>
      <c r="CHT2" s="100"/>
      <c r="CHU2" s="100"/>
      <c r="CHV2" s="100"/>
      <c r="CHW2" s="100"/>
      <c r="CHX2" s="100"/>
      <c r="CHY2" s="100"/>
      <c r="CHZ2" s="100"/>
      <c r="CIA2" s="100"/>
      <c r="CIB2" s="100"/>
      <c r="CIC2" s="633"/>
      <c r="CID2" s="100"/>
      <c r="CIE2" s="100"/>
      <c r="CIF2" s="100"/>
      <c r="CIG2" s="199"/>
      <c r="CIH2" s="200"/>
      <c r="CII2" s="201"/>
      <c r="CIJ2" s="100"/>
      <c r="CIK2" s="100"/>
      <c r="CIL2" s="100"/>
      <c r="CIM2" s="100"/>
      <c r="CIN2" s="100"/>
      <c r="CIO2" s="100"/>
      <c r="CIP2" s="100"/>
      <c r="CIQ2" s="100"/>
      <c r="CIR2" s="100"/>
      <c r="CIS2" s="100"/>
      <c r="CIT2" s="100"/>
      <c r="CIU2" s="100"/>
      <c r="CIV2" s="100"/>
      <c r="CIW2" s="100"/>
      <c r="CIX2" s="100"/>
      <c r="CIY2" s="100"/>
      <c r="CIZ2" s="100"/>
      <c r="CJA2" s="100"/>
      <c r="CJB2" s="100"/>
      <c r="CJC2" s="100"/>
      <c r="CJD2" s="100"/>
      <c r="CJE2" s="100"/>
      <c r="CJF2" s="100"/>
      <c r="CJG2" s="100"/>
      <c r="CJH2" s="100"/>
      <c r="CJI2" s="100"/>
      <c r="CJJ2" s="100"/>
      <c r="CJK2" s="100"/>
      <c r="CJL2" s="100"/>
      <c r="CJM2" s="100"/>
      <c r="CJN2" s="100"/>
      <c r="CJO2" s="100"/>
      <c r="CJP2" s="100"/>
      <c r="CJQ2" s="100"/>
      <c r="CJR2" s="100"/>
      <c r="CJS2" s="100"/>
      <c r="CJT2" s="100"/>
      <c r="CJU2" s="100"/>
      <c r="CJV2" s="100"/>
      <c r="CJW2" s="100"/>
      <c r="CJX2" s="100"/>
      <c r="CJY2" s="100"/>
      <c r="CJZ2" s="100"/>
      <c r="CKA2" s="100"/>
      <c r="CKB2" s="100"/>
      <c r="CKC2" s="100"/>
      <c r="CKD2" s="100"/>
      <c r="CKE2" s="100"/>
      <c r="CKF2" s="100"/>
      <c r="CKG2" s="100"/>
      <c r="CKH2" s="100"/>
      <c r="CKI2" s="100"/>
      <c r="CKJ2" s="100"/>
      <c r="CKK2" s="100"/>
      <c r="CKL2" s="100"/>
      <c r="CKM2" s="100"/>
      <c r="CKN2" s="100"/>
      <c r="CKO2" s="100"/>
      <c r="CKP2" s="100"/>
      <c r="CKQ2" s="100"/>
      <c r="CKR2" s="633"/>
      <c r="CKS2" s="100"/>
      <c r="CKT2" s="100"/>
      <c r="CKU2" s="100"/>
      <c r="CKV2" s="199"/>
      <c r="CKW2" s="200"/>
      <c r="CKX2" s="201"/>
      <c r="CKY2" s="100"/>
      <c r="CKZ2" s="100"/>
      <c r="CLA2" s="100"/>
      <c r="CLB2" s="100"/>
      <c r="CLC2" s="100"/>
      <c r="CLD2" s="100"/>
      <c r="CLE2" s="100"/>
      <c r="CLF2" s="100"/>
      <c r="CLG2" s="100"/>
      <c r="CLH2" s="100"/>
      <c r="CLI2" s="100"/>
      <c r="CLJ2" s="100"/>
      <c r="CLK2" s="100"/>
      <c r="CLL2" s="100"/>
      <c r="CLM2" s="100"/>
      <c r="CLN2" s="100"/>
      <c r="CLO2" s="100"/>
      <c r="CLP2" s="100"/>
      <c r="CLQ2" s="100"/>
      <c r="CLR2" s="100"/>
      <c r="CLS2" s="100"/>
      <c r="CLT2" s="100"/>
      <c r="CLU2" s="100"/>
      <c r="CLV2" s="100"/>
      <c r="CLW2" s="100"/>
      <c r="CLX2" s="100"/>
      <c r="CLY2" s="100"/>
      <c r="CLZ2" s="100"/>
      <c r="CMA2" s="100"/>
      <c r="CMB2" s="100"/>
      <c r="CMC2" s="100"/>
      <c r="CMD2" s="100"/>
      <c r="CME2" s="100"/>
      <c r="CMF2" s="100"/>
      <c r="CMG2" s="100"/>
      <c r="CMH2" s="100"/>
      <c r="CMI2" s="100"/>
      <c r="CMJ2" s="100"/>
      <c r="CMK2" s="100"/>
      <c r="CML2" s="100"/>
      <c r="CMM2" s="100"/>
      <c r="CMN2" s="100"/>
      <c r="CMO2" s="100"/>
      <c r="CMP2" s="100"/>
      <c r="CMQ2" s="100"/>
      <c r="CMR2" s="100"/>
      <c r="CMS2" s="100"/>
      <c r="CMT2" s="100"/>
      <c r="CMU2" s="100"/>
      <c r="CMV2" s="100"/>
      <c r="CMW2" s="100"/>
      <c r="CMX2" s="100"/>
      <c r="CMY2" s="100"/>
      <c r="CMZ2" s="100"/>
      <c r="CNA2" s="100"/>
      <c r="CNB2" s="100"/>
      <c r="CNC2" s="100"/>
      <c r="CND2" s="100"/>
      <c r="CNE2" s="100"/>
      <c r="CNF2" s="100"/>
      <c r="CNG2" s="633"/>
      <c r="CNH2" s="100"/>
      <c r="CNI2" s="100"/>
      <c r="CNJ2" s="100"/>
      <c r="CNK2" s="199"/>
      <c r="CNL2" s="200"/>
      <c r="CNM2" s="201"/>
      <c r="CNN2" s="100"/>
      <c r="CNO2" s="100"/>
      <c r="CNP2" s="100"/>
      <c r="CNQ2" s="100"/>
      <c r="CNR2" s="100"/>
      <c r="CNS2" s="100"/>
      <c r="CNT2" s="100"/>
      <c r="CNU2" s="100"/>
      <c r="CNV2" s="100"/>
      <c r="CNW2" s="100"/>
      <c r="CNX2" s="100"/>
      <c r="CNY2" s="100"/>
      <c r="CNZ2" s="100"/>
      <c r="COA2" s="100"/>
      <c r="COB2" s="100"/>
      <c r="COC2" s="100"/>
      <c r="COD2" s="100"/>
      <c r="COE2" s="100"/>
      <c r="COF2" s="100"/>
      <c r="COG2" s="100"/>
      <c r="COH2" s="100"/>
      <c r="COI2" s="100"/>
      <c r="COJ2" s="100"/>
      <c r="COK2" s="100"/>
      <c r="COL2" s="100"/>
      <c r="COM2" s="100"/>
      <c r="CON2" s="100"/>
      <c r="COO2" s="100"/>
      <c r="COP2" s="100"/>
      <c r="COQ2" s="100"/>
      <c r="COR2" s="100"/>
      <c r="COS2" s="100"/>
      <c r="COT2" s="100"/>
      <c r="COU2" s="100"/>
      <c r="COV2" s="100"/>
      <c r="COW2" s="100"/>
      <c r="COX2" s="100"/>
      <c r="COY2" s="100"/>
      <c r="COZ2" s="100"/>
      <c r="CPA2" s="100"/>
      <c r="CPB2" s="100"/>
      <c r="CPC2" s="100"/>
      <c r="CPD2" s="100"/>
      <c r="CPE2" s="100"/>
      <c r="CPF2" s="100"/>
      <c r="CPG2" s="100"/>
      <c r="CPH2" s="100"/>
      <c r="CPI2" s="100"/>
      <c r="CPJ2" s="100"/>
      <c r="CPK2" s="100"/>
      <c r="CPL2" s="100"/>
      <c r="CPM2" s="100"/>
      <c r="CPN2" s="100"/>
      <c r="CPO2" s="100"/>
      <c r="CPP2" s="100"/>
      <c r="CPQ2" s="100"/>
      <c r="CPR2" s="100"/>
      <c r="CPS2" s="100"/>
      <c r="CPT2" s="100"/>
      <c r="CPU2" s="100"/>
      <c r="CPV2" s="633"/>
      <c r="CPW2" s="100"/>
      <c r="CPX2" s="100"/>
      <c r="CPY2" s="100"/>
      <c r="CPZ2" s="199"/>
      <c r="CQA2" s="200"/>
      <c r="CQB2" s="201"/>
      <c r="CQC2" s="100"/>
      <c r="CQD2" s="100"/>
      <c r="CQE2" s="100"/>
      <c r="CQF2" s="100"/>
      <c r="CQG2" s="100"/>
      <c r="CQH2" s="100"/>
      <c r="CQI2" s="100"/>
      <c r="CQJ2" s="100"/>
      <c r="CQK2" s="100"/>
      <c r="CQL2" s="100"/>
      <c r="CQM2" s="100"/>
      <c r="CQN2" s="100"/>
      <c r="CQO2" s="100"/>
      <c r="CQP2" s="100"/>
      <c r="CQQ2" s="100"/>
      <c r="CQR2" s="100"/>
      <c r="CQS2" s="100"/>
      <c r="CQT2" s="100"/>
      <c r="CQU2" s="100"/>
      <c r="CQV2" s="100"/>
      <c r="CQW2" s="100"/>
      <c r="CQX2" s="100"/>
      <c r="CQY2" s="100"/>
      <c r="CQZ2" s="100"/>
      <c r="CRA2" s="100"/>
      <c r="CRB2" s="100"/>
      <c r="CRC2" s="100"/>
      <c r="CRD2" s="100"/>
      <c r="CRE2" s="100"/>
      <c r="CRF2" s="100"/>
      <c r="CRG2" s="100"/>
      <c r="CRH2" s="100"/>
      <c r="CRI2" s="100"/>
      <c r="CRJ2" s="100"/>
      <c r="CRK2" s="100"/>
      <c r="CRL2" s="100"/>
      <c r="CRM2" s="100"/>
      <c r="CRN2" s="100"/>
      <c r="CRO2" s="100"/>
      <c r="CRP2" s="100"/>
      <c r="CRQ2" s="100"/>
      <c r="CRR2" s="100"/>
      <c r="CRS2" s="100"/>
      <c r="CRT2" s="100"/>
      <c r="CRU2" s="100"/>
      <c r="CRV2" s="100"/>
      <c r="CRW2" s="100"/>
      <c r="CRX2" s="100"/>
      <c r="CRY2" s="100"/>
      <c r="CRZ2" s="100"/>
      <c r="CSA2" s="100"/>
      <c r="CSB2" s="100"/>
      <c r="CSC2" s="100"/>
      <c r="CSD2" s="100"/>
      <c r="CSE2" s="100"/>
      <c r="CSF2" s="100"/>
      <c r="CSG2" s="100"/>
      <c r="CSH2" s="100"/>
      <c r="CSI2" s="100"/>
      <c r="CSJ2" s="100"/>
      <c r="CSK2" s="633"/>
      <c r="CSL2" s="100"/>
      <c r="CSM2" s="100"/>
      <c r="CSN2" s="100"/>
      <c r="CSO2" s="199"/>
      <c r="CSP2" s="200"/>
      <c r="CSQ2" s="201"/>
      <c r="CSR2" s="100"/>
      <c r="CSS2" s="100"/>
      <c r="CST2" s="100"/>
      <c r="CSU2" s="100"/>
      <c r="CSV2" s="100"/>
      <c r="CSW2" s="100"/>
      <c r="CSX2" s="100"/>
      <c r="CSY2" s="100"/>
      <c r="CSZ2" s="100"/>
      <c r="CTA2" s="100"/>
      <c r="CTB2" s="100"/>
      <c r="CTC2" s="100"/>
      <c r="CTD2" s="100"/>
      <c r="CTE2" s="100"/>
      <c r="CTF2" s="100"/>
      <c r="CTG2" s="100"/>
      <c r="CTH2" s="100"/>
      <c r="CTI2" s="100"/>
      <c r="CTJ2" s="100"/>
      <c r="CTK2" s="100"/>
      <c r="CTL2" s="100"/>
      <c r="CTM2" s="100"/>
      <c r="CTN2" s="100"/>
      <c r="CTO2" s="100"/>
      <c r="CTP2" s="100"/>
      <c r="CTQ2" s="100"/>
      <c r="CTR2" s="100"/>
      <c r="CTS2" s="100"/>
      <c r="CTT2" s="100"/>
      <c r="CTU2" s="100"/>
      <c r="CTV2" s="100"/>
      <c r="CTW2" s="100"/>
      <c r="CTX2" s="100"/>
      <c r="CTY2" s="100"/>
      <c r="CTZ2" s="100"/>
      <c r="CUA2" s="100"/>
      <c r="CUB2" s="100"/>
      <c r="CUC2" s="100"/>
      <c r="CUD2" s="100"/>
      <c r="CUE2" s="100"/>
      <c r="CUF2" s="100"/>
      <c r="CUG2" s="100"/>
      <c r="CUH2" s="100"/>
      <c r="CUI2" s="100"/>
      <c r="CUJ2" s="100"/>
      <c r="CUK2" s="100"/>
      <c r="CUL2" s="100"/>
      <c r="CUM2" s="100"/>
      <c r="CUN2" s="100"/>
      <c r="CUO2" s="100"/>
      <c r="CUP2" s="100"/>
      <c r="CUQ2" s="100"/>
      <c r="CUR2" s="100"/>
      <c r="CUS2" s="100"/>
      <c r="CUT2" s="100"/>
      <c r="CUU2" s="100"/>
      <c r="CUV2" s="100"/>
      <c r="CUW2" s="100"/>
      <c r="CUX2" s="100"/>
      <c r="CUY2" s="100"/>
      <c r="CUZ2" s="633"/>
      <c r="CVA2" s="100"/>
      <c r="CVB2" s="100"/>
      <c r="CVC2" s="100"/>
      <c r="CVD2" s="199"/>
      <c r="CVE2" s="200"/>
      <c r="CVF2" s="201"/>
      <c r="CVG2" s="100"/>
      <c r="CVH2" s="100"/>
      <c r="CVI2" s="100"/>
      <c r="CVJ2" s="100"/>
      <c r="CVK2" s="100"/>
      <c r="CVL2" s="100"/>
      <c r="CVM2" s="100"/>
      <c r="CVN2" s="100"/>
      <c r="CVO2" s="100"/>
      <c r="CVP2" s="100"/>
      <c r="CVQ2" s="100"/>
      <c r="CVR2" s="100"/>
      <c r="CVS2" s="100"/>
      <c r="CVT2" s="100"/>
      <c r="CVU2" s="100"/>
      <c r="CVV2" s="100"/>
      <c r="CVW2" s="100"/>
      <c r="CVX2" s="100"/>
      <c r="CVY2" s="100"/>
      <c r="CVZ2" s="100"/>
      <c r="CWA2" s="100"/>
      <c r="CWB2" s="100"/>
      <c r="CWC2" s="100"/>
      <c r="CWD2" s="100"/>
      <c r="CWE2" s="100"/>
      <c r="CWF2" s="100"/>
      <c r="CWG2" s="100"/>
      <c r="CWH2" s="100"/>
      <c r="CWI2" s="100"/>
      <c r="CWJ2" s="100"/>
      <c r="CWK2" s="100"/>
      <c r="CWL2" s="100"/>
      <c r="CWM2" s="100"/>
      <c r="CWN2" s="100"/>
      <c r="CWO2" s="100"/>
      <c r="CWP2" s="100"/>
      <c r="CWQ2" s="100"/>
      <c r="CWR2" s="100"/>
      <c r="CWS2" s="100"/>
      <c r="CWT2" s="100"/>
      <c r="CWU2" s="100"/>
      <c r="CWV2" s="100"/>
      <c r="CWW2" s="100"/>
      <c r="CWX2" s="100"/>
      <c r="CWY2" s="100"/>
      <c r="CWZ2" s="100"/>
      <c r="CXA2" s="100"/>
      <c r="CXB2" s="100"/>
      <c r="CXC2" s="100"/>
      <c r="CXD2" s="100"/>
      <c r="CXE2" s="100"/>
      <c r="CXF2" s="100"/>
      <c r="CXG2" s="100"/>
      <c r="CXH2" s="100"/>
      <c r="CXI2" s="100"/>
      <c r="CXJ2" s="100"/>
      <c r="CXK2" s="100"/>
      <c r="CXL2" s="100"/>
      <c r="CXM2" s="100"/>
      <c r="CXN2" s="100"/>
      <c r="CXO2" s="633"/>
      <c r="CXP2" s="100"/>
      <c r="CXQ2" s="100"/>
      <c r="CXR2" s="100"/>
      <c r="CXS2" s="199"/>
      <c r="CXT2" s="200"/>
      <c r="CXU2" s="201"/>
      <c r="CXV2" s="100"/>
      <c r="CXW2" s="100"/>
      <c r="CXX2" s="100"/>
      <c r="CXY2" s="100"/>
      <c r="CXZ2" s="100"/>
      <c r="CYA2" s="100"/>
      <c r="CYB2" s="100"/>
      <c r="CYC2" s="100"/>
      <c r="CYD2" s="100"/>
      <c r="CYE2" s="100"/>
      <c r="CYF2" s="100"/>
      <c r="CYG2" s="100"/>
      <c r="CYH2" s="100"/>
      <c r="CYI2" s="100"/>
      <c r="CYJ2" s="100"/>
      <c r="CYK2" s="100"/>
      <c r="CYL2" s="100"/>
      <c r="CYM2" s="100"/>
      <c r="CYN2" s="100"/>
      <c r="CYO2" s="100"/>
      <c r="CYP2" s="100"/>
      <c r="CYQ2" s="100"/>
      <c r="CYR2" s="100"/>
      <c r="CYS2" s="100"/>
      <c r="CYT2" s="100"/>
      <c r="CYU2" s="100"/>
      <c r="CYV2" s="100"/>
      <c r="CYW2" s="100"/>
      <c r="CYX2" s="100"/>
      <c r="CYY2" s="100"/>
      <c r="CYZ2" s="100"/>
      <c r="CZA2" s="100"/>
      <c r="CZB2" s="100"/>
      <c r="CZC2" s="100"/>
      <c r="CZD2" s="100"/>
      <c r="CZE2" s="100"/>
      <c r="CZF2" s="100"/>
      <c r="CZG2" s="100"/>
      <c r="CZH2" s="100"/>
      <c r="CZI2" s="100"/>
      <c r="CZJ2" s="100"/>
      <c r="CZK2" s="100"/>
      <c r="CZL2" s="100"/>
      <c r="CZM2" s="100"/>
      <c r="CZN2" s="100"/>
      <c r="CZO2" s="100"/>
      <c r="CZP2" s="100"/>
      <c r="CZQ2" s="100"/>
      <c r="CZR2" s="100"/>
      <c r="CZS2" s="100"/>
      <c r="CZT2" s="100"/>
      <c r="CZU2" s="100"/>
      <c r="CZV2" s="100"/>
      <c r="CZW2" s="100"/>
      <c r="CZX2" s="100"/>
      <c r="CZY2" s="100"/>
      <c r="CZZ2" s="100"/>
      <c r="DAA2" s="100"/>
      <c r="DAB2" s="100"/>
      <c r="DAC2" s="100"/>
      <c r="DAD2" s="633"/>
      <c r="DAE2" s="100"/>
      <c r="DAF2" s="100"/>
      <c r="DAG2" s="100"/>
      <c r="DAH2" s="199"/>
      <c r="DAI2" s="200"/>
      <c r="DAJ2" s="201"/>
      <c r="DAK2" s="100"/>
      <c r="DAL2" s="100"/>
      <c r="DAM2" s="100"/>
      <c r="DAN2" s="100"/>
      <c r="DAO2" s="100"/>
      <c r="DAP2" s="100"/>
      <c r="DAQ2" s="100"/>
      <c r="DAR2" s="100"/>
      <c r="DAS2" s="100"/>
      <c r="DAT2" s="100"/>
      <c r="DAU2" s="100"/>
      <c r="DAV2" s="100"/>
      <c r="DAW2" s="100"/>
      <c r="DAX2" s="100"/>
      <c r="DAY2" s="100"/>
      <c r="DAZ2" s="100"/>
      <c r="DBA2" s="100"/>
      <c r="DBB2" s="100"/>
      <c r="DBC2" s="100"/>
      <c r="DBD2" s="100"/>
      <c r="DBE2" s="100"/>
      <c r="DBF2" s="100"/>
      <c r="DBG2" s="100"/>
      <c r="DBH2" s="100"/>
      <c r="DBI2" s="100"/>
      <c r="DBJ2" s="100"/>
      <c r="DBK2" s="100"/>
      <c r="DBL2" s="100"/>
      <c r="DBM2" s="100"/>
      <c r="DBN2" s="100"/>
      <c r="DBO2" s="100"/>
      <c r="DBP2" s="100"/>
      <c r="DBQ2" s="100"/>
      <c r="DBR2" s="100"/>
      <c r="DBS2" s="100"/>
      <c r="DBT2" s="100"/>
      <c r="DBU2" s="100"/>
      <c r="DBV2" s="100"/>
      <c r="DBW2" s="100"/>
      <c r="DBX2" s="100"/>
      <c r="DBY2" s="100"/>
      <c r="DBZ2" s="100"/>
      <c r="DCA2" s="100"/>
      <c r="DCB2" s="100"/>
      <c r="DCC2" s="100"/>
      <c r="DCD2" s="100"/>
      <c r="DCE2" s="100"/>
      <c r="DCF2" s="100"/>
      <c r="DCG2" s="100"/>
      <c r="DCH2" s="100"/>
      <c r="DCI2" s="100"/>
      <c r="DCJ2" s="100"/>
      <c r="DCK2" s="100"/>
      <c r="DCL2" s="100"/>
      <c r="DCM2" s="100"/>
      <c r="DCN2" s="100"/>
      <c r="DCO2" s="100"/>
      <c r="DCP2" s="100"/>
      <c r="DCQ2" s="100"/>
      <c r="DCR2" s="100"/>
      <c r="DCS2" s="633"/>
      <c r="DCT2" s="100"/>
      <c r="DCU2" s="100"/>
      <c r="DCV2" s="100"/>
      <c r="DCW2" s="199"/>
      <c r="DCX2" s="200"/>
      <c r="DCY2" s="201"/>
      <c r="DCZ2" s="100"/>
      <c r="DDA2" s="100"/>
      <c r="DDB2" s="100"/>
      <c r="DDC2" s="100"/>
      <c r="DDD2" s="100"/>
      <c r="DDE2" s="100"/>
      <c r="DDF2" s="100"/>
      <c r="DDG2" s="100"/>
      <c r="DDH2" s="100"/>
      <c r="DDI2" s="100"/>
      <c r="DDJ2" s="100"/>
      <c r="DDK2" s="100"/>
      <c r="DDL2" s="100"/>
      <c r="DDM2" s="100"/>
      <c r="DDN2" s="100"/>
      <c r="DDO2" s="100"/>
      <c r="DDP2" s="100"/>
      <c r="DDQ2" s="100"/>
      <c r="DDR2" s="100"/>
      <c r="DDS2" s="100"/>
      <c r="DDT2" s="100"/>
      <c r="DDU2" s="100"/>
      <c r="DDV2" s="100"/>
      <c r="DDW2" s="100"/>
      <c r="DDX2" s="100"/>
      <c r="DDY2" s="100"/>
      <c r="DDZ2" s="100"/>
      <c r="DEA2" s="100"/>
      <c r="DEB2" s="100"/>
      <c r="DEC2" s="100"/>
      <c r="DED2" s="100"/>
      <c r="DEE2" s="100"/>
      <c r="DEF2" s="100"/>
      <c r="DEG2" s="100"/>
      <c r="DEH2" s="100"/>
      <c r="DEI2" s="100"/>
      <c r="DEJ2" s="100"/>
      <c r="DEK2" s="100"/>
      <c r="DEL2" s="100"/>
      <c r="DEM2" s="100"/>
      <c r="DEN2" s="100"/>
      <c r="DEO2" s="100"/>
      <c r="DEP2" s="100"/>
      <c r="DEQ2" s="100"/>
      <c r="DER2" s="100"/>
      <c r="DES2" s="100"/>
      <c r="DET2" s="100"/>
      <c r="DEU2" s="100"/>
      <c r="DEV2" s="100"/>
      <c r="DEW2" s="100"/>
      <c r="DEX2" s="100"/>
      <c r="DEY2" s="100"/>
      <c r="DEZ2" s="100"/>
      <c r="DFA2" s="100"/>
      <c r="DFB2" s="100"/>
      <c r="DFC2" s="100"/>
      <c r="DFD2" s="100"/>
      <c r="DFE2" s="100"/>
      <c r="DFF2" s="100"/>
      <c r="DFG2" s="100"/>
      <c r="DFH2" s="633"/>
      <c r="DFI2" s="100"/>
      <c r="DFJ2" s="100"/>
      <c r="DFK2" s="100"/>
      <c r="DFL2" s="199"/>
      <c r="DFM2" s="200"/>
      <c r="DFN2" s="201"/>
      <c r="DFO2" s="100"/>
      <c r="DFP2" s="100"/>
      <c r="DFQ2" s="100"/>
      <c r="DFR2" s="100"/>
      <c r="DFS2" s="100"/>
      <c r="DFT2" s="100"/>
      <c r="DFU2" s="100"/>
      <c r="DFV2" s="100"/>
      <c r="DFW2" s="100"/>
      <c r="DFX2" s="100"/>
      <c r="DFY2" s="100"/>
      <c r="DFZ2" s="100"/>
      <c r="DGA2" s="100"/>
      <c r="DGB2" s="100"/>
      <c r="DGC2" s="100"/>
      <c r="DGD2" s="100"/>
      <c r="DGE2" s="100"/>
      <c r="DGF2" s="100"/>
      <c r="DGG2" s="100"/>
      <c r="DGH2" s="100"/>
      <c r="DGI2" s="100"/>
      <c r="DGJ2" s="100"/>
      <c r="DGK2" s="100"/>
      <c r="DGL2" s="100"/>
      <c r="DGM2" s="100"/>
      <c r="DGN2" s="100"/>
      <c r="DGO2" s="100"/>
      <c r="DGP2" s="100"/>
      <c r="DGQ2" s="100"/>
      <c r="DGR2" s="100"/>
      <c r="DGS2" s="100"/>
      <c r="DGT2" s="100"/>
      <c r="DGU2" s="100"/>
      <c r="DGV2" s="100"/>
      <c r="DGW2" s="100"/>
      <c r="DGX2" s="100"/>
      <c r="DGY2" s="100"/>
      <c r="DGZ2" s="100"/>
      <c r="DHA2" s="100"/>
      <c r="DHB2" s="100"/>
      <c r="DHC2" s="100"/>
      <c r="DHD2" s="100"/>
      <c r="DHE2" s="100"/>
      <c r="DHF2" s="100"/>
      <c r="DHG2" s="100"/>
      <c r="DHH2" s="100"/>
      <c r="DHI2" s="100"/>
      <c r="DHJ2" s="100"/>
      <c r="DHK2" s="100"/>
      <c r="DHL2" s="100"/>
      <c r="DHM2" s="100"/>
      <c r="DHN2" s="100"/>
      <c r="DHO2" s="100"/>
      <c r="DHP2" s="100"/>
      <c r="DHQ2" s="100"/>
      <c r="DHR2" s="100"/>
      <c r="DHS2" s="100"/>
      <c r="DHT2" s="100"/>
      <c r="DHU2" s="100"/>
      <c r="DHV2" s="100"/>
      <c r="DHW2" s="633"/>
      <c r="DHX2" s="100"/>
      <c r="DHY2" s="100"/>
      <c r="DHZ2" s="100"/>
      <c r="DIA2" s="199"/>
      <c r="DIB2" s="200"/>
      <c r="DIC2" s="201"/>
      <c r="DID2" s="100"/>
      <c r="DIE2" s="100"/>
      <c r="DIF2" s="100"/>
      <c r="DIG2" s="100"/>
      <c r="DIH2" s="100"/>
      <c r="DII2" s="100"/>
      <c r="DIJ2" s="100"/>
      <c r="DIK2" s="100"/>
      <c r="DIL2" s="100"/>
      <c r="DIM2" s="100"/>
      <c r="DIN2" s="100"/>
      <c r="DIO2" s="100"/>
      <c r="DIP2" s="100"/>
      <c r="DIQ2" s="100"/>
      <c r="DIR2" s="100"/>
      <c r="DIS2" s="100"/>
      <c r="DIT2" s="100"/>
      <c r="DIU2" s="100"/>
      <c r="DIV2" s="100"/>
      <c r="DIW2" s="100"/>
      <c r="DIX2" s="100"/>
      <c r="DIY2" s="100"/>
      <c r="DIZ2" s="100"/>
      <c r="DJA2" s="100"/>
      <c r="DJB2" s="100"/>
      <c r="DJC2" s="100"/>
      <c r="DJD2" s="100"/>
      <c r="DJE2" s="100"/>
      <c r="DJF2" s="100"/>
      <c r="DJG2" s="100"/>
      <c r="DJH2" s="100"/>
      <c r="DJI2" s="100"/>
      <c r="DJJ2" s="100"/>
      <c r="DJK2" s="100"/>
      <c r="DJL2" s="100"/>
      <c r="DJM2" s="100"/>
      <c r="DJN2" s="100"/>
      <c r="DJO2" s="100"/>
      <c r="DJP2" s="100"/>
      <c r="DJQ2" s="100"/>
      <c r="DJR2" s="100"/>
      <c r="DJS2" s="100"/>
      <c r="DJT2" s="100"/>
      <c r="DJU2" s="100"/>
      <c r="DJV2" s="100"/>
      <c r="DJW2" s="100"/>
      <c r="DJX2" s="100"/>
      <c r="DJY2" s="100"/>
      <c r="DJZ2" s="100"/>
      <c r="DKA2" s="100"/>
      <c r="DKB2" s="100"/>
      <c r="DKC2" s="100"/>
      <c r="DKD2" s="100"/>
      <c r="DKE2" s="100"/>
      <c r="DKF2" s="100"/>
      <c r="DKG2" s="100"/>
      <c r="DKH2" s="100"/>
      <c r="DKI2" s="100"/>
      <c r="DKJ2" s="100"/>
      <c r="DKK2" s="100"/>
      <c r="DKL2" s="633"/>
      <c r="DKM2" s="100"/>
      <c r="DKN2" s="100"/>
      <c r="DKO2" s="100"/>
      <c r="DKP2" s="199"/>
      <c r="DKQ2" s="200"/>
      <c r="DKR2" s="201"/>
      <c r="DKS2" s="100"/>
      <c r="DKT2" s="100"/>
      <c r="DKU2" s="100"/>
      <c r="DKV2" s="100"/>
      <c r="DKW2" s="100"/>
      <c r="DKX2" s="100"/>
      <c r="DKY2" s="100"/>
      <c r="DKZ2" s="100"/>
      <c r="DLA2" s="100"/>
      <c r="DLB2" s="100"/>
      <c r="DLC2" s="100"/>
      <c r="DLD2" s="100"/>
      <c r="DLE2" s="100"/>
      <c r="DLF2" s="100"/>
      <c r="DLG2" s="100"/>
      <c r="DLH2" s="100"/>
      <c r="DLI2" s="100"/>
      <c r="DLJ2" s="100"/>
      <c r="DLK2" s="100"/>
      <c r="DLL2" s="100"/>
      <c r="DLM2" s="100"/>
      <c r="DLN2" s="100"/>
      <c r="DLO2" s="100"/>
      <c r="DLP2" s="100"/>
      <c r="DLQ2" s="100"/>
      <c r="DLR2" s="100"/>
      <c r="DLS2" s="100"/>
      <c r="DLT2" s="100"/>
      <c r="DLU2" s="100"/>
      <c r="DLV2" s="100"/>
      <c r="DLW2" s="100"/>
      <c r="DLX2" s="100"/>
      <c r="DLY2" s="100"/>
      <c r="DLZ2" s="100"/>
      <c r="DMA2" s="100"/>
      <c r="DMB2" s="100"/>
      <c r="DMC2" s="100"/>
      <c r="DMD2" s="100"/>
      <c r="DME2" s="100"/>
      <c r="DMF2" s="100"/>
      <c r="DMG2" s="100"/>
      <c r="DMH2" s="100"/>
      <c r="DMI2" s="100"/>
      <c r="DMJ2" s="100"/>
      <c r="DMK2" s="100"/>
      <c r="DML2" s="100"/>
      <c r="DMM2" s="100"/>
      <c r="DMN2" s="100"/>
      <c r="DMO2" s="100"/>
      <c r="DMP2" s="100"/>
      <c r="DMQ2" s="100"/>
      <c r="DMR2" s="100"/>
      <c r="DMS2" s="100"/>
      <c r="DMT2" s="100"/>
      <c r="DMU2" s="100"/>
      <c r="DMV2" s="100"/>
      <c r="DMW2" s="100"/>
      <c r="DMX2" s="100"/>
      <c r="DMY2" s="100"/>
      <c r="DMZ2" s="100"/>
      <c r="DNA2" s="633"/>
      <c r="DNB2" s="100"/>
      <c r="DNC2" s="100"/>
      <c r="DND2" s="100"/>
      <c r="DNE2" s="199"/>
      <c r="DNF2" s="200"/>
      <c r="DNG2" s="201"/>
      <c r="DNH2" s="100"/>
      <c r="DNI2" s="100"/>
      <c r="DNJ2" s="100"/>
      <c r="DNK2" s="100"/>
      <c r="DNL2" s="100"/>
      <c r="DNM2" s="100"/>
      <c r="DNN2" s="100"/>
      <c r="DNO2" s="100"/>
      <c r="DNP2" s="100"/>
      <c r="DNQ2" s="100"/>
      <c r="DNR2" s="100"/>
      <c r="DNS2" s="100"/>
      <c r="DNT2" s="100"/>
      <c r="DNU2" s="100"/>
      <c r="DNV2" s="100"/>
      <c r="DNW2" s="100"/>
      <c r="DNX2" s="100"/>
      <c r="DNY2" s="100"/>
      <c r="DNZ2" s="100"/>
      <c r="DOA2" s="100"/>
      <c r="DOB2" s="100"/>
      <c r="DOC2" s="100"/>
      <c r="DOD2" s="100"/>
      <c r="DOE2" s="100"/>
      <c r="DOF2" s="100"/>
      <c r="DOG2" s="100"/>
      <c r="DOH2" s="100"/>
      <c r="DOI2" s="100"/>
      <c r="DOJ2" s="100"/>
      <c r="DOK2" s="100"/>
      <c r="DOL2" s="100"/>
      <c r="DOM2" s="100"/>
      <c r="DON2" s="100"/>
      <c r="DOO2" s="100"/>
      <c r="DOP2" s="100"/>
      <c r="DOQ2" s="100"/>
      <c r="DOR2" s="100"/>
      <c r="DOS2" s="100"/>
      <c r="DOT2" s="100"/>
      <c r="DOU2" s="100"/>
      <c r="DOV2" s="100"/>
      <c r="DOW2" s="100"/>
      <c r="DOX2" s="100"/>
      <c r="DOY2" s="100"/>
      <c r="DOZ2" s="100"/>
      <c r="DPA2" s="100"/>
      <c r="DPB2" s="100"/>
      <c r="DPC2" s="100"/>
      <c r="DPD2" s="100"/>
      <c r="DPE2" s="100"/>
      <c r="DPF2" s="100"/>
      <c r="DPG2" s="100"/>
      <c r="DPH2" s="100"/>
      <c r="DPI2" s="100"/>
      <c r="DPJ2" s="100"/>
      <c r="DPK2" s="100"/>
      <c r="DPL2" s="100"/>
      <c r="DPM2" s="100"/>
      <c r="DPN2" s="100"/>
      <c r="DPO2" s="100"/>
      <c r="DPP2" s="633"/>
      <c r="DPQ2" s="100"/>
      <c r="DPR2" s="100"/>
      <c r="DPS2" s="100"/>
      <c r="DPT2" s="199"/>
      <c r="DPU2" s="200"/>
      <c r="DPV2" s="201"/>
      <c r="DPW2" s="100"/>
      <c r="DPX2" s="100"/>
      <c r="DPY2" s="100"/>
      <c r="DPZ2" s="100"/>
      <c r="DQA2" s="100"/>
      <c r="DQB2" s="100"/>
      <c r="DQC2" s="100"/>
      <c r="DQD2" s="100"/>
      <c r="DQE2" s="100"/>
      <c r="DQF2" s="100"/>
      <c r="DQG2" s="100"/>
      <c r="DQH2" s="100"/>
      <c r="DQI2" s="100"/>
      <c r="DQJ2" s="100"/>
      <c r="DQK2" s="100"/>
      <c r="DQL2" s="100"/>
      <c r="DQM2" s="100"/>
      <c r="DQN2" s="100"/>
      <c r="DQO2" s="100"/>
      <c r="DQP2" s="100"/>
      <c r="DQQ2" s="100"/>
      <c r="DQR2" s="100"/>
      <c r="DQS2" s="100"/>
      <c r="DQT2" s="100"/>
      <c r="DQU2" s="100"/>
      <c r="DQV2" s="100"/>
      <c r="DQW2" s="100"/>
      <c r="DQX2" s="100"/>
      <c r="DQY2" s="100"/>
      <c r="DQZ2" s="100"/>
      <c r="DRA2" s="100"/>
      <c r="DRB2" s="100"/>
      <c r="DRC2" s="100"/>
      <c r="DRD2" s="100"/>
      <c r="DRE2" s="100"/>
      <c r="DRF2" s="100"/>
      <c r="DRG2" s="100"/>
      <c r="DRH2" s="100"/>
      <c r="DRI2" s="100"/>
      <c r="DRJ2" s="100"/>
      <c r="DRK2" s="100"/>
      <c r="DRL2" s="100"/>
      <c r="DRM2" s="100"/>
      <c r="DRN2" s="100"/>
      <c r="DRO2" s="100"/>
      <c r="DRP2" s="100"/>
      <c r="DRQ2" s="100"/>
      <c r="DRR2" s="100"/>
      <c r="DRS2" s="100"/>
      <c r="DRT2" s="100"/>
      <c r="DRU2" s="100"/>
      <c r="DRV2" s="100"/>
      <c r="DRW2" s="100"/>
      <c r="DRX2" s="100"/>
      <c r="DRY2" s="100"/>
      <c r="DRZ2" s="100"/>
      <c r="DSA2" s="100"/>
      <c r="DSB2" s="100"/>
      <c r="DSC2" s="100"/>
      <c r="DSD2" s="100"/>
      <c r="DSE2" s="633"/>
      <c r="DSF2" s="100"/>
      <c r="DSG2" s="100"/>
      <c r="DSH2" s="100"/>
      <c r="DSI2" s="199"/>
      <c r="DSJ2" s="200"/>
      <c r="DSK2" s="201"/>
      <c r="DSL2" s="100"/>
      <c r="DSM2" s="100"/>
      <c r="DSN2" s="100"/>
      <c r="DSO2" s="100"/>
      <c r="DSP2" s="100"/>
      <c r="DSQ2" s="100"/>
      <c r="DSR2" s="100"/>
      <c r="DSS2" s="100"/>
      <c r="DST2" s="100"/>
      <c r="DSU2" s="100"/>
      <c r="DSV2" s="100"/>
      <c r="DSW2" s="100"/>
      <c r="DSX2" s="100"/>
      <c r="DSY2" s="100"/>
      <c r="DSZ2" s="100"/>
      <c r="DTA2" s="100"/>
      <c r="DTB2" s="100"/>
      <c r="DTC2" s="100"/>
      <c r="DTD2" s="100"/>
      <c r="DTE2" s="100"/>
      <c r="DTF2" s="100"/>
      <c r="DTG2" s="100"/>
      <c r="DTH2" s="100"/>
      <c r="DTI2" s="100"/>
      <c r="DTJ2" s="100"/>
      <c r="DTK2" s="100"/>
      <c r="DTL2" s="100"/>
      <c r="DTM2" s="100"/>
      <c r="DTN2" s="100"/>
      <c r="DTO2" s="100"/>
      <c r="DTP2" s="100"/>
      <c r="DTQ2" s="100"/>
      <c r="DTR2" s="100"/>
      <c r="DTS2" s="100"/>
      <c r="DTT2" s="100"/>
      <c r="DTU2" s="100"/>
      <c r="DTV2" s="100"/>
      <c r="DTW2" s="100"/>
      <c r="DTX2" s="100"/>
      <c r="DTY2" s="100"/>
      <c r="DTZ2" s="100"/>
      <c r="DUA2" s="100"/>
      <c r="DUB2" s="100"/>
      <c r="DUC2" s="100"/>
      <c r="DUD2" s="100"/>
      <c r="DUE2" s="100"/>
      <c r="DUF2" s="100"/>
      <c r="DUG2" s="100"/>
      <c r="DUH2" s="100"/>
      <c r="DUI2" s="100"/>
      <c r="DUJ2" s="100"/>
      <c r="DUK2" s="100"/>
      <c r="DUL2" s="100"/>
      <c r="DUM2" s="100"/>
      <c r="DUN2" s="100"/>
      <c r="DUO2" s="100"/>
      <c r="DUP2" s="100"/>
      <c r="DUQ2" s="100"/>
      <c r="DUR2" s="100"/>
      <c r="DUS2" s="100"/>
      <c r="DUT2" s="633"/>
      <c r="DUU2" s="100"/>
      <c r="DUV2" s="100"/>
      <c r="DUW2" s="100"/>
      <c r="DUX2" s="199"/>
      <c r="DUY2" s="200"/>
      <c r="DUZ2" s="201"/>
      <c r="DVA2" s="100"/>
      <c r="DVB2" s="100"/>
      <c r="DVC2" s="100"/>
      <c r="DVD2" s="100"/>
      <c r="DVE2" s="100"/>
      <c r="DVF2" s="100"/>
      <c r="DVG2" s="100"/>
      <c r="DVH2" s="100"/>
      <c r="DVI2" s="100"/>
      <c r="DVJ2" s="100"/>
      <c r="DVK2" s="100"/>
      <c r="DVL2" s="100"/>
      <c r="DVM2" s="100"/>
      <c r="DVN2" s="100"/>
      <c r="DVO2" s="100"/>
      <c r="DVP2" s="100"/>
      <c r="DVQ2" s="100"/>
      <c r="DVR2" s="100"/>
      <c r="DVS2" s="100"/>
      <c r="DVT2" s="100"/>
      <c r="DVU2" s="100"/>
      <c r="DVV2" s="100"/>
      <c r="DVW2" s="100"/>
      <c r="DVX2" s="100"/>
      <c r="DVY2" s="100"/>
      <c r="DVZ2" s="100"/>
      <c r="DWA2" s="100"/>
      <c r="DWB2" s="100"/>
      <c r="DWC2" s="100"/>
      <c r="DWD2" s="100"/>
      <c r="DWE2" s="100"/>
      <c r="DWF2" s="100"/>
      <c r="DWG2" s="100"/>
      <c r="DWH2" s="100"/>
      <c r="DWI2" s="100"/>
      <c r="DWJ2" s="100"/>
      <c r="DWK2" s="100"/>
      <c r="DWL2" s="100"/>
      <c r="DWM2" s="100"/>
      <c r="DWN2" s="100"/>
      <c r="DWO2" s="100"/>
      <c r="DWP2" s="100"/>
      <c r="DWQ2" s="100"/>
      <c r="DWR2" s="100"/>
      <c r="DWS2" s="100"/>
      <c r="DWT2" s="100"/>
      <c r="DWU2" s="100"/>
      <c r="DWV2" s="100"/>
      <c r="DWW2" s="100"/>
      <c r="DWX2" s="100"/>
      <c r="DWY2" s="100"/>
      <c r="DWZ2" s="100"/>
      <c r="DXA2" s="100"/>
      <c r="DXB2" s="100"/>
      <c r="DXC2" s="100"/>
      <c r="DXD2" s="100"/>
      <c r="DXE2" s="100"/>
      <c r="DXF2" s="100"/>
      <c r="DXG2" s="100"/>
      <c r="DXH2" s="100"/>
      <c r="DXI2" s="633"/>
      <c r="DXJ2" s="100"/>
      <c r="DXK2" s="100"/>
      <c r="DXL2" s="100"/>
      <c r="DXM2" s="199"/>
      <c r="DXN2" s="200"/>
      <c r="DXO2" s="201"/>
      <c r="DXP2" s="100"/>
      <c r="DXQ2" s="100"/>
      <c r="DXR2" s="100"/>
      <c r="DXS2" s="100"/>
      <c r="DXT2" s="100"/>
      <c r="DXU2" s="100"/>
      <c r="DXV2" s="100"/>
      <c r="DXW2" s="100"/>
      <c r="DXX2" s="100"/>
      <c r="DXY2" s="100"/>
      <c r="DXZ2" s="100"/>
      <c r="DYA2" s="100"/>
      <c r="DYB2" s="100"/>
      <c r="DYC2" s="100"/>
      <c r="DYD2" s="100"/>
      <c r="DYE2" s="100"/>
      <c r="DYF2" s="100"/>
      <c r="DYG2" s="100"/>
      <c r="DYH2" s="100"/>
      <c r="DYI2" s="100"/>
      <c r="DYJ2" s="100"/>
      <c r="DYK2" s="100"/>
      <c r="DYL2" s="100"/>
      <c r="DYM2" s="100"/>
      <c r="DYN2" s="100"/>
      <c r="DYO2" s="100"/>
      <c r="DYP2" s="100"/>
      <c r="DYQ2" s="100"/>
      <c r="DYR2" s="100"/>
      <c r="DYS2" s="100"/>
      <c r="DYT2" s="100"/>
      <c r="DYU2" s="100"/>
      <c r="DYV2" s="100"/>
      <c r="DYW2" s="100"/>
      <c r="DYX2" s="100"/>
      <c r="DYY2" s="100"/>
      <c r="DYZ2" s="100"/>
      <c r="DZA2" s="100"/>
      <c r="DZB2" s="100"/>
      <c r="DZC2" s="100"/>
      <c r="DZD2" s="100"/>
      <c r="DZE2" s="100"/>
      <c r="DZF2" s="100"/>
      <c r="DZG2" s="100"/>
      <c r="DZH2" s="100"/>
      <c r="DZI2" s="100"/>
      <c r="DZJ2" s="100"/>
      <c r="DZK2" s="100"/>
      <c r="DZL2" s="100"/>
      <c r="DZM2" s="100"/>
      <c r="DZN2" s="100"/>
      <c r="DZO2" s="100"/>
      <c r="DZP2" s="100"/>
      <c r="DZQ2" s="100"/>
      <c r="DZR2" s="100"/>
      <c r="DZS2" s="100"/>
      <c r="DZT2" s="100"/>
      <c r="DZU2" s="100"/>
      <c r="DZV2" s="100"/>
      <c r="DZW2" s="100"/>
      <c r="DZX2" s="633"/>
      <c r="DZY2" s="100"/>
      <c r="DZZ2" s="100"/>
      <c r="EAA2" s="100"/>
      <c r="EAB2" s="199"/>
      <c r="EAC2" s="200"/>
      <c r="EAD2" s="201"/>
      <c r="EAE2" s="100"/>
      <c r="EAF2" s="100"/>
      <c r="EAG2" s="100"/>
      <c r="EAH2" s="100"/>
      <c r="EAI2" s="100"/>
      <c r="EAJ2" s="100"/>
      <c r="EAK2" s="100"/>
      <c r="EAL2" s="100"/>
      <c r="EAM2" s="100"/>
      <c r="EAN2" s="100"/>
      <c r="EAO2" s="100"/>
      <c r="EAP2" s="100"/>
      <c r="EAQ2" s="100"/>
      <c r="EAR2" s="100"/>
      <c r="EAS2" s="100"/>
      <c r="EAT2" s="100"/>
      <c r="EAU2" s="100"/>
      <c r="EAV2" s="100"/>
      <c r="EAW2" s="100"/>
      <c r="EAX2" s="100"/>
      <c r="EAY2" s="100"/>
      <c r="EAZ2" s="100"/>
      <c r="EBA2" s="100"/>
      <c r="EBB2" s="100"/>
      <c r="EBC2" s="100"/>
      <c r="EBD2" s="100"/>
      <c r="EBE2" s="100"/>
      <c r="EBF2" s="100"/>
      <c r="EBG2" s="100"/>
      <c r="EBH2" s="100"/>
      <c r="EBI2" s="100"/>
      <c r="EBJ2" s="100"/>
      <c r="EBK2" s="100"/>
      <c r="EBL2" s="100"/>
      <c r="EBM2" s="100"/>
      <c r="EBN2" s="100"/>
      <c r="EBO2" s="100"/>
      <c r="EBP2" s="100"/>
      <c r="EBQ2" s="100"/>
      <c r="EBR2" s="100"/>
      <c r="EBS2" s="100"/>
      <c r="EBT2" s="100"/>
      <c r="EBU2" s="100"/>
      <c r="EBV2" s="100"/>
      <c r="EBW2" s="100"/>
      <c r="EBX2" s="100"/>
      <c r="EBY2" s="100"/>
      <c r="EBZ2" s="100"/>
      <c r="ECA2" s="100"/>
      <c r="ECB2" s="100"/>
      <c r="ECC2" s="100"/>
      <c r="ECD2" s="100"/>
      <c r="ECE2" s="100"/>
      <c r="ECF2" s="100"/>
      <c r="ECG2" s="100"/>
      <c r="ECH2" s="100"/>
      <c r="ECI2" s="100"/>
      <c r="ECJ2" s="100"/>
      <c r="ECK2" s="100"/>
      <c r="ECL2" s="100"/>
      <c r="ECM2" s="633"/>
      <c r="ECN2" s="100"/>
      <c r="ECO2" s="100"/>
      <c r="ECP2" s="100"/>
      <c r="ECQ2" s="199"/>
      <c r="ECR2" s="200"/>
      <c r="ECS2" s="201"/>
      <c r="ECT2" s="100"/>
      <c r="ECU2" s="100"/>
      <c r="ECV2" s="100"/>
      <c r="ECW2" s="100"/>
      <c r="ECX2" s="100"/>
      <c r="ECY2" s="100"/>
      <c r="ECZ2" s="100"/>
      <c r="EDA2" s="100"/>
      <c r="EDB2" s="100"/>
      <c r="EDC2" s="100"/>
      <c r="EDD2" s="100"/>
      <c r="EDE2" s="100"/>
      <c r="EDF2" s="100"/>
      <c r="EDG2" s="100"/>
      <c r="EDH2" s="100"/>
      <c r="EDI2" s="100"/>
      <c r="EDJ2" s="100"/>
      <c r="EDK2" s="100"/>
      <c r="EDL2" s="100"/>
      <c r="EDM2" s="100"/>
      <c r="EDN2" s="100"/>
      <c r="EDO2" s="100"/>
      <c r="EDP2" s="100"/>
      <c r="EDQ2" s="100"/>
      <c r="EDR2" s="100"/>
      <c r="EDS2" s="100"/>
      <c r="EDT2" s="100"/>
      <c r="EDU2" s="100"/>
      <c r="EDV2" s="100"/>
      <c r="EDW2" s="100"/>
      <c r="EDX2" s="100"/>
      <c r="EDY2" s="100"/>
      <c r="EDZ2" s="100"/>
      <c r="EEA2" s="100"/>
      <c r="EEB2" s="100"/>
      <c r="EEC2" s="100"/>
      <c r="EED2" s="100"/>
      <c r="EEE2" s="100"/>
      <c r="EEF2" s="100"/>
      <c r="EEG2" s="100"/>
      <c r="EEH2" s="100"/>
      <c r="EEI2" s="100"/>
      <c r="EEJ2" s="100"/>
      <c r="EEK2" s="100"/>
      <c r="EEL2" s="100"/>
      <c r="EEM2" s="100"/>
      <c r="EEN2" s="100"/>
      <c r="EEO2" s="100"/>
      <c r="EEP2" s="100"/>
      <c r="EEQ2" s="100"/>
      <c r="EER2" s="100"/>
      <c r="EES2" s="100"/>
      <c r="EET2" s="100"/>
      <c r="EEU2" s="100"/>
      <c r="EEV2" s="100"/>
      <c r="EEW2" s="100"/>
      <c r="EEX2" s="100"/>
      <c r="EEY2" s="100"/>
      <c r="EEZ2" s="100"/>
      <c r="EFA2" s="100"/>
      <c r="EFB2" s="633"/>
      <c r="EFC2" s="100"/>
      <c r="EFD2" s="100"/>
      <c r="EFE2" s="100"/>
      <c r="EFF2" s="199"/>
      <c r="EFG2" s="200"/>
      <c r="EFH2" s="201"/>
      <c r="EFI2" s="100"/>
      <c r="EFJ2" s="100"/>
      <c r="EFK2" s="100"/>
      <c r="EFL2" s="100"/>
      <c r="EFM2" s="100"/>
      <c r="EFN2" s="100"/>
      <c r="EFO2" s="100"/>
      <c r="EFP2" s="100"/>
      <c r="EFQ2" s="100"/>
      <c r="EFR2" s="100"/>
      <c r="EFS2" s="100"/>
      <c r="EFT2" s="100"/>
      <c r="EFU2" s="100"/>
      <c r="EFV2" s="100"/>
      <c r="EFW2" s="100"/>
      <c r="EFX2" s="100"/>
      <c r="EFY2" s="100"/>
      <c r="EFZ2" s="100"/>
      <c r="EGA2" s="100"/>
      <c r="EGB2" s="100"/>
      <c r="EGC2" s="100"/>
      <c r="EGD2" s="100"/>
      <c r="EGE2" s="100"/>
      <c r="EGF2" s="100"/>
      <c r="EGG2" s="100"/>
      <c r="EGH2" s="100"/>
      <c r="EGI2" s="100"/>
      <c r="EGJ2" s="100"/>
      <c r="EGK2" s="100"/>
      <c r="EGL2" s="100"/>
      <c r="EGM2" s="100"/>
      <c r="EGN2" s="100"/>
      <c r="EGO2" s="100"/>
      <c r="EGP2" s="100"/>
      <c r="EGQ2" s="100"/>
      <c r="EGR2" s="100"/>
      <c r="EGS2" s="100"/>
      <c r="EGT2" s="100"/>
      <c r="EGU2" s="100"/>
      <c r="EGV2" s="100"/>
      <c r="EGW2" s="100"/>
      <c r="EGX2" s="100"/>
      <c r="EGY2" s="100"/>
      <c r="EGZ2" s="100"/>
      <c r="EHA2" s="100"/>
      <c r="EHB2" s="100"/>
      <c r="EHC2" s="100"/>
      <c r="EHD2" s="100"/>
      <c r="EHE2" s="100"/>
      <c r="EHF2" s="100"/>
      <c r="EHG2" s="100"/>
      <c r="EHH2" s="100"/>
      <c r="EHI2" s="100"/>
      <c r="EHJ2" s="100"/>
      <c r="EHK2" s="100"/>
      <c r="EHL2" s="100"/>
      <c r="EHM2" s="100"/>
      <c r="EHN2" s="100"/>
      <c r="EHO2" s="100"/>
      <c r="EHP2" s="100"/>
      <c r="EHQ2" s="633"/>
      <c r="EHR2" s="100"/>
      <c r="EHS2" s="100"/>
      <c r="EHT2" s="100"/>
      <c r="EHU2" s="199"/>
      <c r="EHV2" s="200"/>
      <c r="EHW2" s="201"/>
      <c r="EHX2" s="100"/>
      <c r="EHY2" s="100"/>
      <c r="EHZ2" s="100"/>
      <c r="EIA2" s="100"/>
      <c r="EIB2" s="100"/>
      <c r="EIC2" s="100"/>
      <c r="EID2" s="100"/>
      <c r="EIE2" s="100"/>
      <c r="EIF2" s="100"/>
      <c r="EIG2" s="100"/>
      <c r="EIH2" s="100"/>
      <c r="EII2" s="100"/>
      <c r="EIJ2" s="100"/>
      <c r="EIK2" s="100"/>
      <c r="EIL2" s="100"/>
      <c r="EIM2" s="100"/>
      <c r="EIN2" s="100"/>
      <c r="EIO2" s="100"/>
      <c r="EIP2" s="100"/>
      <c r="EIQ2" s="100"/>
      <c r="EIR2" s="100"/>
      <c r="EIS2" s="100"/>
      <c r="EIT2" s="100"/>
      <c r="EIU2" s="100"/>
      <c r="EIV2" s="100"/>
      <c r="EIW2" s="100"/>
      <c r="EIX2" s="100"/>
      <c r="EIY2" s="100"/>
      <c r="EIZ2" s="100"/>
      <c r="EJA2" s="100"/>
      <c r="EJB2" s="100"/>
      <c r="EJC2" s="100"/>
      <c r="EJD2" s="100"/>
      <c r="EJE2" s="100"/>
      <c r="EJF2" s="100"/>
      <c r="EJG2" s="100"/>
      <c r="EJH2" s="100"/>
      <c r="EJI2" s="100"/>
      <c r="EJJ2" s="100"/>
      <c r="EJK2" s="100"/>
      <c r="EJL2" s="100"/>
      <c r="EJM2" s="100"/>
      <c r="EJN2" s="100"/>
      <c r="EJO2" s="100"/>
      <c r="EJP2" s="100"/>
      <c r="EJQ2" s="100"/>
      <c r="EJR2" s="100"/>
      <c r="EJS2" s="100"/>
      <c r="EJT2" s="100"/>
      <c r="EJU2" s="100"/>
      <c r="EJV2" s="100"/>
      <c r="EJW2" s="100"/>
      <c r="EJX2" s="100"/>
      <c r="EJY2" s="100"/>
      <c r="EJZ2" s="100"/>
      <c r="EKA2" s="100"/>
      <c r="EKB2" s="100"/>
      <c r="EKC2" s="100"/>
      <c r="EKD2" s="100"/>
      <c r="EKE2" s="100"/>
      <c r="EKF2" s="633"/>
      <c r="EKG2" s="100"/>
      <c r="EKH2" s="100"/>
      <c r="EKI2" s="100"/>
      <c r="EKJ2" s="199"/>
      <c r="EKK2" s="200"/>
      <c r="EKL2" s="201"/>
      <c r="EKM2" s="100"/>
      <c r="EKN2" s="100"/>
      <c r="EKO2" s="100"/>
      <c r="EKP2" s="100"/>
      <c r="EKQ2" s="100"/>
      <c r="EKR2" s="100"/>
      <c r="EKS2" s="100"/>
      <c r="EKT2" s="100"/>
      <c r="EKU2" s="100"/>
      <c r="EKV2" s="100"/>
      <c r="EKW2" s="100"/>
      <c r="EKX2" s="100"/>
      <c r="EKY2" s="100"/>
      <c r="EKZ2" s="100"/>
      <c r="ELA2" s="100"/>
      <c r="ELB2" s="100"/>
      <c r="ELC2" s="100"/>
      <c r="ELD2" s="100"/>
      <c r="ELE2" s="100"/>
      <c r="ELF2" s="100"/>
      <c r="ELG2" s="100"/>
      <c r="ELH2" s="100"/>
      <c r="ELI2" s="100"/>
      <c r="ELJ2" s="100"/>
      <c r="ELK2" s="100"/>
      <c r="ELL2" s="100"/>
      <c r="ELM2" s="100"/>
      <c r="ELN2" s="100"/>
      <c r="ELO2" s="100"/>
      <c r="ELP2" s="100"/>
      <c r="ELQ2" s="100"/>
      <c r="ELR2" s="100"/>
      <c r="ELS2" s="100"/>
      <c r="ELT2" s="100"/>
      <c r="ELU2" s="100"/>
      <c r="ELV2" s="100"/>
      <c r="ELW2" s="100"/>
      <c r="ELX2" s="100"/>
      <c r="ELY2" s="100"/>
      <c r="ELZ2" s="100"/>
      <c r="EMA2" s="100"/>
      <c r="EMB2" s="100"/>
      <c r="EMC2" s="100"/>
      <c r="EMD2" s="100"/>
      <c r="EME2" s="100"/>
      <c r="EMF2" s="100"/>
      <c r="EMG2" s="100"/>
      <c r="EMH2" s="100"/>
      <c r="EMI2" s="100"/>
      <c r="EMJ2" s="100"/>
      <c r="EMK2" s="100"/>
      <c r="EML2" s="100"/>
      <c r="EMM2" s="100"/>
      <c r="EMN2" s="100"/>
      <c r="EMO2" s="100"/>
      <c r="EMP2" s="100"/>
      <c r="EMQ2" s="100"/>
      <c r="EMR2" s="100"/>
      <c r="EMS2" s="100"/>
      <c r="EMT2" s="100"/>
      <c r="EMU2" s="633"/>
      <c r="EMV2" s="100"/>
      <c r="EMW2" s="100"/>
      <c r="EMX2" s="100"/>
      <c r="EMY2" s="199"/>
      <c r="EMZ2" s="200"/>
      <c r="ENA2" s="201"/>
      <c r="ENB2" s="100"/>
      <c r="ENC2" s="100"/>
      <c r="END2" s="100"/>
      <c r="ENE2" s="100"/>
      <c r="ENF2" s="100"/>
      <c r="ENG2" s="100"/>
      <c r="ENH2" s="100"/>
      <c r="ENI2" s="100"/>
      <c r="ENJ2" s="100"/>
      <c r="ENK2" s="100"/>
      <c r="ENL2" s="100"/>
      <c r="ENM2" s="100"/>
      <c r="ENN2" s="100"/>
      <c r="ENO2" s="100"/>
      <c r="ENP2" s="100"/>
      <c r="ENQ2" s="100"/>
      <c r="ENR2" s="100"/>
      <c r="ENS2" s="100"/>
      <c r="ENT2" s="100"/>
      <c r="ENU2" s="100"/>
      <c r="ENV2" s="100"/>
      <c r="ENW2" s="100"/>
      <c r="ENX2" s="100"/>
      <c r="ENY2" s="100"/>
      <c r="ENZ2" s="100"/>
      <c r="EOA2" s="100"/>
      <c r="EOB2" s="100"/>
      <c r="EOC2" s="100"/>
      <c r="EOD2" s="100"/>
      <c r="EOE2" s="100"/>
      <c r="EOF2" s="100"/>
      <c r="EOG2" s="100"/>
      <c r="EOH2" s="100"/>
      <c r="EOI2" s="100"/>
      <c r="EOJ2" s="100"/>
      <c r="EOK2" s="100"/>
      <c r="EOL2" s="100"/>
      <c r="EOM2" s="100"/>
      <c r="EON2" s="100"/>
      <c r="EOO2" s="100"/>
      <c r="EOP2" s="100"/>
      <c r="EOQ2" s="100"/>
      <c r="EOR2" s="100"/>
      <c r="EOS2" s="100"/>
      <c r="EOT2" s="100"/>
      <c r="EOU2" s="100"/>
      <c r="EOV2" s="100"/>
      <c r="EOW2" s="100"/>
      <c r="EOX2" s="100"/>
      <c r="EOY2" s="100"/>
      <c r="EOZ2" s="100"/>
      <c r="EPA2" s="100"/>
      <c r="EPB2" s="100"/>
      <c r="EPC2" s="100"/>
      <c r="EPD2" s="100"/>
      <c r="EPE2" s="100"/>
      <c r="EPF2" s="100"/>
      <c r="EPG2" s="100"/>
      <c r="EPH2" s="100"/>
      <c r="EPI2" s="100"/>
      <c r="EPJ2" s="633"/>
      <c r="EPK2" s="100"/>
      <c r="EPL2" s="100"/>
      <c r="EPM2" s="100"/>
      <c r="EPN2" s="199"/>
      <c r="EPO2" s="200"/>
      <c r="EPP2" s="201"/>
      <c r="EPQ2" s="100"/>
      <c r="EPR2" s="100"/>
      <c r="EPS2" s="100"/>
      <c r="EPT2" s="100"/>
      <c r="EPU2" s="100"/>
      <c r="EPV2" s="100"/>
      <c r="EPW2" s="100"/>
      <c r="EPX2" s="100"/>
      <c r="EPY2" s="100"/>
      <c r="EPZ2" s="100"/>
      <c r="EQA2" s="100"/>
      <c r="EQB2" s="100"/>
      <c r="EQC2" s="100"/>
      <c r="EQD2" s="100"/>
      <c r="EQE2" s="100"/>
      <c r="EQF2" s="100"/>
      <c r="EQG2" s="100"/>
      <c r="EQH2" s="100"/>
      <c r="EQI2" s="100"/>
      <c r="EQJ2" s="100"/>
      <c r="EQK2" s="100"/>
      <c r="EQL2" s="100"/>
      <c r="EQM2" s="100"/>
      <c r="EQN2" s="100"/>
      <c r="EQO2" s="100"/>
      <c r="EQP2" s="100"/>
      <c r="EQQ2" s="100"/>
      <c r="EQR2" s="100"/>
      <c r="EQS2" s="100"/>
      <c r="EQT2" s="100"/>
      <c r="EQU2" s="100"/>
      <c r="EQV2" s="100"/>
      <c r="EQW2" s="100"/>
      <c r="EQX2" s="100"/>
      <c r="EQY2" s="100"/>
      <c r="EQZ2" s="100"/>
      <c r="ERA2" s="100"/>
      <c r="ERB2" s="100"/>
      <c r="ERC2" s="100"/>
      <c r="ERD2" s="100"/>
      <c r="ERE2" s="100"/>
      <c r="ERF2" s="100"/>
      <c r="ERG2" s="100"/>
      <c r="ERH2" s="100"/>
      <c r="ERI2" s="100"/>
      <c r="ERJ2" s="100"/>
      <c r="ERK2" s="100"/>
      <c r="ERL2" s="100"/>
      <c r="ERM2" s="100"/>
      <c r="ERN2" s="100"/>
      <c r="ERO2" s="100"/>
      <c r="ERP2" s="100"/>
      <c r="ERQ2" s="100"/>
      <c r="ERR2" s="100"/>
      <c r="ERS2" s="100"/>
      <c r="ERT2" s="100"/>
      <c r="ERU2" s="100"/>
      <c r="ERV2" s="100"/>
      <c r="ERW2" s="100"/>
      <c r="ERX2" s="100"/>
      <c r="ERY2" s="633"/>
      <c r="ERZ2" s="100"/>
      <c r="ESA2" s="100"/>
      <c r="ESB2" s="100"/>
      <c r="ESC2" s="199"/>
      <c r="ESD2" s="200"/>
      <c r="ESE2" s="201"/>
      <c r="ESF2" s="100"/>
      <c r="ESG2" s="100"/>
      <c r="ESH2" s="100"/>
      <c r="ESI2" s="100"/>
      <c r="ESJ2" s="100"/>
      <c r="ESK2" s="100"/>
      <c r="ESL2" s="100"/>
      <c r="ESM2" s="100"/>
      <c r="ESN2" s="100"/>
      <c r="ESO2" s="100"/>
      <c r="ESP2" s="100"/>
      <c r="ESQ2" s="100"/>
      <c r="ESR2" s="100"/>
      <c r="ESS2" s="100"/>
      <c r="EST2" s="100"/>
      <c r="ESU2" s="100"/>
      <c r="ESV2" s="100"/>
      <c r="ESW2" s="100"/>
      <c r="ESX2" s="100"/>
      <c r="ESY2" s="100"/>
      <c r="ESZ2" s="100"/>
      <c r="ETA2" s="100"/>
      <c r="ETB2" s="100"/>
      <c r="ETC2" s="100"/>
      <c r="ETD2" s="100"/>
      <c r="ETE2" s="100"/>
      <c r="ETF2" s="100"/>
      <c r="ETG2" s="100"/>
      <c r="ETH2" s="100"/>
      <c r="ETI2" s="100"/>
      <c r="ETJ2" s="100"/>
      <c r="ETK2" s="100"/>
      <c r="ETL2" s="100"/>
      <c r="ETM2" s="100"/>
      <c r="ETN2" s="100"/>
      <c r="ETO2" s="100"/>
      <c r="ETP2" s="100"/>
      <c r="ETQ2" s="100"/>
      <c r="ETR2" s="100"/>
      <c r="ETS2" s="100"/>
      <c r="ETT2" s="100"/>
      <c r="ETU2" s="100"/>
      <c r="ETV2" s="100"/>
      <c r="ETW2" s="100"/>
      <c r="ETX2" s="100"/>
      <c r="ETY2" s="100"/>
      <c r="ETZ2" s="100"/>
      <c r="EUA2" s="100"/>
      <c r="EUB2" s="100"/>
      <c r="EUC2" s="100"/>
      <c r="EUD2" s="100"/>
      <c r="EUE2" s="100"/>
      <c r="EUF2" s="100"/>
      <c r="EUG2" s="100"/>
      <c r="EUH2" s="100"/>
      <c r="EUI2" s="100"/>
      <c r="EUJ2" s="100"/>
      <c r="EUK2" s="100"/>
      <c r="EUL2" s="100"/>
      <c r="EUM2" s="100"/>
      <c r="EUN2" s="633"/>
      <c r="EUO2" s="100"/>
      <c r="EUP2" s="100"/>
      <c r="EUQ2" s="100"/>
      <c r="EUR2" s="199"/>
      <c r="EUS2" s="200"/>
      <c r="EUT2" s="201"/>
      <c r="EUU2" s="100"/>
      <c r="EUV2" s="100"/>
      <c r="EUW2" s="100"/>
      <c r="EUX2" s="100"/>
      <c r="EUY2" s="100"/>
      <c r="EUZ2" s="100"/>
      <c r="EVA2" s="100"/>
      <c r="EVB2" s="100"/>
      <c r="EVC2" s="100"/>
      <c r="EVD2" s="100"/>
      <c r="EVE2" s="100"/>
      <c r="EVF2" s="100"/>
      <c r="EVG2" s="100"/>
      <c r="EVH2" s="100"/>
      <c r="EVI2" s="100"/>
      <c r="EVJ2" s="100"/>
      <c r="EVK2" s="100"/>
      <c r="EVL2" s="100"/>
      <c r="EVM2" s="100"/>
      <c r="EVN2" s="100"/>
      <c r="EVO2" s="100"/>
      <c r="EVP2" s="100"/>
      <c r="EVQ2" s="100"/>
      <c r="EVR2" s="100"/>
      <c r="EVS2" s="100"/>
      <c r="EVT2" s="100"/>
      <c r="EVU2" s="100"/>
      <c r="EVV2" s="100"/>
      <c r="EVW2" s="100"/>
      <c r="EVX2" s="100"/>
      <c r="EVY2" s="100"/>
      <c r="EVZ2" s="100"/>
      <c r="EWA2" s="100"/>
      <c r="EWB2" s="100"/>
      <c r="EWC2" s="100"/>
      <c r="EWD2" s="100"/>
      <c r="EWE2" s="100"/>
      <c r="EWF2" s="100"/>
      <c r="EWG2" s="100"/>
      <c r="EWH2" s="100"/>
      <c r="EWI2" s="100"/>
      <c r="EWJ2" s="100"/>
      <c r="EWK2" s="100"/>
      <c r="EWL2" s="100"/>
      <c r="EWM2" s="100"/>
      <c r="EWN2" s="100"/>
      <c r="EWO2" s="100"/>
      <c r="EWP2" s="100"/>
      <c r="EWQ2" s="100"/>
      <c r="EWR2" s="100"/>
      <c r="EWS2" s="100"/>
      <c r="EWT2" s="100"/>
      <c r="EWU2" s="100"/>
      <c r="EWV2" s="100"/>
      <c r="EWW2" s="100"/>
      <c r="EWX2" s="100"/>
      <c r="EWY2" s="100"/>
      <c r="EWZ2" s="100"/>
      <c r="EXA2" s="100"/>
      <c r="EXB2" s="100"/>
      <c r="EXC2" s="633"/>
      <c r="EXD2" s="100"/>
      <c r="EXE2" s="100"/>
      <c r="EXF2" s="100"/>
      <c r="EXG2" s="199"/>
      <c r="EXH2" s="200"/>
      <c r="EXI2" s="201"/>
      <c r="EXJ2" s="100"/>
      <c r="EXK2" s="100"/>
      <c r="EXL2" s="100"/>
      <c r="EXM2" s="100"/>
      <c r="EXN2" s="100"/>
      <c r="EXO2" s="100"/>
      <c r="EXP2" s="100"/>
      <c r="EXQ2" s="100"/>
      <c r="EXR2" s="100"/>
      <c r="EXS2" s="100"/>
      <c r="EXT2" s="100"/>
      <c r="EXU2" s="100"/>
      <c r="EXV2" s="100"/>
      <c r="EXW2" s="100"/>
      <c r="EXX2" s="100"/>
      <c r="EXY2" s="100"/>
      <c r="EXZ2" s="100"/>
      <c r="EYA2" s="100"/>
      <c r="EYB2" s="100"/>
      <c r="EYC2" s="100"/>
      <c r="EYD2" s="100"/>
      <c r="EYE2" s="100"/>
      <c r="EYF2" s="100"/>
      <c r="EYG2" s="100"/>
      <c r="EYH2" s="100"/>
      <c r="EYI2" s="100"/>
      <c r="EYJ2" s="100"/>
      <c r="EYK2" s="100"/>
      <c r="EYL2" s="100"/>
      <c r="EYM2" s="100"/>
      <c r="EYN2" s="100"/>
      <c r="EYO2" s="100"/>
      <c r="EYP2" s="100"/>
      <c r="EYQ2" s="100"/>
      <c r="EYR2" s="100"/>
      <c r="EYS2" s="100"/>
      <c r="EYT2" s="100"/>
      <c r="EYU2" s="100"/>
      <c r="EYV2" s="100"/>
      <c r="EYW2" s="100"/>
      <c r="EYX2" s="100"/>
      <c r="EYY2" s="100"/>
      <c r="EYZ2" s="100"/>
      <c r="EZA2" s="100"/>
      <c r="EZB2" s="100"/>
      <c r="EZC2" s="100"/>
      <c r="EZD2" s="100"/>
      <c r="EZE2" s="100"/>
      <c r="EZF2" s="100"/>
      <c r="EZG2" s="100"/>
      <c r="EZH2" s="100"/>
      <c r="EZI2" s="100"/>
      <c r="EZJ2" s="100"/>
      <c r="EZK2" s="100"/>
      <c r="EZL2" s="100"/>
      <c r="EZM2" s="100"/>
      <c r="EZN2" s="100"/>
      <c r="EZO2" s="100"/>
      <c r="EZP2" s="100"/>
      <c r="EZQ2" s="100"/>
      <c r="EZR2" s="633"/>
      <c r="EZS2" s="100"/>
      <c r="EZT2" s="100"/>
      <c r="EZU2" s="100"/>
      <c r="EZV2" s="199"/>
      <c r="EZW2" s="200"/>
      <c r="EZX2" s="201"/>
      <c r="EZY2" s="100"/>
      <c r="EZZ2" s="100"/>
      <c r="FAA2" s="100"/>
      <c r="FAB2" s="100"/>
      <c r="FAC2" s="100"/>
      <c r="FAD2" s="100"/>
      <c r="FAE2" s="100"/>
      <c r="FAF2" s="100"/>
      <c r="FAG2" s="100"/>
      <c r="FAH2" s="100"/>
      <c r="FAI2" s="100"/>
      <c r="FAJ2" s="100"/>
      <c r="FAK2" s="100"/>
      <c r="FAL2" s="100"/>
      <c r="FAM2" s="100"/>
      <c r="FAN2" s="100"/>
      <c r="FAO2" s="100"/>
      <c r="FAP2" s="100"/>
      <c r="FAQ2" s="100"/>
      <c r="FAR2" s="100"/>
      <c r="FAS2" s="100"/>
      <c r="FAT2" s="100"/>
      <c r="FAU2" s="100"/>
      <c r="FAV2" s="100"/>
      <c r="FAW2" s="100"/>
      <c r="FAX2" s="100"/>
      <c r="FAY2" s="100"/>
      <c r="FAZ2" s="100"/>
      <c r="FBA2" s="100"/>
      <c r="FBB2" s="100"/>
      <c r="FBC2" s="100"/>
      <c r="FBD2" s="100"/>
      <c r="FBE2" s="100"/>
      <c r="FBF2" s="100"/>
      <c r="FBG2" s="100"/>
      <c r="FBH2" s="100"/>
      <c r="FBI2" s="100"/>
      <c r="FBJ2" s="100"/>
      <c r="FBK2" s="100"/>
      <c r="FBL2" s="100"/>
      <c r="FBM2" s="100"/>
      <c r="FBN2" s="100"/>
      <c r="FBO2" s="100"/>
      <c r="FBP2" s="100"/>
      <c r="FBQ2" s="100"/>
      <c r="FBR2" s="100"/>
      <c r="FBS2" s="100"/>
      <c r="FBT2" s="100"/>
      <c r="FBU2" s="100"/>
      <c r="FBV2" s="100"/>
      <c r="FBW2" s="100"/>
      <c r="FBX2" s="100"/>
      <c r="FBY2" s="100"/>
      <c r="FBZ2" s="100"/>
      <c r="FCA2" s="100"/>
      <c r="FCB2" s="100"/>
      <c r="FCC2" s="100"/>
      <c r="FCD2" s="100"/>
      <c r="FCE2" s="100"/>
      <c r="FCF2" s="100"/>
      <c r="FCG2" s="633"/>
      <c r="FCH2" s="100"/>
      <c r="FCI2" s="100"/>
      <c r="FCJ2" s="100"/>
      <c r="FCK2" s="199"/>
      <c r="FCL2" s="200"/>
      <c r="FCM2" s="201"/>
      <c r="FCN2" s="100"/>
      <c r="FCO2" s="100"/>
      <c r="FCP2" s="100"/>
      <c r="FCQ2" s="100"/>
      <c r="FCR2" s="100"/>
      <c r="FCS2" s="100"/>
      <c r="FCT2" s="100"/>
      <c r="FCU2" s="100"/>
      <c r="FCV2" s="100"/>
      <c r="FCW2" s="100"/>
      <c r="FCX2" s="100"/>
      <c r="FCY2" s="100"/>
      <c r="FCZ2" s="100"/>
      <c r="FDA2" s="100"/>
      <c r="FDB2" s="100"/>
      <c r="FDC2" s="100"/>
      <c r="FDD2" s="100"/>
      <c r="FDE2" s="100"/>
      <c r="FDF2" s="100"/>
      <c r="FDG2" s="100"/>
      <c r="FDH2" s="100"/>
      <c r="FDI2" s="100"/>
      <c r="FDJ2" s="100"/>
      <c r="FDK2" s="100"/>
      <c r="FDL2" s="100"/>
      <c r="FDM2" s="100"/>
      <c r="FDN2" s="100"/>
      <c r="FDO2" s="100"/>
      <c r="FDP2" s="100"/>
      <c r="FDQ2" s="100"/>
      <c r="FDR2" s="100"/>
      <c r="FDS2" s="100"/>
      <c r="FDT2" s="100"/>
      <c r="FDU2" s="100"/>
      <c r="FDV2" s="100"/>
      <c r="FDW2" s="100"/>
      <c r="FDX2" s="100"/>
      <c r="FDY2" s="100"/>
      <c r="FDZ2" s="100"/>
      <c r="FEA2" s="100"/>
      <c r="FEB2" s="100"/>
      <c r="FEC2" s="100"/>
      <c r="FED2" s="100"/>
      <c r="FEE2" s="100"/>
      <c r="FEF2" s="100"/>
      <c r="FEG2" s="100"/>
      <c r="FEH2" s="100"/>
      <c r="FEI2" s="100"/>
      <c r="FEJ2" s="100"/>
      <c r="FEK2" s="100"/>
      <c r="FEL2" s="100"/>
      <c r="FEM2" s="100"/>
      <c r="FEN2" s="100"/>
      <c r="FEO2" s="100"/>
      <c r="FEP2" s="100"/>
      <c r="FEQ2" s="100"/>
      <c r="FER2" s="100"/>
      <c r="FES2" s="100"/>
      <c r="FET2" s="100"/>
      <c r="FEU2" s="100"/>
      <c r="FEV2" s="633"/>
      <c r="FEW2" s="100"/>
      <c r="FEX2" s="100"/>
      <c r="FEY2" s="100"/>
      <c r="FEZ2" s="199"/>
      <c r="FFA2" s="200"/>
      <c r="FFB2" s="201"/>
      <c r="FFC2" s="100"/>
      <c r="FFD2" s="100"/>
      <c r="FFE2" s="100"/>
      <c r="FFF2" s="100"/>
      <c r="FFG2" s="100"/>
      <c r="FFH2" s="100"/>
      <c r="FFI2" s="100"/>
      <c r="FFJ2" s="100"/>
      <c r="FFK2" s="100"/>
      <c r="FFL2" s="100"/>
      <c r="FFM2" s="100"/>
      <c r="FFN2" s="100"/>
      <c r="FFO2" s="100"/>
      <c r="FFP2" s="100"/>
      <c r="FFQ2" s="100"/>
      <c r="FFR2" s="100"/>
      <c r="FFS2" s="100"/>
      <c r="FFT2" s="100"/>
      <c r="FFU2" s="100"/>
      <c r="FFV2" s="100"/>
      <c r="FFW2" s="100"/>
      <c r="FFX2" s="100"/>
      <c r="FFY2" s="100"/>
      <c r="FFZ2" s="100"/>
      <c r="FGA2" s="100"/>
      <c r="FGB2" s="100"/>
      <c r="FGC2" s="100"/>
      <c r="FGD2" s="100"/>
      <c r="FGE2" s="100"/>
      <c r="FGF2" s="100"/>
      <c r="FGG2" s="100"/>
      <c r="FGH2" s="100"/>
      <c r="FGI2" s="100"/>
      <c r="FGJ2" s="100"/>
      <c r="FGK2" s="100"/>
      <c r="FGL2" s="100"/>
      <c r="FGM2" s="100"/>
      <c r="FGN2" s="100"/>
      <c r="FGO2" s="100"/>
      <c r="FGP2" s="100"/>
      <c r="FGQ2" s="100"/>
      <c r="FGR2" s="100"/>
      <c r="FGS2" s="100"/>
      <c r="FGT2" s="100"/>
      <c r="FGU2" s="100"/>
      <c r="FGV2" s="100"/>
      <c r="FGW2" s="100"/>
      <c r="FGX2" s="100"/>
      <c r="FGY2" s="100"/>
      <c r="FGZ2" s="100"/>
      <c r="FHA2" s="100"/>
      <c r="FHB2" s="100"/>
      <c r="FHC2" s="100"/>
      <c r="FHD2" s="100"/>
      <c r="FHE2" s="100"/>
      <c r="FHF2" s="100"/>
      <c r="FHG2" s="100"/>
      <c r="FHH2" s="100"/>
      <c r="FHI2" s="100"/>
      <c r="FHJ2" s="100"/>
      <c r="FHK2" s="633"/>
      <c r="FHL2" s="100"/>
      <c r="FHM2" s="100"/>
      <c r="FHN2" s="100"/>
      <c r="FHO2" s="199"/>
      <c r="FHP2" s="200"/>
      <c r="FHQ2" s="201"/>
      <c r="FHR2" s="100"/>
      <c r="FHS2" s="100"/>
      <c r="FHT2" s="100"/>
      <c r="FHU2" s="100"/>
      <c r="FHV2" s="100"/>
      <c r="FHW2" s="100"/>
      <c r="FHX2" s="100"/>
      <c r="FHY2" s="100"/>
      <c r="FHZ2" s="100"/>
      <c r="FIA2" s="100"/>
      <c r="FIB2" s="100"/>
      <c r="FIC2" s="100"/>
      <c r="FID2" s="100"/>
      <c r="FIE2" s="100"/>
      <c r="FIF2" s="100"/>
      <c r="FIG2" s="100"/>
      <c r="FIH2" s="100"/>
      <c r="FII2" s="100"/>
      <c r="FIJ2" s="100"/>
      <c r="FIK2" s="100"/>
      <c r="FIL2" s="100"/>
      <c r="FIM2" s="100"/>
      <c r="FIN2" s="100"/>
      <c r="FIO2" s="100"/>
      <c r="FIP2" s="100"/>
      <c r="FIQ2" s="100"/>
      <c r="FIR2" s="100"/>
      <c r="FIS2" s="100"/>
      <c r="FIT2" s="100"/>
      <c r="FIU2" s="100"/>
      <c r="FIV2" s="100"/>
      <c r="FIW2" s="100"/>
      <c r="FIX2" s="100"/>
      <c r="FIY2" s="100"/>
      <c r="FIZ2" s="100"/>
      <c r="FJA2" s="100"/>
      <c r="FJB2" s="100"/>
      <c r="FJC2" s="100"/>
      <c r="FJD2" s="100"/>
      <c r="FJE2" s="100"/>
      <c r="FJF2" s="100"/>
      <c r="FJG2" s="100"/>
      <c r="FJH2" s="100"/>
      <c r="FJI2" s="100"/>
      <c r="FJJ2" s="100"/>
      <c r="FJK2" s="100"/>
      <c r="FJL2" s="100"/>
      <c r="FJM2" s="100"/>
      <c r="FJN2" s="100"/>
      <c r="FJO2" s="100"/>
      <c r="FJP2" s="100"/>
      <c r="FJQ2" s="100"/>
      <c r="FJR2" s="100"/>
      <c r="FJS2" s="100"/>
      <c r="FJT2" s="100"/>
      <c r="FJU2" s="100"/>
      <c r="FJV2" s="100"/>
      <c r="FJW2" s="100"/>
      <c r="FJX2" s="100"/>
      <c r="FJY2" s="100"/>
      <c r="FJZ2" s="633"/>
      <c r="FKA2" s="100"/>
      <c r="FKB2" s="100"/>
      <c r="FKC2" s="100"/>
      <c r="FKD2" s="199"/>
      <c r="FKE2" s="200"/>
      <c r="FKF2" s="201"/>
      <c r="FKG2" s="100"/>
      <c r="FKH2" s="100"/>
      <c r="FKI2" s="100"/>
      <c r="FKJ2" s="100"/>
      <c r="FKK2" s="100"/>
      <c r="FKL2" s="100"/>
      <c r="FKM2" s="100"/>
      <c r="FKN2" s="100"/>
      <c r="FKO2" s="100"/>
      <c r="FKP2" s="100"/>
      <c r="FKQ2" s="100"/>
      <c r="FKR2" s="100"/>
      <c r="FKS2" s="100"/>
      <c r="FKT2" s="100"/>
      <c r="FKU2" s="100"/>
      <c r="FKV2" s="100"/>
      <c r="FKW2" s="100"/>
      <c r="FKX2" s="100"/>
      <c r="FKY2" s="100"/>
      <c r="FKZ2" s="100"/>
      <c r="FLA2" s="100"/>
      <c r="FLB2" s="100"/>
      <c r="FLC2" s="100"/>
      <c r="FLD2" s="100"/>
      <c r="FLE2" s="100"/>
      <c r="FLF2" s="100"/>
      <c r="FLG2" s="100"/>
      <c r="FLH2" s="100"/>
      <c r="FLI2" s="100"/>
      <c r="FLJ2" s="100"/>
      <c r="FLK2" s="100"/>
      <c r="FLL2" s="100"/>
      <c r="FLM2" s="100"/>
      <c r="FLN2" s="100"/>
      <c r="FLO2" s="100"/>
      <c r="FLP2" s="100"/>
      <c r="FLQ2" s="100"/>
      <c r="FLR2" s="100"/>
      <c r="FLS2" s="100"/>
      <c r="FLT2" s="100"/>
      <c r="FLU2" s="100"/>
      <c r="FLV2" s="100"/>
      <c r="FLW2" s="100"/>
      <c r="FLX2" s="100"/>
      <c r="FLY2" s="100"/>
      <c r="FLZ2" s="100"/>
      <c r="FMA2" s="100"/>
      <c r="FMB2" s="100"/>
      <c r="FMC2" s="100"/>
      <c r="FMD2" s="100"/>
      <c r="FME2" s="100"/>
      <c r="FMF2" s="100"/>
      <c r="FMG2" s="100"/>
      <c r="FMH2" s="100"/>
      <c r="FMI2" s="100"/>
      <c r="FMJ2" s="100"/>
      <c r="FMK2" s="100"/>
      <c r="FML2" s="100"/>
      <c r="FMM2" s="100"/>
      <c r="FMN2" s="100"/>
      <c r="FMO2" s="633"/>
      <c r="FMP2" s="100"/>
      <c r="FMQ2" s="100"/>
      <c r="FMR2" s="100"/>
      <c r="FMS2" s="199"/>
      <c r="FMT2" s="200"/>
      <c r="FMU2" s="201"/>
      <c r="FMV2" s="100"/>
      <c r="FMW2" s="100"/>
      <c r="FMX2" s="100"/>
      <c r="FMY2" s="100"/>
      <c r="FMZ2" s="100"/>
      <c r="FNA2" s="100"/>
      <c r="FNB2" s="100"/>
      <c r="FNC2" s="100"/>
      <c r="FND2" s="100"/>
      <c r="FNE2" s="100"/>
      <c r="FNF2" s="100"/>
      <c r="FNG2" s="100"/>
      <c r="FNH2" s="100"/>
      <c r="FNI2" s="100"/>
      <c r="FNJ2" s="100"/>
      <c r="FNK2" s="100"/>
      <c r="FNL2" s="100"/>
      <c r="FNM2" s="100"/>
      <c r="FNN2" s="100"/>
      <c r="FNO2" s="100"/>
      <c r="FNP2" s="100"/>
      <c r="FNQ2" s="100"/>
      <c r="FNR2" s="100"/>
      <c r="FNS2" s="100"/>
      <c r="FNT2" s="100"/>
      <c r="FNU2" s="100"/>
      <c r="FNV2" s="100"/>
      <c r="FNW2" s="100"/>
      <c r="FNX2" s="100"/>
      <c r="FNY2" s="100"/>
      <c r="FNZ2" s="100"/>
      <c r="FOA2" s="100"/>
      <c r="FOB2" s="100"/>
      <c r="FOC2" s="100"/>
      <c r="FOD2" s="100"/>
      <c r="FOE2" s="100"/>
      <c r="FOF2" s="100"/>
      <c r="FOG2" s="100"/>
      <c r="FOH2" s="100"/>
      <c r="FOI2" s="100"/>
      <c r="FOJ2" s="100"/>
      <c r="FOK2" s="100"/>
      <c r="FOL2" s="100"/>
      <c r="FOM2" s="100"/>
      <c r="FON2" s="100"/>
      <c r="FOO2" s="100"/>
      <c r="FOP2" s="100"/>
      <c r="FOQ2" s="100"/>
      <c r="FOR2" s="100"/>
      <c r="FOS2" s="100"/>
      <c r="FOT2" s="100"/>
      <c r="FOU2" s="100"/>
      <c r="FOV2" s="100"/>
      <c r="FOW2" s="100"/>
      <c r="FOX2" s="100"/>
      <c r="FOY2" s="100"/>
      <c r="FOZ2" s="100"/>
      <c r="FPA2" s="100"/>
      <c r="FPB2" s="100"/>
      <c r="FPC2" s="100"/>
      <c r="FPD2" s="633"/>
      <c r="FPE2" s="100"/>
      <c r="FPF2" s="100"/>
      <c r="FPG2" s="100"/>
      <c r="FPH2" s="199"/>
      <c r="FPI2" s="200"/>
      <c r="FPJ2" s="201"/>
      <c r="FPK2" s="100"/>
      <c r="FPL2" s="100"/>
      <c r="FPM2" s="100"/>
      <c r="FPN2" s="100"/>
      <c r="FPO2" s="100"/>
      <c r="FPP2" s="100"/>
      <c r="FPQ2" s="100"/>
      <c r="FPR2" s="100"/>
      <c r="FPS2" s="100"/>
      <c r="FPT2" s="100"/>
      <c r="FPU2" s="100"/>
      <c r="FPV2" s="100"/>
      <c r="FPW2" s="100"/>
      <c r="FPX2" s="100"/>
      <c r="FPY2" s="100"/>
      <c r="FPZ2" s="100"/>
      <c r="FQA2" s="100"/>
      <c r="FQB2" s="100"/>
      <c r="FQC2" s="100"/>
      <c r="FQD2" s="100"/>
      <c r="FQE2" s="100"/>
      <c r="FQF2" s="100"/>
      <c r="FQG2" s="100"/>
      <c r="FQH2" s="100"/>
      <c r="FQI2" s="100"/>
      <c r="FQJ2" s="100"/>
      <c r="FQK2" s="100"/>
      <c r="FQL2" s="100"/>
      <c r="FQM2" s="100"/>
      <c r="FQN2" s="100"/>
      <c r="FQO2" s="100"/>
      <c r="FQP2" s="100"/>
      <c r="FQQ2" s="100"/>
      <c r="FQR2" s="100"/>
      <c r="FQS2" s="100"/>
      <c r="FQT2" s="100"/>
      <c r="FQU2" s="100"/>
      <c r="FQV2" s="100"/>
      <c r="FQW2" s="100"/>
      <c r="FQX2" s="100"/>
      <c r="FQY2" s="100"/>
      <c r="FQZ2" s="100"/>
      <c r="FRA2" s="100"/>
      <c r="FRB2" s="100"/>
      <c r="FRC2" s="100"/>
      <c r="FRD2" s="100"/>
      <c r="FRE2" s="100"/>
      <c r="FRF2" s="100"/>
      <c r="FRG2" s="100"/>
      <c r="FRH2" s="100"/>
      <c r="FRI2" s="100"/>
      <c r="FRJ2" s="100"/>
      <c r="FRK2" s="100"/>
      <c r="FRL2" s="100"/>
      <c r="FRM2" s="100"/>
      <c r="FRN2" s="100"/>
      <c r="FRO2" s="100"/>
      <c r="FRP2" s="100"/>
      <c r="FRQ2" s="100"/>
      <c r="FRR2" s="100"/>
      <c r="FRS2" s="633"/>
      <c r="FRT2" s="100"/>
      <c r="FRU2" s="100"/>
      <c r="FRV2" s="100"/>
      <c r="FRW2" s="199"/>
      <c r="FRX2" s="200"/>
      <c r="FRY2" s="201"/>
      <c r="FRZ2" s="100"/>
      <c r="FSA2" s="100"/>
      <c r="FSB2" s="100"/>
      <c r="FSC2" s="100"/>
      <c r="FSD2" s="100"/>
      <c r="FSE2" s="100"/>
      <c r="FSF2" s="100"/>
      <c r="FSG2" s="100"/>
      <c r="FSH2" s="100"/>
      <c r="FSI2" s="100"/>
      <c r="FSJ2" s="100"/>
      <c r="FSK2" s="100"/>
      <c r="FSL2" s="100"/>
      <c r="FSM2" s="100"/>
      <c r="FSN2" s="100"/>
      <c r="FSO2" s="100"/>
      <c r="FSP2" s="100"/>
      <c r="FSQ2" s="100"/>
      <c r="FSR2" s="100"/>
      <c r="FSS2" s="100"/>
      <c r="FST2" s="100"/>
      <c r="FSU2" s="100"/>
      <c r="FSV2" s="100"/>
      <c r="FSW2" s="100"/>
      <c r="FSX2" s="100"/>
      <c r="FSY2" s="100"/>
      <c r="FSZ2" s="100"/>
      <c r="FTA2" s="100"/>
      <c r="FTB2" s="100"/>
      <c r="FTC2" s="100"/>
      <c r="FTD2" s="100"/>
      <c r="FTE2" s="100"/>
      <c r="FTF2" s="100"/>
      <c r="FTG2" s="100"/>
      <c r="FTH2" s="100"/>
      <c r="FTI2" s="100"/>
      <c r="FTJ2" s="100"/>
      <c r="FTK2" s="100"/>
      <c r="FTL2" s="100"/>
      <c r="FTM2" s="100"/>
      <c r="FTN2" s="100"/>
      <c r="FTO2" s="100"/>
      <c r="FTP2" s="100"/>
      <c r="FTQ2" s="100"/>
      <c r="FTR2" s="100"/>
      <c r="FTS2" s="100"/>
      <c r="FTT2" s="100"/>
      <c r="FTU2" s="100"/>
      <c r="FTV2" s="100"/>
      <c r="FTW2" s="100"/>
      <c r="FTX2" s="100"/>
      <c r="FTY2" s="100"/>
      <c r="FTZ2" s="100"/>
      <c r="FUA2" s="100"/>
      <c r="FUB2" s="100"/>
      <c r="FUC2" s="100"/>
      <c r="FUD2" s="100"/>
      <c r="FUE2" s="100"/>
      <c r="FUF2" s="100"/>
      <c r="FUG2" s="100"/>
      <c r="FUH2" s="633"/>
      <c r="FUI2" s="100"/>
      <c r="FUJ2" s="100"/>
      <c r="FUK2" s="100"/>
      <c r="FUL2" s="199"/>
      <c r="FUM2" s="200"/>
      <c r="FUN2" s="201"/>
      <c r="FUO2" s="100"/>
      <c r="FUP2" s="100"/>
      <c r="FUQ2" s="100"/>
      <c r="FUR2" s="100"/>
      <c r="FUS2" s="100"/>
      <c r="FUT2" s="100"/>
      <c r="FUU2" s="100"/>
      <c r="FUV2" s="100"/>
      <c r="FUW2" s="100"/>
      <c r="FUX2" s="100"/>
      <c r="FUY2" s="100"/>
      <c r="FUZ2" s="100"/>
      <c r="FVA2" s="100"/>
      <c r="FVB2" s="100"/>
      <c r="FVC2" s="100"/>
      <c r="FVD2" s="100"/>
      <c r="FVE2" s="100"/>
      <c r="FVF2" s="100"/>
      <c r="FVG2" s="100"/>
      <c r="FVH2" s="100"/>
      <c r="FVI2" s="100"/>
      <c r="FVJ2" s="100"/>
      <c r="FVK2" s="100"/>
      <c r="FVL2" s="100"/>
      <c r="FVM2" s="100"/>
      <c r="FVN2" s="100"/>
      <c r="FVO2" s="100"/>
      <c r="FVP2" s="100"/>
      <c r="FVQ2" s="100"/>
      <c r="FVR2" s="100"/>
      <c r="FVS2" s="100"/>
      <c r="FVT2" s="100"/>
      <c r="FVU2" s="100"/>
      <c r="FVV2" s="100"/>
      <c r="FVW2" s="100"/>
      <c r="FVX2" s="100"/>
      <c r="FVY2" s="100"/>
      <c r="FVZ2" s="100"/>
      <c r="FWA2" s="100"/>
      <c r="FWB2" s="100"/>
      <c r="FWC2" s="100"/>
      <c r="FWD2" s="100"/>
      <c r="FWE2" s="100"/>
      <c r="FWF2" s="100"/>
      <c r="FWG2" s="100"/>
      <c r="FWH2" s="100"/>
      <c r="FWI2" s="100"/>
      <c r="FWJ2" s="100"/>
      <c r="FWK2" s="100"/>
      <c r="FWL2" s="100"/>
      <c r="FWM2" s="100"/>
      <c r="FWN2" s="100"/>
      <c r="FWO2" s="100"/>
      <c r="FWP2" s="100"/>
      <c r="FWQ2" s="100"/>
      <c r="FWR2" s="100"/>
      <c r="FWS2" s="100"/>
      <c r="FWT2" s="100"/>
      <c r="FWU2" s="100"/>
      <c r="FWV2" s="100"/>
      <c r="FWW2" s="633"/>
      <c r="FWX2" s="100"/>
      <c r="FWY2" s="100"/>
      <c r="FWZ2" s="100"/>
      <c r="FXA2" s="199"/>
      <c r="FXB2" s="200"/>
      <c r="FXC2" s="201"/>
      <c r="FXD2" s="100"/>
      <c r="FXE2" s="100"/>
      <c r="FXF2" s="100"/>
      <c r="FXG2" s="100"/>
      <c r="FXH2" s="100"/>
      <c r="FXI2" s="100"/>
      <c r="FXJ2" s="100"/>
      <c r="FXK2" s="100"/>
      <c r="FXL2" s="100"/>
      <c r="FXM2" s="100"/>
      <c r="FXN2" s="100"/>
      <c r="FXO2" s="100"/>
      <c r="FXP2" s="100"/>
      <c r="FXQ2" s="100"/>
      <c r="FXR2" s="100"/>
      <c r="FXS2" s="100"/>
      <c r="FXT2" s="100"/>
      <c r="FXU2" s="100"/>
      <c r="FXV2" s="100"/>
      <c r="FXW2" s="100"/>
      <c r="FXX2" s="100"/>
      <c r="FXY2" s="100"/>
      <c r="FXZ2" s="100"/>
      <c r="FYA2" s="100"/>
      <c r="FYB2" s="100"/>
      <c r="FYC2" s="100"/>
      <c r="FYD2" s="100"/>
      <c r="FYE2" s="100"/>
      <c r="FYF2" s="100"/>
      <c r="FYG2" s="100"/>
      <c r="FYH2" s="100"/>
      <c r="FYI2" s="100"/>
      <c r="FYJ2" s="100"/>
      <c r="FYK2" s="100"/>
      <c r="FYL2" s="100"/>
      <c r="FYM2" s="100"/>
      <c r="FYN2" s="100"/>
      <c r="FYO2" s="100"/>
      <c r="FYP2" s="100"/>
      <c r="FYQ2" s="100"/>
      <c r="FYR2" s="100"/>
      <c r="FYS2" s="100"/>
      <c r="FYT2" s="100"/>
      <c r="FYU2" s="100"/>
      <c r="FYV2" s="100"/>
      <c r="FYW2" s="100"/>
      <c r="FYX2" s="100"/>
      <c r="FYY2" s="100"/>
      <c r="FYZ2" s="100"/>
      <c r="FZA2" s="100"/>
      <c r="FZB2" s="100"/>
      <c r="FZC2" s="100"/>
      <c r="FZD2" s="100"/>
      <c r="FZE2" s="100"/>
      <c r="FZF2" s="100"/>
      <c r="FZG2" s="100"/>
      <c r="FZH2" s="100"/>
      <c r="FZI2" s="100"/>
      <c r="FZJ2" s="100"/>
      <c r="FZK2" s="100"/>
      <c r="FZL2" s="633"/>
      <c r="FZM2" s="100"/>
      <c r="FZN2" s="100"/>
      <c r="FZO2" s="100"/>
      <c r="FZP2" s="199"/>
      <c r="FZQ2" s="200"/>
      <c r="FZR2" s="201"/>
      <c r="FZS2" s="100"/>
      <c r="FZT2" s="100"/>
      <c r="FZU2" s="100"/>
      <c r="FZV2" s="100"/>
      <c r="FZW2" s="100"/>
      <c r="FZX2" s="100"/>
      <c r="FZY2" s="100"/>
      <c r="FZZ2" s="100"/>
      <c r="GAA2" s="100"/>
      <c r="GAB2" s="100"/>
      <c r="GAC2" s="100"/>
      <c r="GAD2" s="100"/>
      <c r="GAE2" s="100"/>
      <c r="GAF2" s="100"/>
      <c r="GAG2" s="100"/>
      <c r="GAH2" s="100"/>
      <c r="GAI2" s="100"/>
      <c r="GAJ2" s="100"/>
      <c r="GAK2" s="100"/>
      <c r="GAL2" s="100"/>
      <c r="GAM2" s="100"/>
      <c r="GAN2" s="100"/>
      <c r="GAO2" s="100"/>
      <c r="GAP2" s="100"/>
      <c r="GAQ2" s="100"/>
      <c r="GAR2" s="100"/>
      <c r="GAS2" s="100"/>
      <c r="GAT2" s="100"/>
      <c r="GAU2" s="100"/>
      <c r="GAV2" s="100"/>
      <c r="GAW2" s="100"/>
      <c r="GAX2" s="100"/>
      <c r="GAY2" s="100"/>
      <c r="GAZ2" s="100"/>
      <c r="GBA2" s="100"/>
      <c r="GBB2" s="100"/>
      <c r="GBC2" s="100"/>
      <c r="GBD2" s="100"/>
      <c r="GBE2" s="100"/>
      <c r="GBF2" s="100"/>
      <c r="GBG2" s="100"/>
      <c r="GBH2" s="100"/>
      <c r="GBI2" s="100"/>
      <c r="GBJ2" s="100"/>
      <c r="GBK2" s="100"/>
      <c r="GBL2" s="100"/>
      <c r="GBM2" s="100"/>
      <c r="GBN2" s="100"/>
      <c r="GBO2" s="100"/>
      <c r="GBP2" s="100"/>
      <c r="GBQ2" s="100"/>
      <c r="GBR2" s="100"/>
      <c r="GBS2" s="100"/>
      <c r="GBT2" s="100"/>
      <c r="GBU2" s="100"/>
      <c r="GBV2" s="100"/>
      <c r="GBW2" s="100"/>
      <c r="GBX2" s="100"/>
      <c r="GBY2" s="100"/>
      <c r="GBZ2" s="100"/>
      <c r="GCA2" s="633"/>
      <c r="GCB2" s="100"/>
      <c r="GCC2" s="100"/>
      <c r="GCD2" s="100"/>
      <c r="GCE2" s="199"/>
      <c r="GCF2" s="200"/>
      <c r="GCG2" s="201"/>
      <c r="GCH2" s="100"/>
      <c r="GCI2" s="100"/>
      <c r="GCJ2" s="100"/>
      <c r="GCK2" s="100"/>
      <c r="GCL2" s="100"/>
      <c r="GCM2" s="100"/>
      <c r="GCN2" s="100"/>
      <c r="GCO2" s="100"/>
      <c r="GCP2" s="100"/>
      <c r="GCQ2" s="100"/>
      <c r="GCR2" s="100"/>
      <c r="GCS2" s="100"/>
      <c r="GCT2" s="100"/>
      <c r="GCU2" s="100"/>
      <c r="GCV2" s="100"/>
      <c r="GCW2" s="100"/>
      <c r="GCX2" s="100"/>
      <c r="GCY2" s="100"/>
      <c r="GCZ2" s="100"/>
      <c r="GDA2" s="100"/>
      <c r="GDB2" s="100"/>
      <c r="GDC2" s="100"/>
      <c r="GDD2" s="100"/>
      <c r="GDE2" s="100"/>
      <c r="GDF2" s="100"/>
      <c r="GDG2" s="100"/>
      <c r="GDH2" s="100"/>
      <c r="GDI2" s="100"/>
      <c r="GDJ2" s="100"/>
      <c r="GDK2" s="100"/>
      <c r="GDL2" s="100"/>
      <c r="GDM2" s="100"/>
      <c r="GDN2" s="100"/>
      <c r="GDO2" s="100"/>
      <c r="GDP2" s="100"/>
      <c r="GDQ2" s="100"/>
      <c r="GDR2" s="100"/>
      <c r="GDS2" s="100"/>
      <c r="GDT2" s="100"/>
      <c r="GDU2" s="100"/>
      <c r="GDV2" s="100"/>
      <c r="GDW2" s="100"/>
      <c r="GDX2" s="100"/>
      <c r="GDY2" s="100"/>
      <c r="GDZ2" s="100"/>
      <c r="GEA2" s="100"/>
      <c r="GEB2" s="100"/>
      <c r="GEC2" s="100"/>
      <c r="GED2" s="100"/>
      <c r="GEE2" s="100"/>
      <c r="GEF2" s="100"/>
      <c r="GEG2" s="100"/>
      <c r="GEH2" s="100"/>
      <c r="GEI2" s="100"/>
      <c r="GEJ2" s="100"/>
      <c r="GEK2" s="100"/>
      <c r="GEL2" s="100"/>
      <c r="GEM2" s="100"/>
      <c r="GEN2" s="100"/>
      <c r="GEO2" s="100"/>
      <c r="GEP2" s="633"/>
      <c r="GEQ2" s="100"/>
      <c r="GER2" s="100"/>
      <c r="GES2" s="100"/>
      <c r="GET2" s="199"/>
      <c r="GEU2" s="200"/>
      <c r="GEV2" s="201"/>
      <c r="GEW2" s="100"/>
      <c r="GEX2" s="100"/>
      <c r="GEY2" s="100"/>
      <c r="GEZ2" s="100"/>
      <c r="GFA2" s="100"/>
      <c r="GFB2" s="100"/>
      <c r="GFC2" s="100"/>
      <c r="GFD2" s="100"/>
      <c r="GFE2" s="100"/>
      <c r="GFF2" s="100"/>
      <c r="GFG2" s="100"/>
      <c r="GFH2" s="100"/>
      <c r="GFI2" s="100"/>
      <c r="GFJ2" s="100"/>
      <c r="GFK2" s="100"/>
      <c r="GFL2" s="100"/>
      <c r="GFM2" s="100"/>
      <c r="GFN2" s="100"/>
      <c r="GFO2" s="100"/>
      <c r="GFP2" s="100"/>
      <c r="GFQ2" s="100"/>
      <c r="GFR2" s="100"/>
      <c r="GFS2" s="100"/>
      <c r="GFT2" s="100"/>
      <c r="GFU2" s="100"/>
      <c r="GFV2" s="100"/>
      <c r="GFW2" s="100"/>
      <c r="GFX2" s="100"/>
      <c r="GFY2" s="100"/>
      <c r="GFZ2" s="100"/>
      <c r="GGA2" s="100"/>
      <c r="GGB2" s="100"/>
      <c r="GGC2" s="100"/>
      <c r="GGD2" s="100"/>
      <c r="GGE2" s="100"/>
      <c r="GGF2" s="100"/>
      <c r="GGG2" s="100"/>
      <c r="GGH2" s="100"/>
      <c r="GGI2" s="100"/>
      <c r="GGJ2" s="100"/>
      <c r="GGK2" s="100"/>
      <c r="GGL2" s="100"/>
      <c r="GGM2" s="100"/>
      <c r="GGN2" s="100"/>
      <c r="GGO2" s="100"/>
      <c r="GGP2" s="100"/>
      <c r="GGQ2" s="100"/>
      <c r="GGR2" s="100"/>
      <c r="GGS2" s="100"/>
      <c r="GGT2" s="100"/>
      <c r="GGU2" s="100"/>
      <c r="GGV2" s="100"/>
      <c r="GGW2" s="100"/>
      <c r="GGX2" s="100"/>
      <c r="GGY2" s="100"/>
      <c r="GGZ2" s="100"/>
      <c r="GHA2" s="100"/>
      <c r="GHB2" s="100"/>
      <c r="GHC2" s="100"/>
      <c r="GHD2" s="100"/>
      <c r="GHE2" s="633"/>
      <c r="GHF2" s="100"/>
      <c r="GHG2" s="100"/>
      <c r="GHH2" s="100"/>
      <c r="GHI2" s="199"/>
      <c r="GHJ2" s="200"/>
      <c r="GHK2" s="201"/>
      <c r="GHL2" s="100"/>
      <c r="GHM2" s="100"/>
      <c r="GHN2" s="100"/>
      <c r="GHO2" s="100"/>
      <c r="GHP2" s="100"/>
      <c r="GHQ2" s="100"/>
      <c r="GHR2" s="100"/>
      <c r="GHS2" s="100"/>
      <c r="GHT2" s="100"/>
      <c r="GHU2" s="100"/>
      <c r="GHV2" s="100"/>
      <c r="GHW2" s="100"/>
      <c r="GHX2" s="100"/>
      <c r="GHY2" s="100"/>
      <c r="GHZ2" s="100"/>
      <c r="GIA2" s="100"/>
      <c r="GIB2" s="100"/>
      <c r="GIC2" s="100"/>
      <c r="GID2" s="100"/>
      <c r="GIE2" s="100"/>
      <c r="GIF2" s="100"/>
      <c r="GIG2" s="100"/>
      <c r="GIH2" s="100"/>
      <c r="GII2" s="100"/>
      <c r="GIJ2" s="100"/>
      <c r="GIK2" s="100"/>
      <c r="GIL2" s="100"/>
      <c r="GIM2" s="100"/>
      <c r="GIN2" s="100"/>
      <c r="GIO2" s="100"/>
      <c r="GIP2" s="100"/>
      <c r="GIQ2" s="100"/>
      <c r="GIR2" s="100"/>
      <c r="GIS2" s="100"/>
      <c r="GIT2" s="100"/>
      <c r="GIU2" s="100"/>
      <c r="GIV2" s="100"/>
      <c r="GIW2" s="100"/>
      <c r="GIX2" s="100"/>
      <c r="GIY2" s="100"/>
      <c r="GIZ2" s="100"/>
      <c r="GJA2" s="100"/>
      <c r="GJB2" s="100"/>
      <c r="GJC2" s="100"/>
      <c r="GJD2" s="100"/>
      <c r="GJE2" s="100"/>
      <c r="GJF2" s="100"/>
      <c r="GJG2" s="100"/>
      <c r="GJH2" s="100"/>
      <c r="GJI2" s="100"/>
      <c r="GJJ2" s="100"/>
      <c r="GJK2" s="100"/>
      <c r="GJL2" s="100"/>
      <c r="GJM2" s="100"/>
      <c r="GJN2" s="100"/>
      <c r="GJO2" s="100"/>
      <c r="GJP2" s="100"/>
      <c r="GJQ2" s="100"/>
      <c r="GJR2" s="100"/>
      <c r="GJS2" s="100"/>
      <c r="GJT2" s="633"/>
      <c r="GJU2" s="100"/>
      <c r="GJV2" s="100"/>
      <c r="GJW2" s="100"/>
      <c r="GJX2" s="199"/>
      <c r="GJY2" s="200"/>
      <c r="GJZ2" s="201"/>
      <c r="GKA2" s="100"/>
      <c r="GKB2" s="100"/>
      <c r="GKC2" s="100"/>
      <c r="GKD2" s="100"/>
      <c r="GKE2" s="100"/>
      <c r="GKF2" s="100"/>
      <c r="GKG2" s="100"/>
      <c r="GKH2" s="100"/>
      <c r="GKI2" s="100"/>
      <c r="GKJ2" s="100"/>
      <c r="GKK2" s="100"/>
      <c r="GKL2" s="100"/>
      <c r="GKM2" s="100"/>
      <c r="GKN2" s="100"/>
      <c r="GKO2" s="100"/>
      <c r="GKP2" s="100"/>
      <c r="GKQ2" s="100"/>
      <c r="GKR2" s="100"/>
      <c r="GKS2" s="100"/>
      <c r="GKT2" s="100"/>
      <c r="GKU2" s="100"/>
      <c r="GKV2" s="100"/>
      <c r="GKW2" s="100"/>
      <c r="GKX2" s="100"/>
      <c r="GKY2" s="100"/>
      <c r="GKZ2" s="100"/>
      <c r="GLA2" s="100"/>
      <c r="GLB2" s="100"/>
      <c r="GLC2" s="100"/>
      <c r="GLD2" s="100"/>
      <c r="GLE2" s="100"/>
      <c r="GLF2" s="100"/>
      <c r="GLG2" s="100"/>
      <c r="GLH2" s="100"/>
      <c r="GLI2" s="100"/>
      <c r="GLJ2" s="100"/>
      <c r="GLK2" s="100"/>
      <c r="GLL2" s="100"/>
      <c r="GLM2" s="100"/>
      <c r="GLN2" s="100"/>
      <c r="GLO2" s="100"/>
      <c r="GLP2" s="100"/>
      <c r="GLQ2" s="100"/>
      <c r="GLR2" s="100"/>
      <c r="GLS2" s="100"/>
      <c r="GLT2" s="100"/>
      <c r="GLU2" s="100"/>
      <c r="GLV2" s="100"/>
      <c r="GLW2" s="100"/>
      <c r="GLX2" s="100"/>
      <c r="GLY2" s="100"/>
      <c r="GLZ2" s="100"/>
      <c r="GMA2" s="100"/>
      <c r="GMB2" s="100"/>
      <c r="GMC2" s="100"/>
      <c r="GMD2" s="100"/>
      <c r="GME2" s="100"/>
      <c r="GMF2" s="100"/>
      <c r="GMG2" s="100"/>
      <c r="GMH2" s="100"/>
      <c r="GMI2" s="633"/>
      <c r="GMJ2" s="100"/>
      <c r="GMK2" s="100"/>
      <c r="GML2" s="100"/>
      <c r="GMM2" s="199"/>
      <c r="GMN2" s="200"/>
      <c r="GMO2" s="201"/>
      <c r="GMP2" s="100"/>
      <c r="GMQ2" s="100"/>
      <c r="GMR2" s="100"/>
      <c r="GMS2" s="100"/>
      <c r="GMT2" s="100"/>
      <c r="GMU2" s="100"/>
      <c r="GMV2" s="100"/>
      <c r="GMW2" s="100"/>
      <c r="GMX2" s="100"/>
      <c r="GMY2" s="100"/>
      <c r="GMZ2" s="100"/>
      <c r="GNA2" s="100"/>
      <c r="GNB2" s="100"/>
      <c r="GNC2" s="100"/>
      <c r="GND2" s="100"/>
      <c r="GNE2" s="100"/>
      <c r="GNF2" s="100"/>
      <c r="GNG2" s="100"/>
      <c r="GNH2" s="100"/>
      <c r="GNI2" s="100"/>
      <c r="GNJ2" s="100"/>
      <c r="GNK2" s="100"/>
      <c r="GNL2" s="100"/>
      <c r="GNM2" s="100"/>
      <c r="GNN2" s="100"/>
      <c r="GNO2" s="100"/>
      <c r="GNP2" s="100"/>
      <c r="GNQ2" s="100"/>
      <c r="GNR2" s="100"/>
      <c r="GNS2" s="100"/>
      <c r="GNT2" s="100"/>
      <c r="GNU2" s="100"/>
      <c r="GNV2" s="100"/>
      <c r="GNW2" s="100"/>
      <c r="GNX2" s="100"/>
      <c r="GNY2" s="100"/>
      <c r="GNZ2" s="100"/>
      <c r="GOA2" s="100"/>
      <c r="GOB2" s="100"/>
      <c r="GOC2" s="100"/>
      <c r="GOD2" s="100"/>
      <c r="GOE2" s="100"/>
      <c r="GOF2" s="100"/>
      <c r="GOG2" s="100"/>
      <c r="GOH2" s="100"/>
      <c r="GOI2" s="100"/>
      <c r="GOJ2" s="100"/>
      <c r="GOK2" s="100"/>
      <c r="GOL2" s="100"/>
      <c r="GOM2" s="100"/>
      <c r="GON2" s="100"/>
      <c r="GOO2" s="100"/>
      <c r="GOP2" s="100"/>
      <c r="GOQ2" s="100"/>
      <c r="GOR2" s="100"/>
      <c r="GOS2" s="100"/>
      <c r="GOT2" s="100"/>
      <c r="GOU2" s="100"/>
      <c r="GOV2" s="100"/>
      <c r="GOW2" s="100"/>
      <c r="GOX2" s="633"/>
      <c r="GOY2" s="100"/>
      <c r="GOZ2" s="100"/>
      <c r="GPA2" s="100"/>
      <c r="GPB2" s="199"/>
      <c r="GPC2" s="200"/>
      <c r="GPD2" s="201"/>
      <c r="GPE2" s="100"/>
      <c r="GPF2" s="100"/>
      <c r="GPG2" s="100"/>
      <c r="GPH2" s="100"/>
      <c r="GPI2" s="100"/>
      <c r="GPJ2" s="100"/>
      <c r="GPK2" s="100"/>
      <c r="GPL2" s="100"/>
      <c r="GPM2" s="100"/>
      <c r="GPN2" s="100"/>
      <c r="GPO2" s="100"/>
      <c r="GPP2" s="100"/>
      <c r="GPQ2" s="100"/>
      <c r="GPR2" s="100"/>
      <c r="GPS2" s="100"/>
      <c r="GPT2" s="100"/>
      <c r="GPU2" s="100"/>
      <c r="GPV2" s="100"/>
      <c r="GPW2" s="100"/>
      <c r="GPX2" s="100"/>
      <c r="GPY2" s="100"/>
      <c r="GPZ2" s="100"/>
      <c r="GQA2" s="100"/>
      <c r="GQB2" s="100"/>
      <c r="GQC2" s="100"/>
      <c r="GQD2" s="100"/>
      <c r="GQE2" s="100"/>
      <c r="GQF2" s="100"/>
      <c r="GQG2" s="100"/>
      <c r="GQH2" s="100"/>
      <c r="GQI2" s="100"/>
      <c r="GQJ2" s="100"/>
      <c r="GQK2" s="100"/>
      <c r="GQL2" s="100"/>
      <c r="GQM2" s="100"/>
      <c r="GQN2" s="100"/>
      <c r="GQO2" s="100"/>
      <c r="GQP2" s="100"/>
      <c r="GQQ2" s="100"/>
      <c r="GQR2" s="100"/>
      <c r="GQS2" s="100"/>
      <c r="GQT2" s="100"/>
      <c r="GQU2" s="100"/>
      <c r="GQV2" s="100"/>
      <c r="GQW2" s="100"/>
      <c r="GQX2" s="100"/>
      <c r="GQY2" s="100"/>
      <c r="GQZ2" s="100"/>
      <c r="GRA2" s="100"/>
      <c r="GRB2" s="100"/>
      <c r="GRC2" s="100"/>
      <c r="GRD2" s="100"/>
      <c r="GRE2" s="100"/>
      <c r="GRF2" s="100"/>
      <c r="GRG2" s="100"/>
      <c r="GRH2" s="100"/>
      <c r="GRI2" s="100"/>
      <c r="GRJ2" s="100"/>
      <c r="GRK2" s="100"/>
      <c r="GRL2" s="100"/>
      <c r="GRM2" s="633"/>
      <c r="GRN2" s="100"/>
      <c r="GRO2" s="100"/>
      <c r="GRP2" s="100"/>
      <c r="GRQ2" s="199"/>
      <c r="GRR2" s="200"/>
      <c r="GRS2" s="201"/>
      <c r="GRT2" s="100"/>
      <c r="GRU2" s="100"/>
      <c r="GRV2" s="100"/>
      <c r="GRW2" s="100"/>
      <c r="GRX2" s="100"/>
      <c r="GRY2" s="100"/>
      <c r="GRZ2" s="100"/>
      <c r="GSA2" s="100"/>
      <c r="GSB2" s="100"/>
      <c r="GSC2" s="100"/>
      <c r="GSD2" s="100"/>
      <c r="GSE2" s="100"/>
      <c r="GSF2" s="100"/>
      <c r="GSG2" s="100"/>
      <c r="GSH2" s="100"/>
      <c r="GSI2" s="100"/>
      <c r="GSJ2" s="100"/>
      <c r="GSK2" s="100"/>
      <c r="GSL2" s="100"/>
      <c r="GSM2" s="100"/>
      <c r="GSN2" s="100"/>
      <c r="GSO2" s="100"/>
      <c r="GSP2" s="100"/>
      <c r="GSQ2" s="100"/>
      <c r="GSR2" s="100"/>
      <c r="GSS2" s="100"/>
      <c r="GST2" s="100"/>
      <c r="GSU2" s="100"/>
      <c r="GSV2" s="100"/>
      <c r="GSW2" s="100"/>
      <c r="GSX2" s="100"/>
      <c r="GSY2" s="100"/>
      <c r="GSZ2" s="100"/>
      <c r="GTA2" s="100"/>
      <c r="GTB2" s="100"/>
      <c r="GTC2" s="100"/>
      <c r="GTD2" s="100"/>
      <c r="GTE2" s="100"/>
      <c r="GTF2" s="100"/>
      <c r="GTG2" s="100"/>
      <c r="GTH2" s="100"/>
      <c r="GTI2" s="100"/>
      <c r="GTJ2" s="100"/>
      <c r="GTK2" s="100"/>
      <c r="GTL2" s="100"/>
      <c r="GTM2" s="100"/>
      <c r="GTN2" s="100"/>
      <c r="GTO2" s="100"/>
      <c r="GTP2" s="100"/>
      <c r="GTQ2" s="100"/>
      <c r="GTR2" s="100"/>
      <c r="GTS2" s="100"/>
      <c r="GTT2" s="100"/>
      <c r="GTU2" s="100"/>
      <c r="GTV2" s="100"/>
      <c r="GTW2" s="100"/>
      <c r="GTX2" s="100"/>
      <c r="GTY2" s="100"/>
      <c r="GTZ2" s="100"/>
      <c r="GUA2" s="100"/>
      <c r="GUB2" s="633"/>
      <c r="GUC2" s="100"/>
      <c r="GUD2" s="100"/>
      <c r="GUE2" s="100"/>
      <c r="GUF2" s="199"/>
      <c r="GUG2" s="200"/>
      <c r="GUH2" s="201"/>
      <c r="GUI2" s="100"/>
      <c r="GUJ2" s="100"/>
      <c r="GUK2" s="100"/>
      <c r="GUL2" s="100"/>
      <c r="GUM2" s="100"/>
      <c r="GUN2" s="100"/>
      <c r="GUO2" s="100"/>
      <c r="GUP2" s="100"/>
      <c r="GUQ2" s="100"/>
      <c r="GUR2" s="100"/>
      <c r="GUS2" s="100"/>
      <c r="GUT2" s="100"/>
      <c r="GUU2" s="100"/>
      <c r="GUV2" s="100"/>
      <c r="GUW2" s="100"/>
      <c r="GUX2" s="100"/>
      <c r="GUY2" s="100"/>
      <c r="GUZ2" s="100"/>
      <c r="GVA2" s="100"/>
      <c r="GVB2" s="100"/>
      <c r="GVC2" s="100"/>
      <c r="GVD2" s="100"/>
      <c r="GVE2" s="100"/>
      <c r="GVF2" s="100"/>
      <c r="GVG2" s="100"/>
      <c r="GVH2" s="100"/>
      <c r="GVI2" s="100"/>
      <c r="GVJ2" s="100"/>
      <c r="GVK2" s="100"/>
      <c r="GVL2" s="100"/>
      <c r="GVM2" s="100"/>
      <c r="GVN2" s="100"/>
      <c r="GVO2" s="100"/>
      <c r="GVP2" s="100"/>
      <c r="GVQ2" s="100"/>
      <c r="GVR2" s="100"/>
      <c r="GVS2" s="100"/>
      <c r="GVT2" s="100"/>
      <c r="GVU2" s="100"/>
      <c r="GVV2" s="100"/>
      <c r="GVW2" s="100"/>
      <c r="GVX2" s="100"/>
      <c r="GVY2" s="100"/>
      <c r="GVZ2" s="100"/>
      <c r="GWA2" s="100"/>
      <c r="GWB2" s="100"/>
      <c r="GWC2" s="100"/>
      <c r="GWD2" s="100"/>
      <c r="GWE2" s="100"/>
      <c r="GWF2" s="100"/>
      <c r="GWG2" s="100"/>
      <c r="GWH2" s="100"/>
      <c r="GWI2" s="100"/>
      <c r="GWJ2" s="100"/>
      <c r="GWK2" s="100"/>
      <c r="GWL2" s="100"/>
      <c r="GWM2" s="100"/>
      <c r="GWN2" s="100"/>
      <c r="GWO2" s="100"/>
      <c r="GWP2" s="100"/>
      <c r="GWQ2" s="633"/>
      <c r="GWR2" s="100"/>
      <c r="GWS2" s="100"/>
      <c r="GWT2" s="100"/>
      <c r="GWU2" s="199"/>
      <c r="GWV2" s="200"/>
      <c r="GWW2" s="201"/>
      <c r="GWX2" s="100"/>
      <c r="GWY2" s="100"/>
      <c r="GWZ2" s="100"/>
      <c r="GXA2" s="100"/>
      <c r="GXB2" s="100"/>
      <c r="GXC2" s="100"/>
      <c r="GXD2" s="100"/>
      <c r="GXE2" s="100"/>
      <c r="GXF2" s="100"/>
      <c r="GXG2" s="100"/>
      <c r="GXH2" s="100"/>
      <c r="GXI2" s="100"/>
      <c r="GXJ2" s="100"/>
      <c r="GXK2" s="100"/>
      <c r="GXL2" s="100"/>
      <c r="GXM2" s="100"/>
      <c r="GXN2" s="100"/>
      <c r="GXO2" s="100"/>
      <c r="GXP2" s="100"/>
      <c r="GXQ2" s="100"/>
      <c r="GXR2" s="100"/>
      <c r="GXS2" s="100"/>
      <c r="GXT2" s="100"/>
      <c r="GXU2" s="100"/>
      <c r="GXV2" s="100"/>
      <c r="GXW2" s="100"/>
      <c r="GXX2" s="100"/>
      <c r="GXY2" s="100"/>
      <c r="GXZ2" s="100"/>
      <c r="GYA2" s="100"/>
      <c r="GYB2" s="100"/>
      <c r="GYC2" s="100"/>
      <c r="GYD2" s="100"/>
      <c r="GYE2" s="100"/>
      <c r="GYF2" s="100"/>
      <c r="GYG2" s="100"/>
      <c r="GYH2" s="100"/>
      <c r="GYI2" s="100"/>
      <c r="GYJ2" s="100"/>
      <c r="GYK2" s="100"/>
      <c r="GYL2" s="100"/>
      <c r="GYM2" s="100"/>
      <c r="GYN2" s="100"/>
      <c r="GYO2" s="100"/>
      <c r="GYP2" s="100"/>
      <c r="GYQ2" s="100"/>
      <c r="GYR2" s="100"/>
      <c r="GYS2" s="100"/>
      <c r="GYT2" s="100"/>
      <c r="GYU2" s="100"/>
      <c r="GYV2" s="100"/>
      <c r="GYW2" s="100"/>
      <c r="GYX2" s="100"/>
      <c r="GYY2" s="100"/>
      <c r="GYZ2" s="100"/>
      <c r="GZA2" s="100"/>
      <c r="GZB2" s="100"/>
      <c r="GZC2" s="100"/>
      <c r="GZD2" s="100"/>
      <c r="GZE2" s="100"/>
      <c r="GZF2" s="633"/>
      <c r="GZG2" s="100"/>
      <c r="GZH2" s="100"/>
      <c r="GZI2" s="100"/>
      <c r="GZJ2" s="199"/>
      <c r="GZK2" s="200"/>
      <c r="GZL2" s="201"/>
      <c r="GZM2" s="100"/>
      <c r="GZN2" s="100"/>
      <c r="GZO2" s="100"/>
      <c r="GZP2" s="100"/>
      <c r="GZQ2" s="100"/>
      <c r="GZR2" s="100"/>
      <c r="GZS2" s="100"/>
      <c r="GZT2" s="100"/>
      <c r="GZU2" s="100"/>
      <c r="GZV2" s="100"/>
      <c r="GZW2" s="100"/>
      <c r="GZX2" s="100"/>
      <c r="GZY2" s="100"/>
      <c r="GZZ2" s="100"/>
      <c r="HAA2" s="100"/>
      <c r="HAB2" s="100"/>
      <c r="HAC2" s="100"/>
      <c r="HAD2" s="100"/>
      <c r="HAE2" s="100"/>
      <c r="HAF2" s="100"/>
      <c r="HAG2" s="100"/>
      <c r="HAH2" s="100"/>
      <c r="HAI2" s="100"/>
      <c r="HAJ2" s="100"/>
      <c r="HAK2" s="100"/>
      <c r="HAL2" s="100"/>
      <c r="HAM2" s="100"/>
      <c r="HAN2" s="100"/>
      <c r="HAO2" s="100"/>
      <c r="HAP2" s="100"/>
      <c r="HAQ2" s="100"/>
      <c r="HAR2" s="100"/>
      <c r="HAS2" s="100"/>
      <c r="HAT2" s="100"/>
      <c r="HAU2" s="100"/>
      <c r="HAV2" s="100"/>
      <c r="HAW2" s="100"/>
      <c r="HAX2" s="100"/>
      <c r="HAY2" s="100"/>
      <c r="HAZ2" s="100"/>
      <c r="HBA2" s="100"/>
      <c r="HBB2" s="100"/>
      <c r="HBC2" s="100"/>
      <c r="HBD2" s="100"/>
      <c r="HBE2" s="100"/>
      <c r="HBF2" s="100"/>
      <c r="HBG2" s="100"/>
      <c r="HBH2" s="100"/>
      <c r="HBI2" s="100"/>
      <c r="HBJ2" s="100"/>
      <c r="HBK2" s="100"/>
      <c r="HBL2" s="100"/>
      <c r="HBM2" s="100"/>
      <c r="HBN2" s="100"/>
      <c r="HBO2" s="100"/>
      <c r="HBP2" s="100"/>
      <c r="HBQ2" s="100"/>
      <c r="HBR2" s="100"/>
      <c r="HBS2" s="100"/>
      <c r="HBT2" s="100"/>
      <c r="HBU2" s="633"/>
      <c r="HBV2" s="100"/>
      <c r="HBW2" s="100"/>
      <c r="HBX2" s="100"/>
      <c r="HBY2" s="199"/>
      <c r="HBZ2" s="200"/>
      <c r="HCA2" s="201"/>
      <c r="HCB2" s="100"/>
      <c r="HCC2" s="100"/>
      <c r="HCD2" s="100"/>
      <c r="HCE2" s="100"/>
      <c r="HCF2" s="100"/>
      <c r="HCG2" s="100"/>
      <c r="HCH2" s="100"/>
      <c r="HCI2" s="100"/>
      <c r="HCJ2" s="100"/>
      <c r="HCK2" s="100"/>
      <c r="HCL2" s="100"/>
      <c r="HCM2" s="100"/>
      <c r="HCN2" s="100"/>
      <c r="HCO2" s="100"/>
      <c r="HCP2" s="100"/>
      <c r="HCQ2" s="100"/>
      <c r="HCR2" s="100"/>
      <c r="HCS2" s="100"/>
      <c r="HCT2" s="100"/>
      <c r="HCU2" s="100"/>
      <c r="HCV2" s="100"/>
      <c r="HCW2" s="100"/>
      <c r="HCX2" s="100"/>
      <c r="HCY2" s="100"/>
      <c r="HCZ2" s="100"/>
      <c r="HDA2" s="100"/>
      <c r="HDB2" s="100"/>
      <c r="HDC2" s="100"/>
      <c r="HDD2" s="100"/>
      <c r="HDE2" s="100"/>
      <c r="HDF2" s="100"/>
      <c r="HDG2" s="100"/>
      <c r="HDH2" s="100"/>
      <c r="HDI2" s="100"/>
      <c r="HDJ2" s="100"/>
      <c r="HDK2" s="100"/>
      <c r="HDL2" s="100"/>
      <c r="HDM2" s="100"/>
      <c r="HDN2" s="100"/>
      <c r="HDO2" s="100"/>
      <c r="HDP2" s="100"/>
      <c r="HDQ2" s="100"/>
      <c r="HDR2" s="100"/>
      <c r="HDS2" s="100"/>
      <c r="HDT2" s="100"/>
      <c r="HDU2" s="100"/>
      <c r="HDV2" s="100"/>
      <c r="HDW2" s="100"/>
      <c r="HDX2" s="100"/>
      <c r="HDY2" s="100"/>
      <c r="HDZ2" s="100"/>
      <c r="HEA2" s="100"/>
      <c r="HEB2" s="100"/>
      <c r="HEC2" s="100"/>
      <c r="HED2" s="100"/>
      <c r="HEE2" s="100"/>
      <c r="HEF2" s="100"/>
      <c r="HEG2" s="100"/>
      <c r="HEH2" s="100"/>
      <c r="HEI2" s="100"/>
      <c r="HEJ2" s="633"/>
      <c r="HEK2" s="100"/>
      <c r="HEL2" s="100"/>
      <c r="HEM2" s="100"/>
      <c r="HEN2" s="199"/>
      <c r="HEO2" s="200"/>
      <c r="HEP2" s="201"/>
      <c r="HEQ2" s="100"/>
      <c r="HER2" s="100"/>
      <c r="HES2" s="100"/>
      <c r="HET2" s="100"/>
      <c r="HEU2" s="100"/>
      <c r="HEV2" s="100"/>
      <c r="HEW2" s="100"/>
      <c r="HEX2" s="100"/>
      <c r="HEY2" s="100"/>
      <c r="HEZ2" s="100"/>
      <c r="HFA2" s="100"/>
      <c r="HFB2" s="100"/>
      <c r="HFC2" s="100"/>
      <c r="HFD2" s="100"/>
      <c r="HFE2" s="100"/>
      <c r="HFF2" s="100"/>
      <c r="HFG2" s="100"/>
      <c r="HFH2" s="100"/>
      <c r="HFI2" s="100"/>
      <c r="HFJ2" s="100"/>
      <c r="HFK2" s="100"/>
      <c r="HFL2" s="100"/>
      <c r="HFM2" s="100"/>
      <c r="HFN2" s="100"/>
      <c r="HFO2" s="100"/>
      <c r="HFP2" s="100"/>
      <c r="HFQ2" s="100"/>
      <c r="HFR2" s="100"/>
      <c r="HFS2" s="100"/>
      <c r="HFT2" s="100"/>
      <c r="HFU2" s="100"/>
      <c r="HFV2" s="100"/>
      <c r="HFW2" s="100"/>
      <c r="HFX2" s="100"/>
      <c r="HFY2" s="100"/>
      <c r="HFZ2" s="100"/>
      <c r="HGA2" s="100"/>
      <c r="HGB2" s="100"/>
      <c r="HGC2" s="100"/>
      <c r="HGD2" s="100"/>
      <c r="HGE2" s="100"/>
      <c r="HGF2" s="100"/>
      <c r="HGG2" s="100"/>
      <c r="HGH2" s="100"/>
      <c r="HGI2" s="100"/>
      <c r="HGJ2" s="100"/>
      <c r="HGK2" s="100"/>
      <c r="HGL2" s="100"/>
      <c r="HGM2" s="100"/>
      <c r="HGN2" s="100"/>
      <c r="HGO2" s="100"/>
      <c r="HGP2" s="100"/>
      <c r="HGQ2" s="100"/>
      <c r="HGR2" s="100"/>
      <c r="HGS2" s="100"/>
      <c r="HGT2" s="100"/>
      <c r="HGU2" s="100"/>
      <c r="HGV2" s="100"/>
      <c r="HGW2" s="100"/>
      <c r="HGX2" s="100"/>
      <c r="HGY2" s="633"/>
      <c r="HGZ2" s="100"/>
      <c r="HHA2" s="100"/>
      <c r="HHB2" s="100"/>
      <c r="HHC2" s="199"/>
      <c r="HHD2" s="200"/>
      <c r="HHE2" s="201"/>
      <c r="HHF2" s="100"/>
      <c r="HHG2" s="100"/>
      <c r="HHH2" s="100"/>
      <c r="HHI2" s="100"/>
      <c r="HHJ2" s="100"/>
      <c r="HHK2" s="100"/>
      <c r="HHL2" s="100"/>
      <c r="HHM2" s="100"/>
      <c r="HHN2" s="100"/>
      <c r="HHO2" s="100"/>
      <c r="HHP2" s="100"/>
      <c r="HHQ2" s="100"/>
      <c r="HHR2" s="100"/>
      <c r="HHS2" s="100"/>
      <c r="HHT2" s="100"/>
      <c r="HHU2" s="100"/>
      <c r="HHV2" s="100"/>
      <c r="HHW2" s="100"/>
      <c r="HHX2" s="100"/>
      <c r="HHY2" s="100"/>
      <c r="HHZ2" s="100"/>
      <c r="HIA2" s="100"/>
      <c r="HIB2" s="100"/>
      <c r="HIC2" s="100"/>
      <c r="HID2" s="100"/>
      <c r="HIE2" s="100"/>
      <c r="HIF2" s="100"/>
      <c r="HIG2" s="100"/>
      <c r="HIH2" s="100"/>
      <c r="HII2" s="100"/>
      <c r="HIJ2" s="100"/>
      <c r="HIK2" s="100"/>
      <c r="HIL2" s="100"/>
      <c r="HIM2" s="100"/>
      <c r="HIN2" s="100"/>
      <c r="HIO2" s="100"/>
      <c r="HIP2" s="100"/>
      <c r="HIQ2" s="100"/>
      <c r="HIR2" s="100"/>
      <c r="HIS2" s="100"/>
      <c r="HIT2" s="100"/>
      <c r="HIU2" s="100"/>
      <c r="HIV2" s="100"/>
      <c r="HIW2" s="100"/>
      <c r="HIX2" s="100"/>
      <c r="HIY2" s="100"/>
      <c r="HIZ2" s="100"/>
      <c r="HJA2" s="100"/>
      <c r="HJB2" s="100"/>
      <c r="HJC2" s="100"/>
      <c r="HJD2" s="100"/>
      <c r="HJE2" s="100"/>
      <c r="HJF2" s="100"/>
      <c r="HJG2" s="100"/>
      <c r="HJH2" s="100"/>
      <c r="HJI2" s="100"/>
      <c r="HJJ2" s="100"/>
      <c r="HJK2" s="100"/>
      <c r="HJL2" s="100"/>
      <c r="HJM2" s="100"/>
      <c r="HJN2" s="633"/>
      <c r="HJO2" s="100"/>
      <c r="HJP2" s="100"/>
      <c r="HJQ2" s="100"/>
      <c r="HJR2" s="199"/>
      <c r="HJS2" s="200"/>
      <c r="HJT2" s="201"/>
      <c r="HJU2" s="100"/>
      <c r="HJV2" s="100"/>
      <c r="HJW2" s="100"/>
      <c r="HJX2" s="100"/>
      <c r="HJY2" s="100"/>
      <c r="HJZ2" s="100"/>
      <c r="HKA2" s="100"/>
      <c r="HKB2" s="100"/>
      <c r="HKC2" s="100"/>
      <c r="HKD2" s="100"/>
      <c r="HKE2" s="100"/>
      <c r="HKF2" s="100"/>
      <c r="HKG2" s="100"/>
      <c r="HKH2" s="100"/>
      <c r="HKI2" s="100"/>
      <c r="HKJ2" s="100"/>
      <c r="HKK2" s="100"/>
      <c r="HKL2" s="100"/>
      <c r="HKM2" s="100"/>
      <c r="HKN2" s="100"/>
      <c r="HKO2" s="100"/>
      <c r="HKP2" s="100"/>
      <c r="HKQ2" s="100"/>
      <c r="HKR2" s="100"/>
      <c r="HKS2" s="100"/>
      <c r="HKT2" s="100"/>
      <c r="HKU2" s="100"/>
      <c r="HKV2" s="100"/>
      <c r="HKW2" s="100"/>
      <c r="HKX2" s="100"/>
      <c r="HKY2" s="100"/>
      <c r="HKZ2" s="100"/>
      <c r="HLA2" s="100"/>
      <c r="HLB2" s="100"/>
      <c r="HLC2" s="100"/>
      <c r="HLD2" s="100"/>
      <c r="HLE2" s="100"/>
      <c r="HLF2" s="100"/>
      <c r="HLG2" s="100"/>
      <c r="HLH2" s="100"/>
      <c r="HLI2" s="100"/>
      <c r="HLJ2" s="100"/>
      <c r="HLK2" s="100"/>
      <c r="HLL2" s="100"/>
      <c r="HLM2" s="100"/>
      <c r="HLN2" s="100"/>
      <c r="HLO2" s="100"/>
      <c r="HLP2" s="100"/>
      <c r="HLQ2" s="100"/>
      <c r="HLR2" s="100"/>
      <c r="HLS2" s="100"/>
      <c r="HLT2" s="100"/>
      <c r="HLU2" s="100"/>
      <c r="HLV2" s="100"/>
      <c r="HLW2" s="100"/>
      <c r="HLX2" s="100"/>
      <c r="HLY2" s="100"/>
      <c r="HLZ2" s="100"/>
      <c r="HMA2" s="100"/>
      <c r="HMB2" s="100"/>
      <c r="HMC2" s="633"/>
      <c r="HMD2" s="100"/>
      <c r="HME2" s="100"/>
      <c r="HMF2" s="100"/>
      <c r="HMG2" s="199"/>
      <c r="HMH2" s="200"/>
      <c r="HMI2" s="201"/>
      <c r="HMJ2" s="100"/>
      <c r="HMK2" s="100"/>
      <c r="HML2" s="100"/>
      <c r="HMM2" s="100"/>
      <c r="HMN2" s="100"/>
      <c r="HMO2" s="100"/>
      <c r="HMP2" s="100"/>
      <c r="HMQ2" s="100"/>
      <c r="HMR2" s="100"/>
      <c r="HMS2" s="100"/>
      <c r="HMT2" s="100"/>
      <c r="HMU2" s="100"/>
      <c r="HMV2" s="100"/>
      <c r="HMW2" s="100"/>
      <c r="HMX2" s="100"/>
      <c r="HMY2" s="100"/>
      <c r="HMZ2" s="100"/>
      <c r="HNA2" s="100"/>
      <c r="HNB2" s="100"/>
      <c r="HNC2" s="100"/>
      <c r="HND2" s="100"/>
      <c r="HNE2" s="100"/>
      <c r="HNF2" s="100"/>
      <c r="HNG2" s="100"/>
      <c r="HNH2" s="100"/>
      <c r="HNI2" s="100"/>
      <c r="HNJ2" s="100"/>
      <c r="HNK2" s="100"/>
      <c r="HNL2" s="100"/>
      <c r="HNM2" s="100"/>
      <c r="HNN2" s="100"/>
      <c r="HNO2" s="100"/>
      <c r="HNP2" s="100"/>
      <c r="HNQ2" s="100"/>
      <c r="HNR2" s="100"/>
      <c r="HNS2" s="100"/>
      <c r="HNT2" s="100"/>
      <c r="HNU2" s="100"/>
      <c r="HNV2" s="100"/>
      <c r="HNW2" s="100"/>
      <c r="HNX2" s="100"/>
      <c r="HNY2" s="100"/>
      <c r="HNZ2" s="100"/>
      <c r="HOA2" s="100"/>
      <c r="HOB2" s="100"/>
      <c r="HOC2" s="100"/>
      <c r="HOD2" s="100"/>
      <c r="HOE2" s="100"/>
      <c r="HOF2" s="100"/>
      <c r="HOG2" s="100"/>
      <c r="HOH2" s="100"/>
      <c r="HOI2" s="100"/>
      <c r="HOJ2" s="100"/>
      <c r="HOK2" s="100"/>
      <c r="HOL2" s="100"/>
      <c r="HOM2" s="100"/>
      <c r="HON2" s="100"/>
      <c r="HOO2" s="100"/>
      <c r="HOP2" s="100"/>
      <c r="HOQ2" s="100"/>
      <c r="HOR2" s="633"/>
      <c r="HOS2" s="100"/>
      <c r="HOT2" s="100"/>
      <c r="HOU2" s="100"/>
      <c r="HOV2" s="199"/>
      <c r="HOW2" s="200"/>
      <c r="HOX2" s="201"/>
      <c r="HOY2" s="100"/>
      <c r="HOZ2" s="100"/>
      <c r="HPA2" s="100"/>
      <c r="HPB2" s="100"/>
      <c r="HPC2" s="100"/>
      <c r="HPD2" s="100"/>
      <c r="HPE2" s="100"/>
      <c r="HPF2" s="100"/>
      <c r="HPG2" s="100"/>
      <c r="HPH2" s="100"/>
      <c r="HPI2" s="100"/>
      <c r="HPJ2" s="100"/>
      <c r="HPK2" s="100"/>
      <c r="HPL2" s="100"/>
      <c r="HPM2" s="100"/>
      <c r="HPN2" s="100"/>
      <c r="HPO2" s="100"/>
      <c r="HPP2" s="100"/>
      <c r="HPQ2" s="100"/>
      <c r="HPR2" s="100"/>
      <c r="HPS2" s="100"/>
      <c r="HPT2" s="100"/>
      <c r="HPU2" s="100"/>
      <c r="HPV2" s="100"/>
      <c r="HPW2" s="100"/>
      <c r="HPX2" s="100"/>
      <c r="HPY2" s="100"/>
      <c r="HPZ2" s="100"/>
      <c r="HQA2" s="100"/>
      <c r="HQB2" s="100"/>
      <c r="HQC2" s="100"/>
      <c r="HQD2" s="100"/>
      <c r="HQE2" s="100"/>
      <c r="HQF2" s="100"/>
      <c r="HQG2" s="100"/>
      <c r="HQH2" s="100"/>
      <c r="HQI2" s="100"/>
      <c r="HQJ2" s="100"/>
      <c r="HQK2" s="100"/>
      <c r="HQL2" s="100"/>
      <c r="HQM2" s="100"/>
      <c r="HQN2" s="100"/>
      <c r="HQO2" s="100"/>
      <c r="HQP2" s="100"/>
      <c r="HQQ2" s="100"/>
      <c r="HQR2" s="100"/>
      <c r="HQS2" s="100"/>
      <c r="HQT2" s="100"/>
      <c r="HQU2" s="100"/>
      <c r="HQV2" s="100"/>
      <c r="HQW2" s="100"/>
      <c r="HQX2" s="100"/>
      <c r="HQY2" s="100"/>
      <c r="HQZ2" s="100"/>
      <c r="HRA2" s="100"/>
      <c r="HRB2" s="100"/>
      <c r="HRC2" s="100"/>
      <c r="HRD2" s="100"/>
      <c r="HRE2" s="100"/>
      <c r="HRF2" s="100"/>
      <c r="HRG2" s="633"/>
      <c r="HRH2" s="100"/>
      <c r="HRI2" s="100"/>
      <c r="HRJ2" s="100"/>
      <c r="HRK2" s="199"/>
      <c r="HRL2" s="200"/>
      <c r="HRM2" s="201"/>
      <c r="HRN2" s="100"/>
      <c r="HRO2" s="100"/>
      <c r="HRP2" s="100"/>
      <c r="HRQ2" s="100"/>
      <c r="HRR2" s="100"/>
      <c r="HRS2" s="100"/>
      <c r="HRT2" s="100"/>
      <c r="HRU2" s="100"/>
      <c r="HRV2" s="100"/>
      <c r="HRW2" s="100"/>
      <c r="HRX2" s="100"/>
      <c r="HRY2" s="100"/>
      <c r="HRZ2" s="100"/>
      <c r="HSA2" s="100"/>
      <c r="HSB2" s="100"/>
      <c r="HSC2" s="100"/>
      <c r="HSD2" s="100"/>
      <c r="HSE2" s="100"/>
      <c r="HSF2" s="100"/>
      <c r="HSG2" s="100"/>
      <c r="HSH2" s="100"/>
      <c r="HSI2" s="100"/>
      <c r="HSJ2" s="100"/>
      <c r="HSK2" s="100"/>
      <c r="HSL2" s="100"/>
      <c r="HSM2" s="100"/>
      <c r="HSN2" s="100"/>
      <c r="HSO2" s="100"/>
      <c r="HSP2" s="100"/>
      <c r="HSQ2" s="100"/>
      <c r="HSR2" s="100"/>
      <c r="HSS2" s="100"/>
      <c r="HST2" s="100"/>
      <c r="HSU2" s="100"/>
      <c r="HSV2" s="100"/>
      <c r="HSW2" s="100"/>
      <c r="HSX2" s="100"/>
      <c r="HSY2" s="100"/>
      <c r="HSZ2" s="100"/>
      <c r="HTA2" s="100"/>
      <c r="HTB2" s="100"/>
      <c r="HTC2" s="100"/>
      <c r="HTD2" s="100"/>
      <c r="HTE2" s="100"/>
      <c r="HTF2" s="100"/>
      <c r="HTG2" s="100"/>
      <c r="HTH2" s="100"/>
      <c r="HTI2" s="100"/>
      <c r="HTJ2" s="100"/>
      <c r="HTK2" s="100"/>
      <c r="HTL2" s="100"/>
      <c r="HTM2" s="100"/>
      <c r="HTN2" s="100"/>
      <c r="HTO2" s="100"/>
      <c r="HTP2" s="100"/>
      <c r="HTQ2" s="100"/>
      <c r="HTR2" s="100"/>
      <c r="HTS2" s="100"/>
      <c r="HTT2" s="100"/>
      <c r="HTU2" s="100"/>
      <c r="HTV2" s="633"/>
      <c r="HTW2" s="100"/>
      <c r="HTX2" s="100"/>
      <c r="HTY2" s="100"/>
      <c r="HTZ2" s="199"/>
      <c r="HUA2" s="200"/>
      <c r="HUB2" s="201"/>
      <c r="HUC2" s="100"/>
      <c r="HUD2" s="100"/>
      <c r="HUE2" s="100"/>
      <c r="HUF2" s="100"/>
      <c r="HUG2" s="100"/>
      <c r="HUH2" s="100"/>
      <c r="HUI2" s="100"/>
      <c r="HUJ2" s="100"/>
      <c r="HUK2" s="100"/>
      <c r="HUL2" s="100"/>
      <c r="HUM2" s="100"/>
      <c r="HUN2" s="100"/>
      <c r="HUO2" s="100"/>
      <c r="HUP2" s="100"/>
      <c r="HUQ2" s="100"/>
      <c r="HUR2" s="100"/>
      <c r="HUS2" s="100"/>
      <c r="HUT2" s="100"/>
      <c r="HUU2" s="100"/>
      <c r="HUV2" s="100"/>
      <c r="HUW2" s="100"/>
      <c r="HUX2" s="100"/>
      <c r="HUY2" s="100"/>
      <c r="HUZ2" s="100"/>
      <c r="HVA2" s="100"/>
      <c r="HVB2" s="100"/>
      <c r="HVC2" s="100"/>
      <c r="HVD2" s="100"/>
      <c r="HVE2" s="100"/>
      <c r="HVF2" s="100"/>
      <c r="HVG2" s="100"/>
      <c r="HVH2" s="100"/>
      <c r="HVI2" s="100"/>
      <c r="HVJ2" s="100"/>
      <c r="HVK2" s="100"/>
      <c r="HVL2" s="100"/>
      <c r="HVM2" s="100"/>
      <c r="HVN2" s="100"/>
      <c r="HVO2" s="100"/>
      <c r="HVP2" s="100"/>
      <c r="HVQ2" s="100"/>
      <c r="HVR2" s="100"/>
      <c r="HVS2" s="100"/>
      <c r="HVT2" s="100"/>
      <c r="HVU2" s="100"/>
      <c r="HVV2" s="100"/>
      <c r="HVW2" s="100"/>
      <c r="HVX2" s="100"/>
      <c r="HVY2" s="100"/>
      <c r="HVZ2" s="100"/>
      <c r="HWA2" s="100"/>
      <c r="HWB2" s="100"/>
      <c r="HWC2" s="100"/>
      <c r="HWD2" s="100"/>
      <c r="HWE2" s="100"/>
      <c r="HWF2" s="100"/>
      <c r="HWG2" s="100"/>
      <c r="HWH2" s="100"/>
      <c r="HWI2" s="100"/>
      <c r="HWJ2" s="100"/>
      <c r="HWK2" s="633"/>
      <c r="HWL2" s="100"/>
      <c r="HWM2" s="100"/>
      <c r="HWN2" s="100"/>
      <c r="HWO2" s="199"/>
      <c r="HWP2" s="200"/>
      <c r="HWQ2" s="201"/>
      <c r="HWR2" s="100"/>
      <c r="HWS2" s="100"/>
      <c r="HWT2" s="100"/>
      <c r="HWU2" s="100"/>
      <c r="HWV2" s="100"/>
      <c r="HWW2" s="100"/>
      <c r="HWX2" s="100"/>
      <c r="HWY2" s="100"/>
      <c r="HWZ2" s="100"/>
      <c r="HXA2" s="100"/>
      <c r="HXB2" s="100"/>
      <c r="HXC2" s="100"/>
      <c r="HXD2" s="100"/>
      <c r="HXE2" s="100"/>
      <c r="HXF2" s="100"/>
      <c r="HXG2" s="100"/>
      <c r="HXH2" s="100"/>
      <c r="HXI2" s="100"/>
      <c r="HXJ2" s="100"/>
      <c r="HXK2" s="100"/>
      <c r="HXL2" s="100"/>
      <c r="HXM2" s="100"/>
      <c r="HXN2" s="100"/>
      <c r="HXO2" s="100"/>
      <c r="HXP2" s="100"/>
      <c r="HXQ2" s="100"/>
      <c r="HXR2" s="100"/>
      <c r="HXS2" s="100"/>
      <c r="HXT2" s="100"/>
      <c r="HXU2" s="100"/>
      <c r="HXV2" s="100"/>
      <c r="HXW2" s="100"/>
      <c r="HXX2" s="100"/>
      <c r="HXY2" s="100"/>
      <c r="HXZ2" s="100"/>
      <c r="HYA2" s="100"/>
      <c r="HYB2" s="100"/>
      <c r="HYC2" s="100"/>
      <c r="HYD2" s="100"/>
      <c r="HYE2" s="100"/>
      <c r="HYF2" s="100"/>
      <c r="HYG2" s="100"/>
      <c r="HYH2" s="100"/>
      <c r="HYI2" s="100"/>
      <c r="HYJ2" s="100"/>
      <c r="HYK2" s="100"/>
      <c r="HYL2" s="100"/>
      <c r="HYM2" s="100"/>
      <c r="HYN2" s="100"/>
      <c r="HYO2" s="100"/>
      <c r="HYP2" s="100"/>
      <c r="HYQ2" s="100"/>
      <c r="HYR2" s="100"/>
      <c r="HYS2" s="100"/>
      <c r="HYT2" s="100"/>
      <c r="HYU2" s="100"/>
      <c r="HYV2" s="100"/>
      <c r="HYW2" s="100"/>
      <c r="HYX2" s="100"/>
      <c r="HYY2" s="100"/>
      <c r="HYZ2" s="633"/>
      <c r="HZA2" s="100"/>
      <c r="HZB2" s="100"/>
      <c r="HZC2" s="100"/>
      <c r="HZD2" s="199"/>
      <c r="HZE2" s="200"/>
      <c r="HZF2" s="201"/>
      <c r="HZG2" s="100"/>
      <c r="HZH2" s="100"/>
      <c r="HZI2" s="100"/>
      <c r="HZJ2" s="100"/>
      <c r="HZK2" s="100"/>
      <c r="HZL2" s="100"/>
      <c r="HZM2" s="100"/>
      <c r="HZN2" s="100"/>
      <c r="HZO2" s="100"/>
      <c r="HZP2" s="100"/>
      <c r="HZQ2" s="100"/>
      <c r="HZR2" s="100"/>
      <c r="HZS2" s="100"/>
      <c r="HZT2" s="100"/>
      <c r="HZU2" s="100"/>
      <c r="HZV2" s="100"/>
      <c r="HZW2" s="100"/>
      <c r="HZX2" s="100"/>
      <c r="HZY2" s="100"/>
      <c r="HZZ2" s="100"/>
      <c r="IAA2" s="100"/>
      <c r="IAB2" s="100"/>
      <c r="IAC2" s="100"/>
      <c r="IAD2" s="100"/>
      <c r="IAE2" s="100"/>
      <c r="IAF2" s="100"/>
      <c r="IAG2" s="100"/>
      <c r="IAH2" s="100"/>
      <c r="IAI2" s="100"/>
      <c r="IAJ2" s="100"/>
      <c r="IAK2" s="100"/>
      <c r="IAL2" s="100"/>
      <c r="IAM2" s="100"/>
      <c r="IAN2" s="100"/>
      <c r="IAO2" s="100"/>
      <c r="IAP2" s="100"/>
      <c r="IAQ2" s="100"/>
      <c r="IAR2" s="100"/>
      <c r="IAS2" s="100"/>
      <c r="IAT2" s="100"/>
      <c r="IAU2" s="100"/>
      <c r="IAV2" s="100"/>
      <c r="IAW2" s="100"/>
      <c r="IAX2" s="100"/>
      <c r="IAY2" s="100"/>
      <c r="IAZ2" s="100"/>
      <c r="IBA2" s="100"/>
      <c r="IBB2" s="100"/>
      <c r="IBC2" s="100"/>
      <c r="IBD2" s="100"/>
      <c r="IBE2" s="100"/>
      <c r="IBF2" s="100"/>
      <c r="IBG2" s="100"/>
      <c r="IBH2" s="100"/>
      <c r="IBI2" s="100"/>
      <c r="IBJ2" s="100"/>
      <c r="IBK2" s="100"/>
      <c r="IBL2" s="100"/>
      <c r="IBM2" s="100"/>
      <c r="IBN2" s="100"/>
      <c r="IBO2" s="633"/>
      <c r="IBP2" s="100"/>
      <c r="IBQ2" s="100"/>
      <c r="IBR2" s="100"/>
      <c r="IBS2" s="199"/>
      <c r="IBT2" s="200"/>
      <c r="IBU2" s="201"/>
      <c r="IBV2" s="100"/>
      <c r="IBW2" s="100"/>
      <c r="IBX2" s="100"/>
      <c r="IBY2" s="100"/>
      <c r="IBZ2" s="100"/>
      <c r="ICA2" s="100"/>
      <c r="ICB2" s="100"/>
      <c r="ICC2" s="100"/>
      <c r="ICD2" s="100"/>
      <c r="ICE2" s="100"/>
      <c r="ICF2" s="100"/>
      <c r="ICG2" s="100"/>
      <c r="ICH2" s="100"/>
      <c r="ICI2" s="100"/>
      <c r="ICJ2" s="100"/>
      <c r="ICK2" s="100"/>
      <c r="ICL2" s="100"/>
      <c r="ICM2" s="100"/>
      <c r="ICN2" s="100"/>
      <c r="ICO2" s="100"/>
      <c r="ICP2" s="100"/>
      <c r="ICQ2" s="100"/>
      <c r="ICR2" s="100"/>
      <c r="ICS2" s="100"/>
      <c r="ICT2" s="100"/>
      <c r="ICU2" s="100"/>
      <c r="ICV2" s="100"/>
      <c r="ICW2" s="100"/>
      <c r="ICX2" s="100"/>
      <c r="ICY2" s="100"/>
      <c r="ICZ2" s="100"/>
      <c r="IDA2" s="100"/>
      <c r="IDB2" s="100"/>
      <c r="IDC2" s="100"/>
      <c r="IDD2" s="100"/>
      <c r="IDE2" s="100"/>
      <c r="IDF2" s="100"/>
      <c r="IDG2" s="100"/>
      <c r="IDH2" s="100"/>
      <c r="IDI2" s="100"/>
      <c r="IDJ2" s="100"/>
      <c r="IDK2" s="100"/>
      <c r="IDL2" s="100"/>
      <c r="IDM2" s="100"/>
      <c r="IDN2" s="100"/>
      <c r="IDO2" s="100"/>
      <c r="IDP2" s="100"/>
      <c r="IDQ2" s="100"/>
      <c r="IDR2" s="100"/>
      <c r="IDS2" s="100"/>
      <c r="IDT2" s="100"/>
      <c r="IDU2" s="100"/>
      <c r="IDV2" s="100"/>
      <c r="IDW2" s="100"/>
      <c r="IDX2" s="100"/>
      <c r="IDY2" s="100"/>
      <c r="IDZ2" s="100"/>
      <c r="IEA2" s="100"/>
      <c r="IEB2" s="100"/>
      <c r="IEC2" s="100"/>
      <c r="IED2" s="633"/>
      <c r="IEE2" s="100"/>
      <c r="IEF2" s="100"/>
      <c r="IEG2" s="100"/>
      <c r="IEH2" s="199"/>
      <c r="IEI2" s="200"/>
      <c r="IEJ2" s="201"/>
      <c r="IEK2" s="100"/>
      <c r="IEL2" s="100"/>
      <c r="IEM2" s="100"/>
      <c r="IEN2" s="100"/>
      <c r="IEO2" s="100"/>
      <c r="IEP2" s="100"/>
      <c r="IEQ2" s="100"/>
      <c r="IER2" s="100"/>
      <c r="IES2" s="100"/>
      <c r="IET2" s="100"/>
      <c r="IEU2" s="100"/>
      <c r="IEV2" s="100"/>
      <c r="IEW2" s="100"/>
      <c r="IEX2" s="100"/>
      <c r="IEY2" s="100"/>
      <c r="IEZ2" s="100"/>
      <c r="IFA2" s="100"/>
      <c r="IFB2" s="100"/>
      <c r="IFC2" s="100"/>
      <c r="IFD2" s="100"/>
      <c r="IFE2" s="100"/>
      <c r="IFF2" s="100"/>
      <c r="IFG2" s="100"/>
      <c r="IFH2" s="100"/>
      <c r="IFI2" s="100"/>
      <c r="IFJ2" s="100"/>
      <c r="IFK2" s="100"/>
      <c r="IFL2" s="100"/>
      <c r="IFM2" s="100"/>
      <c r="IFN2" s="100"/>
      <c r="IFO2" s="100"/>
      <c r="IFP2" s="100"/>
      <c r="IFQ2" s="100"/>
      <c r="IFR2" s="100"/>
      <c r="IFS2" s="100"/>
      <c r="IFT2" s="100"/>
      <c r="IFU2" s="100"/>
      <c r="IFV2" s="100"/>
      <c r="IFW2" s="100"/>
      <c r="IFX2" s="100"/>
      <c r="IFY2" s="100"/>
      <c r="IFZ2" s="100"/>
      <c r="IGA2" s="100"/>
      <c r="IGB2" s="100"/>
      <c r="IGC2" s="100"/>
      <c r="IGD2" s="100"/>
      <c r="IGE2" s="100"/>
      <c r="IGF2" s="100"/>
      <c r="IGG2" s="100"/>
      <c r="IGH2" s="100"/>
      <c r="IGI2" s="100"/>
      <c r="IGJ2" s="100"/>
      <c r="IGK2" s="100"/>
      <c r="IGL2" s="100"/>
      <c r="IGM2" s="100"/>
      <c r="IGN2" s="100"/>
      <c r="IGO2" s="100"/>
      <c r="IGP2" s="100"/>
      <c r="IGQ2" s="100"/>
      <c r="IGR2" s="100"/>
      <c r="IGS2" s="633"/>
      <c r="IGT2" s="100"/>
      <c r="IGU2" s="100"/>
      <c r="IGV2" s="100"/>
      <c r="IGW2" s="199"/>
      <c r="IGX2" s="200"/>
      <c r="IGY2" s="201"/>
      <c r="IGZ2" s="100"/>
      <c r="IHA2" s="100"/>
      <c r="IHB2" s="100"/>
      <c r="IHC2" s="100"/>
      <c r="IHD2" s="100"/>
      <c r="IHE2" s="100"/>
      <c r="IHF2" s="100"/>
      <c r="IHG2" s="100"/>
      <c r="IHH2" s="100"/>
      <c r="IHI2" s="100"/>
      <c r="IHJ2" s="100"/>
      <c r="IHK2" s="100"/>
      <c r="IHL2" s="100"/>
      <c r="IHM2" s="100"/>
      <c r="IHN2" s="100"/>
      <c r="IHO2" s="100"/>
      <c r="IHP2" s="100"/>
      <c r="IHQ2" s="100"/>
      <c r="IHR2" s="100"/>
      <c r="IHS2" s="100"/>
      <c r="IHT2" s="100"/>
      <c r="IHU2" s="100"/>
      <c r="IHV2" s="100"/>
      <c r="IHW2" s="100"/>
      <c r="IHX2" s="100"/>
      <c r="IHY2" s="100"/>
      <c r="IHZ2" s="100"/>
      <c r="IIA2" s="100"/>
      <c r="IIB2" s="100"/>
      <c r="IIC2" s="100"/>
      <c r="IID2" s="100"/>
      <c r="IIE2" s="100"/>
      <c r="IIF2" s="100"/>
      <c r="IIG2" s="100"/>
      <c r="IIH2" s="100"/>
      <c r="III2" s="100"/>
      <c r="IIJ2" s="100"/>
      <c r="IIK2" s="100"/>
      <c r="IIL2" s="100"/>
      <c r="IIM2" s="100"/>
      <c r="IIN2" s="100"/>
      <c r="IIO2" s="100"/>
      <c r="IIP2" s="100"/>
      <c r="IIQ2" s="100"/>
      <c r="IIR2" s="100"/>
      <c r="IIS2" s="100"/>
      <c r="IIT2" s="100"/>
      <c r="IIU2" s="100"/>
      <c r="IIV2" s="100"/>
      <c r="IIW2" s="100"/>
      <c r="IIX2" s="100"/>
      <c r="IIY2" s="100"/>
      <c r="IIZ2" s="100"/>
      <c r="IJA2" s="100"/>
      <c r="IJB2" s="100"/>
      <c r="IJC2" s="100"/>
      <c r="IJD2" s="100"/>
      <c r="IJE2" s="100"/>
      <c r="IJF2" s="100"/>
      <c r="IJG2" s="100"/>
      <c r="IJH2" s="633"/>
      <c r="IJI2" s="100"/>
      <c r="IJJ2" s="100"/>
      <c r="IJK2" s="100"/>
      <c r="IJL2" s="199"/>
      <c r="IJM2" s="200"/>
      <c r="IJN2" s="201"/>
      <c r="IJO2" s="100"/>
      <c r="IJP2" s="100"/>
      <c r="IJQ2" s="100"/>
      <c r="IJR2" s="100"/>
      <c r="IJS2" s="100"/>
      <c r="IJT2" s="100"/>
      <c r="IJU2" s="100"/>
      <c r="IJV2" s="100"/>
      <c r="IJW2" s="100"/>
      <c r="IJX2" s="100"/>
      <c r="IJY2" s="100"/>
      <c r="IJZ2" s="100"/>
      <c r="IKA2" s="100"/>
      <c r="IKB2" s="100"/>
      <c r="IKC2" s="100"/>
      <c r="IKD2" s="100"/>
      <c r="IKE2" s="100"/>
      <c r="IKF2" s="100"/>
      <c r="IKG2" s="100"/>
      <c r="IKH2" s="100"/>
      <c r="IKI2" s="100"/>
      <c r="IKJ2" s="100"/>
      <c r="IKK2" s="100"/>
      <c r="IKL2" s="100"/>
      <c r="IKM2" s="100"/>
      <c r="IKN2" s="100"/>
      <c r="IKO2" s="100"/>
      <c r="IKP2" s="100"/>
      <c r="IKQ2" s="100"/>
      <c r="IKR2" s="100"/>
      <c r="IKS2" s="100"/>
      <c r="IKT2" s="100"/>
      <c r="IKU2" s="100"/>
      <c r="IKV2" s="100"/>
      <c r="IKW2" s="100"/>
      <c r="IKX2" s="100"/>
      <c r="IKY2" s="100"/>
      <c r="IKZ2" s="100"/>
      <c r="ILA2" s="100"/>
      <c r="ILB2" s="100"/>
      <c r="ILC2" s="100"/>
      <c r="ILD2" s="100"/>
      <c r="ILE2" s="100"/>
      <c r="ILF2" s="100"/>
      <c r="ILG2" s="100"/>
      <c r="ILH2" s="100"/>
      <c r="ILI2" s="100"/>
      <c r="ILJ2" s="100"/>
      <c r="ILK2" s="100"/>
      <c r="ILL2" s="100"/>
      <c r="ILM2" s="100"/>
      <c r="ILN2" s="100"/>
      <c r="ILO2" s="100"/>
      <c r="ILP2" s="100"/>
      <c r="ILQ2" s="100"/>
      <c r="ILR2" s="100"/>
      <c r="ILS2" s="100"/>
      <c r="ILT2" s="100"/>
      <c r="ILU2" s="100"/>
      <c r="ILV2" s="100"/>
      <c r="ILW2" s="633"/>
      <c r="ILX2" s="100"/>
      <c r="ILY2" s="100"/>
      <c r="ILZ2" s="100"/>
      <c r="IMA2" s="199"/>
      <c r="IMB2" s="200"/>
      <c r="IMC2" s="201"/>
      <c r="IMD2" s="100"/>
      <c r="IME2" s="100"/>
      <c r="IMF2" s="100"/>
      <c r="IMG2" s="100"/>
      <c r="IMH2" s="100"/>
      <c r="IMI2" s="100"/>
      <c r="IMJ2" s="100"/>
      <c r="IMK2" s="100"/>
      <c r="IML2" s="100"/>
      <c r="IMM2" s="100"/>
      <c r="IMN2" s="100"/>
      <c r="IMO2" s="100"/>
      <c r="IMP2" s="100"/>
      <c r="IMQ2" s="100"/>
      <c r="IMR2" s="100"/>
      <c r="IMS2" s="100"/>
      <c r="IMT2" s="100"/>
      <c r="IMU2" s="100"/>
      <c r="IMV2" s="100"/>
      <c r="IMW2" s="100"/>
      <c r="IMX2" s="100"/>
      <c r="IMY2" s="100"/>
      <c r="IMZ2" s="100"/>
      <c r="INA2" s="100"/>
      <c r="INB2" s="100"/>
      <c r="INC2" s="100"/>
      <c r="IND2" s="100"/>
      <c r="INE2" s="100"/>
      <c r="INF2" s="100"/>
      <c r="ING2" s="100"/>
      <c r="INH2" s="100"/>
      <c r="INI2" s="100"/>
      <c r="INJ2" s="100"/>
      <c r="INK2" s="100"/>
      <c r="INL2" s="100"/>
      <c r="INM2" s="100"/>
      <c r="INN2" s="100"/>
      <c r="INO2" s="100"/>
      <c r="INP2" s="100"/>
      <c r="INQ2" s="100"/>
      <c r="INR2" s="100"/>
      <c r="INS2" s="100"/>
      <c r="INT2" s="100"/>
      <c r="INU2" s="100"/>
      <c r="INV2" s="100"/>
      <c r="INW2" s="100"/>
      <c r="INX2" s="100"/>
      <c r="INY2" s="100"/>
      <c r="INZ2" s="100"/>
      <c r="IOA2" s="100"/>
      <c r="IOB2" s="100"/>
      <c r="IOC2" s="100"/>
      <c r="IOD2" s="100"/>
      <c r="IOE2" s="100"/>
      <c r="IOF2" s="100"/>
      <c r="IOG2" s="100"/>
      <c r="IOH2" s="100"/>
      <c r="IOI2" s="100"/>
      <c r="IOJ2" s="100"/>
      <c r="IOK2" s="100"/>
      <c r="IOL2" s="633"/>
      <c r="IOM2" s="100"/>
      <c r="ION2" s="100"/>
      <c r="IOO2" s="100"/>
      <c r="IOP2" s="199"/>
      <c r="IOQ2" s="200"/>
      <c r="IOR2" s="201"/>
      <c r="IOS2" s="100"/>
      <c r="IOT2" s="100"/>
      <c r="IOU2" s="100"/>
      <c r="IOV2" s="100"/>
      <c r="IOW2" s="100"/>
      <c r="IOX2" s="100"/>
      <c r="IOY2" s="100"/>
      <c r="IOZ2" s="100"/>
      <c r="IPA2" s="100"/>
      <c r="IPB2" s="100"/>
      <c r="IPC2" s="100"/>
      <c r="IPD2" s="100"/>
      <c r="IPE2" s="100"/>
      <c r="IPF2" s="100"/>
      <c r="IPG2" s="100"/>
      <c r="IPH2" s="100"/>
      <c r="IPI2" s="100"/>
      <c r="IPJ2" s="100"/>
      <c r="IPK2" s="100"/>
      <c r="IPL2" s="100"/>
      <c r="IPM2" s="100"/>
      <c r="IPN2" s="100"/>
      <c r="IPO2" s="100"/>
      <c r="IPP2" s="100"/>
      <c r="IPQ2" s="100"/>
      <c r="IPR2" s="100"/>
      <c r="IPS2" s="100"/>
      <c r="IPT2" s="100"/>
      <c r="IPU2" s="100"/>
      <c r="IPV2" s="100"/>
      <c r="IPW2" s="100"/>
      <c r="IPX2" s="100"/>
      <c r="IPY2" s="100"/>
      <c r="IPZ2" s="100"/>
      <c r="IQA2" s="100"/>
      <c r="IQB2" s="100"/>
      <c r="IQC2" s="100"/>
      <c r="IQD2" s="100"/>
      <c r="IQE2" s="100"/>
      <c r="IQF2" s="100"/>
      <c r="IQG2" s="100"/>
      <c r="IQH2" s="100"/>
      <c r="IQI2" s="100"/>
      <c r="IQJ2" s="100"/>
      <c r="IQK2" s="100"/>
      <c r="IQL2" s="100"/>
      <c r="IQM2" s="100"/>
      <c r="IQN2" s="100"/>
      <c r="IQO2" s="100"/>
      <c r="IQP2" s="100"/>
      <c r="IQQ2" s="100"/>
      <c r="IQR2" s="100"/>
      <c r="IQS2" s="100"/>
      <c r="IQT2" s="100"/>
      <c r="IQU2" s="100"/>
      <c r="IQV2" s="100"/>
      <c r="IQW2" s="100"/>
      <c r="IQX2" s="100"/>
      <c r="IQY2" s="100"/>
      <c r="IQZ2" s="100"/>
      <c r="IRA2" s="633"/>
      <c r="IRB2" s="100"/>
      <c r="IRC2" s="100"/>
      <c r="IRD2" s="100"/>
      <c r="IRE2" s="199"/>
      <c r="IRF2" s="200"/>
      <c r="IRG2" s="201"/>
      <c r="IRH2" s="100"/>
      <c r="IRI2" s="100"/>
      <c r="IRJ2" s="100"/>
      <c r="IRK2" s="100"/>
      <c r="IRL2" s="100"/>
      <c r="IRM2" s="100"/>
      <c r="IRN2" s="100"/>
      <c r="IRO2" s="100"/>
      <c r="IRP2" s="100"/>
      <c r="IRQ2" s="100"/>
      <c r="IRR2" s="100"/>
      <c r="IRS2" s="100"/>
      <c r="IRT2" s="100"/>
      <c r="IRU2" s="100"/>
      <c r="IRV2" s="100"/>
      <c r="IRW2" s="100"/>
      <c r="IRX2" s="100"/>
      <c r="IRY2" s="100"/>
      <c r="IRZ2" s="100"/>
      <c r="ISA2" s="100"/>
      <c r="ISB2" s="100"/>
      <c r="ISC2" s="100"/>
      <c r="ISD2" s="100"/>
      <c r="ISE2" s="100"/>
      <c r="ISF2" s="100"/>
      <c r="ISG2" s="100"/>
      <c r="ISH2" s="100"/>
      <c r="ISI2" s="100"/>
      <c r="ISJ2" s="100"/>
      <c r="ISK2" s="100"/>
      <c r="ISL2" s="100"/>
      <c r="ISM2" s="100"/>
      <c r="ISN2" s="100"/>
      <c r="ISO2" s="100"/>
      <c r="ISP2" s="100"/>
      <c r="ISQ2" s="100"/>
      <c r="ISR2" s="100"/>
      <c r="ISS2" s="100"/>
      <c r="IST2" s="100"/>
      <c r="ISU2" s="100"/>
      <c r="ISV2" s="100"/>
      <c r="ISW2" s="100"/>
      <c r="ISX2" s="100"/>
      <c r="ISY2" s="100"/>
      <c r="ISZ2" s="100"/>
      <c r="ITA2" s="100"/>
      <c r="ITB2" s="100"/>
      <c r="ITC2" s="100"/>
      <c r="ITD2" s="100"/>
      <c r="ITE2" s="100"/>
      <c r="ITF2" s="100"/>
      <c r="ITG2" s="100"/>
      <c r="ITH2" s="100"/>
      <c r="ITI2" s="100"/>
      <c r="ITJ2" s="100"/>
      <c r="ITK2" s="100"/>
      <c r="ITL2" s="100"/>
      <c r="ITM2" s="100"/>
      <c r="ITN2" s="100"/>
      <c r="ITO2" s="100"/>
      <c r="ITP2" s="633"/>
      <c r="ITQ2" s="100"/>
      <c r="ITR2" s="100"/>
      <c r="ITS2" s="100"/>
      <c r="ITT2" s="199"/>
      <c r="ITU2" s="200"/>
      <c r="ITV2" s="201"/>
      <c r="ITW2" s="100"/>
      <c r="ITX2" s="100"/>
      <c r="ITY2" s="100"/>
      <c r="ITZ2" s="100"/>
      <c r="IUA2" s="100"/>
      <c r="IUB2" s="100"/>
      <c r="IUC2" s="100"/>
      <c r="IUD2" s="100"/>
      <c r="IUE2" s="100"/>
      <c r="IUF2" s="100"/>
      <c r="IUG2" s="100"/>
      <c r="IUH2" s="100"/>
      <c r="IUI2" s="100"/>
      <c r="IUJ2" s="100"/>
      <c r="IUK2" s="100"/>
      <c r="IUL2" s="100"/>
      <c r="IUM2" s="100"/>
      <c r="IUN2" s="100"/>
      <c r="IUO2" s="100"/>
      <c r="IUP2" s="100"/>
      <c r="IUQ2" s="100"/>
      <c r="IUR2" s="100"/>
      <c r="IUS2" s="100"/>
      <c r="IUT2" s="100"/>
      <c r="IUU2" s="100"/>
      <c r="IUV2" s="100"/>
      <c r="IUW2" s="100"/>
      <c r="IUX2" s="100"/>
      <c r="IUY2" s="100"/>
      <c r="IUZ2" s="100"/>
      <c r="IVA2" s="100"/>
      <c r="IVB2" s="100"/>
      <c r="IVC2" s="100"/>
      <c r="IVD2" s="100"/>
      <c r="IVE2" s="100"/>
      <c r="IVF2" s="100"/>
      <c r="IVG2" s="100"/>
      <c r="IVH2" s="100"/>
      <c r="IVI2" s="100"/>
      <c r="IVJ2" s="100"/>
      <c r="IVK2" s="100"/>
      <c r="IVL2" s="100"/>
      <c r="IVM2" s="100"/>
      <c r="IVN2" s="100"/>
      <c r="IVO2" s="100"/>
      <c r="IVP2" s="100"/>
      <c r="IVQ2" s="100"/>
      <c r="IVR2" s="100"/>
      <c r="IVS2" s="100"/>
      <c r="IVT2" s="100"/>
      <c r="IVU2" s="100"/>
      <c r="IVV2" s="100"/>
      <c r="IVW2" s="100"/>
      <c r="IVX2" s="100"/>
      <c r="IVY2" s="100"/>
      <c r="IVZ2" s="100"/>
      <c r="IWA2" s="100"/>
      <c r="IWB2" s="100"/>
      <c r="IWC2" s="100"/>
      <c r="IWD2" s="100"/>
      <c r="IWE2" s="633"/>
      <c r="IWF2" s="100"/>
      <c r="IWG2" s="100"/>
      <c r="IWH2" s="100"/>
      <c r="IWI2" s="199"/>
      <c r="IWJ2" s="200"/>
      <c r="IWK2" s="201"/>
      <c r="IWL2" s="100"/>
      <c r="IWM2" s="100"/>
      <c r="IWN2" s="100"/>
      <c r="IWO2" s="100"/>
      <c r="IWP2" s="100"/>
      <c r="IWQ2" s="100"/>
      <c r="IWR2" s="100"/>
      <c r="IWS2" s="100"/>
      <c r="IWT2" s="100"/>
      <c r="IWU2" s="100"/>
      <c r="IWV2" s="100"/>
      <c r="IWW2" s="100"/>
      <c r="IWX2" s="100"/>
      <c r="IWY2" s="100"/>
      <c r="IWZ2" s="100"/>
      <c r="IXA2" s="100"/>
      <c r="IXB2" s="100"/>
      <c r="IXC2" s="100"/>
      <c r="IXD2" s="100"/>
      <c r="IXE2" s="100"/>
      <c r="IXF2" s="100"/>
      <c r="IXG2" s="100"/>
      <c r="IXH2" s="100"/>
      <c r="IXI2" s="100"/>
      <c r="IXJ2" s="100"/>
      <c r="IXK2" s="100"/>
      <c r="IXL2" s="100"/>
      <c r="IXM2" s="100"/>
      <c r="IXN2" s="100"/>
      <c r="IXO2" s="100"/>
      <c r="IXP2" s="100"/>
      <c r="IXQ2" s="100"/>
      <c r="IXR2" s="100"/>
      <c r="IXS2" s="100"/>
      <c r="IXT2" s="100"/>
      <c r="IXU2" s="100"/>
      <c r="IXV2" s="100"/>
      <c r="IXW2" s="100"/>
      <c r="IXX2" s="100"/>
      <c r="IXY2" s="100"/>
      <c r="IXZ2" s="100"/>
      <c r="IYA2" s="100"/>
      <c r="IYB2" s="100"/>
      <c r="IYC2" s="100"/>
      <c r="IYD2" s="100"/>
      <c r="IYE2" s="100"/>
      <c r="IYF2" s="100"/>
      <c r="IYG2" s="100"/>
      <c r="IYH2" s="100"/>
      <c r="IYI2" s="100"/>
      <c r="IYJ2" s="100"/>
      <c r="IYK2" s="100"/>
      <c r="IYL2" s="100"/>
      <c r="IYM2" s="100"/>
      <c r="IYN2" s="100"/>
      <c r="IYO2" s="100"/>
      <c r="IYP2" s="100"/>
      <c r="IYQ2" s="100"/>
      <c r="IYR2" s="100"/>
      <c r="IYS2" s="100"/>
      <c r="IYT2" s="633"/>
      <c r="IYU2" s="100"/>
      <c r="IYV2" s="100"/>
      <c r="IYW2" s="100"/>
      <c r="IYX2" s="199"/>
      <c r="IYY2" s="200"/>
      <c r="IYZ2" s="201"/>
      <c r="IZA2" s="100"/>
      <c r="IZB2" s="100"/>
      <c r="IZC2" s="100"/>
      <c r="IZD2" s="100"/>
      <c r="IZE2" s="100"/>
      <c r="IZF2" s="100"/>
      <c r="IZG2" s="100"/>
      <c r="IZH2" s="100"/>
      <c r="IZI2" s="100"/>
      <c r="IZJ2" s="100"/>
      <c r="IZK2" s="100"/>
      <c r="IZL2" s="100"/>
      <c r="IZM2" s="100"/>
      <c r="IZN2" s="100"/>
      <c r="IZO2" s="100"/>
      <c r="IZP2" s="100"/>
      <c r="IZQ2" s="100"/>
      <c r="IZR2" s="100"/>
      <c r="IZS2" s="100"/>
      <c r="IZT2" s="100"/>
      <c r="IZU2" s="100"/>
      <c r="IZV2" s="100"/>
      <c r="IZW2" s="100"/>
      <c r="IZX2" s="100"/>
      <c r="IZY2" s="100"/>
      <c r="IZZ2" s="100"/>
      <c r="JAA2" s="100"/>
      <c r="JAB2" s="100"/>
      <c r="JAC2" s="100"/>
      <c r="JAD2" s="100"/>
      <c r="JAE2" s="100"/>
      <c r="JAF2" s="100"/>
      <c r="JAG2" s="100"/>
      <c r="JAH2" s="100"/>
      <c r="JAI2" s="100"/>
      <c r="JAJ2" s="100"/>
      <c r="JAK2" s="100"/>
      <c r="JAL2" s="100"/>
      <c r="JAM2" s="100"/>
      <c r="JAN2" s="100"/>
      <c r="JAO2" s="100"/>
      <c r="JAP2" s="100"/>
      <c r="JAQ2" s="100"/>
      <c r="JAR2" s="100"/>
      <c r="JAS2" s="100"/>
      <c r="JAT2" s="100"/>
      <c r="JAU2" s="100"/>
      <c r="JAV2" s="100"/>
      <c r="JAW2" s="100"/>
      <c r="JAX2" s="100"/>
      <c r="JAY2" s="100"/>
      <c r="JAZ2" s="100"/>
      <c r="JBA2" s="100"/>
      <c r="JBB2" s="100"/>
      <c r="JBC2" s="100"/>
      <c r="JBD2" s="100"/>
      <c r="JBE2" s="100"/>
      <c r="JBF2" s="100"/>
      <c r="JBG2" s="100"/>
      <c r="JBH2" s="100"/>
      <c r="JBI2" s="633"/>
      <c r="JBJ2" s="100"/>
      <c r="JBK2" s="100"/>
      <c r="JBL2" s="100"/>
      <c r="JBM2" s="199"/>
      <c r="JBN2" s="200"/>
      <c r="JBO2" s="201"/>
      <c r="JBP2" s="100"/>
      <c r="JBQ2" s="100"/>
      <c r="JBR2" s="100"/>
      <c r="JBS2" s="100"/>
      <c r="JBT2" s="100"/>
      <c r="JBU2" s="100"/>
      <c r="JBV2" s="100"/>
      <c r="JBW2" s="100"/>
      <c r="JBX2" s="100"/>
      <c r="JBY2" s="100"/>
      <c r="JBZ2" s="100"/>
      <c r="JCA2" s="100"/>
      <c r="JCB2" s="100"/>
      <c r="JCC2" s="100"/>
      <c r="JCD2" s="100"/>
      <c r="JCE2" s="100"/>
      <c r="JCF2" s="100"/>
      <c r="JCG2" s="100"/>
      <c r="JCH2" s="100"/>
      <c r="JCI2" s="100"/>
      <c r="JCJ2" s="100"/>
      <c r="JCK2" s="100"/>
      <c r="JCL2" s="100"/>
      <c r="JCM2" s="100"/>
      <c r="JCN2" s="100"/>
      <c r="JCO2" s="100"/>
      <c r="JCP2" s="100"/>
      <c r="JCQ2" s="100"/>
      <c r="JCR2" s="100"/>
      <c r="JCS2" s="100"/>
      <c r="JCT2" s="100"/>
      <c r="JCU2" s="100"/>
      <c r="JCV2" s="100"/>
      <c r="JCW2" s="100"/>
      <c r="JCX2" s="100"/>
      <c r="JCY2" s="100"/>
      <c r="JCZ2" s="100"/>
      <c r="JDA2" s="100"/>
      <c r="JDB2" s="100"/>
      <c r="JDC2" s="100"/>
      <c r="JDD2" s="100"/>
      <c r="JDE2" s="100"/>
      <c r="JDF2" s="100"/>
      <c r="JDG2" s="100"/>
      <c r="JDH2" s="100"/>
      <c r="JDI2" s="100"/>
      <c r="JDJ2" s="100"/>
      <c r="JDK2" s="100"/>
      <c r="JDL2" s="100"/>
      <c r="JDM2" s="100"/>
      <c r="JDN2" s="100"/>
      <c r="JDO2" s="100"/>
      <c r="JDP2" s="100"/>
      <c r="JDQ2" s="100"/>
      <c r="JDR2" s="100"/>
      <c r="JDS2" s="100"/>
      <c r="JDT2" s="100"/>
      <c r="JDU2" s="100"/>
      <c r="JDV2" s="100"/>
      <c r="JDW2" s="100"/>
      <c r="JDX2" s="633"/>
      <c r="JDY2" s="100"/>
      <c r="JDZ2" s="100"/>
      <c r="JEA2" s="100"/>
      <c r="JEB2" s="199"/>
      <c r="JEC2" s="200"/>
      <c r="JED2" s="201"/>
      <c r="JEE2" s="100"/>
      <c r="JEF2" s="100"/>
      <c r="JEG2" s="100"/>
      <c r="JEH2" s="100"/>
      <c r="JEI2" s="100"/>
      <c r="JEJ2" s="100"/>
      <c r="JEK2" s="100"/>
      <c r="JEL2" s="100"/>
      <c r="JEM2" s="100"/>
      <c r="JEN2" s="100"/>
      <c r="JEO2" s="100"/>
      <c r="JEP2" s="100"/>
      <c r="JEQ2" s="100"/>
      <c r="JER2" s="100"/>
      <c r="JES2" s="100"/>
      <c r="JET2" s="100"/>
      <c r="JEU2" s="100"/>
      <c r="JEV2" s="100"/>
      <c r="JEW2" s="100"/>
      <c r="JEX2" s="100"/>
      <c r="JEY2" s="100"/>
      <c r="JEZ2" s="100"/>
      <c r="JFA2" s="100"/>
      <c r="JFB2" s="100"/>
      <c r="JFC2" s="100"/>
      <c r="JFD2" s="100"/>
      <c r="JFE2" s="100"/>
      <c r="JFF2" s="100"/>
      <c r="JFG2" s="100"/>
      <c r="JFH2" s="100"/>
      <c r="JFI2" s="100"/>
      <c r="JFJ2" s="100"/>
      <c r="JFK2" s="100"/>
      <c r="JFL2" s="100"/>
      <c r="JFM2" s="100"/>
      <c r="JFN2" s="100"/>
      <c r="JFO2" s="100"/>
      <c r="JFP2" s="100"/>
      <c r="JFQ2" s="100"/>
      <c r="JFR2" s="100"/>
      <c r="JFS2" s="100"/>
      <c r="JFT2" s="100"/>
      <c r="JFU2" s="100"/>
      <c r="JFV2" s="100"/>
      <c r="JFW2" s="100"/>
      <c r="JFX2" s="100"/>
      <c r="JFY2" s="100"/>
      <c r="JFZ2" s="100"/>
      <c r="JGA2" s="100"/>
      <c r="JGB2" s="100"/>
      <c r="JGC2" s="100"/>
      <c r="JGD2" s="100"/>
      <c r="JGE2" s="100"/>
      <c r="JGF2" s="100"/>
      <c r="JGG2" s="100"/>
      <c r="JGH2" s="100"/>
      <c r="JGI2" s="100"/>
      <c r="JGJ2" s="100"/>
      <c r="JGK2" s="100"/>
      <c r="JGL2" s="100"/>
      <c r="JGM2" s="633"/>
      <c r="JGN2" s="100"/>
      <c r="JGO2" s="100"/>
      <c r="JGP2" s="100"/>
      <c r="JGQ2" s="199"/>
      <c r="JGR2" s="200"/>
      <c r="JGS2" s="201"/>
      <c r="JGT2" s="100"/>
      <c r="JGU2" s="100"/>
      <c r="JGV2" s="100"/>
      <c r="JGW2" s="100"/>
      <c r="JGX2" s="100"/>
      <c r="JGY2" s="100"/>
      <c r="JGZ2" s="100"/>
      <c r="JHA2" s="100"/>
      <c r="JHB2" s="100"/>
      <c r="JHC2" s="100"/>
      <c r="JHD2" s="100"/>
      <c r="JHE2" s="100"/>
      <c r="JHF2" s="100"/>
      <c r="JHG2" s="100"/>
      <c r="JHH2" s="100"/>
      <c r="JHI2" s="100"/>
      <c r="JHJ2" s="100"/>
      <c r="JHK2" s="100"/>
      <c r="JHL2" s="100"/>
      <c r="JHM2" s="100"/>
      <c r="JHN2" s="100"/>
      <c r="JHO2" s="100"/>
      <c r="JHP2" s="100"/>
      <c r="JHQ2" s="100"/>
      <c r="JHR2" s="100"/>
      <c r="JHS2" s="100"/>
      <c r="JHT2" s="100"/>
      <c r="JHU2" s="100"/>
      <c r="JHV2" s="100"/>
      <c r="JHW2" s="100"/>
      <c r="JHX2" s="100"/>
      <c r="JHY2" s="100"/>
      <c r="JHZ2" s="100"/>
      <c r="JIA2" s="100"/>
      <c r="JIB2" s="100"/>
      <c r="JIC2" s="100"/>
      <c r="JID2" s="100"/>
      <c r="JIE2" s="100"/>
      <c r="JIF2" s="100"/>
      <c r="JIG2" s="100"/>
      <c r="JIH2" s="100"/>
      <c r="JII2" s="100"/>
      <c r="JIJ2" s="100"/>
      <c r="JIK2" s="100"/>
      <c r="JIL2" s="100"/>
      <c r="JIM2" s="100"/>
      <c r="JIN2" s="100"/>
      <c r="JIO2" s="100"/>
      <c r="JIP2" s="100"/>
      <c r="JIQ2" s="100"/>
      <c r="JIR2" s="100"/>
      <c r="JIS2" s="100"/>
      <c r="JIT2" s="100"/>
      <c r="JIU2" s="100"/>
      <c r="JIV2" s="100"/>
      <c r="JIW2" s="100"/>
      <c r="JIX2" s="100"/>
      <c r="JIY2" s="100"/>
      <c r="JIZ2" s="100"/>
      <c r="JJA2" s="100"/>
      <c r="JJB2" s="633"/>
      <c r="JJC2" s="100"/>
      <c r="JJD2" s="100"/>
      <c r="JJE2" s="100"/>
      <c r="JJF2" s="199"/>
      <c r="JJG2" s="200"/>
      <c r="JJH2" s="201"/>
      <c r="JJI2" s="100"/>
      <c r="JJJ2" s="100"/>
      <c r="JJK2" s="100"/>
      <c r="JJL2" s="100"/>
      <c r="JJM2" s="100"/>
      <c r="JJN2" s="100"/>
      <c r="JJO2" s="100"/>
      <c r="JJP2" s="100"/>
      <c r="JJQ2" s="100"/>
      <c r="JJR2" s="100"/>
      <c r="JJS2" s="100"/>
      <c r="JJT2" s="100"/>
      <c r="JJU2" s="100"/>
      <c r="JJV2" s="100"/>
      <c r="JJW2" s="100"/>
      <c r="JJX2" s="100"/>
      <c r="JJY2" s="100"/>
      <c r="JJZ2" s="100"/>
      <c r="JKA2" s="100"/>
      <c r="JKB2" s="100"/>
      <c r="JKC2" s="100"/>
      <c r="JKD2" s="100"/>
      <c r="JKE2" s="100"/>
      <c r="JKF2" s="100"/>
      <c r="JKG2" s="100"/>
      <c r="JKH2" s="100"/>
      <c r="JKI2" s="100"/>
      <c r="JKJ2" s="100"/>
      <c r="JKK2" s="100"/>
      <c r="JKL2" s="100"/>
      <c r="JKM2" s="100"/>
      <c r="JKN2" s="100"/>
      <c r="JKO2" s="100"/>
      <c r="JKP2" s="100"/>
      <c r="JKQ2" s="100"/>
      <c r="JKR2" s="100"/>
      <c r="JKS2" s="100"/>
      <c r="JKT2" s="100"/>
      <c r="JKU2" s="100"/>
      <c r="JKV2" s="100"/>
      <c r="JKW2" s="100"/>
      <c r="JKX2" s="100"/>
      <c r="JKY2" s="100"/>
      <c r="JKZ2" s="100"/>
      <c r="JLA2" s="100"/>
      <c r="JLB2" s="100"/>
      <c r="JLC2" s="100"/>
      <c r="JLD2" s="100"/>
      <c r="JLE2" s="100"/>
      <c r="JLF2" s="100"/>
      <c r="JLG2" s="100"/>
      <c r="JLH2" s="100"/>
      <c r="JLI2" s="100"/>
      <c r="JLJ2" s="100"/>
      <c r="JLK2" s="100"/>
      <c r="JLL2" s="100"/>
      <c r="JLM2" s="100"/>
      <c r="JLN2" s="100"/>
      <c r="JLO2" s="100"/>
      <c r="JLP2" s="100"/>
      <c r="JLQ2" s="633"/>
      <c r="JLR2" s="100"/>
      <c r="JLS2" s="100"/>
      <c r="JLT2" s="100"/>
      <c r="JLU2" s="199"/>
      <c r="JLV2" s="200"/>
      <c r="JLW2" s="201"/>
      <c r="JLX2" s="100"/>
      <c r="JLY2" s="100"/>
      <c r="JLZ2" s="100"/>
      <c r="JMA2" s="100"/>
      <c r="JMB2" s="100"/>
      <c r="JMC2" s="100"/>
      <c r="JMD2" s="100"/>
      <c r="JME2" s="100"/>
      <c r="JMF2" s="100"/>
      <c r="JMG2" s="100"/>
      <c r="JMH2" s="100"/>
      <c r="JMI2" s="100"/>
      <c r="JMJ2" s="100"/>
      <c r="JMK2" s="100"/>
      <c r="JML2" s="100"/>
      <c r="JMM2" s="100"/>
      <c r="JMN2" s="100"/>
      <c r="JMO2" s="100"/>
      <c r="JMP2" s="100"/>
      <c r="JMQ2" s="100"/>
      <c r="JMR2" s="100"/>
      <c r="JMS2" s="100"/>
      <c r="JMT2" s="100"/>
      <c r="JMU2" s="100"/>
      <c r="JMV2" s="100"/>
      <c r="JMW2" s="100"/>
      <c r="JMX2" s="100"/>
      <c r="JMY2" s="100"/>
      <c r="JMZ2" s="100"/>
      <c r="JNA2" s="100"/>
      <c r="JNB2" s="100"/>
      <c r="JNC2" s="100"/>
      <c r="JND2" s="100"/>
      <c r="JNE2" s="100"/>
      <c r="JNF2" s="100"/>
      <c r="JNG2" s="100"/>
      <c r="JNH2" s="100"/>
      <c r="JNI2" s="100"/>
      <c r="JNJ2" s="100"/>
      <c r="JNK2" s="100"/>
      <c r="JNL2" s="100"/>
      <c r="JNM2" s="100"/>
      <c r="JNN2" s="100"/>
      <c r="JNO2" s="100"/>
      <c r="JNP2" s="100"/>
      <c r="JNQ2" s="100"/>
      <c r="JNR2" s="100"/>
      <c r="JNS2" s="100"/>
      <c r="JNT2" s="100"/>
      <c r="JNU2" s="100"/>
      <c r="JNV2" s="100"/>
      <c r="JNW2" s="100"/>
      <c r="JNX2" s="100"/>
      <c r="JNY2" s="100"/>
      <c r="JNZ2" s="100"/>
      <c r="JOA2" s="100"/>
      <c r="JOB2" s="100"/>
      <c r="JOC2" s="100"/>
      <c r="JOD2" s="100"/>
      <c r="JOE2" s="100"/>
      <c r="JOF2" s="633"/>
      <c r="JOG2" s="100"/>
      <c r="JOH2" s="100"/>
      <c r="JOI2" s="100"/>
      <c r="JOJ2" s="199"/>
      <c r="JOK2" s="200"/>
      <c r="JOL2" s="201"/>
      <c r="JOM2" s="100"/>
      <c r="JON2" s="100"/>
      <c r="JOO2" s="100"/>
      <c r="JOP2" s="100"/>
      <c r="JOQ2" s="100"/>
      <c r="JOR2" s="100"/>
      <c r="JOS2" s="100"/>
      <c r="JOT2" s="100"/>
      <c r="JOU2" s="100"/>
      <c r="JOV2" s="100"/>
      <c r="JOW2" s="100"/>
      <c r="JOX2" s="100"/>
      <c r="JOY2" s="100"/>
      <c r="JOZ2" s="100"/>
      <c r="JPA2" s="100"/>
      <c r="JPB2" s="100"/>
      <c r="JPC2" s="100"/>
      <c r="JPD2" s="100"/>
      <c r="JPE2" s="100"/>
      <c r="JPF2" s="100"/>
      <c r="JPG2" s="100"/>
      <c r="JPH2" s="100"/>
      <c r="JPI2" s="100"/>
      <c r="JPJ2" s="100"/>
      <c r="JPK2" s="100"/>
      <c r="JPL2" s="100"/>
      <c r="JPM2" s="100"/>
      <c r="JPN2" s="100"/>
      <c r="JPO2" s="100"/>
      <c r="JPP2" s="100"/>
      <c r="JPQ2" s="100"/>
      <c r="JPR2" s="100"/>
      <c r="JPS2" s="100"/>
      <c r="JPT2" s="100"/>
      <c r="JPU2" s="100"/>
      <c r="JPV2" s="100"/>
      <c r="JPW2" s="100"/>
      <c r="JPX2" s="100"/>
      <c r="JPY2" s="100"/>
      <c r="JPZ2" s="100"/>
      <c r="JQA2" s="100"/>
      <c r="JQB2" s="100"/>
      <c r="JQC2" s="100"/>
      <c r="JQD2" s="100"/>
      <c r="JQE2" s="100"/>
      <c r="JQF2" s="100"/>
      <c r="JQG2" s="100"/>
      <c r="JQH2" s="100"/>
      <c r="JQI2" s="100"/>
      <c r="JQJ2" s="100"/>
      <c r="JQK2" s="100"/>
      <c r="JQL2" s="100"/>
      <c r="JQM2" s="100"/>
      <c r="JQN2" s="100"/>
      <c r="JQO2" s="100"/>
      <c r="JQP2" s="100"/>
      <c r="JQQ2" s="100"/>
      <c r="JQR2" s="100"/>
      <c r="JQS2" s="100"/>
      <c r="JQT2" s="100"/>
      <c r="JQU2" s="633"/>
      <c r="JQV2" s="100"/>
      <c r="JQW2" s="100"/>
      <c r="JQX2" s="100"/>
      <c r="JQY2" s="199"/>
      <c r="JQZ2" s="200"/>
      <c r="JRA2" s="201"/>
      <c r="JRB2" s="100"/>
      <c r="JRC2" s="100"/>
      <c r="JRD2" s="100"/>
      <c r="JRE2" s="100"/>
      <c r="JRF2" s="100"/>
      <c r="JRG2" s="100"/>
      <c r="JRH2" s="100"/>
      <c r="JRI2" s="100"/>
      <c r="JRJ2" s="100"/>
      <c r="JRK2" s="100"/>
      <c r="JRL2" s="100"/>
      <c r="JRM2" s="100"/>
      <c r="JRN2" s="100"/>
      <c r="JRO2" s="100"/>
      <c r="JRP2" s="100"/>
      <c r="JRQ2" s="100"/>
      <c r="JRR2" s="100"/>
      <c r="JRS2" s="100"/>
      <c r="JRT2" s="100"/>
      <c r="JRU2" s="100"/>
      <c r="JRV2" s="100"/>
      <c r="JRW2" s="100"/>
      <c r="JRX2" s="100"/>
      <c r="JRY2" s="100"/>
      <c r="JRZ2" s="100"/>
      <c r="JSA2" s="100"/>
      <c r="JSB2" s="100"/>
      <c r="JSC2" s="100"/>
      <c r="JSD2" s="100"/>
      <c r="JSE2" s="100"/>
      <c r="JSF2" s="100"/>
      <c r="JSG2" s="100"/>
      <c r="JSH2" s="100"/>
      <c r="JSI2" s="100"/>
      <c r="JSJ2" s="100"/>
      <c r="JSK2" s="100"/>
      <c r="JSL2" s="100"/>
      <c r="JSM2" s="100"/>
      <c r="JSN2" s="100"/>
      <c r="JSO2" s="100"/>
      <c r="JSP2" s="100"/>
      <c r="JSQ2" s="100"/>
      <c r="JSR2" s="100"/>
      <c r="JSS2" s="100"/>
      <c r="JST2" s="100"/>
      <c r="JSU2" s="100"/>
      <c r="JSV2" s="100"/>
      <c r="JSW2" s="100"/>
      <c r="JSX2" s="100"/>
      <c r="JSY2" s="100"/>
      <c r="JSZ2" s="100"/>
      <c r="JTA2" s="100"/>
      <c r="JTB2" s="100"/>
      <c r="JTC2" s="100"/>
      <c r="JTD2" s="100"/>
      <c r="JTE2" s="100"/>
      <c r="JTF2" s="100"/>
      <c r="JTG2" s="100"/>
      <c r="JTH2" s="100"/>
      <c r="JTI2" s="100"/>
      <c r="JTJ2" s="633"/>
      <c r="JTK2" s="100"/>
      <c r="JTL2" s="100"/>
      <c r="JTM2" s="100"/>
      <c r="JTN2" s="199"/>
      <c r="JTO2" s="200"/>
      <c r="JTP2" s="201"/>
      <c r="JTQ2" s="100"/>
      <c r="JTR2" s="100"/>
      <c r="JTS2" s="100"/>
      <c r="JTT2" s="100"/>
      <c r="JTU2" s="100"/>
      <c r="JTV2" s="100"/>
      <c r="JTW2" s="100"/>
      <c r="JTX2" s="100"/>
      <c r="JTY2" s="100"/>
      <c r="JTZ2" s="100"/>
      <c r="JUA2" s="100"/>
      <c r="JUB2" s="100"/>
      <c r="JUC2" s="100"/>
      <c r="JUD2" s="100"/>
      <c r="JUE2" s="100"/>
      <c r="JUF2" s="100"/>
      <c r="JUG2" s="100"/>
      <c r="JUH2" s="100"/>
      <c r="JUI2" s="100"/>
      <c r="JUJ2" s="100"/>
      <c r="JUK2" s="100"/>
      <c r="JUL2" s="100"/>
      <c r="JUM2" s="100"/>
      <c r="JUN2" s="100"/>
      <c r="JUO2" s="100"/>
      <c r="JUP2" s="100"/>
      <c r="JUQ2" s="100"/>
      <c r="JUR2" s="100"/>
      <c r="JUS2" s="100"/>
      <c r="JUT2" s="100"/>
      <c r="JUU2" s="100"/>
      <c r="JUV2" s="100"/>
      <c r="JUW2" s="100"/>
      <c r="JUX2" s="100"/>
      <c r="JUY2" s="100"/>
      <c r="JUZ2" s="100"/>
      <c r="JVA2" s="100"/>
      <c r="JVB2" s="100"/>
      <c r="JVC2" s="100"/>
      <c r="JVD2" s="100"/>
      <c r="JVE2" s="100"/>
      <c r="JVF2" s="100"/>
      <c r="JVG2" s="100"/>
      <c r="JVH2" s="100"/>
      <c r="JVI2" s="100"/>
      <c r="JVJ2" s="100"/>
      <c r="JVK2" s="100"/>
      <c r="JVL2" s="100"/>
      <c r="JVM2" s="100"/>
      <c r="JVN2" s="100"/>
      <c r="JVO2" s="100"/>
      <c r="JVP2" s="100"/>
      <c r="JVQ2" s="100"/>
      <c r="JVR2" s="100"/>
      <c r="JVS2" s="100"/>
      <c r="JVT2" s="100"/>
      <c r="JVU2" s="100"/>
      <c r="JVV2" s="100"/>
      <c r="JVW2" s="100"/>
      <c r="JVX2" s="100"/>
      <c r="JVY2" s="633"/>
      <c r="JVZ2" s="100"/>
      <c r="JWA2" s="100"/>
      <c r="JWB2" s="100"/>
      <c r="JWC2" s="199"/>
      <c r="JWD2" s="200"/>
      <c r="JWE2" s="201"/>
      <c r="JWF2" s="100"/>
      <c r="JWG2" s="100"/>
      <c r="JWH2" s="100"/>
      <c r="JWI2" s="100"/>
      <c r="JWJ2" s="100"/>
      <c r="JWK2" s="100"/>
      <c r="JWL2" s="100"/>
      <c r="JWM2" s="100"/>
      <c r="JWN2" s="100"/>
      <c r="JWO2" s="100"/>
      <c r="JWP2" s="100"/>
      <c r="JWQ2" s="100"/>
      <c r="JWR2" s="100"/>
      <c r="JWS2" s="100"/>
      <c r="JWT2" s="100"/>
      <c r="JWU2" s="100"/>
      <c r="JWV2" s="100"/>
      <c r="JWW2" s="100"/>
      <c r="JWX2" s="100"/>
      <c r="JWY2" s="100"/>
      <c r="JWZ2" s="100"/>
      <c r="JXA2" s="100"/>
      <c r="JXB2" s="100"/>
      <c r="JXC2" s="100"/>
      <c r="JXD2" s="100"/>
      <c r="JXE2" s="100"/>
      <c r="JXF2" s="100"/>
      <c r="JXG2" s="100"/>
      <c r="JXH2" s="100"/>
      <c r="JXI2" s="100"/>
      <c r="JXJ2" s="100"/>
      <c r="JXK2" s="100"/>
      <c r="JXL2" s="100"/>
      <c r="JXM2" s="100"/>
      <c r="JXN2" s="100"/>
      <c r="JXO2" s="100"/>
      <c r="JXP2" s="100"/>
      <c r="JXQ2" s="100"/>
      <c r="JXR2" s="100"/>
      <c r="JXS2" s="100"/>
      <c r="JXT2" s="100"/>
      <c r="JXU2" s="100"/>
      <c r="JXV2" s="100"/>
      <c r="JXW2" s="100"/>
      <c r="JXX2" s="100"/>
      <c r="JXY2" s="100"/>
      <c r="JXZ2" s="100"/>
      <c r="JYA2" s="100"/>
      <c r="JYB2" s="100"/>
      <c r="JYC2" s="100"/>
      <c r="JYD2" s="100"/>
      <c r="JYE2" s="100"/>
      <c r="JYF2" s="100"/>
      <c r="JYG2" s="100"/>
      <c r="JYH2" s="100"/>
      <c r="JYI2" s="100"/>
      <c r="JYJ2" s="100"/>
      <c r="JYK2" s="100"/>
      <c r="JYL2" s="100"/>
      <c r="JYM2" s="100"/>
      <c r="JYN2" s="633"/>
      <c r="JYO2" s="100"/>
      <c r="JYP2" s="100"/>
      <c r="JYQ2" s="100"/>
      <c r="JYR2" s="199"/>
      <c r="JYS2" s="200"/>
      <c r="JYT2" s="201"/>
      <c r="JYU2" s="100"/>
      <c r="JYV2" s="100"/>
      <c r="JYW2" s="100"/>
      <c r="JYX2" s="100"/>
      <c r="JYY2" s="100"/>
      <c r="JYZ2" s="100"/>
      <c r="JZA2" s="100"/>
      <c r="JZB2" s="100"/>
      <c r="JZC2" s="100"/>
      <c r="JZD2" s="100"/>
      <c r="JZE2" s="100"/>
      <c r="JZF2" s="100"/>
      <c r="JZG2" s="100"/>
      <c r="JZH2" s="100"/>
      <c r="JZI2" s="100"/>
      <c r="JZJ2" s="100"/>
      <c r="JZK2" s="100"/>
      <c r="JZL2" s="100"/>
      <c r="JZM2" s="100"/>
      <c r="JZN2" s="100"/>
      <c r="JZO2" s="100"/>
      <c r="JZP2" s="100"/>
      <c r="JZQ2" s="100"/>
      <c r="JZR2" s="100"/>
      <c r="JZS2" s="100"/>
      <c r="JZT2" s="100"/>
      <c r="JZU2" s="100"/>
      <c r="JZV2" s="100"/>
      <c r="JZW2" s="100"/>
      <c r="JZX2" s="100"/>
      <c r="JZY2" s="100"/>
      <c r="JZZ2" s="100"/>
      <c r="KAA2" s="100"/>
      <c r="KAB2" s="100"/>
      <c r="KAC2" s="100"/>
      <c r="KAD2" s="100"/>
      <c r="KAE2" s="100"/>
      <c r="KAF2" s="100"/>
      <c r="KAG2" s="100"/>
      <c r="KAH2" s="100"/>
      <c r="KAI2" s="100"/>
      <c r="KAJ2" s="100"/>
      <c r="KAK2" s="100"/>
      <c r="KAL2" s="100"/>
      <c r="KAM2" s="100"/>
      <c r="KAN2" s="100"/>
      <c r="KAO2" s="100"/>
      <c r="KAP2" s="100"/>
      <c r="KAQ2" s="100"/>
      <c r="KAR2" s="100"/>
      <c r="KAS2" s="100"/>
      <c r="KAT2" s="100"/>
      <c r="KAU2" s="100"/>
      <c r="KAV2" s="100"/>
      <c r="KAW2" s="100"/>
      <c r="KAX2" s="100"/>
      <c r="KAY2" s="100"/>
      <c r="KAZ2" s="100"/>
      <c r="KBA2" s="100"/>
      <c r="KBB2" s="100"/>
      <c r="KBC2" s="633"/>
      <c r="KBD2" s="100"/>
      <c r="KBE2" s="100"/>
      <c r="KBF2" s="100"/>
      <c r="KBG2" s="199"/>
      <c r="KBH2" s="200"/>
      <c r="KBI2" s="201"/>
      <c r="KBJ2" s="100"/>
      <c r="KBK2" s="100"/>
      <c r="KBL2" s="100"/>
      <c r="KBM2" s="100"/>
      <c r="KBN2" s="100"/>
      <c r="KBO2" s="100"/>
      <c r="KBP2" s="100"/>
      <c r="KBQ2" s="100"/>
      <c r="KBR2" s="100"/>
      <c r="KBS2" s="100"/>
      <c r="KBT2" s="100"/>
      <c r="KBU2" s="100"/>
      <c r="KBV2" s="100"/>
      <c r="KBW2" s="100"/>
      <c r="KBX2" s="100"/>
      <c r="KBY2" s="100"/>
      <c r="KBZ2" s="100"/>
      <c r="KCA2" s="100"/>
      <c r="KCB2" s="100"/>
      <c r="KCC2" s="100"/>
      <c r="KCD2" s="100"/>
      <c r="KCE2" s="100"/>
      <c r="KCF2" s="100"/>
      <c r="KCG2" s="100"/>
      <c r="KCH2" s="100"/>
      <c r="KCI2" s="100"/>
      <c r="KCJ2" s="100"/>
      <c r="KCK2" s="100"/>
      <c r="KCL2" s="100"/>
      <c r="KCM2" s="100"/>
      <c r="KCN2" s="100"/>
      <c r="KCO2" s="100"/>
      <c r="KCP2" s="100"/>
      <c r="KCQ2" s="100"/>
      <c r="KCR2" s="100"/>
      <c r="KCS2" s="100"/>
      <c r="KCT2" s="100"/>
      <c r="KCU2" s="100"/>
      <c r="KCV2" s="100"/>
      <c r="KCW2" s="100"/>
      <c r="KCX2" s="100"/>
      <c r="KCY2" s="100"/>
      <c r="KCZ2" s="100"/>
      <c r="KDA2" s="100"/>
      <c r="KDB2" s="100"/>
      <c r="KDC2" s="100"/>
      <c r="KDD2" s="100"/>
      <c r="KDE2" s="100"/>
      <c r="KDF2" s="100"/>
      <c r="KDG2" s="100"/>
      <c r="KDH2" s="100"/>
      <c r="KDI2" s="100"/>
      <c r="KDJ2" s="100"/>
      <c r="KDK2" s="100"/>
      <c r="KDL2" s="100"/>
      <c r="KDM2" s="100"/>
      <c r="KDN2" s="100"/>
      <c r="KDO2" s="100"/>
      <c r="KDP2" s="100"/>
      <c r="KDQ2" s="100"/>
      <c r="KDR2" s="633"/>
      <c r="KDS2" s="100"/>
      <c r="KDT2" s="100"/>
      <c r="KDU2" s="100"/>
      <c r="KDV2" s="199"/>
      <c r="KDW2" s="200"/>
      <c r="KDX2" s="201"/>
      <c r="KDY2" s="100"/>
      <c r="KDZ2" s="100"/>
      <c r="KEA2" s="100"/>
      <c r="KEB2" s="100"/>
      <c r="KEC2" s="100"/>
      <c r="KED2" s="100"/>
      <c r="KEE2" s="100"/>
      <c r="KEF2" s="100"/>
      <c r="KEG2" s="100"/>
      <c r="KEH2" s="100"/>
      <c r="KEI2" s="100"/>
      <c r="KEJ2" s="100"/>
      <c r="KEK2" s="100"/>
      <c r="KEL2" s="100"/>
      <c r="KEM2" s="100"/>
      <c r="KEN2" s="100"/>
      <c r="KEO2" s="100"/>
      <c r="KEP2" s="100"/>
      <c r="KEQ2" s="100"/>
      <c r="KER2" s="100"/>
      <c r="KES2" s="100"/>
      <c r="KET2" s="100"/>
      <c r="KEU2" s="100"/>
      <c r="KEV2" s="100"/>
      <c r="KEW2" s="100"/>
      <c r="KEX2" s="100"/>
      <c r="KEY2" s="100"/>
      <c r="KEZ2" s="100"/>
      <c r="KFA2" s="100"/>
      <c r="KFB2" s="100"/>
      <c r="KFC2" s="100"/>
      <c r="KFD2" s="100"/>
      <c r="KFE2" s="100"/>
      <c r="KFF2" s="100"/>
      <c r="KFG2" s="100"/>
      <c r="KFH2" s="100"/>
      <c r="KFI2" s="100"/>
      <c r="KFJ2" s="100"/>
      <c r="KFK2" s="100"/>
      <c r="KFL2" s="100"/>
      <c r="KFM2" s="100"/>
      <c r="KFN2" s="100"/>
      <c r="KFO2" s="100"/>
      <c r="KFP2" s="100"/>
      <c r="KFQ2" s="100"/>
      <c r="KFR2" s="100"/>
      <c r="KFS2" s="100"/>
      <c r="KFT2" s="100"/>
      <c r="KFU2" s="100"/>
      <c r="KFV2" s="100"/>
      <c r="KFW2" s="100"/>
      <c r="KFX2" s="100"/>
      <c r="KFY2" s="100"/>
      <c r="KFZ2" s="100"/>
      <c r="KGA2" s="100"/>
      <c r="KGB2" s="100"/>
      <c r="KGC2" s="100"/>
      <c r="KGD2" s="100"/>
      <c r="KGE2" s="100"/>
      <c r="KGF2" s="100"/>
      <c r="KGG2" s="633"/>
      <c r="KGH2" s="100"/>
      <c r="KGI2" s="100"/>
      <c r="KGJ2" s="100"/>
      <c r="KGK2" s="199"/>
      <c r="KGL2" s="200"/>
      <c r="KGM2" s="201"/>
      <c r="KGN2" s="100"/>
      <c r="KGO2" s="100"/>
      <c r="KGP2" s="100"/>
      <c r="KGQ2" s="100"/>
      <c r="KGR2" s="100"/>
      <c r="KGS2" s="100"/>
      <c r="KGT2" s="100"/>
      <c r="KGU2" s="100"/>
      <c r="KGV2" s="100"/>
      <c r="KGW2" s="100"/>
      <c r="KGX2" s="100"/>
      <c r="KGY2" s="100"/>
      <c r="KGZ2" s="100"/>
      <c r="KHA2" s="100"/>
      <c r="KHB2" s="100"/>
      <c r="KHC2" s="100"/>
      <c r="KHD2" s="100"/>
      <c r="KHE2" s="100"/>
      <c r="KHF2" s="100"/>
      <c r="KHG2" s="100"/>
      <c r="KHH2" s="100"/>
      <c r="KHI2" s="100"/>
      <c r="KHJ2" s="100"/>
      <c r="KHK2" s="100"/>
      <c r="KHL2" s="100"/>
      <c r="KHM2" s="100"/>
      <c r="KHN2" s="100"/>
      <c r="KHO2" s="100"/>
      <c r="KHP2" s="100"/>
      <c r="KHQ2" s="100"/>
      <c r="KHR2" s="100"/>
      <c r="KHS2" s="100"/>
      <c r="KHT2" s="100"/>
      <c r="KHU2" s="100"/>
      <c r="KHV2" s="100"/>
      <c r="KHW2" s="100"/>
      <c r="KHX2" s="100"/>
      <c r="KHY2" s="100"/>
      <c r="KHZ2" s="100"/>
      <c r="KIA2" s="100"/>
      <c r="KIB2" s="100"/>
      <c r="KIC2" s="100"/>
      <c r="KID2" s="100"/>
      <c r="KIE2" s="100"/>
      <c r="KIF2" s="100"/>
      <c r="KIG2" s="100"/>
      <c r="KIH2" s="100"/>
      <c r="KII2" s="100"/>
      <c r="KIJ2" s="100"/>
      <c r="KIK2" s="100"/>
      <c r="KIL2" s="100"/>
      <c r="KIM2" s="100"/>
      <c r="KIN2" s="100"/>
      <c r="KIO2" s="100"/>
      <c r="KIP2" s="100"/>
      <c r="KIQ2" s="100"/>
      <c r="KIR2" s="100"/>
      <c r="KIS2" s="100"/>
      <c r="KIT2" s="100"/>
      <c r="KIU2" s="100"/>
      <c r="KIV2" s="633"/>
      <c r="KIW2" s="100"/>
      <c r="KIX2" s="100"/>
      <c r="KIY2" s="100"/>
      <c r="KIZ2" s="199"/>
      <c r="KJA2" s="200"/>
      <c r="KJB2" s="201"/>
      <c r="KJC2" s="100"/>
      <c r="KJD2" s="100"/>
      <c r="KJE2" s="100"/>
      <c r="KJF2" s="100"/>
      <c r="KJG2" s="100"/>
      <c r="KJH2" s="100"/>
      <c r="KJI2" s="100"/>
      <c r="KJJ2" s="100"/>
      <c r="KJK2" s="100"/>
      <c r="KJL2" s="100"/>
      <c r="KJM2" s="100"/>
      <c r="KJN2" s="100"/>
      <c r="KJO2" s="100"/>
      <c r="KJP2" s="100"/>
      <c r="KJQ2" s="100"/>
      <c r="KJR2" s="100"/>
      <c r="KJS2" s="100"/>
      <c r="KJT2" s="100"/>
      <c r="KJU2" s="100"/>
      <c r="KJV2" s="100"/>
      <c r="KJW2" s="100"/>
      <c r="KJX2" s="100"/>
      <c r="KJY2" s="100"/>
      <c r="KJZ2" s="100"/>
      <c r="KKA2" s="100"/>
      <c r="KKB2" s="100"/>
      <c r="KKC2" s="100"/>
      <c r="KKD2" s="100"/>
      <c r="KKE2" s="100"/>
      <c r="KKF2" s="100"/>
      <c r="KKG2" s="100"/>
      <c r="KKH2" s="100"/>
      <c r="KKI2" s="100"/>
      <c r="KKJ2" s="100"/>
      <c r="KKK2" s="100"/>
      <c r="KKL2" s="100"/>
      <c r="KKM2" s="100"/>
      <c r="KKN2" s="100"/>
      <c r="KKO2" s="100"/>
      <c r="KKP2" s="100"/>
      <c r="KKQ2" s="100"/>
      <c r="KKR2" s="100"/>
      <c r="KKS2" s="100"/>
      <c r="KKT2" s="100"/>
      <c r="KKU2" s="100"/>
      <c r="KKV2" s="100"/>
      <c r="KKW2" s="100"/>
      <c r="KKX2" s="100"/>
      <c r="KKY2" s="100"/>
      <c r="KKZ2" s="100"/>
      <c r="KLA2" s="100"/>
      <c r="KLB2" s="100"/>
      <c r="KLC2" s="100"/>
      <c r="KLD2" s="100"/>
      <c r="KLE2" s="100"/>
      <c r="KLF2" s="100"/>
      <c r="KLG2" s="100"/>
      <c r="KLH2" s="100"/>
      <c r="KLI2" s="100"/>
      <c r="KLJ2" s="100"/>
      <c r="KLK2" s="633"/>
      <c r="KLL2" s="100"/>
      <c r="KLM2" s="100"/>
      <c r="KLN2" s="100"/>
      <c r="KLO2" s="199"/>
      <c r="KLP2" s="200"/>
      <c r="KLQ2" s="201"/>
      <c r="KLR2" s="100"/>
      <c r="KLS2" s="100"/>
      <c r="KLT2" s="100"/>
      <c r="KLU2" s="100"/>
      <c r="KLV2" s="100"/>
      <c r="KLW2" s="100"/>
      <c r="KLX2" s="100"/>
      <c r="KLY2" s="100"/>
      <c r="KLZ2" s="100"/>
      <c r="KMA2" s="100"/>
      <c r="KMB2" s="100"/>
      <c r="KMC2" s="100"/>
      <c r="KMD2" s="100"/>
      <c r="KME2" s="100"/>
      <c r="KMF2" s="100"/>
      <c r="KMG2" s="100"/>
      <c r="KMH2" s="100"/>
      <c r="KMI2" s="100"/>
      <c r="KMJ2" s="100"/>
      <c r="KMK2" s="100"/>
      <c r="KML2" s="100"/>
      <c r="KMM2" s="100"/>
      <c r="KMN2" s="100"/>
      <c r="KMO2" s="100"/>
      <c r="KMP2" s="100"/>
      <c r="KMQ2" s="100"/>
      <c r="KMR2" s="100"/>
      <c r="KMS2" s="100"/>
      <c r="KMT2" s="100"/>
      <c r="KMU2" s="100"/>
      <c r="KMV2" s="100"/>
      <c r="KMW2" s="100"/>
      <c r="KMX2" s="100"/>
      <c r="KMY2" s="100"/>
      <c r="KMZ2" s="100"/>
      <c r="KNA2" s="100"/>
      <c r="KNB2" s="100"/>
      <c r="KNC2" s="100"/>
      <c r="KND2" s="100"/>
      <c r="KNE2" s="100"/>
      <c r="KNF2" s="100"/>
      <c r="KNG2" s="100"/>
      <c r="KNH2" s="100"/>
      <c r="KNI2" s="100"/>
      <c r="KNJ2" s="100"/>
      <c r="KNK2" s="100"/>
      <c r="KNL2" s="100"/>
      <c r="KNM2" s="100"/>
      <c r="KNN2" s="100"/>
      <c r="KNO2" s="100"/>
      <c r="KNP2" s="100"/>
      <c r="KNQ2" s="100"/>
      <c r="KNR2" s="100"/>
      <c r="KNS2" s="100"/>
      <c r="KNT2" s="100"/>
      <c r="KNU2" s="100"/>
      <c r="KNV2" s="100"/>
      <c r="KNW2" s="100"/>
      <c r="KNX2" s="100"/>
      <c r="KNY2" s="100"/>
      <c r="KNZ2" s="633"/>
      <c r="KOA2" s="100"/>
      <c r="KOB2" s="100"/>
      <c r="KOC2" s="100"/>
      <c r="KOD2" s="199"/>
      <c r="KOE2" s="200"/>
      <c r="KOF2" s="201"/>
      <c r="KOG2" s="100"/>
      <c r="KOH2" s="100"/>
      <c r="KOI2" s="100"/>
      <c r="KOJ2" s="100"/>
      <c r="KOK2" s="100"/>
      <c r="KOL2" s="100"/>
      <c r="KOM2" s="100"/>
      <c r="KON2" s="100"/>
      <c r="KOO2" s="100"/>
      <c r="KOP2" s="100"/>
      <c r="KOQ2" s="100"/>
      <c r="KOR2" s="100"/>
      <c r="KOS2" s="100"/>
      <c r="KOT2" s="100"/>
      <c r="KOU2" s="100"/>
      <c r="KOV2" s="100"/>
      <c r="KOW2" s="100"/>
      <c r="KOX2" s="100"/>
      <c r="KOY2" s="100"/>
      <c r="KOZ2" s="100"/>
      <c r="KPA2" s="100"/>
      <c r="KPB2" s="100"/>
      <c r="KPC2" s="100"/>
      <c r="KPD2" s="100"/>
      <c r="KPE2" s="100"/>
      <c r="KPF2" s="100"/>
      <c r="KPG2" s="100"/>
      <c r="KPH2" s="100"/>
      <c r="KPI2" s="100"/>
      <c r="KPJ2" s="100"/>
      <c r="KPK2" s="100"/>
      <c r="KPL2" s="100"/>
      <c r="KPM2" s="100"/>
      <c r="KPN2" s="100"/>
      <c r="KPO2" s="100"/>
      <c r="KPP2" s="100"/>
      <c r="KPQ2" s="100"/>
      <c r="KPR2" s="100"/>
      <c r="KPS2" s="100"/>
      <c r="KPT2" s="100"/>
      <c r="KPU2" s="100"/>
      <c r="KPV2" s="100"/>
      <c r="KPW2" s="100"/>
      <c r="KPX2" s="100"/>
      <c r="KPY2" s="100"/>
      <c r="KPZ2" s="100"/>
      <c r="KQA2" s="100"/>
      <c r="KQB2" s="100"/>
      <c r="KQC2" s="100"/>
      <c r="KQD2" s="100"/>
      <c r="KQE2" s="100"/>
      <c r="KQF2" s="100"/>
      <c r="KQG2" s="100"/>
      <c r="KQH2" s="100"/>
      <c r="KQI2" s="100"/>
      <c r="KQJ2" s="100"/>
      <c r="KQK2" s="100"/>
      <c r="KQL2" s="100"/>
      <c r="KQM2" s="100"/>
      <c r="KQN2" s="100"/>
      <c r="KQO2" s="633"/>
      <c r="KQP2" s="100"/>
      <c r="KQQ2" s="100"/>
      <c r="KQR2" s="100"/>
      <c r="KQS2" s="199"/>
      <c r="KQT2" s="200"/>
      <c r="KQU2" s="201"/>
      <c r="KQV2" s="100"/>
      <c r="KQW2" s="100"/>
      <c r="KQX2" s="100"/>
      <c r="KQY2" s="100"/>
      <c r="KQZ2" s="100"/>
      <c r="KRA2" s="100"/>
      <c r="KRB2" s="100"/>
      <c r="KRC2" s="100"/>
      <c r="KRD2" s="100"/>
      <c r="KRE2" s="100"/>
      <c r="KRF2" s="100"/>
      <c r="KRG2" s="100"/>
      <c r="KRH2" s="100"/>
      <c r="KRI2" s="100"/>
      <c r="KRJ2" s="100"/>
      <c r="KRK2" s="100"/>
      <c r="KRL2" s="100"/>
      <c r="KRM2" s="100"/>
      <c r="KRN2" s="100"/>
      <c r="KRO2" s="100"/>
      <c r="KRP2" s="100"/>
      <c r="KRQ2" s="100"/>
      <c r="KRR2" s="100"/>
      <c r="KRS2" s="100"/>
      <c r="KRT2" s="100"/>
      <c r="KRU2" s="100"/>
      <c r="KRV2" s="100"/>
      <c r="KRW2" s="100"/>
      <c r="KRX2" s="100"/>
      <c r="KRY2" s="100"/>
      <c r="KRZ2" s="100"/>
      <c r="KSA2" s="100"/>
      <c r="KSB2" s="100"/>
      <c r="KSC2" s="100"/>
      <c r="KSD2" s="100"/>
      <c r="KSE2" s="100"/>
      <c r="KSF2" s="100"/>
      <c r="KSG2" s="100"/>
      <c r="KSH2" s="100"/>
      <c r="KSI2" s="100"/>
      <c r="KSJ2" s="100"/>
      <c r="KSK2" s="100"/>
      <c r="KSL2" s="100"/>
      <c r="KSM2" s="100"/>
      <c r="KSN2" s="100"/>
      <c r="KSO2" s="100"/>
      <c r="KSP2" s="100"/>
      <c r="KSQ2" s="100"/>
      <c r="KSR2" s="100"/>
      <c r="KSS2" s="100"/>
      <c r="KST2" s="100"/>
      <c r="KSU2" s="100"/>
      <c r="KSV2" s="100"/>
      <c r="KSW2" s="100"/>
      <c r="KSX2" s="100"/>
      <c r="KSY2" s="100"/>
      <c r="KSZ2" s="100"/>
      <c r="KTA2" s="100"/>
      <c r="KTB2" s="100"/>
      <c r="KTC2" s="100"/>
      <c r="KTD2" s="633"/>
      <c r="KTE2" s="100"/>
      <c r="KTF2" s="100"/>
      <c r="KTG2" s="100"/>
      <c r="KTH2" s="199"/>
      <c r="KTI2" s="200"/>
      <c r="KTJ2" s="201"/>
      <c r="KTK2" s="100"/>
      <c r="KTL2" s="100"/>
      <c r="KTM2" s="100"/>
      <c r="KTN2" s="100"/>
      <c r="KTO2" s="100"/>
      <c r="KTP2" s="100"/>
      <c r="KTQ2" s="100"/>
      <c r="KTR2" s="100"/>
      <c r="KTS2" s="100"/>
      <c r="KTT2" s="100"/>
      <c r="KTU2" s="100"/>
      <c r="KTV2" s="100"/>
      <c r="KTW2" s="100"/>
      <c r="KTX2" s="100"/>
      <c r="KTY2" s="100"/>
      <c r="KTZ2" s="100"/>
      <c r="KUA2" s="100"/>
      <c r="KUB2" s="100"/>
      <c r="KUC2" s="100"/>
      <c r="KUD2" s="100"/>
      <c r="KUE2" s="100"/>
      <c r="KUF2" s="100"/>
      <c r="KUG2" s="100"/>
      <c r="KUH2" s="100"/>
      <c r="KUI2" s="100"/>
      <c r="KUJ2" s="100"/>
      <c r="KUK2" s="100"/>
      <c r="KUL2" s="100"/>
      <c r="KUM2" s="100"/>
      <c r="KUN2" s="100"/>
      <c r="KUO2" s="100"/>
      <c r="KUP2" s="100"/>
      <c r="KUQ2" s="100"/>
      <c r="KUR2" s="100"/>
      <c r="KUS2" s="100"/>
      <c r="KUT2" s="100"/>
      <c r="KUU2" s="100"/>
      <c r="KUV2" s="100"/>
      <c r="KUW2" s="100"/>
      <c r="KUX2" s="100"/>
      <c r="KUY2" s="100"/>
      <c r="KUZ2" s="100"/>
      <c r="KVA2" s="100"/>
      <c r="KVB2" s="100"/>
      <c r="KVC2" s="100"/>
      <c r="KVD2" s="100"/>
      <c r="KVE2" s="100"/>
      <c r="KVF2" s="100"/>
      <c r="KVG2" s="100"/>
      <c r="KVH2" s="100"/>
      <c r="KVI2" s="100"/>
      <c r="KVJ2" s="100"/>
      <c r="KVK2" s="100"/>
      <c r="KVL2" s="100"/>
      <c r="KVM2" s="100"/>
      <c r="KVN2" s="100"/>
      <c r="KVO2" s="100"/>
      <c r="KVP2" s="100"/>
      <c r="KVQ2" s="100"/>
      <c r="KVR2" s="100"/>
      <c r="KVS2" s="633"/>
      <c r="KVT2" s="100"/>
      <c r="KVU2" s="100"/>
      <c r="KVV2" s="100"/>
      <c r="KVW2" s="199"/>
      <c r="KVX2" s="200"/>
      <c r="KVY2" s="201"/>
      <c r="KVZ2" s="100"/>
      <c r="KWA2" s="100"/>
      <c r="KWB2" s="100"/>
      <c r="KWC2" s="100"/>
      <c r="KWD2" s="100"/>
      <c r="KWE2" s="100"/>
      <c r="KWF2" s="100"/>
      <c r="KWG2" s="100"/>
      <c r="KWH2" s="100"/>
      <c r="KWI2" s="100"/>
      <c r="KWJ2" s="100"/>
      <c r="KWK2" s="100"/>
      <c r="KWL2" s="100"/>
      <c r="KWM2" s="100"/>
      <c r="KWN2" s="100"/>
      <c r="KWO2" s="100"/>
      <c r="KWP2" s="100"/>
      <c r="KWQ2" s="100"/>
      <c r="KWR2" s="100"/>
      <c r="KWS2" s="100"/>
      <c r="KWT2" s="100"/>
      <c r="KWU2" s="100"/>
      <c r="KWV2" s="100"/>
      <c r="KWW2" s="100"/>
      <c r="KWX2" s="100"/>
      <c r="KWY2" s="100"/>
      <c r="KWZ2" s="100"/>
      <c r="KXA2" s="100"/>
      <c r="KXB2" s="100"/>
      <c r="KXC2" s="100"/>
      <c r="KXD2" s="100"/>
      <c r="KXE2" s="100"/>
      <c r="KXF2" s="100"/>
      <c r="KXG2" s="100"/>
      <c r="KXH2" s="100"/>
      <c r="KXI2" s="100"/>
      <c r="KXJ2" s="100"/>
      <c r="KXK2" s="100"/>
      <c r="KXL2" s="100"/>
      <c r="KXM2" s="100"/>
      <c r="KXN2" s="100"/>
      <c r="KXO2" s="100"/>
      <c r="KXP2" s="100"/>
      <c r="KXQ2" s="100"/>
      <c r="KXR2" s="100"/>
      <c r="KXS2" s="100"/>
      <c r="KXT2" s="100"/>
      <c r="KXU2" s="100"/>
      <c r="KXV2" s="100"/>
      <c r="KXW2" s="100"/>
      <c r="KXX2" s="100"/>
      <c r="KXY2" s="100"/>
      <c r="KXZ2" s="100"/>
      <c r="KYA2" s="100"/>
      <c r="KYB2" s="100"/>
      <c r="KYC2" s="100"/>
      <c r="KYD2" s="100"/>
      <c r="KYE2" s="100"/>
      <c r="KYF2" s="100"/>
      <c r="KYG2" s="100"/>
      <c r="KYH2" s="633"/>
      <c r="KYI2" s="100"/>
      <c r="KYJ2" s="100"/>
      <c r="KYK2" s="100"/>
      <c r="KYL2" s="199"/>
      <c r="KYM2" s="200"/>
      <c r="KYN2" s="201"/>
      <c r="KYO2" s="100"/>
      <c r="KYP2" s="100"/>
      <c r="KYQ2" s="100"/>
      <c r="KYR2" s="100"/>
      <c r="KYS2" s="100"/>
      <c r="KYT2" s="100"/>
      <c r="KYU2" s="100"/>
      <c r="KYV2" s="100"/>
      <c r="KYW2" s="100"/>
      <c r="KYX2" s="100"/>
      <c r="KYY2" s="100"/>
      <c r="KYZ2" s="100"/>
      <c r="KZA2" s="100"/>
      <c r="KZB2" s="100"/>
      <c r="KZC2" s="100"/>
      <c r="KZD2" s="100"/>
      <c r="KZE2" s="100"/>
      <c r="KZF2" s="100"/>
      <c r="KZG2" s="100"/>
      <c r="KZH2" s="100"/>
      <c r="KZI2" s="100"/>
      <c r="KZJ2" s="100"/>
      <c r="KZK2" s="100"/>
      <c r="KZL2" s="100"/>
      <c r="KZM2" s="100"/>
      <c r="KZN2" s="100"/>
      <c r="KZO2" s="100"/>
      <c r="KZP2" s="100"/>
      <c r="KZQ2" s="100"/>
      <c r="KZR2" s="100"/>
      <c r="KZS2" s="100"/>
      <c r="KZT2" s="100"/>
      <c r="KZU2" s="100"/>
      <c r="KZV2" s="100"/>
      <c r="KZW2" s="100"/>
      <c r="KZX2" s="100"/>
      <c r="KZY2" s="100"/>
      <c r="KZZ2" s="100"/>
      <c r="LAA2" s="100"/>
      <c r="LAB2" s="100"/>
      <c r="LAC2" s="100"/>
      <c r="LAD2" s="100"/>
      <c r="LAE2" s="100"/>
      <c r="LAF2" s="100"/>
      <c r="LAG2" s="100"/>
      <c r="LAH2" s="100"/>
      <c r="LAI2" s="100"/>
      <c r="LAJ2" s="100"/>
      <c r="LAK2" s="100"/>
      <c r="LAL2" s="100"/>
      <c r="LAM2" s="100"/>
      <c r="LAN2" s="100"/>
      <c r="LAO2" s="100"/>
      <c r="LAP2" s="100"/>
      <c r="LAQ2" s="100"/>
      <c r="LAR2" s="100"/>
      <c r="LAS2" s="100"/>
      <c r="LAT2" s="100"/>
      <c r="LAU2" s="100"/>
      <c r="LAV2" s="100"/>
      <c r="LAW2" s="633"/>
      <c r="LAX2" s="100"/>
      <c r="LAY2" s="100"/>
      <c r="LAZ2" s="100"/>
      <c r="LBA2" s="199"/>
      <c r="LBB2" s="200"/>
      <c r="LBC2" s="201"/>
      <c r="LBD2" s="100"/>
      <c r="LBE2" s="100"/>
      <c r="LBF2" s="100"/>
      <c r="LBG2" s="100"/>
      <c r="LBH2" s="100"/>
      <c r="LBI2" s="100"/>
      <c r="LBJ2" s="100"/>
      <c r="LBK2" s="100"/>
      <c r="LBL2" s="100"/>
      <c r="LBM2" s="100"/>
      <c r="LBN2" s="100"/>
      <c r="LBO2" s="100"/>
      <c r="LBP2" s="100"/>
      <c r="LBQ2" s="100"/>
      <c r="LBR2" s="100"/>
      <c r="LBS2" s="100"/>
      <c r="LBT2" s="100"/>
      <c r="LBU2" s="100"/>
      <c r="LBV2" s="100"/>
      <c r="LBW2" s="100"/>
      <c r="LBX2" s="100"/>
      <c r="LBY2" s="100"/>
      <c r="LBZ2" s="100"/>
      <c r="LCA2" s="100"/>
      <c r="LCB2" s="100"/>
      <c r="LCC2" s="100"/>
      <c r="LCD2" s="100"/>
      <c r="LCE2" s="100"/>
      <c r="LCF2" s="100"/>
      <c r="LCG2" s="100"/>
      <c r="LCH2" s="100"/>
      <c r="LCI2" s="100"/>
      <c r="LCJ2" s="100"/>
      <c r="LCK2" s="100"/>
      <c r="LCL2" s="100"/>
      <c r="LCM2" s="100"/>
      <c r="LCN2" s="100"/>
      <c r="LCO2" s="100"/>
      <c r="LCP2" s="100"/>
      <c r="LCQ2" s="100"/>
      <c r="LCR2" s="100"/>
      <c r="LCS2" s="100"/>
      <c r="LCT2" s="100"/>
      <c r="LCU2" s="100"/>
      <c r="LCV2" s="100"/>
      <c r="LCW2" s="100"/>
      <c r="LCX2" s="100"/>
      <c r="LCY2" s="100"/>
      <c r="LCZ2" s="100"/>
      <c r="LDA2" s="100"/>
      <c r="LDB2" s="100"/>
      <c r="LDC2" s="100"/>
      <c r="LDD2" s="100"/>
      <c r="LDE2" s="100"/>
      <c r="LDF2" s="100"/>
      <c r="LDG2" s="100"/>
      <c r="LDH2" s="100"/>
      <c r="LDI2" s="100"/>
      <c r="LDJ2" s="100"/>
      <c r="LDK2" s="100"/>
      <c r="LDL2" s="633"/>
      <c r="LDM2" s="100"/>
      <c r="LDN2" s="100"/>
      <c r="LDO2" s="100"/>
      <c r="LDP2" s="199"/>
      <c r="LDQ2" s="200"/>
      <c r="LDR2" s="201"/>
      <c r="LDS2" s="100"/>
      <c r="LDT2" s="100"/>
      <c r="LDU2" s="100"/>
      <c r="LDV2" s="100"/>
      <c r="LDW2" s="100"/>
      <c r="LDX2" s="100"/>
      <c r="LDY2" s="100"/>
      <c r="LDZ2" s="100"/>
      <c r="LEA2" s="100"/>
      <c r="LEB2" s="100"/>
      <c r="LEC2" s="100"/>
      <c r="LED2" s="100"/>
      <c r="LEE2" s="100"/>
      <c r="LEF2" s="100"/>
      <c r="LEG2" s="100"/>
      <c r="LEH2" s="100"/>
      <c r="LEI2" s="100"/>
      <c r="LEJ2" s="100"/>
      <c r="LEK2" s="100"/>
      <c r="LEL2" s="100"/>
      <c r="LEM2" s="100"/>
      <c r="LEN2" s="100"/>
      <c r="LEO2" s="100"/>
      <c r="LEP2" s="100"/>
      <c r="LEQ2" s="100"/>
      <c r="LER2" s="100"/>
      <c r="LES2" s="100"/>
      <c r="LET2" s="100"/>
      <c r="LEU2" s="100"/>
      <c r="LEV2" s="100"/>
      <c r="LEW2" s="100"/>
      <c r="LEX2" s="100"/>
      <c r="LEY2" s="100"/>
      <c r="LEZ2" s="100"/>
      <c r="LFA2" s="100"/>
      <c r="LFB2" s="100"/>
      <c r="LFC2" s="100"/>
      <c r="LFD2" s="100"/>
      <c r="LFE2" s="100"/>
      <c r="LFF2" s="100"/>
      <c r="LFG2" s="100"/>
      <c r="LFH2" s="100"/>
      <c r="LFI2" s="100"/>
      <c r="LFJ2" s="100"/>
      <c r="LFK2" s="100"/>
      <c r="LFL2" s="100"/>
      <c r="LFM2" s="100"/>
      <c r="LFN2" s="100"/>
      <c r="LFO2" s="100"/>
      <c r="LFP2" s="100"/>
      <c r="LFQ2" s="100"/>
      <c r="LFR2" s="100"/>
      <c r="LFS2" s="100"/>
      <c r="LFT2" s="100"/>
      <c r="LFU2" s="100"/>
      <c r="LFV2" s="100"/>
      <c r="LFW2" s="100"/>
      <c r="LFX2" s="100"/>
      <c r="LFY2" s="100"/>
      <c r="LFZ2" s="100"/>
      <c r="LGA2" s="633"/>
      <c r="LGB2" s="100"/>
      <c r="LGC2" s="100"/>
      <c r="LGD2" s="100"/>
      <c r="LGE2" s="199"/>
      <c r="LGF2" s="200"/>
      <c r="LGG2" s="201"/>
      <c r="LGH2" s="100"/>
      <c r="LGI2" s="100"/>
      <c r="LGJ2" s="100"/>
      <c r="LGK2" s="100"/>
      <c r="LGL2" s="100"/>
      <c r="LGM2" s="100"/>
      <c r="LGN2" s="100"/>
      <c r="LGO2" s="100"/>
      <c r="LGP2" s="100"/>
      <c r="LGQ2" s="100"/>
      <c r="LGR2" s="100"/>
      <c r="LGS2" s="100"/>
      <c r="LGT2" s="100"/>
      <c r="LGU2" s="100"/>
      <c r="LGV2" s="100"/>
      <c r="LGW2" s="100"/>
      <c r="LGX2" s="100"/>
      <c r="LGY2" s="100"/>
      <c r="LGZ2" s="100"/>
      <c r="LHA2" s="100"/>
      <c r="LHB2" s="100"/>
      <c r="LHC2" s="100"/>
      <c r="LHD2" s="100"/>
      <c r="LHE2" s="100"/>
      <c r="LHF2" s="100"/>
      <c r="LHG2" s="100"/>
      <c r="LHH2" s="100"/>
      <c r="LHI2" s="100"/>
      <c r="LHJ2" s="100"/>
      <c r="LHK2" s="100"/>
      <c r="LHL2" s="100"/>
      <c r="LHM2" s="100"/>
      <c r="LHN2" s="100"/>
      <c r="LHO2" s="100"/>
      <c r="LHP2" s="100"/>
      <c r="LHQ2" s="100"/>
      <c r="LHR2" s="100"/>
      <c r="LHS2" s="100"/>
      <c r="LHT2" s="100"/>
      <c r="LHU2" s="100"/>
      <c r="LHV2" s="100"/>
      <c r="LHW2" s="100"/>
      <c r="LHX2" s="100"/>
      <c r="LHY2" s="100"/>
      <c r="LHZ2" s="100"/>
      <c r="LIA2" s="100"/>
      <c r="LIB2" s="100"/>
      <c r="LIC2" s="100"/>
      <c r="LID2" s="100"/>
      <c r="LIE2" s="100"/>
      <c r="LIF2" s="100"/>
      <c r="LIG2" s="100"/>
      <c r="LIH2" s="100"/>
      <c r="LII2" s="100"/>
      <c r="LIJ2" s="100"/>
      <c r="LIK2" s="100"/>
      <c r="LIL2" s="100"/>
      <c r="LIM2" s="100"/>
      <c r="LIN2" s="100"/>
      <c r="LIO2" s="100"/>
      <c r="LIP2" s="633"/>
      <c r="LIQ2" s="100"/>
      <c r="LIR2" s="100"/>
      <c r="LIS2" s="100"/>
      <c r="LIT2" s="199"/>
      <c r="LIU2" s="200"/>
      <c r="LIV2" s="201"/>
      <c r="LIW2" s="100"/>
      <c r="LIX2" s="100"/>
      <c r="LIY2" s="100"/>
      <c r="LIZ2" s="100"/>
      <c r="LJA2" s="100"/>
      <c r="LJB2" s="100"/>
      <c r="LJC2" s="100"/>
      <c r="LJD2" s="100"/>
      <c r="LJE2" s="100"/>
      <c r="LJF2" s="100"/>
      <c r="LJG2" s="100"/>
      <c r="LJH2" s="100"/>
      <c r="LJI2" s="100"/>
      <c r="LJJ2" s="100"/>
      <c r="LJK2" s="100"/>
      <c r="LJL2" s="100"/>
      <c r="LJM2" s="100"/>
      <c r="LJN2" s="100"/>
      <c r="LJO2" s="100"/>
      <c r="LJP2" s="100"/>
      <c r="LJQ2" s="100"/>
      <c r="LJR2" s="100"/>
      <c r="LJS2" s="100"/>
      <c r="LJT2" s="100"/>
      <c r="LJU2" s="100"/>
      <c r="LJV2" s="100"/>
      <c r="LJW2" s="100"/>
      <c r="LJX2" s="100"/>
      <c r="LJY2" s="100"/>
      <c r="LJZ2" s="100"/>
      <c r="LKA2" s="100"/>
      <c r="LKB2" s="100"/>
      <c r="LKC2" s="100"/>
      <c r="LKD2" s="100"/>
      <c r="LKE2" s="100"/>
      <c r="LKF2" s="100"/>
      <c r="LKG2" s="100"/>
      <c r="LKH2" s="100"/>
      <c r="LKI2" s="100"/>
      <c r="LKJ2" s="100"/>
      <c r="LKK2" s="100"/>
      <c r="LKL2" s="100"/>
      <c r="LKM2" s="100"/>
      <c r="LKN2" s="100"/>
      <c r="LKO2" s="100"/>
      <c r="LKP2" s="100"/>
      <c r="LKQ2" s="100"/>
      <c r="LKR2" s="100"/>
      <c r="LKS2" s="100"/>
      <c r="LKT2" s="100"/>
      <c r="LKU2" s="100"/>
      <c r="LKV2" s="100"/>
      <c r="LKW2" s="100"/>
      <c r="LKX2" s="100"/>
      <c r="LKY2" s="100"/>
      <c r="LKZ2" s="100"/>
      <c r="LLA2" s="100"/>
      <c r="LLB2" s="100"/>
      <c r="LLC2" s="100"/>
      <c r="LLD2" s="100"/>
      <c r="LLE2" s="633"/>
      <c r="LLF2" s="100"/>
      <c r="LLG2" s="100"/>
      <c r="LLH2" s="100"/>
      <c r="LLI2" s="199"/>
      <c r="LLJ2" s="200"/>
      <c r="LLK2" s="201"/>
      <c r="LLL2" s="100"/>
      <c r="LLM2" s="100"/>
      <c r="LLN2" s="100"/>
      <c r="LLO2" s="100"/>
      <c r="LLP2" s="100"/>
      <c r="LLQ2" s="100"/>
      <c r="LLR2" s="100"/>
      <c r="LLS2" s="100"/>
      <c r="LLT2" s="100"/>
      <c r="LLU2" s="100"/>
      <c r="LLV2" s="100"/>
      <c r="LLW2" s="100"/>
      <c r="LLX2" s="100"/>
      <c r="LLY2" s="100"/>
      <c r="LLZ2" s="100"/>
      <c r="LMA2" s="100"/>
      <c r="LMB2" s="100"/>
      <c r="LMC2" s="100"/>
      <c r="LMD2" s="100"/>
      <c r="LME2" s="100"/>
      <c r="LMF2" s="100"/>
      <c r="LMG2" s="100"/>
      <c r="LMH2" s="100"/>
      <c r="LMI2" s="100"/>
      <c r="LMJ2" s="100"/>
      <c r="LMK2" s="100"/>
      <c r="LML2" s="100"/>
      <c r="LMM2" s="100"/>
      <c r="LMN2" s="100"/>
      <c r="LMO2" s="100"/>
      <c r="LMP2" s="100"/>
      <c r="LMQ2" s="100"/>
      <c r="LMR2" s="100"/>
      <c r="LMS2" s="100"/>
      <c r="LMT2" s="100"/>
      <c r="LMU2" s="100"/>
      <c r="LMV2" s="100"/>
      <c r="LMW2" s="100"/>
      <c r="LMX2" s="100"/>
      <c r="LMY2" s="100"/>
      <c r="LMZ2" s="100"/>
      <c r="LNA2" s="100"/>
      <c r="LNB2" s="100"/>
      <c r="LNC2" s="100"/>
      <c r="LND2" s="100"/>
      <c r="LNE2" s="100"/>
      <c r="LNF2" s="100"/>
      <c r="LNG2" s="100"/>
      <c r="LNH2" s="100"/>
      <c r="LNI2" s="100"/>
      <c r="LNJ2" s="100"/>
      <c r="LNK2" s="100"/>
      <c r="LNL2" s="100"/>
      <c r="LNM2" s="100"/>
      <c r="LNN2" s="100"/>
      <c r="LNO2" s="100"/>
      <c r="LNP2" s="100"/>
      <c r="LNQ2" s="100"/>
      <c r="LNR2" s="100"/>
      <c r="LNS2" s="100"/>
      <c r="LNT2" s="633"/>
      <c r="LNU2" s="100"/>
      <c r="LNV2" s="100"/>
      <c r="LNW2" s="100"/>
      <c r="LNX2" s="199"/>
      <c r="LNY2" s="200"/>
      <c r="LNZ2" s="201"/>
      <c r="LOA2" s="100"/>
      <c r="LOB2" s="100"/>
      <c r="LOC2" s="100"/>
      <c r="LOD2" s="100"/>
      <c r="LOE2" s="100"/>
      <c r="LOF2" s="100"/>
      <c r="LOG2" s="100"/>
      <c r="LOH2" s="100"/>
      <c r="LOI2" s="100"/>
      <c r="LOJ2" s="100"/>
      <c r="LOK2" s="100"/>
      <c r="LOL2" s="100"/>
      <c r="LOM2" s="100"/>
      <c r="LON2" s="100"/>
      <c r="LOO2" s="100"/>
      <c r="LOP2" s="100"/>
      <c r="LOQ2" s="100"/>
      <c r="LOR2" s="100"/>
      <c r="LOS2" s="100"/>
      <c r="LOT2" s="100"/>
      <c r="LOU2" s="100"/>
      <c r="LOV2" s="100"/>
      <c r="LOW2" s="100"/>
      <c r="LOX2" s="100"/>
      <c r="LOY2" s="100"/>
      <c r="LOZ2" s="100"/>
      <c r="LPA2" s="100"/>
      <c r="LPB2" s="100"/>
      <c r="LPC2" s="100"/>
      <c r="LPD2" s="100"/>
      <c r="LPE2" s="100"/>
      <c r="LPF2" s="100"/>
      <c r="LPG2" s="100"/>
      <c r="LPH2" s="100"/>
      <c r="LPI2" s="100"/>
      <c r="LPJ2" s="100"/>
      <c r="LPK2" s="100"/>
      <c r="LPL2" s="100"/>
      <c r="LPM2" s="100"/>
      <c r="LPN2" s="100"/>
      <c r="LPO2" s="100"/>
      <c r="LPP2" s="100"/>
      <c r="LPQ2" s="100"/>
      <c r="LPR2" s="100"/>
      <c r="LPS2" s="100"/>
      <c r="LPT2" s="100"/>
      <c r="LPU2" s="100"/>
      <c r="LPV2" s="100"/>
      <c r="LPW2" s="100"/>
      <c r="LPX2" s="100"/>
      <c r="LPY2" s="100"/>
      <c r="LPZ2" s="100"/>
      <c r="LQA2" s="100"/>
      <c r="LQB2" s="100"/>
      <c r="LQC2" s="100"/>
      <c r="LQD2" s="100"/>
      <c r="LQE2" s="100"/>
      <c r="LQF2" s="100"/>
      <c r="LQG2" s="100"/>
      <c r="LQH2" s="100"/>
      <c r="LQI2" s="633"/>
      <c r="LQJ2" s="100"/>
      <c r="LQK2" s="100"/>
      <c r="LQL2" s="100"/>
      <c r="LQM2" s="199"/>
      <c r="LQN2" s="200"/>
      <c r="LQO2" s="201"/>
      <c r="LQP2" s="100"/>
      <c r="LQQ2" s="100"/>
      <c r="LQR2" s="100"/>
      <c r="LQS2" s="100"/>
      <c r="LQT2" s="100"/>
      <c r="LQU2" s="100"/>
      <c r="LQV2" s="100"/>
      <c r="LQW2" s="100"/>
      <c r="LQX2" s="100"/>
      <c r="LQY2" s="100"/>
      <c r="LQZ2" s="100"/>
      <c r="LRA2" s="100"/>
      <c r="LRB2" s="100"/>
      <c r="LRC2" s="100"/>
      <c r="LRD2" s="100"/>
      <c r="LRE2" s="100"/>
      <c r="LRF2" s="100"/>
      <c r="LRG2" s="100"/>
      <c r="LRH2" s="100"/>
      <c r="LRI2" s="100"/>
      <c r="LRJ2" s="100"/>
      <c r="LRK2" s="100"/>
      <c r="LRL2" s="100"/>
      <c r="LRM2" s="100"/>
      <c r="LRN2" s="100"/>
      <c r="LRO2" s="100"/>
      <c r="LRP2" s="100"/>
      <c r="LRQ2" s="100"/>
      <c r="LRR2" s="100"/>
      <c r="LRS2" s="100"/>
      <c r="LRT2" s="100"/>
      <c r="LRU2" s="100"/>
      <c r="LRV2" s="100"/>
      <c r="LRW2" s="100"/>
      <c r="LRX2" s="100"/>
      <c r="LRY2" s="100"/>
      <c r="LRZ2" s="100"/>
      <c r="LSA2" s="100"/>
      <c r="LSB2" s="100"/>
      <c r="LSC2" s="100"/>
      <c r="LSD2" s="100"/>
      <c r="LSE2" s="100"/>
      <c r="LSF2" s="100"/>
      <c r="LSG2" s="100"/>
      <c r="LSH2" s="100"/>
      <c r="LSI2" s="100"/>
      <c r="LSJ2" s="100"/>
      <c r="LSK2" s="100"/>
      <c r="LSL2" s="100"/>
      <c r="LSM2" s="100"/>
      <c r="LSN2" s="100"/>
      <c r="LSO2" s="100"/>
      <c r="LSP2" s="100"/>
      <c r="LSQ2" s="100"/>
      <c r="LSR2" s="100"/>
      <c r="LSS2" s="100"/>
      <c r="LST2" s="100"/>
      <c r="LSU2" s="100"/>
      <c r="LSV2" s="100"/>
      <c r="LSW2" s="100"/>
      <c r="LSX2" s="633"/>
      <c r="LSY2" s="100"/>
      <c r="LSZ2" s="100"/>
      <c r="LTA2" s="100"/>
      <c r="LTB2" s="199"/>
      <c r="LTC2" s="200"/>
      <c r="LTD2" s="201"/>
      <c r="LTE2" s="100"/>
      <c r="LTF2" s="100"/>
      <c r="LTG2" s="100"/>
      <c r="LTH2" s="100"/>
      <c r="LTI2" s="100"/>
      <c r="LTJ2" s="100"/>
      <c r="LTK2" s="100"/>
      <c r="LTL2" s="100"/>
      <c r="LTM2" s="100"/>
      <c r="LTN2" s="100"/>
      <c r="LTO2" s="100"/>
      <c r="LTP2" s="100"/>
      <c r="LTQ2" s="100"/>
      <c r="LTR2" s="100"/>
      <c r="LTS2" s="100"/>
      <c r="LTT2" s="100"/>
      <c r="LTU2" s="100"/>
      <c r="LTV2" s="100"/>
      <c r="LTW2" s="100"/>
      <c r="LTX2" s="100"/>
      <c r="LTY2" s="100"/>
      <c r="LTZ2" s="100"/>
      <c r="LUA2" s="100"/>
      <c r="LUB2" s="100"/>
      <c r="LUC2" s="100"/>
      <c r="LUD2" s="100"/>
      <c r="LUE2" s="100"/>
      <c r="LUF2" s="100"/>
      <c r="LUG2" s="100"/>
      <c r="LUH2" s="100"/>
      <c r="LUI2" s="100"/>
      <c r="LUJ2" s="100"/>
      <c r="LUK2" s="100"/>
      <c r="LUL2" s="100"/>
      <c r="LUM2" s="100"/>
      <c r="LUN2" s="100"/>
      <c r="LUO2" s="100"/>
      <c r="LUP2" s="100"/>
      <c r="LUQ2" s="100"/>
      <c r="LUR2" s="100"/>
      <c r="LUS2" s="100"/>
      <c r="LUT2" s="100"/>
      <c r="LUU2" s="100"/>
      <c r="LUV2" s="100"/>
      <c r="LUW2" s="100"/>
      <c r="LUX2" s="100"/>
      <c r="LUY2" s="100"/>
      <c r="LUZ2" s="100"/>
      <c r="LVA2" s="100"/>
      <c r="LVB2" s="100"/>
      <c r="LVC2" s="100"/>
      <c r="LVD2" s="100"/>
      <c r="LVE2" s="100"/>
      <c r="LVF2" s="100"/>
      <c r="LVG2" s="100"/>
      <c r="LVH2" s="100"/>
      <c r="LVI2" s="100"/>
      <c r="LVJ2" s="100"/>
      <c r="LVK2" s="100"/>
      <c r="LVL2" s="100"/>
      <c r="LVM2" s="633"/>
      <c r="LVN2" s="100"/>
      <c r="LVO2" s="100"/>
      <c r="LVP2" s="100"/>
      <c r="LVQ2" s="199"/>
      <c r="LVR2" s="200"/>
      <c r="LVS2" s="201"/>
      <c r="LVT2" s="100"/>
      <c r="LVU2" s="100"/>
      <c r="LVV2" s="100"/>
      <c r="LVW2" s="100"/>
      <c r="LVX2" s="100"/>
      <c r="LVY2" s="100"/>
      <c r="LVZ2" s="100"/>
      <c r="LWA2" s="100"/>
      <c r="LWB2" s="100"/>
      <c r="LWC2" s="100"/>
      <c r="LWD2" s="100"/>
      <c r="LWE2" s="100"/>
      <c r="LWF2" s="100"/>
      <c r="LWG2" s="100"/>
      <c r="LWH2" s="100"/>
      <c r="LWI2" s="100"/>
      <c r="LWJ2" s="100"/>
      <c r="LWK2" s="100"/>
      <c r="LWL2" s="100"/>
      <c r="LWM2" s="100"/>
      <c r="LWN2" s="100"/>
      <c r="LWO2" s="100"/>
      <c r="LWP2" s="100"/>
      <c r="LWQ2" s="100"/>
      <c r="LWR2" s="100"/>
      <c r="LWS2" s="100"/>
      <c r="LWT2" s="100"/>
      <c r="LWU2" s="100"/>
      <c r="LWV2" s="100"/>
      <c r="LWW2" s="100"/>
      <c r="LWX2" s="100"/>
      <c r="LWY2" s="100"/>
      <c r="LWZ2" s="100"/>
      <c r="LXA2" s="100"/>
      <c r="LXB2" s="100"/>
      <c r="LXC2" s="100"/>
      <c r="LXD2" s="100"/>
      <c r="LXE2" s="100"/>
      <c r="LXF2" s="100"/>
      <c r="LXG2" s="100"/>
      <c r="LXH2" s="100"/>
      <c r="LXI2" s="100"/>
      <c r="LXJ2" s="100"/>
      <c r="LXK2" s="100"/>
      <c r="LXL2" s="100"/>
      <c r="LXM2" s="100"/>
      <c r="LXN2" s="100"/>
      <c r="LXO2" s="100"/>
      <c r="LXP2" s="100"/>
      <c r="LXQ2" s="100"/>
      <c r="LXR2" s="100"/>
      <c r="LXS2" s="100"/>
      <c r="LXT2" s="100"/>
      <c r="LXU2" s="100"/>
      <c r="LXV2" s="100"/>
      <c r="LXW2" s="100"/>
      <c r="LXX2" s="100"/>
      <c r="LXY2" s="100"/>
      <c r="LXZ2" s="100"/>
      <c r="LYA2" s="100"/>
      <c r="LYB2" s="633"/>
      <c r="LYC2" s="100"/>
      <c r="LYD2" s="100"/>
      <c r="LYE2" s="100"/>
      <c r="LYF2" s="199"/>
      <c r="LYG2" s="200"/>
      <c r="LYH2" s="201"/>
      <c r="LYI2" s="100"/>
      <c r="LYJ2" s="100"/>
      <c r="LYK2" s="100"/>
      <c r="LYL2" s="100"/>
      <c r="LYM2" s="100"/>
      <c r="LYN2" s="100"/>
      <c r="LYO2" s="100"/>
      <c r="LYP2" s="100"/>
      <c r="LYQ2" s="100"/>
      <c r="LYR2" s="100"/>
      <c r="LYS2" s="100"/>
      <c r="LYT2" s="100"/>
      <c r="LYU2" s="100"/>
      <c r="LYV2" s="100"/>
      <c r="LYW2" s="100"/>
      <c r="LYX2" s="100"/>
      <c r="LYY2" s="100"/>
      <c r="LYZ2" s="100"/>
      <c r="LZA2" s="100"/>
      <c r="LZB2" s="100"/>
      <c r="LZC2" s="100"/>
      <c r="LZD2" s="100"/>
      <c r="LZE2" s="100"/>
      <c r="LZF2" s="100"/>
      <c r="LZG2" s="100"/>
      <c r="LZH2" s="100"/>
      <c r="LZI2" s="100"/>
      <c r="LZJ2" s="100"/>
      <c r="LZK2" s="100"/>
      <c r="LZL2" s="100"/>
      <c r="LZM2" s="100"/>
      <c r="LZN2" s="100"/>
      <c r="LZO2" s="100"/>
      <c r="LZP2" s="100"/>
      <c r="LZQ2" s="100"/>
      <c r="LZR2" s="100"/>
      <c r="LZS2" s="100"/>
      <c r="LZT2" s="100"/>
      <c r="LZU2" s="100"/>
      <c r="LZV2" s="100"/>
      <c r="LZW2" s="100"/>
      <c r="LZX2" s="100"/>
      <c r="LZY2" s="100"/>
      <c r="LZZ2" s="100"/>
      <c r="MAA2" s="100"/>
      <c r="MAB2" s="100"/>
      <c r="MAC2" s="100"/>
      <c r="MAD2" s="100"/>
      <c r="MAE2" s="100"/>
      <c r="MAF2" s="100"/>
      <c r="MAG2" s="100"/>
      <c r="MAH2" s="100"/>
      <c r="MAI2" s="100"/>
      <c r="MAJ2" s="100"/>
      <c r="MAK2" s="100"/>
      <c r="MAL2" s="100"/>
      <c r="MAM2" s="100"/>
      <c r="MAN2" s="100"/>
      <c r="MAO2" s="100"/>
      <c r="MAP2" s="100"/>
      <c r="MAQ2" s="633"/>
      <c r="MAR2" s="100"/>
      <c r="MAS2" s="100"/>
      <c r="MAT2" s="100"/>
      <c r="MAU2" s="199"/>
      <c r="MAV2" s="200"/>
      <c r="MAW2" s="201"/>
      <c r="MAX2" s="100"/>
      <c r="MAY2" s="100"/>
      <c r="MAZ2" s="100"/>
      <c r="MBA2" s="100"/>
      <c r="MBB2" s="100"/>
      <c r="MBC2" s="100"/>
      <c r="MBD2" s="100"/>
      <c r="MBE2" s="100"/>
      <c r="MBF2" s="100"/>
      <c r="MBG2" s="100"/>
      <c r="MBH2" s="100"/>
      <c r="MBI2" s="100"/>
      <c r="MBJ2" s="100"/>
      <c r="MBK2" s="100"/>
      <c r="MBL2" s="100"/>
      <c r="MBM2" s="100"/>
      <c r="MBN2" s="100"/>
      <c r="MBO2" s="100"/>
      <c r="MBP2" s="100"/>
      <c r="MBQ2" s="100"/>
      <c r="MBR2" s="100"/>
      <c r="MBS2" s="100"/>
      <c r="MBT2" s="100"/>
      <c r="MBU2" s="100"/>
      <c r="MBV2" s="100"/>
      <c r="MBW2" s="100"/>
      <c r="MBX2" s="100"/>
      <c r="MBY2" s="100"/>
      <c r="MBZ2" s="100"/>
      <c r="MCA2" s="100"/>
      <c r="MCB2" s="100"/>
      <c r="MCC2" s="100"/>
      <c r="MCD2" s="100"/>
      <c r="MCE2" s="100"/>
      <c r="MCF2" s="100"/>
      <c r="MCG2" s="100"/>
      <c r="MCH2" s="100"/>
      <c r="MCI2" s="100"/>
      <c r="MCJ2" s="100"/>
      <c r="MCK2" s="100"/>
      <c r="MCL2" s="100"/>
      <c r="MCM2" s="100"/>
      <c r="MCN2" s="100"/>
      <c r="MCO2" s="100"/>
      <c r="MCP2" s="100"/>
      <c r="MCQ2" s="100"/>
      <c r="MCR2" s="100"/>
      <c r="MCS2" s="100"/>
      <c r="MCT2" s="100"/>
      <c r="MCU2" s="100"/>
      <c r="MCV2" s="100"/>
      <c r="MCW2" s="100"/>
      <c r="MCX2" s="100"/>
      <c r="MCY2" s="100"/>
      <c r="MCZ2" s="100"/>
      <c r="MDA2" s="100"/>
      <c r="MDB2" s="100"/>
      <c r="MDC2" s="100"/>
      <c r="MDD2" s="100"/>
      <c r="MDE2" s="100"/>
      <c r="MDF2" s="633"/>
      <c r="MDG2" s="100"/>
      <c r="MDH2" s="100"/>
      <c r="MDI2" s="100"/>
      <c r="MDJ2" s="199"/>
      <c r="MDK2" s="200"/>
      <c r="MDL2" s="201"/>
      <c r="MDM2" s="100"/>
      <c r="MDN2" s="100"/>
      <c r="MDO2" s="100"/>
      <c r="MDP2" s="100"/>
      <c r="MDQ2" s="100"/>
      <c r="MDR2" s="100"/>
      <c r="MDS2" s="100"/>
      <c r="MDT2" s="100"/>
      <c r="MDU2" s="100"/>
      <c r="MDV2" s="100"/>
      <c r="MDW2" s="100"/>
      <c r="MDX2" s="100"/>
      <c r="MDY2" s="100"/>
      <c r="MDZ2" s="100"/>
      <c r="MEA2" s="100"/>
      <c r="MEB2" s="100"/>
      <c r="MEC2" s="100"/>
      <c r="MED2" s="100"/>
      <c r="MEE2" s="100"/>
      <c r="MEF2" s="100"/>
      <c r="MEG2" s="100"/>
      <c r="MEH2" s="100"/>
      <c r="MEI2" s="100"/>
      <c r="MEJ2" s="100"/>
      <c r="MEK2" s="100"/>
      <c r="MEL2" s="100"/>
      <c r="MEM2" s="100"/>
      <c r="MEN2" s="100"/>
      <c r="MEO2" s="100"/>
      <c r="MEP2" s="100"/>
      <c r="MEQ2" s="100"/>
      <c r="MER2" s="100"/>
      <c r="MES2" s="100"/>
      <c r="MET2" s="100"/>
      <c r="MEU2" s="100"/>
      <c r="MEV2" s="100"/>
      <c r="MEW2" s="100"/>
      <c r="MEX2" s="100"/>
      <c r="MEY2" s="100"/>
      <c r="MEZ2" s="100"/>
      <c r="MFA2" s="100"/>
      <c r="MFB2" s="100"/>
      <c r="MFC2" s="100"/>
      <c r="MFD2" s="100"/>
      <c r="MFE2" s="100"/>
      <c r="MFF2" s="100"/>
      <c r="MFG2" s="100"/>
      <c r="MFH2" s="100"/>
      <c r="MFI2" s="100"/>
      <c r="MFJ2" s="100"/>
      <c r="MFK2" s="100"/>
      <c r="MFL2" s="100"/>
      <c r="MFM2" s="100"/>
      <c r="MFN2" s="100"/>
      <c r="MFO2" s="100"/>
      <c r="MFP2" s="100"/>
      <c r="MFQ2" s="100"/>
      <c r="MFR2" s="100"/>
      <c r="MFS2" s="100"/>
      <c r="MFT2" s="100"/>
      <c r="MFU2" s="633"/>
      <c r="MFV2" s="100"/>
      <c r="MFW2" s="100"/>
      <c r="MFX2" s="100"/>
      <c r="MFY2" s="199"/>
      <c r="MFZ2" s="200"/>
      <c r="MGA2" s="201"/>
      <c r="MGB2" s="100"/>
      <c r="MGC2" s="100"/>
      <c r="MGD2" s="100"/>
      <c r="MGE2" s="100"/>
      <c r="MGF2" s="100"/>
      <c r="MGG2" s="100"/>
      <c r="MGH2" s="100"/>
      <c r="MGI2" s="100"/>
      <c r="MGJ2" s="100"/>
      <c r="MGK2" s="100"/>
      <c r="MGL2" s="100"/>
      <c r="MGM2" s="100"/>
      <c r="MGN2" s="100"/>
      <c r="MGO2" s="100"/>
      <c r="MGP2" s="100"/>
      <c r="MGQ2" s="100"/>
      <c r="MGR2" s="100"/>
      <c r="MGS2" s="100"/>
      <c r="MGT2" s="100"/>
      <c r="MGU2" s="100"/>
      <c r="MGV2" s="100"/>
      <c r="MGW2" s="100"/>
      <c r="MGX2" s="100"/>
      <c r="MGY2" s="100"/>
      <c r="MGZ2" s="100"/>
      <c r="MHA2" s="100"/>
      <c r="MHB2" s="100"/>
      <c r="MHC2" s="100"/>
      <c r="MHD2" s="100"/>
      <c r="MHE2" s="100"/>
      <c r="MHF2" s="100"/>
      <c r="MHG2" s="100"/>
      <c r="MHH2" s="100"/>
      <c r="MHI2" s="100"/>
      <c r="MHJ2" s="100"/>
      <c r="MHK2" s="100"/>
      <c r="MHL2" s="100"/>
      <c r="MHM2" s="100"/>
      <c r="MHN2" s="100"/>
      <c r="MHO2" s="100"/>
      <c r="MHP2" s="100"/>
      <c r="MHQ2" s="100"/>
      <c r="MHR2" s="100"/>
      <c r="MHS2" s="100"/>
      <c r="MHT2" s="100"/>
      <c r="MHU2" s="100"/>
      <c r="MHV2" s="100"/>
      <c r="MHW2" s="100"/>
      <c r="MHX2" s="100"/>
      <c r="MHY2" s="100"/>
      <c r="MHZ2" s="100"/>
      <c r="MIA2" s="100"/>
      <c r="MIB2" s="100"/>
      <c r="MIC2" s="100"/>
      <c r="MID2" s="100"/>
      <c r="MIE2" s="100"/>
      <c r="MIF2" s="100"/>
      <c r="MIG2" s="100"/>
      <c r="MIH2" s="100"/>
      <c r="MII2" s="100"/>
      <c r="MIJ2" s="633"/>
      <c r="MIK2" s="100"/>
      <c r="MIL2" s="100"/>
      <c r="MIM2" s="100"/>
      <c r="MIN2" s="199"/>
      <c r="MIO2" s="200"/>
      <c r="MIP2" s="201"/>
      <c r="MIQ2" s="100"/>
      <c r="MIR2" s="100"/>
      <c r="MIS2" s="100"/>
      <c r="MIT2" s="100"/>
      <c r="MIU2" s="100"/>
      <c r="MIV2" s="100"/>
      <c r="MIW2" s="100"/>
      <c r="MIX2" s="100"/>
      <c r="MIY2" s="100"/>
      <c r="MIZ2" s="100"/>
      <c r="MJA2" s="100"/>
      <c r="MJB2" s="100"/>
      <c r="MJC2" s="100"/>
      <c r="MJD2" s="100"/>
      <c r="MJE2" s="100"/>
      <c r="MJF2" s="100"/>
      <c r="MJG2" s="100"/>
      <c r="MJH2" s="100"/>
      <c r="MJI2" s="100"/>
      <c r="MJJ2" s="100"/>
      <c r="MJK2" s="100"/>
      <c r="MJL2" s="100"/>
      <c r="MJM2" s="100"/>
      <c r="MJN2" s="100"/>
      <c r="MJO2" s="100"/>
      <c r="MJP2" s="100"/>
      <c r="MJQ2" s="100"/>
      <c r="MJR2" s="100"/>
      <c r="MJS2" s="100"/>
      <c r="MJT2" s="100"/>
      <c r="MJU2" s="100"/>
      <c r="MJV2" s="100"/>
      <c r="MJW2" s="100"/>
      <c r="MJX2" s="100"/>
      <c r="MJY2" s="100"/>
      <c r="MJZ2" s="100"/>
      <c r="MKA2" s="100"/>
      <c r="MKB2" s="100"/>
      <c r="MKC2" s="100"/>
      <c r="MKD2" s="100"/>
      <c r="MKE2" s="100"/>
      <c r="MKF2" s="100"/>
      <c r="MKG2" s="100"/>
      <c r="MKH2" s="100"/>
      <c r="MKI2" s="100"/>
      <c r="MKJ2" s="100"/>
      <c r="MKK2" s="100"/>
      <c r="MKL2" s="100"/>
      <c r="MKM2" s="100"/>
      <c r="MKN2" s="100"/>
      <c r="MKO2" s="100"/>
      <c r="MKP2" s="100"/>
      <c r="MKQ2" s="100"/>
      <c r="MKR2" s="100"/>
      <c r="MKS2" s="100"/>
      <c r="MKT2" s="100"/>
      <c r="MKU2" s="100"/>
      <c r="MKV2" s="100"/>
      <c r="MKW2" s="100"/>
      <c r="MKX2" s="100"/>
      <c r="MKY2" s="633"/>
      <c r="MKZ2" s="100"/>
      <c r="MLA2" s="100"/>
      <c r="MLB2" s="100"/>
      <c r="MLC2" s="199"/>
      <c r="MLD2" s="200"/>
      <c r="MLE2" s="201"/>
      <c r="MLF2" s="100"/>
      <c r="MLG2" s="100"/>
      <c r="MLH2" s="100"/>
      <c r="MLI2" s="100"/>
      <c r="MLJ2" s="100"/>
      <c r="MLK2" s="100"/>
      <c r="MLL2" s="100"/>
      <c r="MLM2" s="100"/>
      <c r="MLN2" s="100"/>
      <c r="MLO2" s="100"/>
      <c r="MLP2" s="100"/>
      <c r="MLQ2" s="100"/>
      <c r="MLR2" s="100"/>
      <c r="MLS2" s="100"/>
      <c r="MLT2" s="100"/>
      <c r="MLU2" s="100"/>
      <c r="MLV2" s="100"/>
      <c r="MLW2" s="100"/>
      <c r="MLX2" s="100"/>
      <c r="MLY2" s="100"/>
      <c r="MLZ2" s="100"/>
      <c r="MMA2" s="100"/>
      <c r="MMB2" s="100"/>
      <c r="MMC2" s="100"/>
      <c r="MMD2" s="100"/>
      <c r="MME2" s="100"/>
      <c r="MMF2" s="100"/>
      <c r="MMG2" s="100"/>
      <c r="MMH2" s="100"/>
      <c r="MMI2" s="100"/>
      <c r="MMJ2" s="100"/>
      <c r="MMK2" s="100"/>
      <c r="MML2" s="100"/>
      <c r="MMM2" s="100"/>
      <c r="MMN2" s="100"/>
      <c r="MMO2" s="100"/>
      <c r="MMP2" s="100"/>
      <c r="MMQ2" s="100"/>
      <c r="MMR2" s="100"/>
      <c r="MMS2" s="100"/>
      <c r="MMT2" s="100"/>
      <c r="MMU2" s="100"/>
      <c r="MMV2" s="100"/>
      <c r="MMW2" s="100"/>
      <c r="MMX2" s="100"/>
      <c r="MMY2" s="100"/>
      <c r="MMZ2" s="100"/>
      <c r="MNA2" s="100"/>
      <c r="MNB2" s="100"/>
      <c r="MNC2" s="100"/>
      <c r="MND2" s="100"/>
      <c r="MNE2" s="100"/>
      <c r="MNF2" s="100"/>
      <c r="MNG2" s="100"/>
      <c r="MNH2" s="100"/>
      <c r="MNI2" s="100"/>
      <c r="MNJ2" s="100"/>
      <c r="MNK2" s="100"/>
      <c r="MNL2" s="100"/>
      <c r="MNM2" s="100"/>
      <c r="MNN2" s="633"/>
      <c r="MNO2" s="100"/>
      <c r="MNP2" s="100"/>
      <c r="MNQ2" s="100"/>
      <c r="MNR2" s="199"/>
      <c r="MNS2" s="200"/>
      <c r="MNT2" s="201"/>
      <c r="MNU2" s="100"/>
      <c r="MNV2" s="100"/>
      <c r="MNW2" s="100"/>
      <c r="MNX2" s="100"/>
      <c r="MNY2" s="100"/>
      <c r="MNZ2" s="100"/>
      <c r="MOA2" s="100"/>
      <c r="MOB2" s="100"/>
      <c r="MOC2" s="100"/>
      <c r="MOD2" s="100"/>
      <c r="MOE2" s="100"/>
      <c r="MOF2" s="100"/>
      <c r="MOG2" s="100"/>
      <c r="MOH2" s="100"/>
      <c r="MOI2" s="100"/>
      <c r="MOJ2" s="100"/>
      <c r="MOK2" s="100"/>
      <c r="MOL2" s="100"/>
      <c r="MOM2" s="100"/>
      <c r="MON2" s="100"/>
      <c r="MOO2" s="100"/>
      <c r="MOP2" s="100"/>
      <c r="MOQ2" s="100"/>
      <c r="MOR2" s="100"/>
      <c r="MOS2" s="100"/>
      <c r="MOT2" s="100"/>
      <c r="MOU2" s="100"/>
      <c r="MOV2" s="100"/>
      <c r="MOW2" s="100"/>
      <c r="MOX2" s="100"/>
      <c r="MOY2" s="100"/>
      <c r="MOZ2" s="100"/>
      <c r="MPA2" s="100"/>
      <c r="MPB2" s="100"/>
      <c r="MPC2" s="100"/>
      <c r="MPD2" s="100"/>
      <c r="MPE2" s="100"/>
      <c r="MPF2" s="100"/>
      <c r="MPG2" s="100"/>
      <c r="MPH2" s="100"/>
      <c r="MPI2" s="100"/>
      <c r="MPJ2" s="100"/>
      <c r="MPK2" s="100"/>
      <c r="MPL2" s="100"/>
      <c r="MPM2" s="100"/>
      <c r="MPN2" s="100"/>
      <c r="MPO2" s="100"/>
      <c r="MPP2" s="100"/>
      <c r="MPQ2" s="100"/>
      <c r="MPR2" s="100"/>
      <c r="MPS2" s="100"/>
      <c r="MPT2" s="100"/>
      <c r="MPU2" s="100"/>
      <c r="MPV2" s="100"/>
      <c r="MPW2" s="100"/>
      <c r="MPX2" s="100"/>
      <c r="MPY2" s="100"/>
      <c r="MPZ2" s="100"/>
      <c r="MQA2" s="100"/>
      <c r="MQB2" s="100"/>
      <c r="MQC2" s="633"/>
      <c r="MQD2" s="100"/>
      <c r="MQE2" s="100"/>
      <c r="MQF2" s="100"/>
      <c r="MQG2" s="199"/>
      <c r="MQH2" s="200"/>
      <c r="MQI2" s="201"/>
      <c r="MQJ2" s="100"/>
      <c r="MQK2" s="100"/>
      <c r="MQL2" s="100"/>
      <c r="MQM2" s="100"/>
      <c r="MQN2" s="100"/>
      <c r="MQO2" s="100"/>
      <c r="MQP2" s="100"/>
      <c r="MQQ2" s="100"/>
      <c r="MQR2" s="100"/>
      <c r="MQS2" s="100"/>
      <c r="MQT2" s="100"/>
      <c r="MQU2" s="100"/>
      <c r="MQV2" s="100"/>
      <c r="MQW2" s="100"/>
      <c r="MQX2" s="100"/>
      <c r="MQY2" s="100"/>
      <c r="MQZ2" s="100"/>
      <c r="MRA2" s="100"/>
      <c r="MRB2" s="100"/>
      <c r="MRC2" s="100"/>
      <c r="MRD2" s="100"/>
      <c r="MRE2" s="100"/>
      <c r="MRF2" s="100"/>
      <c r="MRG2" s="100"/>
      <c r="MRH2" s="100"/>
      <c r="MRI2" s="100"/>
      <c r="MRJ2" s="100"/>
      <c r="MRK2" s="100"/>
      <c r="MRL2" s="100"/>
      <c r="MRM2" s="100"/>
      <c r="MRN2" s="100"/>
      <c r="MRO2" s="100"/>
      <c r="MRP2" s="100"/>
      <c r="MRQ2" s="100"/>
      <c r="MRR2" s="100"/>
      <c r="MRS2" s="100"/>
      <c r="MRT2" s="100"/>
      <c r="MRU2" s="100"/>
      <c r="MRV2" s="100"/>
      <c r="MRW2" s="100"/>
      <c r="MRX2" s="100"/>
      <c r="MRY2" s="100"/>
      <c r="MRZ2" s="100"/>
      <c r="MSA2" s="100"/>
      <c r="MSB2" s="100"/>
      <c r="MSC2" s="100"/>
      <c r="MSD2" s="100"/>
      <c r="MSE2" s="100"/>
      <c r="MSF2" s="100"/>
      <c r="MSG2" s="100"/>
      <c r="MSH2" s="100"/>
      <c r="MSI2" s="100"/>
      <c r="MSJ2" s="100"/>
      <c r="MSK2" s="100"/>
      <c r="MSL2" s="100"/>
      <c r="MSM2" s="100"/>
      <c r="MSN2" s="100"/>
      <c r="MSO2" s="100"/>
      <c r="MSP2" s="100"/>
      <c r="MSQ2" s="100"/>
      <c r="MSR2" s="633"/>
      <c r="MSS2" s="100"/>
      <c r="MST2" s="100"/>
      <c r="MSU2" s="100"/>
      <c r="MSV2" s="199"/>
      <c r="MSW2" s="200"/>
      <c r="MSX2" s="201"/>
      <c r="MSY2" s="100"/>
      <c r="MSZ2" s="100"/>
      <c r="MTA2" s="100"/>
      <c r="MTB2" s="100"/>
      <c r="MTC2" s="100"/>
      <c r="MTD2" s="100"/>
      <c r="MTE2" s="100"/>
      <c r="MTF2" s="100"/>
      <c r="MTG2" s="100"/>
      <c r="MTH2" s="100"/>
      <c r="MTI2" s="100"/>
      <c r="MTJ2" s="100"/>
      <c r="MTK2" s="100"/>
      <c r="MTL2" s="100"/>
      <c r="MTM2" s="100"/>
      <c r="MTN2" s="100"/>
      <c r="MTO2" s="100"/>
      <c r="MTP2" s="100"/>
      <c r="MTQ2" s="100"/>
      <c r="MTR2" s="100"/>
      <c r="MTS2" s="100"/>
      <c r="MTT2" s="100"/>
      <c r="MTU2" s="100"/>
      <c r="MTV2" s="100"/>
      <c r="MTW2" s="100"/>
      <c r="MTX2" s="100"/>
      <c r="MTY2" s="100"/>
      <c r="MTZ2" s="100"/>
      <c r="MUA2" s="100"/>
      <c r="MUB2" s="100"/>
      <c r="MUC2" s="100"/>
      <c r="MUD2" s="100"/>
      <c r="MUE2" s="100"/>
      <c r="MUF2" s="100"/>
      <c r="MUG2" s="100"/>
      <c r="MUH2" s="100"/>
      <c r="MUI2" s="100"/>
      <c r="MUJ2" s="100"/>
      <c r="MUK2" s="100"/>
      <c r="MUL2" s="100"/>
      <c r="MUM2" s="100"/>
      <c r="MUN2" s="100"/>
      <c r="MUO2" s="100"/>
      <c r="MUP2" s="100"/>
      <c r="MUQ2" s="100"/>
      <c r="MUR2" s="100"/>
      <c r="MUS2" s="100"/>
      <c r="MUT2" s="100"/>
      <c r="MUU2" s="100"/>
      <c r="MUV2" s="100"/>
      <c r="MUW2" s="100"/>
      <c r="MUX2" s="100"/>
      <c r="MUY2" s="100"/>
      <c r="MUZ2" s="100"/>
      <c r="MVA2" s="100"/>
      <c r="MVB2" s="100"/>
      <c r="MVC2" s="100"/>
      <c r="MVD2" s="100"/>
      <c r="MVE2" s="100"/>
      <c r="MVF2" s="100"/>
      <c r="MVG2" s="633"/>
      <c r="MVH2" s="100"/>
      <c r="MVI2" s="100"/>
      <c r="MVJ2" s="100"/>
      <c r="MVK2" s="199"/>
      <c r="MVL2" s="200"/>
      <c r="MVM2" s="201"/>
      <c r="MVN2" s="100"/>
      <c r="MVO2" s="100"/>
      <c r="MVP2" s="100"/>
      <c r="MVQ2" s="100"/>
      <c r="MVR2" s="100"/>
      <c r="MVS2" s="100"/>
      <c r="MVT2" s="100"/>
      <c r="MVU2" s="100"/>
      <c r="MVV2" s="100"/>
      <c r="MVW2" s="100"/>
      <c r="MVX2" s="100"/>
      <c r="MVY2" s="100"/>
      <c r="MVZ2" s="100"/>
      <c r="MWA2" s="100"/>
      <c r="MWB2" s="100"/>
      <c r="MWC2" s="100"/>
      <c r="MWD2" s="100"/>
      <c r="MWE2" s="100"/>
      <c r="MWF2" s="100"/>
      <c r="MWG2" s="100"/>
      <c r="MWH2" s="100"/>
      <c r="MWI2" s="100"/>
      <c r="MWJ2" s="100"/>
      <c r="MWK2" s="100"/>
      <c r="MWL2" s="100"/>
      <c r="MWM2" s="100"/>
      <c r="MWN2" s="100"/>
      <c r="MWO2" s="100"/>
      <c r="MWP2" s="100"/>
      <c r="MWQ2" s="100"/>
      <c r="MWR2" s="100"/>
      <c r="MWS2" s="100"/>
      <c r="MWT2" s="100"/>
      <c r="MWU2" s="100"/>
      <c r="MWV2" s="100"/>
      <c r="MWW2" s="100"/>
      <c r="MWX2" s="100"/>
      <c r="MWY2" s="100"/>
      <c r="MWZ2" s="100"/>
      <c r="MXA2" s="100"/>
      <c r="MXB2" s="100"/>
      <c r="MXC2" s="100"/>
      <c r="MXD2" s="100"/>
      <c r="MXE2" s="100"/>
      <c r="MXF2" s="100"/>
      <c r="MXG2" s="100"/>
      <c r="MXH2" s="100"/>
      <c r="MXI2" s="100"/>
      <c r="MXJ2" s="100"/>
      <c r="MXK2" s="100"/>
      <c r="MXL2" s="100"/>
      <c r="MXM2" s="100"/>
      <c r="MXN2" s="100"/>
      <c r="MXO2" s="100"/>
      <c r="MXP2" s="100"/>
      <c r="MXQ2" s="100"/>
      <c r="MXR2" s="100"/>
      <c r="MXS2" s="100"/>
      <c r="MXT2" s="100"/>
      <c r="MXU2" s="100"/>
      <c r="MXV2" s="633"/>
      <c r="MXW2" s="100"/>
      <c r="MXX2" s="100"/>
      <c r="MXY2" s="100"/>
      <c r="MXZ2" s="199"/>
      <c r="MYA2" s="200"/>
      <c r="MYB2" s="201"/>
      <c r="MYC2" s="100"/>
      <c r="MYD2" s="100"/>
      <c r="MYE2" s="100"/>
      <c r="MYF2" s="100"/>
      <c r="MYG2" s="100"/>
      <c r="MYH2" s="100"/>
      <c r="MYI2" s="100"/>
      <c r="MYJ2" s="100"/>
      <c r="MYK2" s="100"/>
      <c r="MYL2" s="100"/>
      <c r="MYM2" s="100"/>
      <c r="MYN2" s="100"/>
      <c r="MYO2" s="100"/>
      <c r="MYP2" s="100"/>
      <c r="MYQ2" s="100"/>
      <c r="MYR2" s="100"/>
      <c r="MYS2" s="100"/>
      <c r="MYT2" s="100"/>
      <c r="MYU2" s="100"/>
      <c r="MYV2" s="100"/>
      <c r="MYW2" s="100"/>
      <c r="MYX2" s="100"/>
      <c r="MYY2" s="100"/>
      <c r="MYZ2" s="100"/>
      <c r="MZA2" s="100"/>
      <c r="MZB2" s="100"/>
      <c r="MZC2" s="100"/>
      <c r="MZD2" s="100"/>
      <c r="MZE2" s="100"/>
      <c r="MZF2" s="100"/>
      <c r="MZG2" s="100"/>
      <c r="MZH2" s="100"/>
      <c r="MZI2" s="100"/>
      <c r="MZJ2" s="100"/>
      <c r="MZK2" s="100"/>
      <c r="MZL2" s="100"/>
      <c r="MZM2" s="100"/>
      <c r="MZN2" s="100"/>
      <c r="MZO2" s="100"/>
      <c r="MZP2" s="100"/>
      <c r="MZQ2" s="100"/>
      <c r="MZR2" s="100"/>
      <c r="MZS2" s="100"/>
      <c r="MZT2" s="100"/>
      <c r="MZU2" s="100"/>
      <c r="MZV2" s="100"/>
      <c r="MZW2" s="100"/>
      <c r="MZX2" s="100"/>
      <c r="MZY2" s="100"/>
      <c r="MZZ2" s="100"/>
      <c r="NAA2" s="100"/>
      <c r="NAB2" s="100"/>
      <c r="NAC2" s="100"/>
      <c r="NAD2" s="100"/>
      <c r="NAE2" s="100"/>
      <c r="NAF2" s="100"/>
      <c r="NAG2" s="100"/>
      <c r="NAH2" s="100"/>
      <c r="NAI2" s="100"/>
      <c r="NAJ2" s="100"/>
      <c r="NAK2" s="633"/>
      <c r="NAL2" s="100"/>
      <c r="NAM2" s="100"/>
      <c r="NAN2" s="100"/>
      <c r="NAO2" s="199"/>
      <c r="NAP2" s="200"/>
      <c r="NAQ2" s="201"/>
      <c r="NAR2" s="100"/>
      <c r="NAS2" s="100"/>
      <c r="NAT2" s="100"/>
      <c r="NAU2" s="100"/>
      <c r="NAV2" s="100"/>
      <c r="NAW2" s="100"/>
      <c r="NAX2" s="100"/>
      <c r="NAY2" s="100"/>
      <c r="NAZ2" s="100"/>
      <c r="NBA2" s="100"/>
      <c r="NBB2" s="100"/>
      <c r="NBC2" s="100"/>
      <c r="NBD2" s="100"/>
      <c r="NBE2" s="100"/>
      <c r="NBF2" s="100"/>
      <c r="NBG2" s="100"/>
      <c r="NBH2" s="100"/>
      <c r="NBI2" s="100"/>
      <c r="NBJ2" s="100"/>
      <c r="NBK2" s="100"/>
      <c r="NBL2" s="100"/>
      <c r="NBM2" s="100"/>
      <c r="NBN2" s="100"/>
      <c r="NBO2" s="100"/>
      <c r="NBP2" s="100"/>
      <c r="NBQ2" s="100"/>
      <c r="NBR2" s="100"/>
      <c r="NBS2" s="100"/>
      <c r="NBT2" s="100"/>
      <c r="NBU2" s="100"/>
      <c r="NBV2" s="100"/>
      <c r="NBW2" s="100"/>
      <c r="NBX2" s="100"/>
      <c r="NBY2" s="100"/>
      <c r="NBZ2" s="100"/>
      <c r="NCA2" s="100"/>
      <c r="NCB2" s="100"/>
      <c r="NCC2" s="100"/>
      <c r="NCD2" s="100"/>
      <c r="NCE2" s="100"/>
      <c r="NCF2" s="100"/>
      <c r="NCG2" s="100"/>
      <c r="NCH2" s="100"/>
      <c r="NCI2" s="100"/>
      <c r="NCJ2" s="100"/>
      <c r="NCK2" s="100"/>
      <c r="NCL2" s="100"/>
      <c r="NCM2" s="100"/>
      <c r="NCN2" s="100"/>
      <c r="NCO2" s="100"/>
      <c r="NCP2" s="100"/>
      <c r="NCQ2" s="100"/>
      <c r="NCR2" s="100"/>
      <c r="NCS2" s="100"/>
      <c r="NCT2" s="100"/>
      <c r="NCU2" s="100"/>
      <c r="NCV2" s="100"/>
      <c r="NCW2" s="100"/>
      <c r="NCX2" s="100"/>
      <c r="NCY2" s="100"/>
      <c r="NCZ2" s="633"/>
      <c r="NDA2" s="100"/>
      <c r="NDB2" s="100"/>
      <c r="NDC2" s="100"/>
      <c r="NDD2" s="199"/>
      <c r="NDE2" s="200"/>
      <c r="NDF2" s="201"/>
      <c r="NDG2" s="100"/>
      <c r="NDH2" s="100"/>
      <c r="NDI2" s="100"/>
      <c r="NDJ2" s="100"/>
      <c r="NDK2" s="100"/>
      <c r="NDL2" s="100"/>
      <c r="NDM2" s="100"/>
      <c r="NDN2" s="100"/>
      <c r="NDO2" s="100"/>
      <c r="NDP2" s="100"/>
      <c r="NDQ2" s="100"/>
      <c r="NDR2" s="100"/>
      <c r="NDS2" s="100"/>
      <c r="NDT2" s="100"/>
      <c r="NDU2" s="100"/>
      <c r="NDV2" s="100"/>
      <c r="NDW2" s="100"/>
      <c r="NDX2" s="100"/>
      <c r="NDY2" s="100"/>
      <c r="NDZ2" s="100"/>
      <c r="NEA2" s="100"/>
      <c r="NEB2" s="100"/>
      <c r="NEC2" s="100"/>
      <c r="NED2" s="100"/>
      <c r="NEE2" s="100"/>
      <c r="NEF2" s="100"/>
      <c r="NEG2" s="100"/>
      <c r="NEH2" s="100"/>
      <c r="NEI2" s="100"/>
      <c r="NEJ2" s="100"/>
      <c r="NEK2" s="100"/>
      <c r="NEL2" s="100"/>
      <c r="NEM2" s="100"/>
      <c r="NEN2" s="100"/>
      <c r="NEO2" s="100"/>
      <c r="NEP2" s="100"/>
      <c r="NEQ2" s="100"/>
      <c r="NER2" s="100"/>
      <c r="NES2" s="100"/>
      <c r="NET2" s="100"/>
      <c r="NEU2" s="100"/>
      <c r="NEV2" s="100"/>
      <c r="NEW2" s="100"/>
      <c r="NEX2" s="100"/>
      <c r="NEY2" s="100"/>
      <c r="NEZ2" s="100"/>
      <c r="NFA2" s="100"/>
      <c r="NFB2" s="100"/>
      <c r="NFC2" s="100"/>
      <c r="NFD2" s="100"/>
      <c r="NFE2" s="100"/>
      <c r="NFF2" s="100"/>
      <c r="NFG2" s="100"/>
      <c r="NFH2" s="100"/>
      <c r="NFI2" s="100"/>
      <c r="NFJ2" s="100"/>
      <c r="NFK2" s="100"/>
      <c r="NFL2" s="100"/>
      <c r="NFM2" s="100"/>
      <c r="NFN2" s="100"/>
      <c r="NFO2" s="633"/>
      <c r="NFP2" s="100"/>
      <c r="NFQ2" s="100"/>
      <c r="NFR2" s="100"/>
      <c r="NFS2" s="199"/>
      <c r="NFT2" s="200"/>
      <c r="NFU2" s="201"/>
      <c r="NFV2" s="100"/>
      <c r="NFW2" s="100"/>
      <c r="NFX2" s="100"/>
      <c r="NFY2" s="100"/>
      <c r="NFZ2" s="100"/>
      <c r="NGA2" s="100"/>
      <c r="NGB2" s="100"/>
      <c r="NGC2" s="100"/>
      <c r="NGD2" s="100"/>
      <c r="NGE2" s="100"/>
      <c r="NGF2" s="100"/>
      <c r="NGG2" s="100"/>
      <c r="NGH2" s="100"/>
      <c r="NGI2" s="100"/>
      <c r="NGJ2" s="100"/>
      <c r="NGK2" s="100"/>
      <c r="NGL2" s="100"/>
      <c r="NGM2" s="100"/>
      <c r="NGN2" s="100"/>
      <c r="NGO2" s="100"/>
      <c r="NGP2" s="100"/>
      <c r="NGQ2" s="100"/>
      <c r="NGR2" s="100"/>
      <c r="NGS2" s="100"/>
      <c r="NGT2" s="100"/>
      <c r="NGU2" s="100"/>
      <c r="NGV2" s="100"/>
      <c r="NGW2" s="100"/>
      <c r="NGX2" s="100"/>
      <c r="NGY2" s="100"/>
      <c r="NGZ2" s="100"/>
      <c r="NHA2" s="100"/>
      <c r="NHB2" s="100"/>
      <c r="NHC2" s="100"/>
      <c r="NHD2" s="100"/>
      <c r="NHE2" s="100"/>
      <c r="NHF2" s="100"/>
      <c r="NHG2" s="100"/>
      <c r="NHH2" s="100"/>
      <c r="NHI2" s="100"/>
      <c r="NHJ2" s="100"/>
      <c r="NHK2" s="100"/>
      <c r="NHL2" s="100"/>
      <c r="NHM2" s="100"/>
      <c r="NHN2" s="100"/>
      <c r="NHO2" s="100"/>
      <c r="NHP2" s="100"/>
      <c r="NHQ2" s="100"/>
      <c r="NHR2" s="100"/>
      <c r="NHS2" s="100"/>
      <c r="NHT2" s="100"/>
      <c r="NHU2" s="100"/>
      <c r="NHV2" s="100"/>
      <c r="NHW2" s="100"/>
      <c r="NHX2" s="100"/>
      <c r="NHY2" s="100"/>
      <c r="NHZ2" s="100"/>
      <c r="NIA2" s="100"/>
      <c r="NIB2" s="100"/>
      <c r="NIC2" s="100"/>
      <c r="NID2" s="633"/>
      <c r="NIE2" s="100"/>
      <c r="NIF2" s="100"/>
      <c r="NIG2" s="100"/>
      <c r="NIH2" s="199"/>
      <c r="NII2" s="200"/>
      <c r="NIJ2" s="201"/>
      <c r="NIK2" s="100"/>
      <c r="NIL2" s="100"/>
      <c r="NIM2" s="100"/>
      <c r="NIN2" s="100"/>
      <c r="NIO2" s="100"/>
      <c r="NIP2" s="100"/>
      <c r="NIQ2" s="100"/>
      <c r="NIR2" s="100"/>
      <c r="NIS2" s="100"/>
      <c r="NIT2" s="100"/>
      <c r="NIU2" s="100"/>
      <c r="NIV2" s="100"/>
      <c r="NIW2" s="100"/>
      <c r="NIX2" s="100"/>
      <c r="NIY2" s="100"/>
      <c r="NIZ2" s="100"/>
      <c r="NJA2" s="100"/>
      <c r="NJB2" s="100"/>
      <c r="NJC2" s="100"/>
      <c r="NJD2" s="100"/>
      <c r="NJE2" s="100"/>
      <c r="NJF2" s="100"/>
      <c r="NJG2" s="100"/>
      <c r="NJH2" s="100"/>
      <c r="NJI2" s="100"/>
      <c r="NJJ2" s="100"/>
      <c r="NJK2" s="100"/>
      <c r="NJL2" s="100"/>
      <c r="NJM2" s="100"/>
      <c r="NJN2" s="100"/>
      <c r="NJO2" s="100"/>
      <c r="NJP2" s="100"/>
      <c r="NJQ2" s="100"/>
      <c r="NJR2" s="100"/>
      <c r="NJS2" s="100"/>
      <c r="NJT2" s="100"/>
      <c r="NJU2" s="100"/>
      <c r="NJV2" s="100"/>
      <c r="NJW2" s="100"/>
      <c r="NJX2" s="100"/>
      <c r="NJY2" s="100"/>
      <c r="NJZ2" s="100"/>
      <c r="NKA2" s="100"/>
      <c r="NKB2" s="100"/>
      <c r="NKC2" s="100"/>
      <c r="NKD2" s="100"/>
      <c r="NKE2" s="100"/>
      <c r="NKF2" s="100"/>
      <c r="NKG2" s="100"/>
      <c r="NKH2" s="100"/>
      <c r="NKI2" s="100"/>
      <c r="NKJ2" s="100"/>
      <c r="NKK2" s="100"/>
      <c r="NKL2" s="100"/>
      <c r="NKM2" s="100"/>
      <c r="NKN2" s="100"/>
      <c r="NKO2" s="100"/>
      <c r="NKP2" s="100"/>
      <c r="NKQ2" s="100"/>
      <c r="NKR2" s="100"/>
      <c r="NKS2" s="633"/>
      <c r="NKT2" s="100"/>
      <c r="NKU2" s="100"/>
      <c r="NKV2" s="100"/>
      <c r="NKW2" s="199"/>
      <c r="NKX2" s="200"/>
      <c r="NKY2" s="201"/>
      <c r="NKZ2" s="100"/>
      <c r="NLA2" s="100"/>
      <c r="NLB2" s="100"/>
      <c r="NLC2" s="100"/>
      <c r="NLD2" s="100"/>
      <c r="NLE2" s="100"/>
      <c r="NLF2" s="100"/>
      <c r="NLG2" s="100"/>
      <c r="NLH2" s="100"/>
      <c r="NLI2" s="100"/>
      <c r="NLJ2" s="100"/>
      <c r="NLK2" s="100"/>
      <c r="NLL2" s="100"/>
      <c r="NLM2" s="100"/>
      <c r="NLN2" s="100"/>
      <c r="NLO2" s="100"/>
      <c r="NLP2" s="100"/>
      <c r="NLQ2" s="100"/>
      <c r="NLR2" s="100"/>
      <c r="NLS2" s="100"/>
      <c r="NLT2" s="100"/>
      <c r="NLU2" s="100"/>
      <c r="NLV2" s="100"/>
      <c r="NLW2" s="100"/>
      <c r="NLX2" s="100"/>
      <c r="NLY2" s="100"/>
      <c r="NLZ2" s="100"/>
      <c r="NMA2" s="100"/>
      <c r="NMB2" s="100"/>
      <c r="NMC2" s="100"/>
      <c r="NMD2" s="100"/>
      <c r="NME2" s="100"/>
      <c r="NMF2" s="100"/>
      <c r="NMG2" s="100"/>
      <c r="NMH2" s="100"/>
      <c r="NMI2" s="100"/>
      <c r="NMJ2" s="100"/>
      <c r="NMK2" s="100"/>
      <c r="NML2" s="100"/>
      <c r="NMM2" s="100"/>
      <c r="NMN2" s="100"/>
      <c r="NMO2" s="100"/>
      <c r="NMP2" s="100"/>
      <c r="NMQ2" s="100"/>
      <c r="NMR2" s="100"/>
      <c r="NMS2" s="100"/>
      <c r="NMT2" s="100"/>
      <c r="NMU2" s="100"/>
      <c r="NMV2" s="100"/>
      <c r="NMW2" s="100"/>
      <c r="NMX2" s="100"/>
      <c r="NMY2" s="100"/>
      <c r="NMZ2" s="100"/>
      <c r="NNA2" s="100"/>
      <c r="NNB2" s="100"/>
      <c r="NNC2" s="100"/>
      <c r="NND2" s="100"/>
      <c r="NNE2" s="100"/>
      <c r="NNF2" s="100"/>
      <c r="NNG2" s="100"/>
      <c r="NNH2" s="633"/>
      <c r="NNI2" s="100"/>
      <c r="NNJ2" s="100"/>
      <c r="NNK2" s="100"/>
      <c r="NNL2" s="199"/>
      <c r="NNM2" s="200"/>
      <c r="NNN2" s="201"/>
      <c r="NNO2" s="100"/>
      <c r="NNP2" s="100"/>
      <c r="NNQ2" s="100"/>
      <c r="NNR2" s="100"/>
      <c r="NNS2" s="100"/>
      <c r="NNT2" s="100"/>
      <c r="NNU2" s="100"/>
      <c r="NNV2" s="100"/>
      <c r="NNW2" s="100"/>
      <c r="NNX2" s="100"/>
      <c r="NNY2" s="100"/>
      <c r="NNZ2" s="100"/>
      <c r="NOA2" s="100"/>
      <c r="NOB2" s="100"/>
      <c r="NOC2" s="100"/>
      <c r="NOD2" s="100"/>
      <c r="NOE2" s="100"/>
      <c r="NOF2" s="100"/>
      <c r="NOG2" s="100"/>
      <c r="NOH2" s="100"/>
      <c r="NOI2" s="100"/>
      <c r="NOJ2" s="100"/>
      <c r="NOK2" s="100"/>
      <c r="NOL2" s="100"/>
      <c r="NOM2" s="100"/>
      <c r="NON2" s="100"/>
      <c r="NOO2" s="100"/>
      <c r="NOP2" s="100"/>
      <c r="NOQ2" s="100"/>
      <c r="NOR2" s="100"/>
      <c r="NOS2" s="100"/>
      <c r="NOT2" s="100"/>
      <c r="NOU2" s="100"/>
      <c r="NOV2" s="100"/>
      <c r="NOW2" s="100"/>
      <c r="NOX2" s="100"/>
      <c r="NOY2" s="100"/>
      <c r="NOZ2" s="100"/>
      <c r="NPA2" s="100"/>
      <c r="NPB2" s="100"/>
      <c r="NPC2" s="100"/>
      <c r="NPD2" s="100"/>
      <c r="NPE2" s="100"/>
      <c r="NPF2" s="100"/>
      <c r="NPG2" s="100"/>
      <c r="NPH2" s="100"/>
      <c r="NPI2" s="100"/>
      <c r="NPJ2" s="100"/>
      <c r="NPK2" s="100"/>
      <c r="NPL2" s="100"/>
      <c r="NPM2" s="100"/>
      <c r="NPN2" s="100"/>
      <c r="NPO2" s="100"/>
      <c r="NPP2" s="100"/>
      <c r="NPQ2" s="100"/>
      <c r="NPR2" s="100"/>
      <c r="NPS2" s="100"/>
      <c r="NPT2" s="100"/>
      <c r="NPU2" s="100"/>
      <c r="NPV2" s="100"/>
      <c r="NPW2" s="633"/>
      <c r="NPX2" s="100"/>
      <c r="NPY2" s="100"/>
      <c r="NPZ2" s="100"/>
      <c r="NQA2" s="199"/>
      <c r="NQB2" s="200"/>
      <c r="NQC2" s="201"/>
      <c r="NQD2" s="100"/>
      <c r="NQE2" s="100"/>
      <c r="NQF2" s="100"/>
      <c r="NQG2" s="100"/>
      <c r="NQH2" s="100"/>
      <c r="NQI2" s="100"/>
      <c r="NQJ2" s="100"/>
      <c r="NQK2" s="100"/>
      <c r="NQL2" s="100"/>
      <c r="NQM2" s="100"/>
      <c r="NQN2" s="100"/>
      <c r="NQO2" s="100"/>
      <c r="NQP2" s="100"/>
      <c r="NQQ2" s="100"/>
      <c r="NQR2" s="100"/>
      <c r="NQS2" s="100"/>
      <c r="NQT2" s="100"/>
      <c r="NQU2" s="100"/>
      <c r="NQV2" s="100"/>
      <c r="NQW2" s="100"/>
      <c r="NQX2" s="100"/>
      <c r="NQY2" s="100"/>
      <c r="NQZ2" s="100"/>
      <c r="NRA2" s="100"/>
      <c r="NRB2" s="100"/>
      <c r="NRC2" s="100"/>
      <c r="NRD2" s="100"/>
      <c r="NRE2" s="100"/>
      <c r="NRF2" s="100"/>
      <c r="NRG2" s="100"/>
      <c r="NRH2" s="100"/>
      <c r="NRI2" s="100"/>
      <c r="NRJ2" s="100"/>
      <c r="NRK2" s="100"/>
      <c r="NRL2" s="100"/>
      <c r="NRM2" s="100"/>
      <c r="NRN2" s="100"/>
      <c r="NRO2" s="100"/>
      <c r="NRP2" s="100"/>
      <c r="NRQ2" s="100"/>
      <c r="NRR2" s="100"/>
      <c r="NRS2" s="100"/>
      <c r="NRT2" s="100"/>
      <c r="NRU2" s="100"/>
      <c r="NRV2" s="100"/>
      <c r="NRW2" s="100"/>
      <c r="NRX2" s="100"/>
      <c r="NRY2" s="100"/>
      <c r="NRZ2" s="100"/>
      <c r="NSA2" s="100"/>
      <c r="NSB2" s="100"/>
      <c r="NSC2" s="100"/>
      <c r="NSD2" s="100"/>
      <c r="NSE2" s="100"/>
      <c r="NSF2" s="100"/>
      <c r="NSG2" s="100"/>
      <c r="NSH2" s="100"/>
      <c r="NSI2" s="100"/>
      <c r="NSJ2" s="100"/>
      <c r="NSK2" s="100"/>
      <c r="NSL2" s="633"/>
      <c r="NSM2" s="100"/>
      <c r="NSN2" s="100"/>
      <c r="NSO2" s="100"/>
      <c r="NSP2" s="199"/>
      <c r="NSQ2" s="200"/>
      <c r="NSR2" s="201"/>
      <c r="NSS2" s="100"/>
      <c r="NST2" s="100"/>
      <c r="NSU2" s="100"/>
      <c r="NSV2" s="100"/>
      <c r="NSW2" s="100"/>
      <c r="NSX2" s="100"/>
      <c r="NSY2" s="100"/>
      <c r="NSZ2" s="100"/>
      <c r="NTA2" s="100"/>
      <c r="NTB2" s="100"/>
      <c r="NTC2" s="100"/>
      <c r="NTD2" s="100"/>
      <c r="NTE2" s="100"/>
      <c r="NTF2" s="100"/>
      <c r="NTG2" s="100"/>
      <c r="NTH2" s="100"/>
      <c r="NTI2" s="100"/>
      <c r="NTJ2" s="100"/>
      <c r="NTK2" s="100"/>
      <c r="NTL2" s="100"/>
      <c r="NTM2" s="100"/>
      <c r="NTN2" s="100"/>
      <c r="NTO2" s="100"/>
      <c r="NTP2" s="100"/>
      <c r="NTQ2" s="100"/>
      <c r="NTR2" s="100"/>
      <c r="NTS2" s="100"/>
      <c r="NTT2" s="100"/>
      <c r="NTU2" s="100"/>
      <c r="NTV2" s="100"/>
      <c r="NTW2" s="100"/>
      <c r="NTX2" s="100"/>
      <c r="NTY2" s="100"/>
      <c r="NTZ2" s="100"/>
      <c r="NUA2" s="100"/>
      <c r="NUB2" s="100"/>
      <c r="NUC2" s="100"/>
      <c r="NUD2" s="100"/>
      <c r="NUE2" s="100"/>
      <c r="NUF2" s="100"/>
      <c r="NUG2" s="100"/>
      <c r="NUH2" s="100"/>
      <c r="NUI2" s="100"/>
      <c r="NUJ2" s="100"/>
      <c r="NUK2" s="100"/>
      <c r="NUL2" s="100"/>
      <c r="NUM2" s="100"/>
      <c r="NUN2" s="100"/>
      <c r="NUO2" s="100"/>
      <c r="NUP2" s="100"/>
      <c r="NUQ2" s="100"/>
      <c r="NUR2" s="100"/>
      <c r="NUS2" s="100"/>
      <c r="NUT2" s="100"/>
      <c r="NUU2" s="100"/>
      <c r="NUV2" s="100"/>
      <c r="NUW2" s="100"/>
      <c r="NUX2" s="100"/>
      <c r="NUY2" s="100"/>
      <c r="NUZ2" s="100"/>
      <c r="NVA2" s="633"/>
      <c r="NVB2" s="100"/>
      <c r="NVC2" s="100"/>
      <c r="NVD2" s="100"/>
      <c r="NVE2" s="199"/>
      <c r="NVF2" s="200"/>
      <c r="NVG2" s="201"/>
      <c r="NVH2" s="100"/>
      <c r="NVI2" s="100"/>
      <c r="NVJ2" s="100"/>
      <c r="NVK2" s="100"/>
      <c r="NVL2" s="100"/>
      <c r="NVM2" s="100"/>
      <c r="NVN2" s="100"/>
      <c r="NVO2" s="100"/>
      <c r="NVP2" s="100"/>
      <c r="NVQ2" s="100"/>
      <c r="NVR2" s="100"/>
      <c r="NVS2" s="100"/>
      <c r="NVT2" s="100"/>
      <c r="NVU2" s="100"/>
      <c r="NVV2" s="100"/>
      <c r="NVW2" s="100"/>
      <c r="NVX2" s="100"/>
      <c r="NVY2" s="100"/>
      <c r="NVZ2" s="100"/>
      <c r="NWA2" s="100"/>
      <c r="NWB2" s="100"/>
      <c r="NWC2" s="100"/>
      <c r="NWD2" s="100"/>
      <c r="NWE2" s="100"/>
      <c r="NWF2" s="100"/>
      <c r="NWG2" s="100"/>
      <c r="NWH2" s="100"/>
      <c r="NWI2" s="100"/>
      <c r="NWJ2" s="100"/>
      <c r="NWK2" s="100"/>
      <c r="NWL2" s="100"/>
      <c r="NWM2" s="100"/>
      <c r="NWN2" s="100"/>
      <c r="NWO2" s="100"/>
      <c r="NWP2" s="100"/>
      <c r="NWQ2" s="100"/>
      <c r="NWR2" s="100"/>
      <c r="NWS2" s="100"/>
      <c r="NWT2" s="100"/>
      <c r="NWU2" s="100"/>
      <c r="NWV2" s="100"/>
      <c r="NWW2" s="100"/>
      <c r="NWX2" s="100"/>
      <c r="NWY2" s="100"/>
      <c r="NWZ2" s="100"/>
      <c r="NXA2" s="100"/>
      <c r="NXB2" s="100"/>
      <c r="NXC2" s="100"/>
      <c r="NXD2" s="100"/>
      <c r="NXE2" s="100"/>
      <c r="NXF2" s="100"/>
      <c r="NXG2" s="100"/>
      <c r="NXH2" s="100"/>
      <c r="NXI2" s="100"/>
      <c r="NXJ2" s="100"/>
      <c r="NXK2" s="100"/>
      <c r="NXL2" s="100"/>
      <c r="NXM2" s="100"/>
      <c r="NXN2" s="100"/>
      <c r="NXO2" s="100"/>
      <c r="NXP2" s="633"/>
      <c r="NXQ2" s="100"/>
      <c r="NXR2" s="100"/>
      <c r="NXS2" s="100"/>
      <c r="NXT2" s="199"/>
      <c r="NXU2" s="200"/>
      <c r="NXV2" s="201"/>
      <c r="NXW2" s="100"/>
      <c r="NXX2" s="100"/>
      <c r="NXY2" s="100"/>
      <c r="NXZ2" s="100"/>
      <c r="NYA2" s="100"/>
      <c r="NYB2" s="100"/>
      <c r="NYC2" s="100"/>
      <c r="NYD2" s="100"/>
      <c r="NYE2" s="100"/>
      <c r="NYF2" s="100"/>
      <c r="NYG2" s="100"/>
      <c r="NYH2" s="100"/>
      <c r="NYI2" s="100"/>
      <c r="NYJ2" s="100"/>
      <c r="NYK2" s="100"/>
      <c r="NYL2" s="100"/>
      <c r="NYM2" s="100"/>
      <c r="NYN2" s="100"/>
      <c r="NYO2" s="100"/>
      <c r="NYP2" s="100"/>
      <c r="NYQ2" s="100"/>
      <c r="NYR2" s="100"/>
      <c r="NYS2" s="100"/>
      <c r="NYT2" s="100"/>
      <c r="NYU2" s="100"/>
      <c r="NYV2" s="100"/>
      <c r="NYW2" s="100"/>
      <c r="NYX2" s="100"/>
      <c r="NYY2" s="100"/>
      <c r="NYZ2" s="100"/>
      <c r="NZA2" s="100"/>
      <c r="NZB2" s="100"/>
      <c r="NZC2" s="100"/>
      <c r="NZD2" s="100"/>
      <c r="NZE2" s="100"/>
      <c r="NZF2" s="100"/>
      <c r="NZG2" s="100"/>
      <c r="NZH2" s="100"/>
      <c r="NZI2" s="100"/>
      <c r="NZJ2" s="100"/>
      <c r="NZK2" s="100"/>
      <c r="NZL2" s="100"/>
      <c r="NZM2" s="100"/>
      <c r="NZN2" s="100"/>
      <c r="NZO2" s="100"/>
      <c r="NZP2" s="100"/>
      <c r="NZQ2" s="100"/>
      <c r="NZR2" s="100"/>
      <c r="NZS2" s="100"/>
      <c r="NZT2" s="100"/>
      <c r="NZU2" s="100"/>
      <c r="NZV2" s="100"/>
      <c r="NZW2" s="100"/>
      <c r="NZX2" s="100"/>
      <c r="NZY2" s="100"/>
      <c r="NZZ2" s="100"/>
      <c r="OAA2" s="100"/>
      <c r="OAB2" s="100"/>
      <c r="OAC2" s="100"/>
      <c r="OAD2" s="100"/>
      <c r="OAE2" s="633"/>
      <c r="OAF2" s="100"/>
      <c r="OAG2" s="100"/>
      <c r="OAH2" s="100"/>
      <c r="OAI2" s="199"/>
      <c r="OAJ2" s="200"/>
      <c r="OAK2" s="201"/>
      <c r="OAL2" s="100"/>
      <c r="OAM2" s="100"/>
      <c r="OAN2" s="100"/>
      <c r="OAO2" s="100"/>
      <c r="OAP2" s="100"/>
      <c r="OAQ2" s="100"/>
      <c r="OAR2" s="100"/>
      <c r="OAS2" s="100"/>
      <c r="OAT2" s="100"/>
      <c r="OAU2" s="100"/>
      <c r="OAV2" s="100"/>
      <c r="OAW2" s="100"/>
      <c r="OAX2" s="100"/>
      <c r="OAY2" s="100"/>
      <c r="OAZ2" s="100"/>
      <c r="OBA2" s="100"/>
      <c r="OBB2" s="100"/>
      <c r="OBC2" s="100"/>
      <c r="OBD2" s="100"/>
      <c r="OBE2" s="100"/>
      <c r="OBF2" s="100"/>
      <c r="OBG2" s="100"/>
      <c r="OBH2" s="100"/>
      <c r="OBI2" s="100"/>
      <c r="OBJ2" s="100"/>
      <c r="OBK2" s="100"/>
      <c r="OBL2" s="100"/>
      <c r="OBM2" s="100"/>
      <c r="OBN2" s="100"/>
      <c r="OBO2" s="100"/>
      <c r="OBP2" s="100"/>
      <c r="OBQ2" s="100"/>
      <c r="OBR2" s="100"/>
      <c r="OBS2" s="100"/>
      <c r="OBT2" s="100"/>
      <c r="OBU2" s="100"/>
      <c r="OBV2" s="100"/>
      <c r="OBW2" s="100"/>
      <c r="OBX2" s="100"/>
      <c r="OBY2" s="100"/>
      <c r="OBZ2" s="100"/>
      <c r="OCA2" s="100"/>
      <c r="OCB2" s="100"/>
      <c r="OCC2" s="100"/>
      <c r="OCD2" s="100"/>
      <c r="OCE2" s="100"/>
      <c r="OCF2" s="100"/>
      <c r="OCG2" s="100"/>
      <c r="OCH2" s="100"/>
      <c r="OCI2" s="100"/>
      <c r="OCJ2" s="100"/>
      <c r="OCK2" s="100"/>
      <c r="OCL2" s="100"/>
      <c r="OCM2" s="100"/>
      <c r="OCN2" s="100"/>
      <c r="OCO2" s="100"/>
      <c r="OCP2" s="100"/>
      <c r="OCQ2" s="100"/>
      <c r="OCR2" s="100"/>
      <c r="OCS2" s="100"/>
      <c r="OCT2" s="633"/>
      <c r="OCU2" s="100"/>
      <c r="OCV2" s="100"/>
      <c r="OCW2" s="100"/>
      <c r="OCX2" s="199"/>
      <c r="OCY2" s="200"/>
      <c r="OCZ2" s="201"/>
      <c r="ODA2" s="100"/>
      <c r="ODB2" s="100"/>
      <c r="ODC2" s="100"/>
      <c r="ODD2" s="100"/>
      <c r="ODE2" s="100"/>
      <c r="ODF2" s="100"/>
      <c r="ODG2" s="100"/>
      <c r="ODH2" s="100"/>
      <c r="ODI2" s="100"/>
      <c r="ODJ2" s="100"/>
      <c r="ODK2" s="100"/>
      <c r="ODL2" s="100"/>
      <c r="ODM2" s="100"/>
      <c r="ODN2" s="100"/>
      <c r="ODO2" s="100"/>
      <c r="ODP2" s="100"/>
      <c r="ODQ2" s="100"/>
      <c r="ODR2" s="100"/>
      <c r="ODS2" s="100"/>
      <c r="ODT2" s="100"/>
      <c r="ODU2" s="100"/>
      <c r="ODV2" s="100"/>
      <c r="ODW2" s="100"/>
      <c r="ODX2" s="100"/>
      <c r="ODY2" s="100"/>
      <c r="ODZ2" s="100"/>
      <c r="OEA2" s="100"/>
      <c r="OEB2" s="100"/>
      <c r="OEC2" s="100"/>
      <c r="OED2" s="100"/>
      <c r="OEE2" s="100"/>
      <c r="OEF2" s="100"/>
      <c r="OEG2" s="100"/>
      <c r="OEH2" s="100"/>
      <c r="OEI2" s="100"/>
      <c r="OEJ2" s="100"/>
      <c r="OEK2" s="100"/>
      <c r="OEL2" s="100"/>
      <c r="OEM2" s="100"/>
      <c r="OEN2" s="100"/>
      <c r="OEO2" s="100"/>
      <c r="OEP2" s="100"/>
      <c r="OEQ2" s="100"/>
      <c r="OER2" s="100"/>
      <c r="OES2" s="100"/>
      <c r="OET2" s="100"/>
      <c r="OEU2" s="100"/>
      <c r="OEV2" s="100"/>
      <c r="OEW2" s="100"/>
      <c r="OEX2" s="100"/>
      <c r="OEY2" s="100"/>
      <c r="OEZ2" s="100"/>
      <c r="OFA2" s="100"/>
      <c r="OFB2" s="100"/>
      <c r="OFC2" s="100"/>
      <c r="OFD2" s="100"/>
      <c r="OFE2" s="100"/>
      <c r="OFF2" s="100"/>
      <c r="OFG2" s="100"/>
      <c r="OFH2" s="100"/>
      <c r="OFI2" s="633"/>
      <c r="OFJ2" s="100"/>
      <c r="OFK2" s="100"/>
      <c r="OFL2" s="100"/>
      <c r="OFM2" s="199"/>
      <c r="OFN2" s="200"/>
      <c r="OFO2" s="201"/>
      <c r="OFP2" s="100"/>
      <c r="OFQ2" s="100"/>
      <c r="OFR2" s="100"/>
      <c r="OFS2" s="100"/>
      <c r="OFT2" s="100"/>
      <c r="OFU2" s="100"/>
      <c r="OFV2" s="100"/>
      <c r="OFW2" s="100"/>
      <c r="OFX2" s="100"/>
      <c r="OFY2" s="100"/>
      <c r="OFZ2" s="100"/>
      <c r="OGA2" s="100"/>
      <c r="OGB2" s="100"/>
      <c r="OGC2" s="100"/>
      <c r="OGD2" s="100"/>
      <c r="OGE2" s="100"/>
      <c r="OGF2" s="100"/>
      <c r="OGG2" s="100"/>
      <c r="OGH2" s="100"/>
      <c r="OGI2" s="100"/>
      <c r="OGJ2" s="100"/>
      <c r="OGK2" s="100"/>
      <c r="OGL2" s="100"/>
      <c r="OGM2" s="100"/>
      <c r="OGN2" s="100"/>
      <c r="OGO2" s="100"/>
      <c r="OGP2" s="100"/>
      <c r="OGQ2" s="100"/>
      <c r="OGR2" s="100"/>
      <c r="OGS2" s="100"/>
      <c r="OGT2" s="100"/>
      <c r="OGU2" s="100"/>
      <c r="OGV2" s="100"/>
      <c r="OGW2" s="100"/>
      <c r="OGX2" s="100"/>
      <c r="OGY2" s="100"/>
      <c r="OGZ2" s="100"/>
      <c r="OHA2" s="100"/>
      <c r="OHB2" s="100"/>
      <c r="OHC2" s="100"/>
      <c r="OHD2" s="100"/>
      <c r="OHE2" s="100"/>
      <c r="OHF2" s="100"/>
      <c r="OHG2" s="100"/>
      <c r="OHH2" s="100"/>
      <c r="OHI2" s="100"/>
      <c r="OHJ2" s="100"/>
      <c r="OHK2" s="100"/>
      <c r="OHL2" s="100"/>
      <c r="OHM2" s="100"/>
      <c r="OHN2" s="100"/>
      <c r="OHO2" s="100"/>
      <c r="OHP2" s="100"/>
      <c r="OHQ2" s="100"/>
      <c r="OHR2" s="100"/>
      <c r="OHS2" s="100"/>
      <c r="OHT2" s="100"/>
      <c r="OHU2" s="100"/>
      <c r="OHV2" s="100"/>
      <c r="OHW2" s="100"/>
      <c r="OHX2" s="633"/>
      <c r="OHY2" s="100"/>
      <c r="OHZ2" s="100"/>
      <c r="OIA2" s="100"/>
      <c r="OIB2" s="199"/>
      <c r="OIC2" s="200"/>
      <c r="OID2" s="201"/>
      <c r="OIE2" s="100"/>
      <c r="OIF2" s="100"/>
      <c r="OIG2" s="100"/>
      <c r="OIH2" s="100"/>
      <c r="OII2" s="100"/>
      <c r="OIJ2" s="100"/>
      <c r="OIK2" s="100"/>
      <c r="OIL2" s="100"/>
      <c r="OIM2" s="100"/>
      <c r="OIN2" s="100"/>
      <c r="OIO2" s="100"/>
      <c r="OIP2" s="100"/>
      <c r="OIQ2" s="100"/>
      <c r="OIR2" s="100"/>
      <c r="OIS2" s="100"/>
      <c r="OIT2" s="100"/>
      <c r="OIU2" s="100"/>
      <c r="OIV2" s="100"/>
      <c r="OIW2" s="100"/>
      <c r="OIX2" s="100"/>
      <c r="OIY2" s="100"/>
      <c r="OIZ2" s="100"/>
      <c r="OJA2" s="100"/>
      <c r="OJB2" s="100"/>
      <c r="OJC2" s="100"/>
      <c r="OJD2" s="100"/>
      <c r="OJE2" s="100"/>
      <c r="OJF2" s="100"/>
      <c r="OJG2" s="100"/>
      <c r="OJH2" s="100"/>
      <c r="OJI2" s="100"/>
      <c r="OJJ2" s="100"/>
      <c r="OJK2" s="100"/>
      <c r="OJL2" s="100"/>
      <c r="OJM2" s="100"/>
      <c r="OJN2" s="100"/>
      <c r="OJO2" s="100"/>
      <c r="OJP2" s="100"/>
      <c r="OJQ2" s="100"/>
      <c r="OJR2" s="100"/>
      <c r="OJS2" s="100"/>
      <c r="OJT2" s="100"/>
      <c r="OJU2" s="100"/>
      <c r="OJV2" s="100"/>
      <c r="OJW2" s="100"/>
      <c r="OJX2" s="100"/>
      <c r="OJY2" s="100"/>
      <c r="OJZ2" s="100"/>
      <c r="OKA2" s="100"/>
      <c r="OKB2" s="100"/>
      <c r="OKC2" s="100"/>
      <c r="OKD2" s="100"/>
      <c r="OKE2" s="100"/>
      <c r="OKF2" s="100"/>
      <c r="OKG2" s="100"/>
      <c r="OKH2" s="100"/>
      <c r="OKI2" s="100"/>
      <c r="OKJ2" s="100"/>
      <c r="OKK2" s="100"/>
      <c r="OKL2" s="100"/>
      <c r="OKM2" s="633"/>
      <c r="OKN2" s="100"/>
      <c r="OKO2" s="100"/>
      <c r="OKP2" s="100"/>
      <c r="OKQ2" s="199"/>
      <c r="OKR2" s="200"/>
      <c r="OKS2" s="201"/>
      <c r="OKT2" s="100"/>
      <c r="OKU2" s="100"/>
      <c r="OKV2" s="100"/>
      <c r="OKW2" s="100"/>
      <c r="OKX2" s="100"/>
      <c r="OKY2" s="100"/>
      <c r="OKZ2" s="100"/>
      <c r="OLA2" s="100"/>
      <c r="OLB2" s="100"/>
      <c r="OLC2" s="100"/>
      <c r="OLD2" s="100"/>
      <c r="OLE2" s="100"/>
      <c r="OLF2" s="100"/>
      <c r="OLG2" s="100"/>
      <c r="OLH2" s="100"/>
      <c r="OLI2" s="100"/>
      <c r="OLJ2" s="100"/>
      <c r="OLK2" s="100"/>
      <c r="OLL2" s="100"/>
      <c r="OLM2" s="100"/>
      <c r="OLN2" s="100"/>
      <c r="OLO2" s="100"/>
      <c r="OLP2" s="100"/>
      <c r="OLQ2" s="100"/>
      <c r="OLR2" s="100"/>
      <c r="OLS2" s="100"/>
      <c r="OLT2" s="100"/>
      <c r="OLU2" s="100"/>
      <c r="OLV2" s="100"/>
      <c r="OLW2" s="100"/>
      <c r="OLX2" s="100"/>
      <c r="OLY2" s="100"/>
      <c r="OLZ2" s="100"/>
      <c r="OMA2" s="100"/>
      <c r="OMB2" s="100"/>
      <c r="OMC2" s="100"/>
      <c r="OMD2" s="100"/>
      <c r="OME2" s="100"/>
      <c r="OMF2" s="100"/>
      <c r="OMG2" s="100"/>
      <c r="OMH2" s="100"/>
      <c r="OMI2" s="100"/>
      <c r="OMJ2" s="100"/>
      <c r="OMK2" s="100"/>
      <c r="OML2" s="100"/>
      <c r="OMM2" s="100"/>
      <c r="OMN2" s="100"/>
      <c r="OMO2" s="100"/>
      <c r="OMP2" s="100"/>
      <c r="OMQ2" s="100"/>
      <c r="OMR2" s="100"/>
      <c r="OMS2" s="100"/>
      <c r="OMT2" s="100"/>
      <c r="OMU2" s="100"/>
      <c r="OMV2" s="100"/>
      <c r="OMW2" s="100"/>
      <c r="OMX2" s="100"/>
      <c r="OMY2" s="100"/>
      <c r="OMZ2" s="100"/>
      <c r="ONA2" s="100"/>
      <c r="ONB2" s="633"/>
      <c r="ONC2" s="100"/>
      <c r="OND2" s="100"/>
      <c r="ONE2" s="100"/>
      <c r="ONF2" s="199"/>
      <c r="ONG2" s="200"/>
      <c r="ONH2" s="201"/>
      <c r="ONI2" s="100"/>
      <c r="ONJ2" s="100"/>
      <c r="ONK2" s="100"/>
      <c r="ONL2" s="100"/>
      <c r="ONM2" s="100"/>
      <c r="ONN2" s="100"/>
      <c r="ONO2" s="100"/>
      <c r="ONP2" s="100"/>
      <c r="ONQ2" s="100"/>
      <c r="ONR2" s="100"/>
      <c r="ONS2" s="100"/>
      <c r="ONT2" s="100"/>
      <c r="ONU2" s="100"/>
      <c r="ONV2" s="100"/>
      <c r="ONW2" s="100"/>
      <c r="ONX2" s="100"/>
      <c r="ONY2" s="100"/>
      <c r="ONZ2" s="100"/>
      <c r="OOA2" s="100"/>
      <c r="OOB2" s="100"/>
      <c r="OOC2" s="100"/>
      <c r="OOD2" s="100"/>
      <c r="OOE2" s="100"/>
      <c r="OOF2" s="100"/>
      <c r="OOG2" s="100"/>
      <c r="OOH2" s="100"/>
      <c r="OOI2" s="100"/>
      <c r="OOJ2" s="100"/>
      <c r="OOK2" s="100"/>
      <c r="OOL2" s="100"/>
      <c r="OOM2" s="100"/>
      <c r="OON2" s="100"/>
      <c r="OOO2" s="100"/>
      <c r="OOP2" s="100"/>
      <c r="OOQ2" s="100"/>
      <c r="OOR2" s="100"/>
      <c r="OOS2" s="100"/>
      <c r="OOT2" s="100"/>
      <c r="OOU2" s="100"/>
      <c r="OOV2" s="100"/>
      <c r="OOW2" s="100"/>
      <c r="OOX2" s="100"/>
      <c r="OOY2" s="100"/>
      <c r="OOZ2" s="100"/>
      <c r="OPA2" s="100"/>
      <c r="OPB2" s="100"/>
      <c r="OPC2" s="100"/>
      <c r="OPD2" s="100"/>
      <c r="OPE2" s="100"/>
      <c r="OPF2" s="100"/>
      <c r="OPG2" s="100"/>
      <c r="OPH2" s="100"/>
      <c r="OPI2" s="100"/>
      <c r="OPJ2" s="100"/>
      <c r="OPK2" s="100"/>
      <c r="OPL2" s="100"/>
      <c r="OPM2" s="100"/>
      <c r="OPN2" s="100"/>
      <c r="OPO2" s="100"/>
      <c r="OPP2" s="100"/>
      <c r="OPQ2" s="633"/>
      <c r="OPR2" s="100"/>
      <c r="OPS2" s="100"/>
      <c r="OPT2" s="100"/>
      <c r="OPU2" s="199"/>
      <c r="OPV2" s="200"/>
      <c r="OPW2" s="201"/>
      <c r="OPX2" s="100"/>
      <c r="OPY2" s="100"/>
      <c r="OPZ2" s="100"/>
      <c r="OQA2" s="100"/>
      <c r="OQB2" s="100"/>
      <c r="OQC2" s="100"/>
      <c r="OQD2" s="100"/>
      <c r="OQE2" s="100"/>
      <c r="OQF2" s="100"/>
      <c r="OQG2" s="100"/>
      <c r="OQH2" s="100"/>
      <c r="OQI2" s="100"/>
      <c r="OQJ2" s="100"/>
      <c r="OQK2" s="100"/>
      <c r="OQL2" s="100"/>
      <c r="OQM2" s="100"/>
      <c r="OQN2" s="100"/>
      <c r="OQO2" s="100"/>
      <c r="OQP2" s="100"/>
      <c r="OQQ2" s="100"/>
      <c r="OQR2" s="100"/>
      <c r="OQS2" s="100"/>
      <c r="OQT2" s="100"/>
      <c r="OQU2" s="100"/>
      <c r="OQV2" s="100"/>
      <c r="OQW2" s="100"/>
      <c r="OQX2" s="100"/>
      <c r="OQY2" s="100"/>
      <c r="OQZ2" s="100"/>
      <c r="ORA2" s="100"/>
      <c r="ORB2" s="100"/>
      <c r="ORC2" s="100"/>
      <c r="ORD2" s="100"/>
      <c r="ORE2" s="100"/>
      <c r="ORF2" s="100"/>
      <c r="ORG2" s="100"/>
      <c r="ORH2" s="100"/>
      <c r="ORI2" s="100"/>
      <c r="ORJ2" s="100"/>
      <c r="ORK2" s="100"/>
      <c r="ORL2" s="100"/>
      <c r="ORM2" s="100"/>
      <c r="ORN2" s="100"/>
      <c r="ORO2" s="100"/>
      <c r="ORP2" s="100"/>
      <c r="ORQ2" s="100"/>
      <c r="ORR2" s="100"/>
      <c r="ORS2" s="100"/>
      <c r="ORT2" s="100"/>
      <c r="ORU2" s="100"/>
      <c r="ORV2" s="100"/>
      <c r="ORW2" s="100"/>
      <c r="ORX2" s="100"/>
      <c r="ORY2" s="100"/>
      <c r="ORZ2" s="100"/>
      <c r="OSA2" s="100"/>
      <c r="OSB2" s="100"/>
      <c r="OSC2" s="100"/>
      <c r="OSD2" s="100"/>
      <c r="OSE2" s="100"/>
      <c r="OSF2" s="633"/>
      <c r="OSG2" s="100"/>
      <c r="OSH2" s="100"/>
      <c r="OSI2" s="100"/>
      <c r="OSJ2" s="199"/>
      <c r="OSK2" s="200"/>
      <c r="OSL2" s="201"/>
      <c r="OSM2" s="100"/>
      <c r="OSN2" s="100"/>
      <c r="OSO2" s="100"/>
      <c r="OSP2" s="100"/>
      <c r="OSQ2" s="100"/>
      <c r="OSR2" s="100"/>
      <c r="OSS2" s="100"/>
      <c r="OST2" s="100"/>
      <c r="OSU2" s="100"/>
      <c r="OSV2" s="100"/>
      <c r="OSW2" s="100"/>
      <c r="OSX2" s="100"/>
      <c r="OSY2" s="100"/>
      <c r="OSZ2" s="100"/>
      <c r="OTA2" s="100"/>
      <c r="OTB2" s="100"/>
      <c r="OTC2" s="100"/>
      <c r="OTD2" s="100"/>
      <c r="OTE2" s="100"/>
      <c r="OTF2" s="100"/>
      <c r="OTG2" s="100"/>
      <c r="OTH2" s="100"/>
      <c r="OTI2" s="100"/>
      <c r="OTJ2" s="100"/>
      <c r="OTK2" s="100"/>
      <c r="OTL2" s="100"/>
      <c r="OTM2" s="100"/>
      <c r="OTN2" s="100"/>
      <c r="OTO2" s="100"/>
      <c r="OTP2" s="100"/>
      <c r="OTQ2" s="100"/>
      <c r="OTR2" s="100"/>
      <c r="OTS2" s="100"/>
      <c r="OTT2" s="100"/>
      <c r="OTU2" s="100"/>
      <c r="OTV2" s="100"/>
      <c r="OTW2" s="100"/>
      <c r="OTX2" s="100"/>
      <c r="OTY2" s="100"/>
      <c r="OTZ2" s="100"/>
      <c r="OUA2" s="100"/>
      <c r="OUB2" s="100"/>
      <c r="OUC2" s="100"/>
      <c r="OUD2" s="100"/>
      <c r="OUE2" s="100"/>
      <c r="OUF2" s="100"/>
      <c r="OUG2" s="100"/>
      <c r="OUH2" s="100"/>
      <c r="OUI2" s="100"/>
      <c r="OUJ2" s="100"/>
      <c r="OUK2" s="100"/>
      <c r="OUL2" s="100"/>
      <c r="OUM2" s="100"/>
      <c r="OUN2" s="100"/>
      <c r="OUO2" s="100"/>
      <c r="OUP2" s="100"/>
      <c r="OUQ2" s="100"/>
      <c r="OUR2" s="100"/>
      <c r="OUS2" s="100"/>
      <c r="OUT2" s="100"/>
      <c r="OUU2" s="633"/>
      <c r="OUV2" s="100"/>
      <c r="OUW2" s="100"/>
      <c r="OUX2" s="100"/>
      <c r="OUY2" s="199"/>
      <c r="OUZ2" s="200"/>
      <c r="OVA2" s="201"/>
      <c r="OVB2" s="100"/>
      <c r="OVC2" s="100"/>
      <c r="OVD2" s="100"/>
      <c r="OVE2" s="100"/>
      <c r="OVF2" s="100"/>
      <c r="OVG2" s="100"/>
      <c r="OVH2" s="100"/>
      <c r="OVI2" s="100"/>
      <c r="OVJ2" s="100"/>
      <c r="OVK2" s="100"/>
      <c r="OVL2" s="100"/>
      <c r="OVM2" s="100"/>
      <c r="OVN2" s="100"/>
      <c r="OVO2" s="100"/>
      <c r="OVP2" s="100"/>
      <c r="OVQ2" s="100"/>
      <c r="OVR2" s="100"/>
      <c r="OVS2" s="100"/>
      <c r="OVT2" s="100"/>
      <c r="OVU2" s="100"/>
      <c r="OVV2" s="100"/>
      <c r="OVW2" s="100"/>
      <c r="OVX2" s="100"/>
      <c r="OVY2" s="100"/>
      <c r="OVZ2" s="100"/>
      <c r="OWA2" s="100"/>
      <c r="OWB2" s="100"/>
      <c r="OWC2" s="100"/>
      <c r="OWD2" s="100"/>
      <c r="OWE2" s="100"/>
      <c r="OWF2" s="100"/>
      <c r="OWG2" s="100"/>
      <c r="OWH2" s="100"/>
      <c r="OWI2" s="100"/>
      <c r="OWJ2" s="100"/>
      <c r="OWK2" s="100"/>
      <c r="OWL2" s="100"/>
      <c r="OWM2" s="100"/>
      <c r="OWN2" s="100"/>
      <c r="OWO2" s="100"/>
      <c r="OWP2" s="100"/>
      <c r="OWQ2" s="100"/>
      <c r="OWR2" s="100"/>
      <c r="OWS2" s="100"/>
      <c r="OWT2" s="100"/>
      <c r="OWU2" s="100"/>
      <c r="OWV2" s="100"/>
      <c r="OWW2" s="100"/>
      <c r="OWX2" s="100"/>
      <c r="OWY2" s="100"/>
      <c r="OWZ2" s="100"/>
      <c r="OXA2" s="100"/>
      <c r="OXB2" s="100"/>
      <c r="OXC2" s="100"/>
      <c r="OXD2" s="100"/>
      <c r="OXE2" s="100"/>
      <c r="OXF2" s="100"/>
      <c r="OXG2" s="100"/>
      <c r="OXH2" s="100"/>
      <c r="OXI2" s="100"/>
      <c r="OXJ2" s="633"/>
      <c r="OXK2" s="100"/>
      <c r="OXL2" s="100"/>
      <c r="OXM2" s="100"/>
      <c r="OXN2" s="199"/>
      <c r="OXO2" s="200"/>
      <c r="OXP2" s="201"/>
      <c r="OXQ2" s="100"/>
      <c r="OXR2" s="100"/>
      <c r="OXS2" s="100"/>
      <c r="OXT2" s="100"/>
      <c r="OXU2" s="100"/>
      <c r="OXV2" s="100"/>
      <c r="OXW2" s="100"/>
      <c r="OXX2" s="100"/>
      <c r="OXY2" s="100"/>
      <c r="OXZ2" s="100"/>
      <c r="OYA2" s="100"/>
      <c r="OYB2" s="100"/>
      <c r="OYC2" s="100"/>
      <c r="OYD2" s="100"/>
      <c r="OYE2" s="100"/>
      <c r="OYF2" s="100"/>
      <c r="OYG2" s="100"/>
      <c r="OYH2" s="100"/>
      <c r="OYI2" s="100"/>
      <c r="OYJ2" s="100"/>
      <c r="OYK2" s="100"/>
      <c r="OYL2" s="100"/>
      <c r="OYM2" s="100"/>
      <c r="OYN2" s="100"/>
      <c r="OYO2" s="100"/>
      <c r="OYP2" s="100"/>
      <c r="OYQ2" s="100"/>
      <c r="OYR2" s="100"/>
      <c r="OYS2" s="100"/>
      <c r="OYT2" s="100"/>
      <c r="OYU2" s="100"/>
      <c r="OYV2" s="100"/>
      <c r="OYW2" s="100"/>
      <c r="OYX2" s="100"/>
      <c r="OYY2" s="100"/>
      <c r="OYZ2" s="100"/>
      <c r="OZA2" s="100"/>
      <c r="OZB2" s="100"/>
      <c r="OZC2" s="100"/>
      <c r="OZD2" s="100"/>
      <c r="OZE2" s="100"/>
      <c r="OZF2" s="100"/>
      <c r="OZG2" s="100"/>
      <c r="OZH2" s="100"/>
      <c r="OZI2" s="100"/>
      <c r="OZJ2" s="100"/>
      <c r="OZK2" s="100"/>
      <c r="OZL2" s="100"/>
      <c r="OZM2" s="100"/>
      <c r="OZN2" s="100"/>
      <c r="OZO2" s="100"/>
      <c r="OZP2" s="100"/>
      <c r="OZQ2" s="100"/>
      <c r="OZR2" s="100"/>
      <c r="OZS2" s="100"/>
      <c r="OZT2" s="100"/>
      <c r="OZU2" s="100"/>
      <c r="OZV2" s="100"/>
      <c r="OZW2" s="100"/>
      <c r="OZX2" s="100"/>
      <c r="OZY2" s="633"/>
      <c r="OZZ2" s="100"/>
      <c r="PAA2" s="100"/>
      <c r="PAB2" s="100"/>
      <c r="PAC2" s="199"/>
      <c r="PAD2" s="200"/>
      <c r="PAE2" s="201"/>
      <c r="PAF2" s="100"/>
      <c r="PAG2" s="100"/>
      <c r="PAH2" s="100"/>
      <c r="PAI2" s="100"/>
      <c r="PAJ2" s="100"/>
      <c r="PAK2" s="100"/>
      <c r="PAL2" s="100"/>
      <c r="PAM2" s="100"/>
      <c r="PAN2" s="100"/>
      <c r="PAO2" s="100"/>
      <c r="PAP2" s="100"/>
      <c r="PAQ2" s="100"/>
      <c r="PAR2" s="100"/>
      <c r="PAS2" s="100"/>
      <c r="PAT2" s="100"/>
      <c r="PAU2" s="100"/>
      <c r="PAV2" s="100"/>
      <c r="PAW2" s="100"/>
      <c r="PAX2" s="100"/>
      <c r="PAY2" s="100"/>
      <c r="PAZ2" s="100"/>
      <c r="PBA2" s="100"/>
      <c r="PBB2" s="100"/>
      <c r="PBC2" s="100"/>
      <c r="PBD2" s="100"/>
      <c r="PBE2" s="100"/>
      <c r="PBF2" s="100"/>
      <c r="PBG2" s="100"/>
      <c r="PBH2" s="100"/>
      <c r="PBI2" s="100"/>
      <c r="PBJ2" s="100"/>
      <c r="PBK2" s="100"/>
      <c r="PBL2" s="100"/>
      <c r="PBM2" s="100"/>
      <c r="PBN2" s="100"/>
      <c r="PBO2" s="100"/>
      <c r="PBP2" s="100"/>
      <c r="PBQ2" s="100"/>
      <c r="PBR2" s="100"/>
      <c r="PBS2" s="100"/>
      <c r="PBT2" s="100"/>
      <c r="PBU2" s="100"/>
      <c r="PBV2" s="100"/>
      <c r="PBW2" s="100"/>
      <c r="PBX2" s="100"/>
      <c r="PBY2" s="100"/>
      <c r="PBZ2" s="100"/>
      <c r="PCA2" s="100"/>
      <c r="PCB2" s="100"/>
      <c r="PCC2" s="100"/>
      <c r="PCD2" s="100"/>
      <c r="PCE2" s="100"/>
      <c r="PCF2" s="100"/>
      <c r="PCG2" s="100"/>
      <c r="PCH2" s="100"/>
      <c r="PCI2" s="100"/>
      <c r="PCJ2" s="100"/>
      <c r="PCK2" s="100"/>
      <c r="PCL2" s="100"/>
      <c r="PCM2" s="100"/>
      <c r="PCN2" s="633"/>
      <c r="PCO2" s="100"/>
      <c r="PCP2" s="100"/>
      <c r="PCQ2" s="100"/>
      <c r="PCR2" s="199"/>
      <c r="PCS2" s="200"/>
      <c r="PCT2" s="201"/>
      <c r="PCU2" s="100"/>
      <c r="PCV2" s="100"/>
      <c r="PCW2" s="100"/>
      <c r="PCX2" s="100"/>
      <c r="PCY2" s="100"/>
      <c r="PCZ2" s="100"/>
      <c r="PDA2" s="100"/>
      <c r="PDB2" s="100"/>
      <c r="PDC2" s="100"/>
      <c r="PDD2" s="100"/>
      <c r="PDE2" s="100"/>
      <c r="PDF2" s="100"/>
      <c r="PDG2" s="100"/>
      <c r="PDH2" s="100"/>
      <c r="PDI2" s="100"/>
      <c r="PDJ2" s="100"/>
      <c r="PDK2" s="100"/>
      <c r="PDL2" s="100"/>
      <c r="PDM2" s="100"/>
      <c r="PDN2" s="100"/>
      <c r="PDO2" s="100"/>
      <c r="PDP2" s="100"/>
      <c r="PDQ2" s="100"/>
      <c r="PDR2" s="100"/>
      <c r="PDS2" s="100"/>
      <c r="PDT2" s="100"/>
      <c r="PDU2" s="100"/>
      <c r="PDV2" s="100"/>
      <c r="PDW2" s="100"/>
      <c r="PDX2" s="100"/>
      <c r="PDY2" s="100"/>
      <c r="PDZ2" s="100"/>
      <c r="PEA2" s="100"/>
      <c r="PEB2" s="100"/>
      <c r="PEC2" s="100"/>
      <c r="PED2" s="100"/>
      <c r="PEE2" s="100"/>
      <c r="PEF2" s="100"/>
      <c r="PEG2" s="100"/>
      <c r="PEH2" s="100"/>
      <c r="PEI2" s="100"/>
      <c r="PEJ2" s="100"/>
      <c r="PEK2" s="100"/>
      <c r="PEL2" s="100"/>
      <c r="PEM2" s="100"/>
      <c r="PEN2" s="100"/>
      <c r="PEO2" s="100"/>
      <c r="PEP2" s="100"/>
      <c r="PEQ2" s="100"/>
      <c r="PER2" s="100"/>
      <c r="PES2" s="100"/>
      <c r="PET2" s="100"/>
      <c r="PEU2" s="100"/>
      <c r="PEV2" s="100"/>
      <c r="PEW2" s="100"/>
      <c r="PEX2" s="100"/>
      <c r="PEY2" s="100"/>
      <c r="PEZ2" s="100"/>
      <c r="PFA2" s="100"/>
      <c r="PFB2" s="100"/>
      <c r="PFC2" s="633"/>
      <c r="PFD2" s="100"/>
      <c r="PFE2" s="100"/>
      <c r="PFF2" s="100"/>
      <c r="PFG2" s="199"/>
      <c r="PFH2" s="200"/>
      <c r="PFI2" s="201"/>
      <c r="PFJ2" s="100"/>
      <c r="PFK2" s="100"/>
      <c r="PFL2" s="100"/>
      <c r="PFM2" s="100"/>
      <c r="PFN2" s="100"/>
      <c r="PFO2" s="100"/>
      <c r="PFP2" s="100"/>
      <c r="PFQ2" s="100"/>
      <c r="PFR2" s="100"/>
      <c r="PFS2" s="100"/>
      <c r="PFT2" s="100"/>
      <c r="PFU2" s="100"/>
      <c r="PFV2" s="100"/>
      <c r="PFW2" s="100"/>
      <c r="PFX2" s="100"/>
      <c r="PFY2" s="100"/>
      <c r="PFZ2" s="100"/>
      <c r="PGA2" s="100"/>
      <c r="PGB2" s="100"/>
      <c r="PGC2" s="100"/>
      <c r="PGD2" s="100"/>
      <c r="PGE2" s="100"/>
      <c r="PGF2" s="100"/>
      <c r="PGG2" s="100"/>
      <c r="PGH2" s="100"/>
      <c r="PGI2" s="100"/>
      <c r="PGJ2" s="100"/>
      <c r="PGK2" s="100"/>
      <c r="PGL2" s="100"/>
      <c r="PGM2" s="100"/>
      <c r="PGN2" s="100"/>
      <c r="PGO2" s="100"/>
      <c r="PGP2" s="100"/>
      <c r="PGQ2" s="100"/>
      <c r="PGR2" s="100"/>
      <c r="PGS2" s="100"/>
      <c r="PGT2" s="100"/>
      <c r="PGU2" s="100"/>
      <c r="PGV2" s="100"/>
      <c r="PGW2" s="100"/>
      <c r="PGX2" s="100"/>
      <c r="PGY2" s="100"/>
      <c r="PGZ2" s="100"/>
      <c r="PHA2" s="100"/>
      <c r="PHB2" s="100"/>
      <c r="PHC2" s="100"/>
      <c r="PHD2" s="100"/>
      <c r="PHE2" s="100"/>
      <c r="PHF2" s="100"/>
      <c r="PHG2" s="100"/>
      <c r="PHH2" s="100"/>
      <c r="PHI2" s="100"/>
      <c r="PHJ2" s="100"/>
      <c r="PHK2" s="100"/>
      <c r="PHL2" s="100"/>
      <c r="PHM2" s="100"/>
      <c r="PHN2" s="100"/>
      <c r="PHO2" s="100"/>
      <c r="PHP2" s="100"/>
      <c r="PHQ2" s="100"/>
      <c r="PHR2" s="633"/>
      <c r="PHS2" s="100"/>
      <c r="PHT2" s="100"/>
      <c r="PHU2" s="100"/>
      <c r="PHV2" s="199"/>
      <c r="PHW2" s="200"/>
      <c r="PHX2" s="201"/>
      <c r="PHY2" s="100"/>
      <c r="PHZ2" s="100"/>
      <c r="PIA2" s="100"/>
      <c r="PIB2" s="100"/>
      <c r="PIC2" s="100"/>
      <c r="PID2" s="100"/>
      <c r="PIE2" s="100"/>
      <c r="PIF2" s="100"/>
      <c r="PIG2" s="100"/>
      <c r="PIH2" s="100"/>
      <c r="PII2" s="100"/>
      <c r="PIJ2" s="100"/>
      <c r="PIK2" s="100"/>
      <c r="PIL2" s="100"/>
      <c r="PIM2" s="100"/>
      <c r="PIN2" s="100"/>
      <c r="PIO2" s="100"/>
      <c r="PIP2" s="100"/>
      <c r="PIQ2" s="100"/>
      <c r="PIR2" s="100"/>
      <c r="PIS2" s="100"/>
      <c r="PIT2" s="100"/>
      <c r="PIU2" s="100"/>
      <c r="PIV2" s="100"/>
      <c r="PIW2" s="100"/>
      <c r="PIX2" s="100"/>
      <c r="PIY2" s="100"/>
      <c r="PIZ2" s="100"/>
      <c r="PJA2" s="100"/>
      <c r="PJB2" s="100"/>
      <c r="PJC2" s="100"/>
      <c r="PJD2" s="100"/>
      <c r="PJE2" s="100"/>
      <c r="PJF2" s="100"/>
      <c r="PJG2" s="100"/>
      <c r="PJH2" s="100"/>
      <c r="PJI2" s="100"/>
      <c r="PJJ2" s="100"/>
      <c r="PJK2" s="100"/>
      <c r="PJL2" s="100"/>
      <c r="PJM2" s="100"/>
      <c r="PJN2" s="100"/>
      <c r="PJO2" s="100"/>
      <c r="PJP2" s="100"/>
      <c r="PJQ2" s="100"/>
      <c r="PJR2" s="100"/>
      <c r="PJS2" s="100"/>
      <c r="PJT2" s="100"/>
      <c r="PJU2" s="100"/>
      <c r="PJV2" s="100"/>
      <c r="PJW2" s="100"/>
      <c r="PJX2" s="100"/>
      <c r="PJY2" s="100"/>
      <c r="PJZ2" s="100"/>
      <c r="PKA2" s="100"/>
      <c r="PKB2" s="100"/>
      <c r="PKC2" s="100"/>
      <c r="PKD2" s="100"/>
      <c r="PKE2" s="100"/>
      <c r="PKF2" s="100"/>
      <c r="PKG2" s="633"/>
      <c r="PKH2" s="100"/>
      <c r="PKI2" s="100"/>
      <c r="PKJ2" s="100"/>
      <c r="PKK2" s="199"/>
      <c r="PKL2" s="200"/>
      <c r="PKM2" s="201"/>
      <c r="PKN2" s="100"/>
      <c r="PKO2" s="100"/>
      <c r="PKP2" s="100"/>
      <c r="PKQ2" s="100"/>
      <c r="PKR2" s="100"/>
      <c r="PKS2" s="100"/>
      <c r="PKT2" s="100"/>
      <c r="PKU2" s="100"/>
      <c r="PKV2" s="100"/>
      <c r="PKW2" s="100"/>
      <c r="PKX2" s="100"/>
      <c r="PKY2" s="100"/>
      <c r="PKZ2" s="100"/>
      <c r="PLA2" s="100"/>
      <c r="PLB2" s="100"/>
      <c r="PLC2" s="100"/>
      <c r="PLD2" s="100"/>
      <c r="PLE2" s="100"/>
      <c r="PLF2" s="100"/>
      <c r="PLG2" s="100"/>
      <c r="PLH2" s="100"/>
      <c r="PLI2" s="100"/>
      <c r="PLJ2" s="100"/>
      <c r="PLK2" s="100"/>
      <c r="PLL2" s="100"/>
      <c r="PLM2" s="100"/>
      <c r="PLN2" s="100"/>
      <c r="PLO2" s="100"/>
      <c r="PLP2" s="100"/>
      <c r="PLQ2" s="100"/>
      <c r="PLR2" s="100"/>
      <c r="PLS2" s="100"/>
      <c r="PLT2" s="100"/>
      <c r="PLU2" s="100"/>
      <c r="PLV2" s="100"/>
      <c r="PLW2" s="100"/>
      <c r="PLX2" s="100"/>
      <c r="PLY2" s="100"/>
      <c r="PLZ2" s="100"/>
      <c r="PMA2" s="100"/>
      <c r="PMB2" s="100"/>
      <c r="PMC2" s="100"/>
      <c r="PMD2" s="100"/>
      <c r="PME2" s="100"/>
      <c r="PMF2" s="100"/>
      <c r="PMG2" s="100"/>
      <c r="PMH2" s="100"/>
      <c r="PMI2" s="100"/>
      <c r="PMJ2" s="100"/>
      <c r="PMK2" s="100"/>
      <c r="PML2" s="100"/>
      <c r="PMM2" s="100"/>
      <c r="PMN2" s="100"/>
      <c r="PMO2" s="100"/>
      <c r="PMP2" s="100"/>
      <c r="PMQ2" s="100"/>
      <c r="PMR2" s="100"/>
      <c r="PMS2" s="100"/>
      <c r="PMT2" s="100"/>
      <c r="PMU2" s="100"/>
      <c r="PMV2" s="633"/>
      <c r="PMW2" s="100"/>
      <c r="PMX2" s="100"/>
      <c r="PMY2" s="100"/>
      <c r="PMZ2" s="199"/>
      <c r="PNA2" s="200"/>
      <c r="PNB2" s="201"/>
      <c r="PNC2" s="100"/>
      <c r="PND2" s="100"/>
      <c r="PNE2" s="100"/>
      <c r="PNF2" s="100"/>
      <c r="PNG2" s="100"/>
      <c r="PNH2" s="100"/>
      <c r="PNI2" s="100"/>
      <c r="PNJ2" s="100"/>
      <c r="PNK2" s="100"/>
      <c r="PNL2" s="100"/>
      <c r="PNM2" s="100"/>
      <c r="PNN2" s="100"/>
      <c r="PNO2" s="100"/>
      <c r="PNP2" s="100"/>
      <c r="PNQ2" s="100"/>
      <c r="PNR2" s="100"/>
      <c r="PNS2" s="100"/>
      <c r="PNT2" s="100"/>
      <c r="PNU2" s="100"/>
      <c r="PNV2" s="100"/>
      <c r="PNW2" s="100"/>
      <c r="PNX2" s="100"/>
      <c r="PNY2" s="100"/>
      <c r="PNZ2" s="100"/>
      <c r="POA2" s="100"/>
      <c r="POB2" s="100"/>
      <c r="POC2" s="100"/>
      <c r="POD2" s="100"/>
      <c r="POE2" s="100"/>
      <c r="POF2" s="100"/>
      <c r="POG2" s="100"/>
      <c r="POH2" s="100"/>
      <c r="POI2" s="100"/>
      <c r="POJ2" s="100"/>
      <c r="POK2" s="100"/>
      <c r="POL2" s="100"/>
      <c r="POM2" s="100"/>
      <c r="PON2" s="100"/>
      <c r="POO2" s="100"/>
      <c r="POP2" s="100"/>
      <c r="POQ2" s="100"/>
      <c r="POR2" s="100"/>
      <c r="POS2" s="100"/>
      <c r="POT2" s="100"/>
      <c r="POU2" s="100"/>
      <c r="POV2" s="100"/>
      <c r="POW2" s="100"/>
      <c r="POX2" s="100"/>
      <c r="POY2" s="100"/>
      <c r="POZ2" s="100"/>
      <c r="PPA2" s="100"/>
      <c r="PPB2" s="100"/>
      <c r="PPC2" s="100"/>
      <c r="PPD2" s="100"/>
      <c r="PPE2" s="100"/>
      <c r="PPF2" s="100"/>
      <c r="PPG2" s="100"/>
      <c r="PPH2" s="100"/>
      <c r="PPI2" s="100"/>
      <c r="PPJ2" s="100"/>
      <c r="PPK2" s="633"/>
      <c r="PPL2" s="100"/>
      <c r="PPM2" s="100"/>
      <c r="PPN2" s="100"/>
      <c r="PPO2" s="199"/>
      <c r="PPP2" s="200"/>
      <c r="PPQ2" s="201"/>
      <c r="PPR2" s="100"/>
      <c r="PPS2" s="100"/>
      <c r="PPT2" s="100"/>
      <c r="PPU2" s="100"/>
      <c r="PPV2" s="100"/>
      <c r="PPW2" s="100"/>
      <c r="PPX2" s="100"/>
      <c r="PPY2" s="100"/>
      <c r="PPZ2" s="100"/>
      <c r="PQA2" s="100"/>
      <c r="PQB2" s="100"/>
      <c r="PQC2" s="100"/>
      <c r="PQD2" s="100"/>
      <c r="PQE2" s="100"/>
      <c r="PQF2" s="100"/>
      <c r="PQG2" s="100"/>
      <c r="PQH2" s="100"/>
      <c r="PQI2" s="100"/>
      <c r="PQJ2" s="100"/>
      <c r="PQK2" s="100"/>
      <c r="PQL2" s="100"/>
      <c r="PQM2" s="100"/>
      <c r="PQN2" s="100"/>
      <c r="PQO2" s="100"/>
      <c r="PQP2" s="100"/>
      <c r="PQQ2" s="100"/>
      <c r="PQR2" s="100"/>
      <c r="PQS2" s="100"/>
      <c r="PQT2" s="100"/>
      <c r="PQU2" s="100"/>
      <c r="PQV2" s="100"/>
      <c r="PQW2" s="100"/>
      <c r="PQX2" s="100"/>
      <c r="PQY2" s="100"/>
      <c r="PQZ2" s="100"/>
      <c r="PRA2" s="100"/>
      <c r="PRB2" s="100"/>
      <c r="PRC2" s="100"/>
      <c r="PRD2" s="100"/>
      <c r="PRE2" s="100"/>
      <c r="PRF2" s="100"/>
      <c r="PRG2" s="100"/>
      <c r="PRH2" s="100"/>
      <c r="PRI2" s="100"/>
      <c r="PRJ2" s="100"/>
      <c r="PRK2" s="100"/>
      <c r="PRL2" s="100"/>
      <c r="PRM2" s="100"/>
      <c r="PRN2" s="100"/>
      <c r="PRO2" s="100"/>
      <c r="PRP2" s="100"/>
      <c r="PRQ2" s="100"/>
      <c r="PRR2" s="100"/>
      <c r="PRS2" s="100"/>
      <c r="PRT2" s="100"/>
      <c r="PRU2" s="100"/>
      <c r="PRV2" s="100"/>
      <c r="PRW2" s="100"/>
      <c r="PRX2" s="100"/>
      <c r="PRY2" s="100"/>
      <c r="PRZ2" s="633"/>
      <c r="PSA2" s="100"/>
      <c r="PSB2" s="100"/>
      <c r="PSC2" s="100"/>
      <c r="PSD2" s="199"/>
      <c r="PSE2" s="200"/>
      <c r="PSF2" s="201"/>
      <c r="PSG2" s="100"/>
      <c r="PSH2" s="100"/>
      <c r="PSI2" s="100"/>
      <c r="PSJ2" s="100"/>
      <c r="PSK2" s="100"/>
      <c r="PSL2" s="100"/>
      <c r="PSM2" s="100"/>
      <c r="PSN2" s="100"/>
      <c r="PSO2" s="100"/>
      <c r="PSP2" s="100"/>
      <c r="PSQ2" s="100"/>
      <c r="PSR2" s="100"/>
      <c r="PSS2" s="100"/>
      <c r="PST2" s="100"/>
      <c r="PSU2" s="100"/>
      <c r="PSV2" s="100"/>
      <c r="PSW2" s="100"/>
      <c r="PSX2" s="100"/>
      <c r="PSY2" s="100"/>
      <c r="PSZ2" s="100"/>
      <c r="PTA2" s="100"/>
      <c r="PTB2" s="100"/>
      <c r="PTC2" s="100"/>
      <c r="PTD2" s="100"/>
      <c r="PTE2" s="100"/>
      <c r="PTF2" s="100"/>
      <c r="PTG2" s="100"/>
      <c r="PTH2" s="100"/>
      <c r="PTI2" s="100"/>
      <c r="PTJ2" s="100"/>
      <c r="PTK2" s="100"/>
      <c r="PTL2" s="100"/>
      <c r="PTM2" s="100"/>
      <c r="PTN2" s="100"/>
      <c r="PTO2" s="100"/>
      <c r="PTP2" s="100"/>
      <c r="PTQ2" s="100"/>
      <c r="PTR2" s="100"/>
      <c r="PTS2" s="100"/>
      <c r="PTT2" s="100"/>
      <c r="PTU2" s="100"/>
      <c r="PTV2" s="100"/>
      <c r="PTW2" s="100"/>
      <c r="PTX2" s="100"/>
      <c r="PTY2" s="100"/>
      <c r="PTZ2" s="100"/>
      <c r="PUA2" s="100"/>
      <c r="PUB2" s="100"/>
      <c r="PUC2" s="100"/>
      <c r="PUD2" s="100"/>
      <c r="PUE2" s="100"/>
      <c r="PUF2" s="100"/>
      <c r="PUG2" s="100"/>
      <c r="PUH2" s="100"/>
      <c r="PUI2" s="100"/>
      <c r="PUJ2" s="100"/>
      <c r="PUK2" s="100"/>
      <c r="PUL2" s="100"/>
      <c r="PUM2" s="100"/>
      <c r="PUN2" s="100"/>
      <c r="PUO2" s="633"/>
      <c r="PUP2" s="100"/>
      <c r="PUQ2" s="100"/>
      <c r="PUR2" s="100"/>
      <c r="PUS2" s="199"/>
      <c r="PUT2" s="200"/>
      <c r="PUU2" s="201"/>
      <c r="PUV2" s="100"/>
      <c r="PUW2" s="100"/>
      <c r="PUX2" s="100"/>
      <c r="PUY2" s="100"/>
      <c r="PUZ2" s="100"/>
      <c r="PVA2" s="100"/>
      <c r="PVB2" s="100"/>
      <c r="PVC2" s="100"/>
      <c r="PVD2" s="100"/>
      <c r="PVE2" s="100"/>
      <c r="PVF2" s="100"/>
      <c r="PVG2" s="100"/>
      <c r="PVH2" s="100"/>
      <c r="PVI2" s="100"/>
      <c r="PVJ2" s="100"/>
      <c r="PVK2" s="100"/>
      <c r="PVL2" s="100"/>
      <c r="PVM2" s="100"/>
      <c r="PVN2" s="100"/>
      <c r="PVO2" s="100"/>
      <c r="PVP2" s="100"/>
      <c r="PVQ2" s="100"/>
      <c r="PVR2" s="100"/>
      <c r="PVS2" s="100"/>
      <c r="PVT2" s="100"/>
      <c r="PVU2" s="100"/>
      <c r="PVV2" s="100"/>
      <c r="PVW2" s="100"/>
      <c r="PVX2" s="100"/>
      <c r="PVY2" s="100"/>
      <c r="PVZ2" s="100"/>
      <c r="PWA2" s="100"/>
      <c r="PWB2" s="100"/>
      <c r="PWC2" s="100"/>
      <c r="PWD2" s="100"/>
      <c r="PWE2" s="100"/>
      <c r="PWF2" s="100"/>
      <c r="PWG2" s="100"/>
      <c r="PWH2" s="100"/>
      <c r="PWI2" s="100"/>
      <c r="PWJ2" s="100"/>
      <c r="PWK2" s="100"/>
      <c r="PWL2" s="100"/>
      <c r="PWM2" s="100"/>
      <c r="PWN2" s="100"/>
      <c r="PWO2" s="100"/>
      <c r="PWP2" s="100"/>
      <c r="PWQ2" s="100"/>
      <c r="PWR2" s="100"/>
      <c r="PWS2" s="100"/>
      <c r="PWT2" s="100"/>
      <c r="PWU2" s="100"/>
      <c r="PWV2" s="100"/>
      <c r="PWW2" s="100"/>
      <c r="PWX2" s="100"/>
      <c r="PWY2" s="100"/>
      <c r="PWZ2" s="100"/>
      <c r="PXA2" s="100"/>
      <c r="PXB2" s="100"/>
      <c r="PXC2" s="100"/>
      <c r="PXD2" s="633"/>
      <c r="PXE2" s="100"/>
      <c r="PXF2" s="100"/>
      <c r="PXG2" s="100"/>
      <c r="PXH2" s="199"/>
      <c r="PXI2" s="200"/>
      <c r="PXJ2" s="201"/>
      <c r="PXK2" s="100"/>
      <c r="PXL2" s="100"/>
      <c r="PXM2" s="100"/>
      <c r="PXN2" s="100"/>
      <c r="PXO2" s="100"/>
      <c r="PXP2" s="100"/>
      <c r="PXQ2" s="100"/>
      <c r="PXR2" s="100"/>
      <c r="PXS2" s="100"/>
      <c r="PXT2" s="100"/>
      <c r="PXU2" s="100"/>
      <c r="PXV2" s="100"/>
      <c r="PXW2" s="100"/>
      <c r="PXX2" s="100"/>
      <c r="PXY2" s="100"/>
      <c r="PXZ2" s="100"/>
      <c r="PYA2" s="100"/>
      <c r="PYB2" s="100"/>
      <c r="PYC2" s="100"/>
      <c r="PYD2" s="100"/>
      <c r="PYE2" s="100"/>
      <c r="PYF2" s="100"/>
      <c r="PYG2" s="100"/>
      <c r="PYH2" s="100"/>
      <c r="PYI2" s="100"/>
      <c r="PYJ2" s="100"/>
      <c r="PYK2" s="100"/>
      <c r="PYL2" s="100"/>
      <c r="PYM2" s="100"/>
      <c r="PYN2" s="100"/>
      <c r="PYO2" s="100"/>
      <c r="PYP2" s="100"/>
      <c r="PYQ2" s="100"/>
      <c r="PYR2" s="100"/>
      <c r="PYS2" s="100"/>
      <c r="PYT2" s="100"/>
      <c r="PYU2" s="100"/>
      <c r="PYV2" s="100"/>
      <c r="PYW2" s="100"/>
      <c r="PYX2" s="100"/>
      <c r="PYY2" s="100"/>
      <c r="PYZ2" s="100"/>
      <c r="PZA2" s="100"/>
      <c r="PZB2" s="100"/>
      <c r="PZC2" s="100"/>
      <c r="PZD2" s="100"/>
      <c r="PZE2" s="100"/>
      <c r="PZF2" s="100"/>
      <c r="PZG2" s="100"/>
      <c r="PZH2" s="100"/>
      <c r="PZI2" s="100"/>
      <c r="PZJ2" s="100"/>
      <c r="PZK2" s="100"/>
      <c r="PZL2" s="100"/>
      <c r="PZM2" s="100"/>
      <c r="PZN2" s="100"/>
      <c r="PZO2" s="100"/>
      <c r="PZP2" s="100"/>
      <c r="PZQ2" s="100"/>
      <c r="PZR2" s="100"/>
      <c r="PZS2" s="633"/>
      <c r="PZT2" s="100"/>
      <c r="PZU2" s="100"/>
      <c r="PZV2" s="100"/>
      <c r="PZW2" s="199"/>
      <c r="PZX2" s="200"/>
      <c r="PZY2" s="201"/>
      <c r="PZZ2" s="100"/>
      <c r="QAA2" s="100"/>
      <c r="QAB2" s="100"/>
      <c r="QAC2" s="100"/>
      <c r="QAD2" s="100"/>
      <c r="QAE2" s="100"/>
      <c r="QAF2" s="100"/>
      <c r="QAG2" s="100"/>
      <c r="QAH2" s="100"/>
      <c r="QAI2" s="100"/>
      <c r="QAJ2" s="100"/>
      <c r="QAK2" s="100"/>
      <c r="QAL2" s="100"/>
      <c r="QAM2" s="100"/>
      <c r="QAN2" s="100"/>
      <c r="QAO2" s="100"/>
      <c r="QAP2" s="100"/>
      <c r="QAQ2" s="100"/>
      <c r="QAR2" s="100"/>
      <c r="QAS2" s="100"/>
      <c r="QAT2" s="100"/>
      <c r="QAU2" s="100"/>
      <c r="QAV2" s="100"/>
      <c r="QAW2" s="100"/>
      <c r="QAX2" s="100"/>
      <c r="QAY2" s="100"/>
      <c r="QAZ2" s="100"/>
      <c r="QBA2" s="100"/>
      <c r="QBB2" s="100"/>
      <c r="QBC2" s="100"/>
      <c r="QBD2" s="100"/>
      <c r="QBE2" s="100"/>
      <c r="QBF2" s="100"/>
      <c r="QBG2" s="100"/>
      <c r="QBH2" s="100"/>
      <c r="QBI2" s="100"/>
      <c r="QBJ2" s="100"/>
      <c r="QBK2" s="100"/>
      <c r="QBL2" s="100"/>
      <c r="QBM2" s="100"/>
      <c r="QBN2" s="100"/>
      <c r="QBO2" s="100"/>
      <c r="QBP2" s="100"/>
      <c r="QBQ2" s="100"/>
      <c r="QBR2" s="100"/>
      <c r="QBS2" s="100"/>
      <c r="QBT2" s="100"/>
      <c r="QBU2" s="100"/>
      <c r="QBV2" s="100"/>
      <c r="QBW2" s="100"/>
      <c r="QBX2" s="100"/>
      <c r="QBY2" s="100"/>
      <c r="QBZ2" s="100"/>
      <c r="QCA2" s="100"/>
      <c r="QCB2" s="100"/>
      <c r="QCC2" s="100"/>
      <c r="QCD2" s="100"/>
      <c r="QCE2" s="100"/>
      <c r="QCF2" s="100"/>
      <c r="QCG2" s="100"/>
      <c r="QCH2" s="633"/>
      <c r="QCI2" s="100"/>
      <c r="QCJ2" s="100"/>
      <c r="QCK2" s="100"/>
      <c r="QCL2" s="199"/>
      <c r="QCM2" s="200"/>
      <c r="QCN2" s="201"/>
      <c r="QCO2" s="100"/>
      <c r="QCP2" s="100"/>
      <c r="QCQ2" s="100"/>
      <c r="QCR2" s="100"/>
      <c r="QCS2" s="100"/>
      <c r="QCT2" s="100"/>
      <c r="QCU2" s="100"/>
      <c r="QCV2" s="100"/>
      <c r="QCW2" s="100"/>
      <c r="QCX2" s="100"/>
      <c r="QCY2" s="100"/>
      <c r="QCZ2" s="100"/>
      <c r="QDA2" s="100"/>
      <c r="QDB2" s="100"/>
      <c r="QDC2" s="100"/>
      <c r="QDD2" s="100"/>
      <c r="QDE2" s="100"/>
      <c r="QDF2" s="100"/>
      <c r="QDG2" s="100"/>
      <c r="QDH2" s="100"/>
      <c r="QDI2" s="100"/>
      <c r="QDJ2" s="100"/>
      <c r="QDK2" s="100"/>
      <c r="QDL2" s="100"/>
      <c r="QDM2" s="100"/>
      <c r="QDN2" s="100"/>
      <c r="QDO2" s="100"/>
      <c r="QDP2" s="100"/>
      <c r="QDQ2" s="100"/>
      <c r="QDR2" s="100"/>
      <c r="QDS2" s="100"/>
      <c r="QDT2" s="100"/>
      <c r="QDU2" s="100"/>
      <c r="QDV2" s="100"/>
      <c r="QDW2" s="100"/>
      <c r="QDX2" s="100"/>
      <c r="QDY2" s="100"/>
      <c r="QDZ2" s="100"/>
      <c r="QEA2" s="100"/>
      <c r="QEB2" s="100"/>
      <c r="QEC2" s="100"/>
      <c r="QED2" s="100"/>
      <c r="QEE2" s="100"/>
      <c r="QEF2" s="100"/>
      <c r="QEG2" s="100"/>
      <c r="QEH2" s="100"/>
      <c r="QEI2" s="100"/>
      <c r="QEJ2" s="100"/>
      <c r="QEK2" s="100"/>
      <c r="QEL2" s="100"/>
      <c r="QEM2" s="100"/>
      <c r="QEN2" s="100"/>
      <c r="QEO2" s="100"/>
      <c r="QEP2" s="100"/>
      <c r="QEQ2" s="100"/>
      <c r="QER2" s="100"/>
      <c r="QES2" s="100"/>
      <c r="QET2" s="100"/>
      <c r="QEU2" s="100"/>
      <c r="QEV2" s="100"/>
      <c r="QEW2" s="633"/>
      <c r="QEX2" s="100"/>
      <c r="QEY2" s="100"/>
      <c r="QEZ2" s="100"/>
      <c r="QFA2" s="199"/>
      <c r="QFB2" s="200"/>
      <c r="QFC2" s="201"/>
      <c r="QFD2" s="100"/>
      <c r="QFE2" s="100"/>
      <c r="QFF2" s="100"/>
      <c r="QFG2" s="100"/>
      <c r="QFH2" s="100"/>
      <c r="QFI2" s="100"/>
      <c r="QFJ2" s="100"/>
      <c r="QFK2" s="100"/>
      <c r="QFL2" s="100"/>
      <c r="QFM2" s="100"/>
      <c r="QFN2" s="100"/>
      <c r="QFO2" s="100"/>
      <c r="QFP2" s="100"/>
      <c r="QFQ2" s="100"/>
      <c r="QFR2" s="100"/>
      <c r="QFS2" s="100"/>
      <c r="QFT2" s="100"/>
      <c r="QFU2" s="100"/>
      <c r="QFV2" s="100"/>
      <c r="QFW2" s="100"/>
      <c r="QFX2" s="100"/>
      <c r="QFY2" s="100"/>
      <c r="QFZ2" s="100"/>
      <c r="QGA2" s="100"/>
      <c r="QGB2" s="100"/>
      <c r="QGC2" s="100"/>
      <c r="QGD2" s="100"/>
      <c r="QGE2" s="100"/>
      <c r="QGF2" s="100"/>
      <c r="QGG2" s="100"/>
      <c r="QGH2" s="100"/>
      <c r="QGI2" s="100"/>
      <c r="QGJ2" s="100"/>
      <c r="QGK2" s="100"/>
      <c r="QGL2" s="100"/>
      <c r="QGM2" s="100"/>
      <c r="QGN2" s="100"/>
      <c r="QGO2" s="100"/>
      <c r="QGP2" s="100"/>
      <c r="QGQ2" s="100"/>
      <c r="QGR2" s="100"/>
      <c r="QGS2" s="100"/>
      <c r="QGT2" s="100"/>
      <c r="QGU2" s="100"/>
      <c r="QGV2" s="100"/>
      <c r="QGW2" s="100"/>
      <c r="QGX2" s="100"/>
      <c r="QGY2" s="100"/>
      <c r="QGZ2" s="100"/>
      <c r="QHA2" s="100"/>
      <c r="QHB2" s="100"/>
      <c r="QHC2" s="100"/>
      <c r="QHD2" s="100"/>
      <c r="QHE2" s="100"/>
      <c r="QHF2" s="100"/>
      <c r="QHG2" s="100"/>
      <c r="QHH2" s="100"/>
      <c r="QHI2" s="100"/>
      <c r="QHJ2" s="100"/>
      <c r="QHK2" s="100"/>
      <c r="QHL2" s="633"/>
      <c r="QHM2" s="100"/>
      <c r="QHN2" s="100"/>
      <c r="QHO2" s="100"/>
      <c r="QHP2" s="199"/>
      <c r="QHQ2" s="200"/>
      <c r="QHR2" s="201"/>
      <c r="QHS2" s="100"/>
      <c r="QHT2" s="100"/>
      <c r="QHU2" s="100"/>
      <c r="QHV2" s="100"/>
      <c r="QHW2" s="100"/>
      <c r="QHX2" s="100"/>
      <c r="QHY2" s="100"/>
      <c r="QHZ2" s="100"/>
      <c r="QIA2" s="100"/>
      <c r="QIB2" s="100"/>
      <c r="QIC2" s="100"/>
      <c r="QID2" s="100"/>
      <c r="QIE2" s="100"/>
      <c r="QIF2" s="100"/>
      <c r="QIG2" s="100"/>
      <c r="QIH2" s="100"/>
      <c r="QII2" s="100"/>
      <c r="QIJ2" s="100"/>
      <c r="QIK2" s="100"/>
      <c r="QIL2" s="100"/>
      <c r="QIM2" s="100"/>
      <c r="QIN2" s="100"/>
      <c r="QIO2" s="100"/>
      <c r="QIP2" s="100"/>
      <c r="QIQ2" s="100"/>
      <c r="QIR2" s="100"/>
      <c r="QIS2" s="100"/>
      <c r="QIT2" s="100"/>
      <c r="QIU2" s="100"/>
      <c r="QIV2" s="100"/>
      <c r="QIW2" s="100"/>
      <c r="QIX2" s="100"/>
      <c r="QIY2" s="100"/>
      <c r="QIZ2" s="100"/>
      <c r="QJA2" s="100"/>
      <c r="QJB2" s="100"/>
      <c r="QJC2" s="100"/>
      <c r="QJD2" s="100"/>
      <c r="QJE2" s="100"/>
      <c r="QJF2" s="100"/>
      <c r="QJG2" s="100"/>
      <c r="QJH2" s="100"/>
      <c r="QJI2" s="100"/>
      <c r="QJJ2" s="100"/>
      <c r="QJK2" s="100"/>
      <c r="QJL2" s="100"/>
      <c r="QJM2" s="100"/>
      <c r="QJN2" s="100"/>
      <c r="QJO2" s="100"/>
      <c r="QJP2" s="100"/>
      <c r="QJQ2" s="100"/>
      <c r="QJR2" s="100"/>
      <c r="QJS2" s="100"/>
      <c r="QJT2" s="100"/>
      <c r="QJU2" s="100"/>
      <c r="QJV2" s="100"/>
      <c r="QJW2" s="100"/>
      <c r="QJX2" s="100"/>
      <c r="QJY2" s="100"/>
      <c r="QJZ2" s="100"/>
      <c r="QKA2" s="633"/>
      <c r="QKB2" s="100"/>
      <c r="QKC2" s="100"/>
      <c r="QKD2" s="100"/>
      <c r="QKE2" s="199"/>
      <c r="QKF2" s="200"/>
      <c r="QKG2" s="201"/>
      <c r="QKH2" s="100"/>
      <c r="QKI2" s="100"/>
      <c r="QKJ2" s="100"/>
      <c r="QKK2" s="100"/>
      <c r="QKL2" s="100"/>
      <c r="QKM2" s="100"/>
      <c r="QKN2" s="100"/>
      <c r="QKO2" s="100"/>
      <c r="QKP2" s="100"/>
      <c r="QKQ2" s="100"/>
      <c r="QKR2" s="100"/>
      <c r="QKS2" s="100"/>
      <c r="QKT2" s="100"/>
      <c r="QKU2" s="100"/>
      <c r="QKV2" s="100"/>
      <c r="QKW2" s="100"/>
      <c r="QKX2" s="100"/>
      <c r="QKY2" s="100"/>
      <c r="QKZ2" s="100"/>
      <c r="QLA2" s="100"/>
      <c r="QLB2" s="100"/>
      <c r="QLC2" s="100"/>
      <c r="QLD2" s="100"/>
      <c r="QLE2" s="100"/>
      <c r="QLF2" s="100"/>
      <c r="QLG2" s="100"/>
      <c r="QLH2" s="100"/>
      <c r="QLI2" s="100"/>
      <c r="QLJ2" s="100"/>
      <c r="QLK2" s="100"/>
      <c r="QLL2" s="100"/>
      <c r="QLM2" s="100"/>
      <c r="QLN2" s="100"/>
      <c r="QLO2" s="100"/>
      <c r="QLP2" s="100"/>
      <c r="QLQ2" s="100"/>
      <c r="QLR2" s="100"/>
      <c r="QLS2" s="100"/>
      <c r="QLT2" s="100"/>
      <c r="QLU2" s="100"/>
      <c r="QLV2" s="100"/>
      <c r="QLW2" s="100"/>
      <c r="QLX2" s="100"/>
      <c r="QLY2" s="100"/>
      <c r="QLZ2" s="100"/>
      <c r="QMA2" s="100"/>
      <c r="QMB2" s="100"/>
      <c r="QMC2" s="100"/>
      <c r="QMD2" s="100"/>
      <c r="QME2" s="100"/>
      <c r="QMF2" s="100"/>
      <c r="QMG2" s="100"/>
      <c r="QMH2" s="100"/>
      <c r="QMI2" s="100"/>
      <c r="QMJ2" s="100"/>
      <c r="QMK2" s="100"/>
      <c r="QML2" s="100"/>
      <c r="QMM2" s="100"/>
      <c r="QMN2" s="100"/>
      <c r="QMO2" s="100"/>
      <c r="QMP2" s="633"/>
      <c r="QMQ2" s="100"/>
      <c r="QMR2" s="100"/>
      <c r="QMS2" s="100"/>
      <c r="QMT2" s="199"/>
      <c r="QMU2" s="200"/>
      <c r="QMV2" s="201"/>
      <c r="QMW2" s="100"/>
      <c r="QMX2" s="100"/>
      <c r="QMY2" s="100"/>
      <c r="QMZ2" s="100"/>
      <c r="QNA2" s="100"/>
      <c r="QNB2" s="100"/>
      <c r="QNC2" s="100"/>
      <c r="QND2" s="100"/>
      <c r="QNE2" s="100"/>
      <c r="QNF2" s="100"/>
      <c r="QNG2" s="100"/>
      <c r="QNH2" s="100"/>
      <c r="QNI2" s="100"/>
      <c r="QNJ2" s="100"/>
      <c r="QNK2" s="100"/>
      <c r="QNL2" s="100"/>
      <c r="QNM2" s="100"/>
      <c r="QNN2" s="100"/>
      <c r="QNO2" s="100"/>
      <c r="QNP2" s="100"/>
      <c r="QNQ2" s="100"/>
      <c r="QNR2" s="100"/>
      <c r="QNS2" s="100"/>
      <c r="QNT2" s="100"/>
      <c r="QNU2" s="100"/>
      <c r="QNV2" s="100"/>
      <c r="QNW2" s="100"/>
      <c r="QNX2" s="100"/>
      <c r="QNY2" s="100"/>
      <c r="QNZ2" s="100"/>
      <c r="QOA2" s="100"/>
      <c r="QOB2" s="100"/>
      <c r="QOC2" s="100"/>
      <c r="QOD2" s="100"/>
      <c r="QOE2" s="100"/>
      <c r="QOF2" s="100"/>
      <c r="QOG2" s="100"/>
      <c r="QOH2" s="100"/>
      <c r="QOI2" s="100"/>
      <c r="QOJ2" s="100"/>
      <c r="QOK2" s="100"/>
      <c r="QOL2" s="100"/>
      <c r="QOM2" s="100"/>
      <c r="QON2" s="100"/>
      <c r="QOO2" s="100"/>
      <c r="QOP2" s="100"/>
      <c r="QOQ2" s="100"/>
      <c r="QOR2" s="100"/>
      <c r="QOS2" s="100"/>
      <c r="QOT2" s="100"/>
      <c r="QOU2" s="100"/>
      <c r="QOV2" s="100"/>
      <c r="QOW2" s="100"/>
      <c r="QOX2" s="100"/>
      <c r="QOY2" s="100"/>
      <c r="QOZ2" s="100"/>
      <c r="QPA2" s="100"/>
      <c r="QPB2" s="100"/>
      <c r="QPC2" s="100"/>
      <c r="QPD2" s="100"/>
      <c r="QPE2" s="633"/>
      <c r="QPF2" s="100"/>
      <c r="QPG2" s="100"/>
      <c r="QPH2" s="100"/>
      <c r="QPI2" s="199"/>
      <c r="QPJ2" s="200"/>
      <c r="QPK2" s="201"/>
      <c r="QPL2" s="100"/>
      <c r="QPM2" s="100"/>
      <c r="QPN2" s="100"/>
      <c r="QPO2" s="100"/>
      <c r="QPP2" s="100"/>
      <c r="QPQ2" s="100"/>
      <c r="QPR2" s="100"/>
      <c r="QPS2" s="100"/>
      <c r="QPT2" s="100"/>
      <c r="QPU2" s="100"/>
      <c r="QPV2" s="100"/>
      <c r="QPW2" s="100"/>
      <c r="QPX2" s="100"/>
      <c r="QPY2" s="100"/>
      <c r="QPZ2" s="100"/>
      <c r="QQA2" s="100"/>
      <c r="QQB2" s="100"/>
      <c r="QQC2" s="100"/>
      <c r="QQD2" s="100"/>
      <c r="QQE2" s="100"/>
      <c r="QQF2" s="100"/>
      <c r="QQG2" s="100"/>
      <c r="QQH2" s="100"/>
      <c r="QQI2" s="100"/>
      <c r="QQJ2" s="100"/>
      <c r="QQK2" s="100"/>
      <c r="QQL2" s="100"/>
      <c r="QQM2" s="100"/>
      <c r="QQN2" s="100"/>
      <c r="QQO2" s="100"/>
      <c r="QQP2" s="100"/>
      <c r="QQQ2" s="100"/>
      <c r="QQR2" s="100"/>
      <c r="QQS2" s="100"/>
      <c r="QQT2" s="100"/>
      <c r="QQU2" s="100"/>
      <c r="QQV2" s="100"/>
      <c r="QQW2" s="100"/>
      <c r="QQX2" s="100"/>
      <c r="QQY2" s="100"/>
      <c r="QQZ2" s="100"/>
      <c r="QRA2" s="100"/>
      <c r="QRB2" s="100"/>
      <c r="QRC2" s="100"/>
      <c r="QRD2" s="100"/>
      <c r="QRE2" s="100"/>
      <c r="QRF2" s="100"/>
      <c r="QRG2" s="100"/>
      <c r="QRH2" s="100"/>
      <c r="QRI2" s="100"/>
      <c r="QRJ2" s="100"/>
      <c r="QRK2" s="100"/>
      <c r="QRL2" s="100"/>
      <c r="QRM2" s="100"/>
      <c r="QRN2" s="100"/>
      <c r="QRO2" s="100"/>
      <c r="QRP2" s="100"/>
      <c r="QRQ2" s="100"/>
      <c r="QRR2" s="100"/>
      <c r="QRS2" s="100"/>
      <c r="QRT2" s="633"/>
      <c r="QRU2" s="100"/>
      <c r="QRV2" s="100"/>
      <c r="QRW2" s="100"/>
      <c r="QRX2" s="199"/>
      <c r="QRY2" s="200"/>
      <c r="QRZ2" s="201"/>
      <c r="QSA2" s="100"/>
      <c r="QSB2" s="100"/>
      <c r="QSC2" s="100"/>
      <c r="QSD2" s="100"/>
      <c r="QSE2" s="100"/>
      <c r="QSF2" s="100"/>
      <c r="QSG2" s="100"/>
      <c r="QSH2" s="100"/>
      <c r="QSI2" s="100"/>
      <c r="QSJ2" s="100"/>
      <c r="QSK2" s="100"/>
      <c r="QSL2" s="100"/>
      <c r="QSM2" s="100"/>
      <c r="QSN2" s="100"/>
      <c r="QSO2" s="100"/>
      <c r="QSP2" s="100"/>
      <c r="QSQ2" s="100"/>
      <c r="QSR2" s="100"/>
      <c r="QSS2" s="100"/>
      <c r="QST2" s="100"/>
      <c r="QSU2" s="100"/>
      <c r="QSV2" s="100"/>
      <c r="QSW2" s="100"/>
      <c r="QSX2" s="100"/>
      <c r="QSY2" s="100"/>
      <c r="QSZ2" s="100"/>
      <c r="QTA2" s="100"/>
      <c r="QTB2" s="100"/>
      <c r="QTC2" s="100"/>
      <c r="QTD2" s="100"/>
      <c r="QTE2" s="100"/>
      <c r="QTF2" s="100"/>
      <c r="QTG2" s="100"/>
      <c r="QTH2" s="100"/>
      <c r="QTI2" s="100"/>
      <c r="QTJ2" s="100"/>
      <c r="QTK2" s="100"/>
      <c r="QTL2" s="100"/>
      <c r="QTM2" s="100"/>
      <c r="QTN2" s="100"/>
      <c r="QTO2" s="100"/>
      <c r="QTP2" s="100"/>
      <c r="QTQ2" s="100"/>
      <c r="QTR2" s="100"/>
      <c r="QTS2" s="100"/>
      <c r="QTT2" s="100"/>
      <c r="QTU2" s="100"/>
      <c r="QTV2" s="100"/>
      <c r="QTW2" s="100"/>
      <c r="QTX2" s="100"/>
      <c r="QTY2" s="100"/>
      <c r="QTZ2" s="100"/>
      <c r="QUA2" s="100"/>
      <c r="QUB2" s="100"/>
      <c r="QUC2" s="100"/>
      <c r="QUD2" s="100"/>
      <c r="QUE2" s="100"/>
      <c r="QUF2" s="100"/>
      <c r="QUG2" s="100"/>
      <c r="QUH2" s="100"/>
      <c r="QUI2" s="633"/>
      <c r="QUJ2" s="100"/>
      <c r="QUK2" s="100"/>
      <c r="QUL2" s="100"/>
      <c r="QUM2" s="199"/>
      <c r="QUN2" s="200"/>
      <c r="QUO2" s="201"/>
      <c r="QUP2" s="100"/>
      <c r="QUQ2" s="100"/>
      <c r="QUR2" s="100"/>
      <c r="QUS2" s="100"/>
      <c r="QUT2" s="100"/>
      <c r="QUU2" s="100"/>
      <c r="QUV2" s="100"/>
      <c r="QUW2" s="100"/>
      <c r="QUX2" s="100"/>
      <c r="QUY2" s="100"/>
      <c r="QUZ2" s="100"/>
      <c r="QVA2" s="100"/>
      <c r="QVB2" s="100"/>
      <c r="QVC2" s="100"/>
      <c r="QVD2" s="100"/>
      <c r="QVE2" s="100"/>
      <c r="QVF2" s="100"/>
      <c r="QVG2" s="100"/>
      <c r="QVH2" s="100"/>
      <c r="QVI2" s="100"/>
      <c r="QVJ2" s="100"/>
      <c r="QVK2" s="100"/>
      <c r="QVL2" s="100"/>
      <c r="QVM2" s="100"/>
      <c r="QVN2" s="100"/>
      <c r="QVO2" s="100"/>
      <c r="QVP2" s="100"/>
      <c r="QVQ2" s="100"/>
      <c r="QVR2" s="100"/>
      <c r="QVS2" s="100"/>
      <c r="QVT2" s="100"/>
      <c r="QVU2" s="100"/>
      <c r="QVV2" s="100"/>
      <c r="QVW2" s="100"/>
      <c r="QVX2" s="100"/>
      <c r="QVY2" s="100"/>
      <c r="QVZ2" s="100"/>
      <c r="QWA2" s="100"/>
      <c r="QWB2" s="100"/>
      <c r="QWC2" s="100"/>
      <c r="QWD2" s="100"/>
      <c r="QWE2" s="100"/>
      <c r="QWF2" s="100"/>
      <c r="QWG2" s="100"/>
      <c r="QWH2" s="100"/>
      <c r="QWI2" s="100"/>
      <c r="QWJ2" s="100"/>
      <c r="QWK2" s="100"/>
      <c r="QWL2" s="100"/>
      <c r="QWM2" s="100"/>
      <c r="QWN2" s="100"/>
      <c r="QWO2" s="100"/>
      <c r="QWP2" s="100"/>
      <c r="QWQ2" s="100"/>
      <c r="QWR2" s="100"/>
      <c r="QWS2" s="100"/>
      <c r="QWT2" s="100"/>
      <c r="QWU2" s="100"/>
      <c r="QWV2" s="100"/>
      <c r="QWW2" s="100"/>
      <c r="QWX2" s="633"/>
      <c r="QWY2" s="100"/>
      <c r="QWZ2" s="100"/>
      <c r="QXA2" s="100"/>
      <c r="QXB2" s="199"/>
      <c r="QXC2" s="200"/>
      <c r="QXD2" s="201"/>
      <c r="QXE2" s="100"/>
      <c r="QXF2" s="100"/>
      <c r="QXG2" s="100"/>
      <c r="QXH2" s="100"/>
      <c r="QXI2" s="100"/>
      <c r="QXJ2" s="100"/>
      <c r="QXK2" s="100"/>
      <c r="QXL2" s="100"/>
      <c r="QXM2" s="100"/>
      <c r="QXN2" s="100"/>
      <c r="QXO2" s="100"/>
      <c r="QXP2" s="100"/>
      <c r="QXQ2" s="100"/>
      <c r="QXR2" s="100"/>
      <c r="QXS2" s="100"/>
      <c r="QXT2" s="100"/>
      <c r="QXU2" s="100"/>
      <c r="QXV2" s="100"/>
      <c r="QXW2" s="100"/>
      <c r="QXX2" s="100"/>
      <c r="QXY2" s="100"/>
      <c r="QXZ2" s="100"/>
      <c r="QYA2" s="100"/>
      <c r="QYB2" s="100"/>
      <c r="QYC2" s="100"/>
      <c r="QYD2" s="100"/>
      <c r="QYE2" s="100"/>
      <c r="QYF2" s="100"/>
      <c r="QYG2" s="100"/>
      <c r="QYH2" s="100"/>
      <c r="QYI2" s="100"/>
      <c r="QYJ2" s="100"/>
      <c r="QYK2" s="100"/>
      <c r="QYL2" s="100"/>
      <c r="QYM2" s="100"/>
      <c r="QYN2" s="100"/>
      <c r="QYO2" s="100"/>
      <c r="QYP2" s="100"/>
      <c r="QYQ2" s="100"/>
      <c r="QYR2" s="100"/>
      <c r="QYS2" s="100"/>
      <c r="QYT2" s="100"/>
      <c r="QYU2" s="100"/>
      <c r="QYV2" s="100"/>
      <c r="QYW2" s="100"/>
      <c r="QYX2" s="100"/>
      <c r="QYY2" s="100"/>
      <c r="QYZ2" s="100"/>
      <c r="QZA2" s="100"/>
      <c r="QZB2" s="100"/>
      <c r="QZC2" s="100"/>
      <c r="QZD2" s="100"/>
      <c r="QZE2" s="100"/>
      <c r="QZF2" s="100"/>
      <c r="QZG2" s="100"/>
      <c r="QZH2" s="100"/>
      <c r="QZI2" s="100"/>
      <c r="QZJ2" s="100"/>
      <c r="QZK2" s="100"/>
      <c r="QZL2" s="100"/>
      <c r="QZM2" s="633"/>
      <c r="QZN2" s="100"/>
      <c r="QZO2" s="100"/>
      <c r="QZP2" s="100"/>
      <c r="QZQ2" s="199"/>
      <c r="QZR2" s="200"/>
      <c r="QZS2" s="201"/>
      <c r="QZT2" s="100"/>
      <c r="QZU2" s="100"/>
      <c r="QZV2" s="100"/>
      <c r="QZW2" s="100"/>
      <c r="QZX2" s="100"/>
      <c r="QZY2" s="100"/>
      <c r="QZZ2" s="100"/>
      <c r="RAA2" s="100"/>
      <c r="RAB2" s="100"/>
      <c r="RAC2" s="100"/>
      <c r="RAD2" s="100"/>
      <c r="RAE2" s="100"/>
      <c r="RAF2" s="100"/>
      <c r="RAG2" s="100"/>
      <c r="RAH2" s="100"/>
      <c r="RAI2" s="100"/>
      <c r="RAJ2" s="100"/>
      <c r="RAK2" s="100"/>
      <c r="RAL2" s="100"/>
      <c r="RAM2" s="100"/>
      <c r="RAN2" s="100"/>
      <c r="RAO2" s="100"/>
      <c r="RAP2" s="100"/>
      <c r="RAQ2" s="100"/>
      <c r="RAR2" s="100"/>
      <c r="RAS2" s="100"/>
      <c r="RAT2" s="100"/>
      <c r="RAU2" s="100"/>
      <c r="RAV2" s="100"/>
      <c r="RAW2" s="100"/>
      <c r="RAX2" s="100"/>
      <c r="RAY2" s="100"/>
      <c r="RAZ2" s="100"/>
      <c r="RBA2" s="100"/>
      <c r="RBB2" s="100"/>
      <c r="RBC2" s="100"/>
      <c r="RBD2" s="100"/>
      <c r="RBE2" s="100"/>
      <c r="RBF2" s="100"/>
      <c r="RBG2" s="100"/>
      <c r="RBH2" s="100"/>
      <c r="RBI2" s="100"/>
      <c r="RBJ2" s="100"/>
      <c r="RBK2" s="100"/>
      <c r="RBL2" s="100"/>
      <c r="RBM2" s="100"/>
      <c r="RBN2" s="100"/>
      <c r="RBO2" s="100"/>
      <c r="RBP2" s="100"/>
      <c r="RBQ2" s="100"/>
      <c r="RBR2" s="100"/>
      <c r="RBS2" s="100"/>
      <c r="RBT2" s="100"/>
      <c r="RBU2" s="100"/>
      <c r="RBV2" s="100"/>
      <c r="RBW2" s="100"/>
      <c r="RBX2" s="100"/>
      <c r="RBY2" s="100"/>
      <c r="RBZ2" s="100"/>
      <c r="RCA2" s="100"/>
      <c r="RCB2" s="633"/>
      <c r="RCC2" s="100"/>
      <c r="RCD2" s="100"/>
      <c r="RCE2" s="100"/>
      <c r="RCF2" s="199"/>
      <c r="RCG2" s="200"/>
      <c r="RCH2" s="201"/>
      <c r="RCI2" s="100"/>
      <c r="RCJ2" s="100"/>
      <c r="RCK2" s="100"/>
      <c r="RCL2" s="100"/>
      <c r="RCM2" s="100"/>
      <c r="RCN2" s="100"/>
      <c r="RCO2" s="100"/>
      <c r="RCP2" s="100"/>
      <c r="RCQ2" s="100"/>
      <c r="RCR2" s="100"/>
      <c r="RCS2" s="100"/>
      <c r="RCT2" s="100"/>
      <c r="RCU2" s="100"/>
      <c r="RCV2" s="100"/>
      <c r="RCW2" s="100"/>
      <c r="RCX2" s="100"/>
      <c r="RCY2" s="100"/>
      <c r="RCZ2" s="100"/>
      <c r="RDA2" s="100"/>
      <c r="RDB2" s="100"/>
      <c r="RDC2" s="100"/>
      <c r="RDD2" s="100"/>
      <c r="RDE2" s="100"/>
      <c r="RDF2" s="100"/>
      <c r="RDG2" s="100"/>
      <c r="RDH2" s="100"/>
      <c r="RDI2" s="100"/>
      <c r="RDJ2" s="100"/>
      <c r="RDK2" s="100"/>
      <c r="RDL2" s="100"/>
      <c r="RDM2" s="100"/>
      <c r="RDN2" s="100"/>
      <c r="RDO2" s="100"/>
      <c r="RDP2" s="100"/>
      <c r="RDQ2" s="100"/>
      <c r="RDR2" s="100"/>
      <c r="RDS2" s="100"/>
      <c r="RDT2" s="100"/>
      <c r="RDU2" s="100"/>
      <c r="RDV2" s="100"/>
      <c r="RDW2" s="100"/>
      <c r="RDX2" s="100"/>
      <c r="RDY2" s="100"/>
      <c r="RDZ2" s="100"/>
      <c r="REA2" s="100"/>
      <c r="REB2" s="100"/>
      <c r="REC2" s="100"/>
      <c r="RED2" s="100"/>
      <c r="REE2" s="100"/>
      <c r="REF2" s="100"/>
      <c r="REG2" s="100"/>
      <c r="REH2" s="100"/>
      <c r="REI2" s="100"/>
      <c r="REJ2" s="100"/>
      <c r="REK2" s="100"/>
      <c r="REL2" s="100"/>
      <c r="REM2" s="100"/>
      <c r="REN2" s="100"/>
      <c r="REO2" s="100"/>
      <c r="REP2" s="100"/>
      <c r="REQ2" s="633"/>
      <c r="RER2" s="100"/>
      <c r="RES2" s="100"/>
      <c r="RET2" s="100"/>
      <c r="REU2" s="199"/>
      <c r="REV2" s="200"/>
      <c r="REW2" s="201"/>
      <c r="REX2" s="100"/>
      <c r="REY2" s="100"/>
      <c r="REZ2" s="100"/>
      <c r="RFA2" s="100"/>
      <c r="RFB2" s="100"/>
      <c r="RFC2" s="100"/>
      <c r="RFD2" s="100"/>
      <c r="RFE2" s="100"/>
      <c r="RFF2" s="100"/>
      <c r="RFG2" s="100"/>
      <c r="RFH2" s="100"/>
      <c r="RFI2" s="100"/>
      <c r="RFJ2" s="100"/>
      <c r="RFK2" s="100"/>
      <c r="RFL2" s="100"/>
      <c r="RFM2" s="100"/>
      <c r="RFN2" s="100"/>
      <c r="RFO2" s="100"/>
      <c r="RFP2" s="100"/>
      <c r="RFQ2" s="100"/>
      <c r="RFR2" s="100"/>
      <c r="RFS2" s="100"/>
      <c r="RFT2" s="100"/>
      <c r="RFU2" s="100"/>
      <c r="RFV2" s="100"/>
      <c r="RFW2" s="100"/>
      <c r="RFX2" s="100"/>
      <c r="RFY2" s="100"/>
      <c r="RFZ2" s="100"/>
      <c r="RGA2" s="100"/>
      <c r="RGB2" s="100"/>
      <c r="RGC2" s="100"/>
      <c r="RGD2" s="100"/>
      <c r="RGE2" s="100"/>
      <c r="RGF2" s="100"/>
      <c r="RGG2" s="100"/>
      <c r="RGH2" s="100"/>
      <c r="RGI2" s="100"/>
      <c r="RGJ2" s="100"/>
      <c r="RGK2" s="100"/>
      <c r="RGL2" s="100"/>
      <c r="RGM2" s="100"/>
      <c r="RGN2" s="100"/>
      <c r="RGO2" s="100"/>
      <c r="RGP2" s="100"/>
      <c r="RGQ2" s="100"/>
      <c r="RGR2" s="100"/>
      <c r="RGS2" s="100"/>
      <c r="RGT2" s="100"/>
      <c r="RGU2" s="100"/>
      <c r="RGV2" s="100"/>
      <c r="RGW2" s="100"/>
      <c r="RGX2" s="100"/>
      <c r="RGY2" s="100"/>
      <c r="RGZ2" s="100"/>
      <c r="RHA2" s="100"/>
      <c r="RHB2" s="100"/>
      <c r="RHC2" s="100"/>
      <c r="RHD2" s="100"/>
      <c r="RHE2" s="100"/>
      <c r="RHF2" s="633"/>
      <c r="RHG2" s="100"/>
      <c r="RHH2" s="100"/>
      <c r="RHI2" s="100"/>
      <c r="RHJ2" s="199"/>
      <c r="RHK2" s="200"/>
      <c r="RHL2" s="201"/>
      <c r="RHM2" s="100"/>
      <c r="RHN2" s="100"/>
      <c r="RHO2" s="100"/>
      <c r="RHP2" s="100"/>
      <c r="RHQ2" s="100"/>
      <c r="RHR2" s="100"/>
      <c r="RHS2" s="100"/>
      <c r="RHT2" s="100"/>
      <c r="RHU2" s="100"/>
      <c r="RHV2" s="100"/>
      <c r="RHW2" s="100"/>
      <c r="RHX2" s="100"/>
      <c r="RHY2" s="100"/>
      <c r="RHZ2" s="100"/>
      <c r="RIA2" s="100"/>
      <c r="RIB2" s="100"/>
      <c r="RIC2" s="100"/>
      <c r="RID2" s="100"/>
      <c r="RIE2" s="100"/>
      <c r="RIF2" s="100"/>
      <c r="RIG2" s="100"/>
      <c r="RIH2" s="100"/>
      <c r="RII2" s="100"/>
      <c r="RIJ2" s="100"/>
      <c r="RIK2" s="100"/>
      <c r="RIL2" s="100"/>
      <c r="RIM2" s="100"/>
      <c r="RIN2" s="100"/>
      <c r="RIO2" s="100"/>
      <c r="RIP2" s="100"/>
      <c r="RIQ2" s="100"/>
      <c r="RIR2" s="100"/>
      <c r="RIS2" s="100"/>
      <c r="RIT2" s="100"/>
      <c r="RIU2" s="100"/>
      <c r="RIV2" s="100"/>
      <c r="RIW2" s="100"/>
      <c r="RIX2" s="100"/>
      <c r="RIY2" s="100"/>
      <c r="RIZ2" s="100"/>
      <c r="RJA2" s="100"/>
      <c r="RJB2" s="100"/>
      <c r="RJC2" s="100"/>
      <c r="RJD2" s="100"/>
      <c r="RJE2" s="100"/>
      <c r="RJF2" s="100"/>
      <c r="RJG2" s="100"/>
      <c r="RJH2" s="100"/>
      <c r="RJI2" s="100"/>
      <c r="RJJ2" s="100"/>
      <c r="RJK2" s="100"/>
      <c r="RJL2" s="100"/>
      <c r="RJM2" s="100"/>
      <c r="RJN2" s="100"/>
      <c r="RJO2" s="100"/>
      <c r="RJP2" s="100"/>
      <c r="RJQ2" s="100"/>
      <c r="RJR2" s="100"/>
      <c r="RJS2" s="100"/>
      <c r="RJT2" s="100"/>
      <c r="RJU2" s="633"/>
      <c r="RJV2" s="100"/>
      <c r="RJW2" s="100"/>
      <c r="RJX2" s="100"/>
      <c r="RJY2" s="199"/>
      <c r="RJZ2" s="200"/>
      <c r="RKA2" s="201"/>
      <c r="RKB2" s="100"/>
      <c r="RKC2" s="100"/>
      <c r="RKD2" s="100"/>
      <c r="RKE2" s="100"/>
      <c r="RKF2" s="100"/>
      <c r="RKG2" s="100"/>
      <c r="RKH2" s="100"/>
      <c r="RKI2" s="100"/>
      <c r="RKJ2" s="100"/>
      <c r="RKK2" s="100"/>
      <c r="RKL2" s="100"/>
      <c r="RKM2" s="100"/>
      <c r="RKN2" s="100"/>
      <c r="RKO2" s="100"/>
      <c r="RKP2" s="100"/>
      <c r="RKQ2" s="100"/>
      <c r="RKR2" s="100"/>
      <c r="RKS2" s="100"/>
      <c r="RKT2" s="100"/>
      <c r="RKU2" s="100"/>
      <c r="RKV2" s="100"/>
      <c r="RKW2" s="100"/>
      <c r="RKX2" s="100"/>
      <c r="RKY2" s="100"/>
      <c r="RKZ2" s="100"/>
      <c r="RLA2" s="100"/>
      <c r="RLB2" s="100"/>
      <c r="RLC2" s="100"/>
      <c r="RLD2" s="100"/>
      <c r="RLE2" s="100"/>
      <c r="RLF2" s="100"/>
      <c r="RLG2" s="100"/>
      <c r="RLH2" s="100"/>
      <c r="RLI2" s="100"/>
      <c r="RLJ2" s="100"/>
      <c r="RLK2" s="100"/>
      <c r="RLL2" s="100"/>
      <c r="RLM2" s="100"/>
      <c r="RLN2" s="100"/>
      <c r="RLO2" s="100"/>
      <c r="RLP2" s="100"/>
      <c r="RLQ2" s="100"/>
      <c r="RLR2" s="100"/>
      <c r="RLS2" s="100"/>
      <c r="RLT2" s="100"/>
      <c r="RLU2" s="100"/>
      <c r="RLV2" s="100"/>
      <c r="RLW2" s="100"/>
      <c r="RLX2" s="100"/>
      <c r="RLY2" s="100"/>
      <c r="RLZ2" s="100"/>
      <c r="RMA2" s="100"/>
      <c r="RMB2" s="100"/>
      <c r="RMC2" s="100"/>
      <c r="RMD2" s="100"/>
      <c r="RME2" s="100"/>
      <c r="RMF2" s="100"/>
      <c r="RMG2" s="100"/>
      <c r="RMH2" s="100"/>
      <c r="RMI2" s="100"/>
      <c r="RMJ2" s="633"/>
      <c r="RMK2" s="100"/>
      <c r="RML2" s="100"/>
      <c r="RMM2" s="100"/>
      <c r="RMN2" s="199"/>
      <c r="RMO2" s="200"/>
      <c r="RMP2" s="201"/>
      <c r="RMQ2" s="100"/>
      <c r="RMR2" s="100"/>
      <c r="RMS2" s="100"/>
      <c r="RMT2" s="100"/>
      <c r="RMU2" s="100"/>
      <c r="RMV2" s="100"/>
      <c r="RMW2" s="100"/>
      <c r="RMX2" s="100"/>
      <c r="RMY2" s="100"/>
      <c r="RMZ2" s="100"/>
      <c r="RNA2" s="100"/>
      <c r="RNB2" s="100"/>
      <c r="RNC2" s="100"/>
      <c r="RND2" s="100"/>
      <c r="RNE2" s="100"/>
      <c r="RNF2" s="100"/>
      <c r="RNG2" s="100"/>
      <c r="RNH2" s="100"/>
      <c r="RNI2" s="100"/>
      <c r="RNJ2" s="100"/>
      <c r="RNK2" s="100"/>
      <c r="RNL2" s="100"/>
      <c r="RNM2" s="100"/>
      <c r="RNN2" s="100"/>
      <c r="RNO2" s="100"/>
      <c r="RNP2" s="100"/>
      <c r="RNQ2" s="100"/>
      <c r="RNR2" s="100"/>
      <c r="RNS2" s="100"/>
      <c r="RNT2" s="100"/>
      <c r="RNU2" s="100"/>
      <c r="RNV2" s="100"/>
      <c r="RNW2" s="100"/>
      <c r="RNX2" s="100"/>
      <c r="RNY2" s="100"/>
      <c r="RNZ2" s="100"/>
      <c r="ROA2" s="100"/>
      <c r="ROB2" s="100"/>
      <c r="ROC2" s="100"/>
      <c r="ROD2" s="100"/>
      <c r="ROE2" s="100"/>
      <c r="ROF2" s="100"/>
      <c r="ROG2" s="100"/>
      <c r="ROH2" s="100"/>
      <c r="ROI2" s="100"/>
      <c r="ROJ2" s="100"/>
      <c r="ROK2" s="100"/>
      <c r="ROL2" s="100"/>
      <c r="ROM2" s="100"/>
      <c r="RON2" s="100"/>
      <c r="ROO2" s="100"/>
      <c r="ROP2" s="100"/>
      <c r="ROQ2" s="100"/>
      <c r="ROR2" s="100"/>
      <c r="ROS2" s="100"/>
      <c r="ROT2" s="100"/>
      <c r="ROU2" s="100"/>
      <c r="ROV2" s="100"/>
      <c r="ROW2" s="100"/>
      <c r="ROX2" s="100"/>
      <c r="ROY2" s="633"/>
      <c r="ROZ2" s="100"/>
      <c r="RPA2" s="100"/>
      <c r="RPB2" s="100"/>
      <c r="RPC2" s="199"/>
      <c r="RPD2" s="200"/>
      <c r="RPE2" s="201"/>
      <c r="RPF2" s="100"/>
      <c r="RPG2" s="100"/>
      <c r="RPH2" s="100"/>
      <c r="RPI2" s="100"/>
      <c r="RPJ2" s="100"/>
      <c r="RPK2" s="100"/>
      <c r="RPL2" s="100"/>
      <c r="RPM2" s="100"/>
      <c r="RPN2" s="100"/>
      <c r="RPO2" s="100"/>
      <c r="RPP2" s="100"/>
      <c r="RPQ2" s="100"/>
      <c r="RPR2" s="100"/>
      <c r="RPS2" s="100"/>
      <c r="RPT2" s="100"/>
      <c r="RPU2" s="100"/>
      <c r="RPV2" s="100"/>
      <c r="RPW2" s="100"/>
      <c r="RPX2" s="100"/>
      <c r="RPY2" s="100"/>
      <c r="RPZ2" s="100"/>
      <c r="RQA2" s="100"/>
      <c r="RQB2" s="100"/>
      <c r="RQC2" s="100"/>
      <c r="RQD2" s="100"/>
      <c r="RQE2" s="100"/>
      <c r="RQF2" s="100"/>
      <c r="RQG2" s="100"/>
      <c r="RQH2" s="100"/>
      <c r="RQI2" s="100"/>
      <c r="RQJ2" s="100"/>
      <c r="RQK2" s="100"/>
      <c r="RQL2" s="100"/>
      <c r="RQM2" s="100"/>
      <c r="RQN2" s="100"/>
      <c r="RQO2" s="100"/>
      <c r="RQP2" s="100"/>
      <c r="RQQ2" s="100"/>
      <c r="RQR2" s="100"/>
      <c r="RQS2" s="100"/>
      <c r="RQT2" s="100"/>
      <c r="RQU2" s="100"/>
      <c r="RQV2" s="100"/>
      <c r="RQW2" s="100"/>
      <c r="RQX2" s="100"/>
      <c r="RQY2" s="100"/>
      <c r="RQZ2" s="100"/>
      <c r="RRA2" s="100"/>
      <c r="RRB2" s="100"/>
      <c r="RRC2" s="100"/>
      <c r="RRD2" s="100"/>
      <c r="RRE2" s="100"/>
      <c r="RRF2" s="100"/>
      <c r="RRG2" s="100"/>
      <c r="RRH2" s="100"/>
      <c r="RRI2" s="100"/>
      <c r="RRJ2" s="100"/>
      <c r="RRK2" s="100"/>
      <c r="RRL2" s="100"/>
      <c r="RRM2" s="100"/>
      <c r="RRN2" s="633"/>
      <c r="RRO2" s="100"/>
      <c r="RRP2" s="100"/>
      <c r="RRQ2" s="100"/>
      <c r="RRR2" s="199"/>
      <c r="RRS2" s="200"/>
      <c r="RRT2" s="201"/>
      <c r="RRU2" s="100"/>
      <c r="RRV2" s="100"/>
      <c r="RRW2" s="100"/>
      <c r="RRX2" s="100"/>
      <c r="RRY2" s="100"/>
      <c r="RRZ2" s="100"/>
      <c r="RSA2" s="100"/>
      <c r="RSB2" s="100"/>
      <c r="RSC2" s="100"/>
      <c r="RSD2" s="100"/>
      <c r="RSE2" s="100"/>
      <c r="RSF2" s="100"/>
      <c r="RSG2" s="100"/>
      <c r="RSH2" s="100"/>
      <c r="RSI2" s="100"/>
      <c r="RSJ2" s="100"/>
      <c r="RSK2" s="100"/>
      <c r="RSL2" s="100"/>
      <c r="RSM2" s="100"/>
      <c r="RSN2" s="100"/>
      <c r="RSO2" s="100"/>
      <c r="RSP2" s="100"/>
      <c r="RSQ2" s="100"/>
      <c r="RSR2" s="100"/>
      <c r="RSS2" s="100"/>
      <c r="RST2" s="100"/>
      <c r="RSU2" s="100"/>
      <c r="RSV2" s="100"/>
      <c r="RSW2" s="100"/>
      <c r="RSX2" s="100"/>
      <c r="RSY2" s="100"/>
      <c r="RSZ2" s="100"/>
      <c r="RTA2" s="100"/>
      <c r="RTB2" s="100"/>
      <c r="RTC2" s="100"/>
      <c r="RTD2" s="100"/>
      <c r="RTE2" s="100"/>
      <c r="RTF2" s="100"/>
      <c r="RTG2" s="100"/>
      <c r="RTH2" s="100"/>
      <c r="RTI2" s="100"/>
      <c r="RTJ2" s="100"/>
      <c r="RTK2" s="100"/>
      <c r="RTL2" s="100"/>
      <c r="RTM2" s="100"/>
      <c r="RTN2" s="100"/>
      <c r="RTO2" s="100"/>
      <c r="RTP2" s="100"/>
      <c r="RTQ2" s="100"/>
      <c r="RTR2" s="100"/>
      <c r="RTS2" s="100"/>
      <c r="RTT2" s="100"/>
      <c r="RTU2" s="100"/>
      <c r="RTV2" s="100"/>
      <c r="RTW2" s="100"/>
      <c r="RTX2" s="100"/>
      <c r="RTY2" s="100"/>
      <c r="RTZ2" s="100"/>
      <c r="RUA2" s="100"/>
      <c r="RUB2" s="100"/>
      <c r="RUC2" s="633"/>
      <c r="RUD2" s="100"/>
      <c r="RUE2" s="100"/>
      <c r="RUF2" s="100"/>
      <c r="RUG2" s="199"/>
      <c r="RUH2" s="200"/>
      <c r="RUI2" s="201"/>
      <c r="RUJ2" s="100"/>
      <c r="RUK2" s="100"/>
      <c r="RUL2" s="100"/>
      <c r="RUM2" s="100"/>
      <c r="RUN2" s="100"/>
      <c r="RUO2" s="100"/>
      <c r="RUP2" s="100"/>
      <c r="RUQ2" s="100"/>
      <c r="RUR2" s="100"/>
      <c r="RUS2" s="100"/>
      <c r="RUT2" s="100"/>
      <c r="RUU2" s="100"/>
      <c r="RUV2" s="100"/>
      <c r="RUW2" s="100"/>
      <c r="RUX2" s="100"/>
      <c r="RUY2" s="100"/>
      <c r="RUZ2" s="100"/>
      <c r="RVA2" s="100"/>
      <c r="RVB2" s="100"/>
      <c r="RVC2" s="100"/>
      <c r="RVD2" s="100"/>
      <c r="RVE2" s="100"/>
      <c r="RVF2" s="100"/>
      <c r="RVG2" s="100"/>
      <c r="RVH2" s="100"/>
      <c r="RVI2" s="100"/>
      <c r="RVJ2" s="100"/>
      <c r="RVK2" s="100"/>
      <c r="RVL2" s="100"/>
      <c r="RVM2" s="100"/>
      <c r="RVN2" s="100"/>
      <c r="RVO2" s="100"/>
      <c r="RVP2" s="100"/>
      <c r="RVQ2" s="100"/>
      <c r="RVR2" s="100"/>
      <c r="RVS2" s="100"/>
      <c r="RVT2" s="100"/>
      <c r="RVU2" s="100"/>
      <c r="RVV2" s="100"/>
      <c r="RVW2" s="100"/>
      <c r="RVX2" s="100"/>
      <c r="RVY2" s="100"/>
      <c r="RVZ2" s="100"/>
      <c r="RWA2" s="100"/>
      <c r="RWB2" s="100"/>
      <c r="RWC2" s="100"/>
      <c r="RWD2" s="100"/>
      <c r="RWE2" s="100"/>
      <c r="RWF2" s="100"/>
      <c r="RWG2" s="100"/>
      <c r="RWH2" s="100"/>
      <c r="RWI2" s="100"/>
      <c r="RWJ2" s="100"/>
      <c r="RWK2" s="100"/>
      <c r="RWL2" s="100"/>
      <c r="RWM2" s="100"/>
      <c r="RWN2" s="100"/>
      <c r="RWO2" s="100"/>
      <c r="RWP2" s="100"/>
      <c r="RWQ2" s="100"/>
      <c r="RWR2" s="633"/>
      <c r="RWS2" s="100"/>
      <c r="RWT2" s="100"/>
      <c r="RWU2" s="100"/>
      <c r="RWV2" s="199"/>
      <c r="RWW2" s="200"/>
      <c r="RWX2" s="201"/>
      <c r="RWY2" s="100"/>
      <c r="RWZ2" s="100"/>
      <c r="RXA2" s="100"/>
      <c r="RXB2" s="100"/>
      <c r="RXC2" s="100"/>
      <c r="RXD2" s="100"/>
      <c r="RXE2" s="100"/>
      <c r="RXF2" s="100"/>
      <c r="RXG2" s="100"/>
      <c r="RXH2" s="100"/>
      <c r="RXI2" s="100"/>
      <c r="RXJ2" s="100"/>
      <c r="RXK2" s="100"/>
      <c r="RXL2" s="100"/>
      <c r="RXM2" s="100"/>
      <c r="RXN2" s="100"/>
      <c r="RXO2" s="100"/>
      <c r="RXP2" s="100"/>
      <c r="RXQ2" s="100"/>
      <c r="RXR2" s="100"/>
      <c r="RXS2" s="100"/>
      <c r="RXT2" s="100"/>
      <c r="RXU2" s="100"/>
      <c r="RXV2" s="100"/>
      <c r="RXW2" s="100"/>
      <c r="RXX2" s="100"/>
      <c r="RXY2" s="100"/>
      <c r="RXZ2" s="100"/>
      <c r="RYA2" s="100"/>
      <c r="RYB2" s="100"/>
      <c r="RYC2" s="100"/>
      <c r="RYD2" s="100"/>
      <c r="RYE2" s="100"/>
      <c r="RYF2" s="100"/>
      <c r="RYG2" s="100"/>
      <c r="RYH2" s="100"/>
      <c r="RYI2" s="100"/>
      <c r="RYJ2" s="100"/>
      <c r="RYK2" s="100"/>
      <c r="RYL2" s="100"/>
      <c r="RYM2" s="100"/>
      <c r="RYN2" s="100"/>
      <c r="RYO2" s="100"/>
      <c r="RYP2" s="100"/>
      <c r="RYQ2" s="100"/>
      <c r="RYR2" s="100"/>
      <c r="RYS2" s="100"/>
      <c r="RYT2" s="100"/>
      <c r="RYU2" s="100"/>
      <c r="RYV2" s="100"/>
      <c r="RYW2" s="100"/>
      <c r="RYX2" s="100"/>
      <c r="RYY2" s="100"/>
      <c r="RYZ2" s="100"/>
      <c r="RZA2" s="100"/>
      <c r="RZB2" s="100"/>
      <c r="RZC2" s="100"/>
      <c r="RZD2" s="100"/>
      <c r="RZE2" s="100"/>
      <c r="RZF2" s="100"/>
      <c r="RZG2" s="633"/>
      <c r="RZH2" s="100"/>
      <c r="RZI2" s="100"/>
      <c r="RZJ2" s="100"/>
      <c r="RZK2" s="199"/>
      <c r="RZL2" s="200"/>
      <c r="RZM2" s="201"/>
      <c r="RZN2" s="100"/>
      <c r="RZO2" s="100"/>
      <c r="RZP2" s="100"/>
      <c r="RZQ2" s="100"/>
      <c r="RZR2" s="100"/>
      <c r="RZS2" s="100"/>
      <c r="RZT2" s="100"/>
      <c r="RZU2" s="100"/>
      <c r="RZV2" s="100"/>
      <c r="RZW2" s="100"/>
      <c r="RZX2" s="100"/>
      <c r="RZY2" s="100"/>
      <c r="RZZ2" s="100"/>
      <c r="SAA2" s="100"/>
      <c r="SAB2" s="100"/>
      <c r="SAC2" s="100"/>
      <c r="SAD2" s="100"/>
      <c r="SAE2" s="100"/>
      <c r="SAF2" s="100"/>
      <c r="SAG2" s="100"/>
      <c r="SAH2" s="100"/>
      <c r="SAI2" s="100"/>
      <c r="SAJ2" s="100"/>
      <c r="SAK2" s="100"/>
      <c r="SAL2" s="100"/>
      <c r="SAM2" s="100"/>
      <c r="SAN2" s="100"/>
      <c r="SAO2" s="100"/>
      <c r="SAP2" s="100"/>
      <c r="SAQ2" s="100"/>
      <c r="SAR2" s="100"/>
      <c r="SAS2" s="100"/>
      <c r="SAT2" s="100"/>
      <c r="SAU2" s="100"/>
      <c r="SAV2" s="100"/>
      <c r="SAW2" s="100"/>
      <c r="SAX2" s="100"/>
      <c r="SAY2" s="100"/>
      <c r="SAZ2" s="100"/>
      <c r="SBA2" s="100"/>
      <c r="SBB2" s="100"/>
      <c r="SBC2" s="100"/>
      <c r="SBD2" s="100"/>
      <c r="SBE2" s="100"/>
      <c r="SBF2" s="100"/>
      <c r="SBG2" s="100"/>
      <c r="SBH2" s="100"/>
      <c r="SBI2" s="100"/>
      <c r="SBJ2" s="100"/>
      <c r="SBK2" s="100"/>
      <c r="SBL2" s="100"/>
      <c r="SBM2" s="100"/>
      <c r="SBN2" s="100"/>
      <c r="SBO2" s="100"/>
      <c r="SBP2" s="100"/>
      <c r="SBQ2" s="100"/>
      <c r="SBR2" s="100"/>
      <c r="SBS2" s="100"/>
      <c r="SBT2" s="100"/>
      <c r="SBU2" s="100"/>
      <c r="SBV2" s="633"/>
      <c r="SBW2" s="100"/>
      <c r="SBX2" s="100"/>
      <c r="SBY2" s="100"/>
      <c r="SBZ2" s="199"/>
      <c r="SCA2" s="200"/>
      <c r="SCB2" s="201"/>
      <c r="SCC2" s="100"/>
      <c r="SCD2" s="100"/>
      <c r="SCE2" s="100"/>
      <c r="SCF2" s="100"/>
      <c r="SCG2" s="100"/>
      <c r="SCH2" s="100"/>
      <c r="SCI2" s="100"/>
      <c r="SCJ2" s="100"/>
      <c r="SCK2" s="100"/>
      <c r="SCL2" s="100"/>
      <c r="SCM2" s="100"/>
      <c r="SCN2" s="100"/>
      <c r="SCO2" s="100"/>
      <c r="SCP2" s="100"/>
      <c r="SCQ2" s="100"/>
      <c r="SCR2" s="100"/>
      <c r="SCS2" s="100"/>
      <c r="SCT2" s="100"/>
      <c r="SCU2" s="100"/>
      <c r="SCV2" s="100"/>
      <c r="SCW2" s="100"/>
      <c r="SCX2" s="100"/>
      <c r="SCY2" s="100"/>
      <c r="SCZ2" s="100"/>
      <c r="SDA2" s="100"/>
      <c r="SDB2" s="100"/>
      <c r="SDC2" s="100"/>
      <c r="SDD2" s="100"/>
      <c r="SDE2" s="100"/>
      <c r="SDF2" s="100"/>
      <c r="SDG2" s="100"/>
      <c r="SDH2" s="100"/>
      <c r="SDI2" s="100"/>
      <c r="SDJ2" s="100"/>
      <c r="SDK2" s="100"/>
      <c r="SDL2" s="100"/>
      <c r="SDM2" s="100"/>
      <c r="SDN2" s="100"/>
      <c r="SDO2" s="100"/>
      <c r="SDP2" s="100"/>
      <c r="SDQ2" s="100"/>
      <c r="SDR2" s="100"/>
      <c r="SDS2" s="100"/>
      <c r="SDT2" s="100"/>
      <c r="SDU2" s="100"/>
      <c r="SDV2" s="100"/>
      <c r="SDW2" s="100"/>
      <c r="SDX2" s="100"/>
      <c r="SDY2" s="100"/>
      <c r="SDZ2" s="100"/>
      <c r="SEA2" s="100"/>
      <c r="SEB2" s="100"/>
      <c r="SEC2" s="100"/>
      <c r="SED2" s="100"/>
      <c r="SEE2" s="100"/>
      <c r="SEF2" s="100"/>
      <c r="SEG2" s="100"/>
      <c r="SEH2" s="100"/>
      <c r="SEI2" s="100"/>
      <c r="SEJ2" s="100"/>
      <c r="SEK2" s="633"/>
      <c r="SEL2" s="100"/>
      <c r="SEM2" s="100"/>
      <c r="SEN2" s="100"/>
      <c r="SEO2" s="199"/>
      <c r="SEP2" s="200"/>
      <c r="SEQ2" s="201"/>
      <c r="SER2" s="100"/>
      <c r="SES2" s="100"/>
      <c r="SET2" s="100"/>
      <c r="SEU2" s="100"/>
      <c r="SEV2" s="100"/>
      <c r="SEW2" s="100"/>
      <c r="SEX2" s="100"/>
      <c r="SEY2" s="100"/>
      <c r="SEZ2" s="100"/>
      <c r="SFA2" s="100"/>
      <c r="SFB2" s="100"/>
      <c r="SFC2" s="100"/>
      <c r="SFD2" s="100"/>
      <c r="SFE2" s="100"/>
      <c r="SFF2" s="100"/>
      <c r="SFG2" s="100"/>
      <c r="SFH2" s="100"/>
      <c r="SFI2" s="100"/>
      <c r="SFJ2" s="100"/>
      <c r="SFK2" s="100"/>
      <c r="SFL2" s="100"/>
      <c r="SFM2" s="100"/>
      <c r="SFN2" s="100"/>
      <c r="SFO2" s="100"/>
      <c r="SFP2" s="100"/>
      <c r="SFQ2" s="100"/>
      <c r="SFR2" s="100"/>
      <c r="SFS2" s="100"/>
      <c r="SFT2" s="100"/>
      <c r="SFU2" s="100"/>
      <c r="SFV2" s="100"/>
      <c r="SFW2" s="100"/>
      <c r="SFX2" s="100"/>
      <c r="SFY2" s="100"/>
      <c r="SFZ2" s="100"/>
      <c r="SGA2" s="100"/>
      <c r="SGB2" s="100"/>
      <c r="SGC2" s="100"/>
      <c r="SGD2" s="100"/>
      <c r="SGE2" s="100"/>
      <c r="SGF2" s="100"/>
      <c r="SGG2" s="100"/>
      <c r="SGH2" s="100"/>
      <c r="SGI2" s="100"/>
      <c r="SGJ2" s="100"/>
      <c r="SGK2" s="100"/>
      <c r="SGL2" s="100"/>
      <c r="SGM2" s="100"/>
      <c r="SGN2" s="100"/>
      <c r="SGO2" s="100"/>
      <c r="SGP2" s="100"/>
      <c r="SGQ2" s="100"/>
      <c r="SGR2" s="100"/>
      <c r="SGS2" s="100"/>
      <c r="SGT2" s="100"/>
      <c r="SGU2" s="100"/>
      <c r="SGV2" s="100"/>
      <c r="SGW2" s="100"/>
      <c r="SGX2" s="100"/>
      <c r="SGY2" s="100"/>
      <c r="SGZ2" s="633"/>
      <c r="SHA2" s="100"/>
      <c r="SHB2" s="100"/>
      <c r="SHC2" s="100"/>
      <c r="SHD2" s="199"/>
      <c r="SHE2" s="200"/>
      <c r="SHF2" s="201"/>
      <c r="SHG2" s="100"/>
      <c r="SHH2" s="100"/>
      <c r="SHI2" s="100"/>
      <c r="SHJ2" s="100"/>
      <c r="SHK2" s="100"/>
      <c r="SHL2" s="100"/>
      <c r="SHM2" s="100"/>
      <c r="SHN2" s="100"/>
      <c r="SHO2" s="100"/>
      <c r="SHP2" s="100"/>
      <c r="SHQ2" s="100"/>
      <c r="SHR2" s="100"/>
      <c r="SHS2" s="100"/>
      <c r="SHT2" s="100"/>
      <c r="SHU2" s="100"/>
      <c r="SHV2" s="100"/>
      <c r="SHW2" s="100"/>
      <c r="SHX2" s="100"/>
      <c r="SHY2" s="100"/>
      <c r="SHZ2" s="100"/>
      <c r="SIA2" s="100"/>
      <c r="SIB2" s="100"/>
      <c r="SIC2" s="100"/>
      <c r="SID2" s="100"/>
      <c r="SIE2" s="100"/>
      <c r="SIF2" s="100"/>
      <c r="SIG2" s="100"/>
      <c r="SIH2" s="100"/>
      <c r="SII2" s="100"/>
      <c r="SIJ2" s="100"/>
      <c r="SIK2" s="100"/>
      <c r="SIL2" s="100"/>
      <c r="SIM2" s="100"/>
      <c r="SIN2" s="100"/>
      <c r="SIO2" s="100"/>
      <c r="SIP2" s="100"/>
      <c r="SIQ2" s="100"/>
      <c r="SIR2" s="100"/>
      <c r="SIS2" s="100"/>
      <c r="SIT2" s="100"/>
      <c r="SIU2" s="100"/>
      <c r="SIV2" s="100"/>
      <c r="SIW2" s="100"/>
      <c r="SIX2" s="100"/>
      <c r="SIY2" s="100"/>
      <c r="SIZ2" s="100"/>
      <c r="SJA2" s="100"/>
      <c r="SJB2" s="100"/>
      <c r="SJC2" s="100"/>
      <c r="SJD2" s="100"/>
      <c r="SJE2" s="100"/>
      <c r="SJF2" s="100"/>
      <c r="SJG2" s="100"/>
      <c r="SJH2" s="100"/>
      <c r="SJI2" s="100"/>
      <c r="SJJ2" s="100"/>
      <c r="SJK2" s="100"/>
      <c r="SJL2" s="100"/>
      <c r="SJM2" s="100"/>
      <c r="SJN2" s="100"/>
      <c r="SJO2" s="633"/>
      <c r="SJP2" s="100"/>
      <c r="SJQ2" s="100"/>
      <c r="SJR2" s="100"/>
      <c r="SJS2" s="199"/>
      <c r="SJT2" s="200"/>
      <c r="SJU2" s="201"/>
      <c r="SJV2" s="100"/>
      <c r="SJW2" s="100"/>
      <c r="SJX2" s="100"/>
      <c r="SJY2" s="100"/>
      <c r="SJZ2" s="100"/>
      <c r="SKA2" s="100"/>
      <c r="SKB2" s="100"/>
      <c r="SKC2" s="100"/>
      <c r="SKD2" s="100"/>
      <c r="SKE2" s="100"/>
      <c r="SKF2" s="100"/>
      <c r="SKG2" s="100"/>
      <c r="SKH2" s="100"/>
      <c r="SKI2" s="100"/>
      <c r="SKJ2" s="100"/>
      <c r="SKK2" s="100"/>
      <c r="SKL2" s="100"/>
      <c r="SKM2" s="100"/>
      <c r="SKN2" s="100"/>
      <c r="SKO2" s="100"/>
      <c r="SKP2" s="100"/>
      <c r="SKQ2" s="100"/>
      <c r="SKR2" s="100"/>
      <c r="SKS2" s="100"/>
      <c r="SKT2" s="100"/>
      <c r="SKU2" s="100"/>
      <c r="SKV2" s="100"/>
      <c r="SKW2" s="100"/>
      <c r="SKX2" s="100"/>
      <c r="SKY2" s="100"/>
      <c r="SKZ2" s="100"/>
      <c r="SLA2" s="100"/>
      <c r="SLB2" s="100"/>
      <c r="SLC2" s="100"/>
      <c r="SLD2" s="100"/>
      <c r="SLE2" s="100"/>
      <c r="SLF2" s="100"/>
      <c r="SLG2" s="100"/>
      <c r="SLH2" s="100"/>
      <c r="SLI2" s="100"/>
      <c r="SLJ2" s="100"/>
      <c r="SLK2" s="100"/>
      <c r="SLL2" s="100"/>
      <c r="SLM2" s="100"/>
      <c r="SLN2" s="100"/>
      <c r="SLO2" s="100"/>
      <c r="SLP2" s="100"/>
      <c r="SLQ2" s="100"/>
      <c r="SLR2" s="100"/>
      <c r="SLS2" s="100"/>
      <c r="SLT2" s="100"/>
      <c r="SLU2" s="100"/>
      <c r="SLV2" s="100"/>
      <c r="SLW2" s="100"/>
      <c r="SLX2" s="100"/>
      <c r="SLY2" s="100"/>
      <c r="SLZ2" s="100"/>
      <c r="SMA2" s="100"/>
      <c r="SMB2" s="100"/>
      <c r="SMC2" s="100"/>
      <c r="SMD2" s="633"/>
      <c r="SME2" s="100"/>
      <c r="SMF2" s="100"/>
      <c r="SMG2" s="100"/>
      <c r="SMH2" s="199"/>
      <c r="SMI2" s="200"/>
      <c r="SMJ2" s="201"/>
      <c r="SMK2" s="100"/>
      <c r="SML2" s="100"/>
      <c r="SMM2" s="100"/>
      <c r="SMN2" s="100"/>
      <c r="SMO2" s="100"/>
      <c r="SMP2" s="100"/>
      <c r="SMQ2" s="100"/>
      <c r="SMR2" s="100"/>
      <c r="SMS2" s="100"/>
      <c r="SMT2" s="100"/>
      <c r="SMU2" s="100"/>
      <c r="SMV2" s="100"/>
      <c r="SMW2" s="100"/>
      <c r="SMX2" s="100"/>
      <c r="SMY2" s="100"/>
      <c r="SMZ2" s="100"/>
      <c r="SNA2" s="100"/>
      <c r="SNB2" s="100"/>
      <c r="SNC2" s="100"/>
      <c r="SND2" s="100"/>
      <c r="SNE2" s="100"/>
      <c r="SNF2" s="100"/>
      <c r="SNG2" s="100"/>
      <c r="SNH2" s="100"/>
      <c r="SNI2" s="100"/>
      <c r="SNJ2" s="100"/>
      <c r="SNK2" s="100"/>
      <c r="SNL2" s="100"/>
      <c r="SNM2" s="100"/>
      <c r="SNN2" s="100"/>
      <c r="SNO2" s="100"/>
      <c r="SNP2" s="100"/>
      <c r="SNQ2" s="100"/>
      <c r="SNR2" s="100"/>
      <c r="SNS2" s="100"/>
      <c r="SNT2" s="100"/>
      <c r="SNU2" s="100"/>
      <c r="SNV2" s="100"/>
      <c r="SNW2" s="100"/>
      <c r="SNX2" s="100"/>
      <c r="SNY2" s="100"/>
      <c r="SNZ2" s="100"/>
      <c r="SOA2" s="100"/>
      <c r="SOB2" s="100"/>
      <c r="SOC2" s="100"/>
      <c r="SOD2" s="100"/>
      <c r="SOE2" s="100"/>
      <c r="SOF2" s="100"/>
      <c r="SOG2" s="100"/>
      <c r="SOH2" s="100"/>
      <c r="SOI2" s="100"/>
      <c r="SOJ2" s="100"/>
      <c r="SOK2" s="100"/>
      <c r="SOL2" s="100"/>
      <c r="SOM2" s="100"/>
      <c r="SON2" s="100"/>
      <c r="SOO2" s="100"/>
      <c r="SOP2" s="100"/>
      <c r="SOQ2" s="100"/>
      <c r="SOR2" s="100"/>
      <c r="SOS2" s="633"/>
      <c r="SOT2" s="100"/>
      <c r="SOU2" s="100"/>
      <c r="SOV2" s="100"/>
      <c r="SOW2" s="199"/>
      <c r="SOX2" s="200"/>
      <c r="SOY2" s="201"/>
      <c r="SOZ2" s="100"/>
      <c r="SPA2" s="100"/>
      <c r="SPB2" s="100"/>
      <c r="SPC2" s="100"/>
      <c r="SPD2" s="100"/>
      <c r="SPE2" s="100"/>
      <c r="SPF2" s="100"/>
      <c r="SPG2" s="100"/>
      <c r="SPH2" s="100"/>
      <c r="SPI2" s="100"/>
      <c r="SPJ2" s="100"/>
      <c r="SPK2" s="100"/>
      <c r="SPL2" s="100"/>
      <c r="SPM2" s="100"/>
      <c r="SPN2" s="100"/>
      <c r="SPO2" s="100"/>
      <c r="SPP2" s="100"/>
      <c r="SPQ2" s="100"/>
      <c r="SPR2" s="100"/>
      <c r="SPS2" s="100"/>
      <c r="SPT2" s="100"/>
      <c r="SPU2" s="100"/>
      <c r="SPV2" s="100"/>
      <c r="SPW2" s="100"/>
      <c r="SPX2" s="100"/>
      <c r="SPY2" s="100"/>
      <c r="SPZ2" s="100"/>
      <c r="SQA2" s="100"/>
      <c r="SQB2" s="100"/>
      <c r="SQC2" s="100"/>
      <c r="SQD2" s="100"/>
      <c r="SQE2" s="100"/>
      <c r="SQF2" s="100"/>
      <c r="SQG2" s="100"/>
      <c r="SQH2" s="100"/>
      <c r="SQI2" s="100"/>
      <c r="SQJ2" s="100"/>
      <c r="SQK2" s="100"/>
      <c r="SQL2" s="100"/>
      <c r="SQM2" s="100"/>
      <c r="SQN2" s="100"/>
      <c r="SQO2" s="100"/>
      <c r="SQP2" s="100"/>
      <c r="SQQ2" s="100"/>
      <c r="SQR2" s="100"/>
      <c r="SQS2" s="100"/>
      <c r="SQT2" s="100"/>
      <c r="SQU2" s="100"/>
      <c r="SQV2" s="100"/>
      <c r="SQW2" s="100"/>
      <c r="SQX2" s="100"/>
      <c r="SQY2" s="100"/>
      <c r="SQZ2" s="100"/>
      <c r="SRA2" s="100"/>
      <c r="SRB2" s="100"/>
      <c r="SRC2" s="100"/>
      <c r="SRD2" s="100"/>
      <c r="SRE2" s="100"/>
      <c r="SRF2" s="100"/>
      <c r="SRG2" s="100"/>
      <c r="SRH2" s="633"/>
      <c r="SRI2" s="100"/>
      <c r="SRJ2" s="100"/>
      <c r="SRK2" s="100"/>
      <c r="SRL2" s="199"/>
      <c r="SRM2" s="200"/>
      <c r="SRN2" s="201"/>
      <c r="SRO2" s="100"/>
      <c r="SRP2" s="100"/>
      <c r="SRQ2" s="100"/>
      <c r="SRR2" s="100"/>
      <c r="SRS2" s="100"/>
      <c r="SRT2" s="100"/>
      <c r="SRU2" s="100"/>
      <c r="SRV2" s="100"/>
      <c r="SRW2" s="100"/>
      <c r="SRX2" s="100"/>
      <c r="SRY2" s="100"/>
      <c r="SRZ2" s="100"/>
      <c r="SSA2" s="100"/>
      <c r="SSB2" s="100"/>
      <c r="SSC2" s="100"/>
      <c r="SSD2" s="100"/>
      <c r="SSE2" s="100"/>
      <c r="SSF2" s="100"/>
      <c r="SSG2" s="100"/>
      <c r="SSH2" s="100"/>
      <c r="SSI2" s="100"/>
      <c r="SSJ2" s="100"/>
      <c r="SSK2" s="100"/>
      <c r="SSL2" s="100"/>
      <c r="SSM2" s="100"/>
      <c r="SSN2" s="100"/>
      <c r="SSO2" s="100"/>
      <c r="SSP2" s="100"/>
      <c r="SSQ2" s="100"/>
      <c r="SSR2" s="100"/>
      <c r="SSS2" s="100"/>
      <c r="SST2" s="100"/>
      <c r="SSU2" s="100"/>
      <c r="SSV2" s="100"/>
      <c r="SSW2" s="100"/>
      <c r="SSX2" s="100"/>
      <c r="SSY2" s="100"/>
      <c r="SSZ2" s="100"/>
      <c r="STA2" s="100"/>
      <c r="STB2" s="100"/>
      <c r="STC2" s="100"/>
      <c r="STD2" s="100"/>
      <c r="STE2" s="100"/>
      <c r="STF2" s="100"/>
      <c r="STG2" s="100"/>
      <c r="STH2" s="100"/>
      <c r="STI2" s="100"/>
      <c r="STJ2" s="100"/>
      <c r="STK2" s="100"/>
      <c r="STL2" s="100"/>
      <c r="STM2" s="100"/>
      <c r="STN2" s="100"/>
      <c r="STO2" s="100"/>
      <c r="STP2" s="100"/>
      <c r="STQ2" s="100"/>
      <c r="STR2" s="100"/>
      <c r="STS2" s="100"/>
      <c r="STT2" s="100"/>
      <c r="STU2" s="100"/>
      <c r="STV2" s="100"/>
      <c r="STW2" s="633"/>
      <c r="STX2" s="100"/>
      <c r="STY2" s="100"/>
      <c r="STZ2" s="100"/>
      <c r="SUA2" s="199"/>
      <c r="SUB2" s="200"/>
      <c r="SUC2" s="201"/>
      <c r="SUD2" s="100"/>
      <c r="SUE2" s="100"/>
      <c r="SUF2" s="100"/>
      <c r="SUG2" s="100"/>
      <c r="SUH2" s="100"/>
      <c r="SUI2" s="100"/>
      <c r="SUJ2" s="100"/>
      <c r="SUK2" s="100"/>
      <c r="SUL2" s="100"/>
      <c r="SUM2" s="100"/>
      <c r="SUN2" s="100"/>
      <c r="SUO2" s="100"/>
      <c r="SUP2" s="100"/>
      <c r="SUQ2" s="100"/>
      <c r="SUR2" s="100"/>
      <c r="SUS2" s="100"/>
      <c r="SUT2" s="100"/>
      <c r="SUU2" s="100"/>
      <c r="SUV2" s="100"/>
      <c r="SUW2" s="100"/>
      <c r="SUX2" s="100"/>
      <c r="SUY2" s="100"/>
      <c r="SUZ2" s="100"/>
      <c r="SVA2" s="100"/>
      <c r="SVB2" s="100"/>
      <c r="SVC2" s="100"/>
      <c r="SVD2" s="100"/>
      <c r="SVE2" s="100"/>
      <c r="SVF2" s="100"/>
      <c r="SVG2" s="100"/>
      <c r="SVH2" s="100"/>
      <c r="SVI2" s="100"/>
      <c r="SVJ2" s="100"/>
      <c r="SVK2" s="100"/>
      <c r="SVL2" s="100"/>
      <c r="SVM2" s="100"/>
      <c r="SVN2" s="100"/>
      <c r="SVO2" s="100"/>
      <c r="SVP2" s="100"/>
      <c r="SVQ2" s="100"/>
      <c r="SVR2" s="100"/>
      <c r="SVS2" s="100"/>
      <c r="SVT2" s="100"/>
      <c r="SVU2" s="100"/>
      <c r="SVV2" s="100"/>
      <c r="SVW2" s="100"/>
      <c r="SVX2" s="100"/>
      <c r="SVY2" s="100"/>
      <c r="SVZ2" s="100"/>
      <c r="SWA2" s="100"/>
      <c r="SWB2" s="100"/>
      <c r="SWC2" s="100"/>
      <c r="SWD2" s="100"/>
      <c r="SWE2" s="100"/>
      <c r="SWF2" s="100"/>
      <c r="SWG2" s="100"/>
      <c r="SWH2" s="100"/>
      <c r="SWI2" s="100"/>
      <c r="SWJ2" s="100"/>
      <c r="SWK2" s="100"/>
      <c r="SWL2" s="633"/>
      <c r="SWM2" s="100"/>
      <c r="SWN2" s="100"/>
      <c r="SWO2" s="100"/>
      <c r="SWP2" s="199"/>
      <c r="SWQ2" s="200"/>
      <c r="SWR2" s="201"/>
      <c r="SWS2" s="100"/>
      <c r="SWT2" s="100"/>
      <c r="SWU2" s="100"/>
      <c r="SWV2" s="100"/>
      <c r="SWW2" s="100"/>
      <c r="SWX2" s="100"/>
      <c r="SWY2" s="100"/>
      <c r="SWZ2" s="100"/>
      <c r="SXA2" s="100"/>
      <c r="SXB2" s="100"/>
      <c r="SXC2" s="100"/>
      <c r="SXD2" s="100"/>
      <c r="SXE2" s="100"/>
      <c r="SXF2" s="100"/>
      <c r="SXG2" s="100"/>
      <c r="SXH2" s="100"/>
      <c r="SXI2" s="100"/>
      <c r="SXJ2" s="100"/>
      <c r="SXK2" s="100"/>
      <c r="SXL2" s="100"/>
      <c r="SXM2" s="100"/>
      <c r="SXN2" s="100"/>
      <c r="SXO2" s="100"/>
      <c r="SXP2" s="100"/>
      <c r="SXQ2" s="100"/>
      <c r="SXR2" s="100"/>
      <c r="SXS2" s="100"/>
      <c r="SXT2" s="100"/>
      <c r="SXU2" s="100"/>
      <c r="SXV2" s="100"/>
      <c r="SXW2" s="100"/>
      <c r="SXX2" s="100"/>
      <c r="SXY2" s="100"/>
      <c r="SXZ2" s="100"/>
      <c r="SYA2" s="100"/>
      <c r="SYB2" s="100"/>
      <c r="SYC2" s="100"/>
      <c r="SYD2" s="100"/>
      <c r="SYE2" s="100"/>
      <c r="SYF2" s="100"/>
      <c r="SYG2" s="100"/>
      <c r="SYH2" s="100"/>
      <c r="SYI2" s="100"/>
      <c r="SYJ2" s="100"/>
      <c r="SYK2" s="100"/>
      <c r="SYL2" s="100"/>
      <c r="SYM2" s="100"/>
      <c r="SYN2" s="100"/>
      <c r="SYO2" s="100"/>
      <c r="SYP2" s="100"/>
      <c r="SYQ2" s="100"/>
      <c r="SYR2" s="100"/>
      <c r="SYS2" s="100"/>
      <c r="SYT2" s="100"/>
      <c r="SYU2" s="100"/>
      <c r="SYV2" s="100"/>
      <c r="SYW2" s="100"/>
      <c r="SYX2" s="100"/>
      <c r="SYY2" s="100"/>
      <c r="SYZ2" s="100"/>
      <c r="SZA2" s="633"/>
      <c r="SZB2" s="100"/>
      <c r="SZC2" s="100"/>
      <c r="SZD2" s="100"/>
      <c r="SZE2" s="199"/>
      <c r="SZF2" s="200"/>
      <c r="SZG2" s="201"/>
      <c r="SZH2" s="100"/>
      <c r="SZI2" s="100"/>
      <c r="SZJ2" s="100"/>
      <c r="SZK2" s="100"/>
      <c r="SZL2" s="100"/>
      <c r="SZM2" s="100"/>
      <c r="SZN2" s="100"/>
      <c r="SZO2" s="100"/>
      <c r="SZP2" s="100"/>
      <c r="SZQ2" s="100"/>
      <c r="SZR2" s="100"/>
      <c r="SZS2" s="100"/>
      <c r="SZT2" s="100"/>
      <c r="SZU2" s="100"/>
      <c r="SZV2" s="100"/>
      <c r="SZW2" s="100"/>
      <c r="SZX2" s="100"/>
      <c r="SZY2" s="100"/>
      <c r="SZZ2" s="100"/>
      <c r="TAA2" s="100"/>
      <c r="TAB2" s="100"/>
      <c r="TAC2" s="100"/>
      <c r="TAD2" s="100"/>
      <c r="TAE2" s="100"/>
      <c r="TAF2" s="100"/>
      <c r="TAG2" s="100"/>
      <c r="TAH2" s="100"/>
      <c r="TAI2" s="100"/>
      <c r="TAJ2" s="100"/>
      <c r="TAK2" s="100"/>
      <c r="TAL2" s="100"/>
      <c r="TAM2" s="100"/>
      <c r="TAN2" s="100"/>
      <c r="TAO2" s="100"/>
      <c r="TAP2" s="100"/>
      <c r="TAQ2" s="100"/>
      <c r="TAR2" s="100"/>
      <c r="TAS2" s="100"/>
      <c r="TAT2" s="100"/>
      <c r="TAU2" s="100"/>
      <c r="TAV2" s="100"/>
      <c r="TAW2" s="100"/>
      <c r="TAX2" s="100"/>
      <c r="TAY2" s="100"/>
      <c r="TAZ2" s="100"/>
      <c r="TBA2" s="100"/>
      <c r="TBB2" s="100"/>
      <c r="TBC2" s="100"/>
      <c r="TBD2" s="100"/>
      <c r="TBE2" s="100"/>
      <c r="TBF2" s="100"/>
      <c r="TBG2" s="100"/>
      <c r="TBH2" s="100"/>
      <c r="TBI2" s="100"/>
      <c r="TBJ2" s="100"/>
      <c r="TBK2" s="100"/>
      <c r="TBL2" s="100"/>
      <c r="TBM2" s="100"/>
      <c r="TBN2" s="100"/>
      <c r="TBO2" s="100"/>
      <c r="TBP2" s="633"/>
      <c r="TBQ2" s="100"/>
      <c r="TBR2" s="100"/>
      <c r="TBS2" s="100"/>
      <c r="TBT2" s="199"/>
      <c r="TBU2" s="200"/>
      <c r="TBV2" s="201"/>
      <c r="TBW2" s="100"/>
      <c r="TBX2" s="100"/>
      <c r="TBY2" s="100"/>
      <c r="TBZ2" s="100"/>
      <c r="TCA2" s="100"/>
      <c r="TCB2" s="100"/>
      <c r="TCC2" s="100"/>
      <c r="TCD2" s="100"/>
      <c r="TCE2" s="100"/>
      <c r="TCF2" s="100"/>
      <c r="TCG2" s="100"/>
      <c r="TCH2" s="100"/>
      <c r="TCI2" s="100"/>
      <c r="TCJ2" s="100"/>
      <c r="TCK2" s="100"/>
      <c r="TCL2" s="100"/>
      <c r="TCM2" s="100"/>
      <c r="TCN2" s="100"/>
      <c r="TCO2" s="100"/>
      <c r="TCP2" s="100"/>
      <c r="TCQ2" s="100"/>
      <c r="TCR2" s="100"/>
      <c r="TCS2" s="100"/>
      <c r="TCT2" s="100"/>
      <c r="TCU2" s="100"/>
      <c r="TCV2" s="100"/>
      <c r="TCW2" s="100"/>
      <c r="TCX2" s="100"/>
      <c r="TCY2" s="100"/>
      <c r="TCZ2" s="100"/>
      <c r="TDA2" s="100"/>
      <c r="TDB2" s="100"/>
      <c r="TDC2" s="100"/>
      <c r="TDD2" s="100"/>
      <c r="TDE2" s="100"/>
      <c r="TDF2" s="100"/>
      <c r="TDG2" s="100"/>
      <c r="TDH2" s="100"/>
      <c r="TDI2" s="100"/>
      <c r="TDJ2" s="100"/>
      <c r="TDK2" s="100"/>
      <c r="TDL2" s="100"/>
      <c r="TDM2" s="100"/>
      <c r="TDN2" s="100"/>
      <c r="TDO2" s="100"/>
      <c r="TDP2" s="100"/>
      <c r="TDQ2" s="100"/>
      <c r="TDR2" s="100"/>
      <c r="TDS2" s="100"/>
      <c r="TDT2" s="100"/>
      <c r="TDU2" s="100"/>
      <c r="TDV2" s="100"/>
      <c r="TDW2" s="100"/>
      <c r="TDX2" s="100"/>
      <c r="TDY2" s="100"/>
      <c r="TDZ2" s="100"/>
      <c r="TEA2" s="100"/>
      <c r="TEB2" s="100"/>
      <c r="TEC2" s="100"/>
      <c r="TED2" s="100"/>
      <c r="TEE2" s="633"/>
      <c r="TEF2" s="100"/>
      <c r="TEG2" s="100"/>
      <c r="TEH2" s="100"/>
      <c r="TEI2" s="199"/>
      <c r="TEJ2" s="200"/>
      <c r="TEK2" s="201"/>
      <c r="TEL2" s="100"/>
      <c r="TEM2" s="100"/>
      <c r="TEN2" s="100"/>
      <c r="TEO2" s="100"/>
      <c r="TEP2" s="100"/>
      <c r="TEQ2" s="100"/>
      <c r="TER2" s="100"/>
      <c r="TES2" s="100"/>
      <c r="TET2" s="100"/>
      <c r="TEU2" s="100"/>
      <c r="TEV2" s="100"/>
      <c r="TEW2" s="100"/>
      <c r="TEX2" s="100"/>
      <c r="TEY2" s="100"/>
      <c r="TEZ2" s="100"/>
      <c r="TFA2" s="100"/>
      <c r="TFB2" s="100"/>
      <c r="TFC2" s="100"/>
      <c r="TFD2" s="100"/>
      <c r="TFE2" s="100"/>
      <c r="TFF2" s="100"/>
      <c r="TFG2" s="100"/>
      <c r="TFH2" s="100"/>
      <c r="TFI2" s="100"/>
      <c r="TFJ2" s="100"/>
      <c r="TFK2" s="100"/>
      <c r="TFL2" s="100"/>
      <c r="TFM2" s="100"/>
      <c r="TFN2" s="100"/>
      <c r="TFO2" s="100"/>
      <c r="TFP2" s="100"/>
      <c r="TFQ2" s="100"/>
      <c r="TFR2" s="100"/>
      <c r="TFS2" s="100"/>
      <c r="TFT2" s="100"/>
      <c r="TFU2" s="100"/>
      <c r="TFV2" s="100"/>
      <c r="TFW2" s="100"/>
      <c r="TFX2" s="100"/>
      <c r="TFY2" s="100"/>
      <c r="TFZ2" s="100"/>
      <c r="TGA2" s="100"/>
      <c r="TGB2" s="100"/>
      <c r="TGC2" s="100"/>
      <c r="TGD2" s="100"/>
      <c r="TGE2" s="100"/>
      <c r="TGF2" s="100"/>
      <c r="TGG2" s="100"/>
      <c r="TGH2" s="100"/>
      <c r="TGI2" s="100"/>
      <c r="TGJ2" s="100"/>
      <c r="TGK2" s="100"/>
      <c r="TGL2" s="100"/>
      <c r="TGM2" s="100"/>
      <c r="TGN2" s="100"/>
      <c r="TGO2" s="100"/>
      <c r="TGP2" s="100"/>
      <c r="TGQ2" s="100"/>
      <c r="TGR2" s="100"/>
      <c r="TGS2" s="100"/>
      <c r="TGT2" s="633"/>
      <c r="TGU2" s="100"/>
      <c r="TGV2" s="100"/>
      <c r="TGW2" s="100"/>
      <c r="TGX2" s="199"/>
      <c r="TGY2" s="200"/>
      <c r="TGZ2" s="201"/>
      <c r="THA2" s="100"/>
      <c r="THB2" s="100"/>
      <c r="THC2" s="100"/>
      <c r="THD2" s="100"/>
      <c r="THE2" s="100"/>
      <c r="THF2" s="100"/>
      <c r="THG2" s="100"/>
      <c r="THH2" s="100"/>
      <c r="THI2" s="100"/>
      <c r="THJ2" s="100"/>
      <c r="THK2" s="100"/>
      <c r="THL2" s="100"/>
      <c r="THM2" s="100"/>
      <c r="THN2" s="100"/>
      <c r="THO2" s="100"/>
      <c r="THP2" s="100"/>
      <c r="THQ2" s="100"/>
      <c r="THR2" s="100"/>
      <c r="THS2" s="100"/>
      <c r="THT2" s="100"/>
      <c r="THU2" s="100"/>
      <c r="THV2" s="100"/>
      <c r="THW2" s="100"/>
      <c r="THX2" s="100"/>
      <c r="THY2" s="100"/>
      <c r="THZ2" s="100"/>
      <c r="TIA2" s="100"/>
      <c r="TIB2" s="100"/>
      <c r="TIC2" s="100"/>
      <c r="TID2" s="100"/>
      <c r="TIE2" s="100"/>
      <c r="TIF2" s="100"/>
      <c r="TIG2" s="100"/>
      <c r="TIH2" s="100"/>
      <c r="TII2" s="100"/>
      <c r="TIJ2" s="100"/>
      <c r="TIK2" s="100"/>
      <c r="TIL2" s="100"/>
      <c r="TIM2" s="100"/>
      <c r="TIN2" s="100"/>
      <c r="TIO2" s="100"/>
      <c r="TIP2" s="100"/>
      <c r="TIQ2" s="100"/>
      <c r="TIR2" s="100"/>
      <c r="TIS2" s="100"/>
      <c r="TIT2" s="100"/>
      <c r="TIU2" s="100"/>
      <c r="TIV2" s="100"/>
      <c r="TIW2" s="100"/>
      <c r="TIX2" s="100"/>
      <c r="TIY2" s="100"/>
      <c r="TIZ2" s="100"/>
      <c r="TJA2" s="100"/>
      <c r="TJB2" s="100"/>
      <c r="TJC2" s="100"/>
      <c r="TJD2" s="100"/>
      <c r="TJE2" s="100"/>
      <c r="TJF2" s="100"/>
      <c r="TJG2" s="100"/>
      <c r="TJH2" s="100"/>
      <c r="TJI2" s="633"/>
      <c r="TJJ2" s="100"/>
      <c r="TJK2" s="100"/>
      <c r="TJL2" s="100"/>
      <c r="TJM2" s="199"/>
      <c r="TJN2" s="200"/>
      <c r="TJO2" s="201"/>
      <c r="TJP2" s="100"/>
      <c r="TJQ2" s="100"/>
      <c r="TJR2" s="100"/>
      <c r="TJS2" s="100"/>
      <c r="TJT2" s="100"/>
      <c r="TJU2" s="100"/>
      <c r="TJV2" s="100"/>
      <c r="TJW2" s="100"/>
      <c r="TJX2" s="100"/>
      <c r="TJY2" s="100"/>
      <c r="TJZ2" s="100"/>
      <c r="TKA2" s="100"/>
      <c r="TKB2" s="100"/>
      <c r="TKC2" s="100"/>
      <c r="TKD2" s="100"/>
      <c r="TKE2" s="100"/>
      <c r="TKF2" s="100"/>
      <c r="TKG2" s="100"/>
      <c r="TKH2" s="100"/>
      <c r="TKI2" s="100"/>
      <c r="TKJ2" s="100"/>
      <c r="TKK2" s="100"/>
      <c r="TKL2" s="100"/>
      <c r="TKM2" s="100"/>
      <c r="TKN2" s="100"/>
      <c r="TKO2" s="100"/>
      <c r="TKP2" s="100"/>
      <c r="TKQ2" s="100"/>
      <c r="TKR2" s="100"/>
      <c r="TKS2" s="100"/>
      <c r="TKT2" s="100"/>
      <c r="TKU2" s="100"/>
      <c r="TKV2" s="100"/>
      <c r="TKW2" s="100"/>
      <c r="TKX2" s="100"/>
      <c r="TKY2" s="100"/>
      <c r="TKZ2" s="100"/>
      <c r="TLA2" s="100"/>
      <c r="TLB2" s="100"/>
      <c r="TLC2" s="100"/>
      <c r="TLD2" s="100"/>
      <c r="TLE2" s="100"/>
      <c r="TLF2" s="100"/>
      <c r="TLG2" s="100"/>
      <c r="TLH2" s="100"/>
      <c r="TLI2" s="100"/>
      <c r="TLJ2" s="100"/>
      <c r="TLK2" s="100"/>
      <c r="TLL2" s="100"/>
      <c r="TLM2" s="100"/>
      <c r="TLN2" s="100"/>
      <c r="TLO2" s="100"/>
      <c r="TLP2" s="100"/>
      <c r="TLQ2" s="100"/>
      <c r="TLR2" s="100"/>
      <c r="TLS2" s="100"/>
      <c r="TLT2" s="100"/>
      <c r="TLU2" s="100"/>
      <c r="TLV2" s="100"/>
      <c r="TLW2" s="100"/>
      <c r="TLX2" s="633"/>
      <c r="TLY2" s="100"/>
      <c r="TLZ2" s="100"/>
      <c r="TMA2" s="100"/>
      <c r="TMB2" s="199"/>
      <c r="TMC2" s="200"/>
      <c r="TMD2" s="201"/>
      <c r="TME2" s="100"/>
      <c r="TMF2" s="100"/>
      <c r="TMG2" s="100"/>
      <c r="TMH2" s="100"/>
      <c r="TMI2" s="100"/>
      <c r="TMJ2" s="100"/>
      <c r="TMK2" s="100"/>
      <c r="TML2" s="100"/>
      <c r="TMM2" s="100"/>
      <c r="TMN2" s="100"/>
      <c r="TMO2" s="100"/>
      <c r="TMP2" s="100"/>
      <c r="TMQ2" s="100"/>
      <c r="TMR2" s="100"/>
      <c r="TMS2" s="100"/>
      <c r="TMT2" s="100"/>
      <c r="TMU2" s="100"/>
      <c r="TMV2" s="100"/>
      <c r="TMW2" s="100"/>
      <c r="TMX2" s="100"/>
      <c r="TMY2" s="100"/>
      <c r="TMZ2" s="100"/>
      <c r="TNA2" s="100"/>
      <c r="TNB2" s="100"/>
      <c r="TNC2" s="100"/>
      <c r="TND2" s="100"/>
      <c r="TNE2" s="100"/>
      <c r="TNF2" s="100"/>
      <c r="TNG2" s="100"/>
      <c r="TNH2" s="100"/>
      <c r="TNI2" s="100"/>
      <c r="TNJ2" s="100"/>
      <c r="TNK2" s="100"/>
      <c r="TNL2" s="100"/>
      <c r="TNM2" s="100"/>
      <c r="TNN2" s="100"/>
      <c r="TNO2" s="100"/>
      <c r="TNP2" s="100"/>
      <c r="TNQ2" s="100"/>
      <c r="TNR2" s="100"/>
      <c r="TNS2" s="100"/>
      <c r="TNT2" s="100"/>
      <c r="TNU2" s="100"/>
      <c r="TNV2" s="100"/>
      <c r="TNW2" s="100"/>
      <c r="TNX2" s="100"/>
      <c r="TNY2" s="100"/>
      <c r="TNZ2" s="100"/>
      <c r="TOA2" s="100"/>
      <c r="TOB2" s="100"/>
      <c r="TOC2" s="100"/>
      <c r="TOD2" s="100"/>
      <c r="TOE2" s="100"/>
      <c r="TOF2" s="100"/>
      <c r="TOG2" s="100"/>
      <c r="TOH2" s="100"/>
      <c r="TOI2" s="100"/>
      <c r="TOJ2" s="100"/>
      <c r="TOK2" s="100"/>
      <c r="TOL2" s="100"/>
      <c r="TOM2" s="633"/>
      <c r="TON2" s="100"/>
      <c r="TOO2" s="100"/>
      <c r="TOP2" s="100"/>
      <c r="TOQ2" s="199"/>
      <c r="TOR2" s="200"/>
      <c r="TOS2" s="201"/>
      <c r="TOT2" s="100"/>
      <c r="TOU2" s="100"/>
      <c r="TOV2" s="100"/>
      <c r="TOW2" s="100"/>
      <c r="TOX2" s="100"/>
      <c r="TOY2" s="100"/>
      <c r="TOZ2" s="100"/>
      <c r="TPA2" s="100"/>
      <c r="TPB2" s="100"/>
      <c r="TPC2" s="100"/>
      <c r="TPD2" s="100"/>
      <c r="TPE2" s="100"/>
      <c r="TPF2" s="100"/>
      <c r="TPG2" s="100"/>
      <c r="TPH2" s="100"/>
      <c r="TPI2" s="100"/>
      <c r="TPJ2" s="100"/>
      <c r="TPK2" s="100"/>
      <c r="TPL2" s="100"/>
      <c r="TPM2" s="100"/>
      <c r="TPN2" s="100"/>
      <c r="TPO2" s="100"/>
      <c r="TPP2" s="100"/>
      <c r="TPQ2" s="100"/>
      <c r="TPR2" s="100"/>
      <c r="TPS2" s="100"/>
      <c r="TPT2" s="100"/>
      <c r="TPU2" s="100"/>
      <c r="TPV2" s="100"/>
      <c r="TPW2" s="100"/>
      <c r="TPX2" s="100"/>
      <c r="TPY2" s="100"/>
      <c r="TPZ2" s="100"/>
      <c r="TQA2" s="100"/>
      <c r="TQB2" s="100"/>
      <c r="TQC2" s="100"/>
      <c r="TQD2" s="100"/>
      <c r="TQE2" s="100"/>
      <c r="TQF2" s="100"/>
      <c r="TQG2" s="100"/>
      <c r="TQH2" s="100"/>
      <c r="TQI2" s="100"/>
      <c r="TQJ2" s="100"/>
      <c r="TQK2" s="100"/>
      <c r="TQL2" s="100"/>
      <c r="TQM2" s="100"/>
      <c r="TQN2" s="100"/>
      <c r="TQO2" s="100"/>
      <c r="TQP2" s="100"/>
      <c r="TQQ2" s="100"/>
      <c r="TQR2" s="100"/>
      <c r="TQS2" s="100"/>
      <c r="TQT2" s="100"/>
      <c r="TQU2" s="100"/>
      <c r="TQV2" s="100"/>
      <c r="TQW2" s="100"/>
      <c r="TQX2" s="100"/>
      <c r="TQY2" s="100"/>
      <c r="TQZ2" s="100"/>
      <c r="TRA2" s="100"/>
      <c r="TRB2" s="633"/>
      <c r="TRC2" s="100"/>
      <c r="TRD2" s="100"/>
      <c r="TRE2" s="100"/>
      <c r="TRF2" s="199"/>
      <c r="TRG2" s="200"/>
      <c r="TRH2" s="201"/>
      <c r="TRI2" s="100"/>
      <c r="TRJ2" s="100"/>
      <c r="TRK2" s="100"/>
      <c r="TRL2" s="100"/>
      <c r="TRM2" s="100"/>
      <c r="TRN2" s="100"/>
      <c r="TRO2" s="100"/>
      <c r="TRP2" s="100"/>
      <c r="TRQ2" s="100"/>
      <c r="TRR2" s="100"/>
      <c r="TRS2" s="100"/>
      <c r="TRT2" s="100"/>
      <c r="TRU2" s="100"/>
      <c r="TRV2" s="100"/>
      <c r="TRW2" s="100"/>
      <c r="TRX2" s="100"/>
      <c r="TRY2" s="100"/>
      <c r="TRZ2" s="100"/>
      <c r="TSA2" s="100"/>
      <c r="TSB2" s="100"/>
      <c r="TSC2" s="100"/>
      <c r="TSD2" s="100"/>
      <c r="TSE2" s="100"/>
      <c r="TSF2" s="100"/>
      <c r="TSG2" s="100"/>
      <c r="TSH2" s="100"/>
      <c r="TSI2" s="100"/>
      <c r="TSJ2" s="100"/>
      <c r="TSK2" s="100"/>
      <c r="TSL2" s="100"/>
      <c r="TSM2" s="100"/>
      <c r="TSN2" s="100"/>
      <c r="TSO2" s="100"/>
      <c r="TSP2" s="100"/>
      <c r="TSQ2" s="100"/>
      <c r="TSR2" s="100"/>
      <c r="TSS2" s="100"/>
      <c r="TST2" s="100"/>
      <c r="TSU2" s="100"/>
      <c r="TSV2" s="100"/>
      <c r="TSW2" s="100"/>
      <c r="TSX2" s="100"/>
      <c r="TSY2" s="100"/>
      <c r="TSZ2" s="100"/>
      <c r="TTA2" s="100"/>
      <c r="TTB2" s="100"/>
      <c r="TTC2" s="100"/>
      <c r="TTD2" s="100"/>
      <c r="TTE2" s="100"/>
      <c r="TTF2" s="100"/>
      <c r="TTG2" s="100"/>
      <c r="TTH2" s="100"/>
      <c r="TTI2" s="100"/>
      <c r="TTJ2" s="100"/>
      <c r="TTK2" s="100"/>
      <c r="TTL2" s="100"/>
      <c r="TTM2" s="100"/>
      <c r="TTN2" s="100"/>
      <c r="TTO2" s="100"/>
      <c r="TTP2" s="100"/>
      <c r="TTQ2" s="633"/>
      <c r="TTR2" s="100"/>
      <c r="TTS2" s="100"/>
      <c r="TTT2" s="100"/>
      <c r="TTU2" s="199"/>
      <c r="TTV2" s="200"/>
      <c r="TTW2" s="201"/>
      <c r="TTX2" s="100"/>
      <c r="TTY2" s="100"/>
      <c r="TTZ2" s="100"/>
      <c r="TUA2" s="100"/>
      <c r="TUB2" s="100"/>
      <c r="TUC2" s="100"/>
      <c r="TUD2" s="100"/>
      <c r="TUE2" s="100"/>
      <c r="TUF2" s="100"/>
      <c r="TUG2" s="100"/>
      <c r="TUH2" s="100"/>
      <c r="TUI2" s="100"/>
      <c r="TUJ2" s="100"/>
      <c r="TUK2" s="100"/>
      <c r="TUL2" s="100"/>
      <c r="TUM2" s="100"/>
      <c r="TUN2" s="100"/>
      <c r="TUO2" s="100"/>
      <c r="TUP2" s="100"/>
      <c r="TUQ2" s="100"/>
      <c r="TUR2" s="100"/>
      <c r="TUS2" s="100"/>
      <c r="TUT2" s="100"/>
      <c r="TUU2" s="100"/>
      <c r="TUV2" s="100"/>
      <c r="TUW2" s="100"/>
      <c r="TUX2" s="100"/>
      <c r="TUY2" s="100"/>
      <c r="TUZ2" s="100"/>
      <c r="TVA2" s="100"/>
      <c r="TVB2" s="100"/>
      <c r="TVC2" s="100"/>
      <c r="TVD2" s="100"/>
      <c r="TVE2" s="100"/>
      <c r="TVF2" s="100"/>
      <c r="TVG2" s="100"/>
      <c r="TVH2" s="100"/>
      <c r="TVI2" s="100"/>
      <c r="TVJ2" s="100"/>
      <c r="TVK2" s="100"/>
      <c r="TVL2" s="100"/>
      <c r="TVM2" s="100"/>
      <c r="TVN2" s="100"/>
      <c r="TVO2" s="100"/>
      <c r="TVP2" s="100"/>
      <c r="TVQ2" s="100"/>
      <c r="TVR2" s="100"/>
      <c r="TVS2" s="100"/>
      <c r="TVT2" s="100"/>
      <c r="TVU2" s="100"/>
      <c r="TVV2" s="100"/>
      <c r="TVW2" s="100"/>
      <c r="TVX2" s="100"/>
      <c r="TVY2" s="100"/>
      <c r="TVZ2" s="100"/>
      <c r="TWA2" s="100"/>
      <c r="TWB2" s="100"/>
      <c r="TWC2" s="100"/>
      <c r="TWD2" s="100"/>
      <c r="TWE2" s="100"/>
      <c r="TWF2" s="633"/>
      <c r="TWG2" s="100"/>
      <c r="TWH2" s="100"/>
      <c r="TWI2" s="100"/>
      <c r="TWJ2" s="199"/>
      <c r="TWK2" s="200"/>
      <c r="TWL2" s="201"/>
      <c r="TWM2" s="100"/>
      <c r="TWN2" s="100"/>
      <c r="TWO2" s="100"/>
      <c r="TWP2" s="100"/>
      <c r="TWQ2" s="100"/>
      <c r="TWR2" s="100"/>
      <c r="TWS2" s="100"/>
      <c r="TWT2" s="100"/>
      <c r="TWU2" s="100"/>
      <c r="TWV2" s="100"/>
      <c r="TWW2" s="100"/>
      <c r="TWX2" s="100"/>
      <c r="TWY2" s="100"/>
      <c r="TWZ2" s="100"/>
      <c r="TXA2" s="100"/>
      <c r="TXB2" s="100"/>
      <c r="TXC2" s="100"/>
      <c r="TXD2" s="100"/>
      <c r="TXE2" s="100"/>
      <c r="TXF2" s="100"/>
      <c r="TXG2" s="100"/>
      <c r="TXH2" s="100"/>
      <c r="TXI2" s="100"/>
      <c r="TXJ2" s="100"/>
      <c r="TXK2" s="100"/>
      <c r="TXL2" s="100"/>
      <c r="TXM2" s="100"/>
      <c r="TXN2" s="100"/>
      <c r="TXO2" s="100"/>
      <c r="TXP2" s="100"/>
      <c r="TXQ2" s="100"/>
      <c r="TXR2" s="100"/>
      <c r="TXS2" s="100"/>
      <c r="TXT2" s="100"/>
      <c r="TXU2" s="100"/>
      <c r="TXV2" s="100"/>
      <c r="TXW2" s="100"/>
      <c r="TXX2" s="100"/>
      <c r="TXY2" s="100"/>
      <c r="TXZ2" s="100"/>
      <c r="TYA2" s="100"/>
      <c r="TYB2" s="100"/>
      <c r="TYC2" s="100"/>
      <c r="TYD2" s="100"/>
      <c r="TYE2" s="100"/>
      <c r="TYF2" s="100"/>
      <c r="TYG2" s="100"/>
      <c r="TYH2" s="100"/>
      <c r="TYI2" s="100"/>
      <c r="TYJ2" s="100"/>
      <c r="TYK2" s="100"/>
      <c r="TYL2" s="100"/>
      <c r="TYM2" s="100"/>
      <c r="TYN2" s="100"/>
      <c r="TYO2" s="100"/>
      <c r="TYP2" s="100"/>
      <c r="TYQ2" s="100"/>
      <c r="TYR2" s="100"/>
      <c r="TYS2" s="100"/>
      <c r="TYT2" s="100"/>
      <c r="TYU2" s="633"/>
      <c r="TYV2" s="100"/>
      <c r="TYW2" s="100"/>
      <c r="TYX2" s="100"/>
      <c r="TYY2" s="199"/>
      <c r="TYZ2" s="200"/>
      <c r="TZA2" s="201"/>
      <c r="TZB2" s="100"/>
      <c r="TZC2" s="100"/>
      <c r="TZD2" s="100"/>
      <c r="TZE2" s="100"/>
      <c r="TZF2" s="100"/>
      <c r="TZG2" s="100"/>
      <c r="TZH2" s="100"/>
      <c r="TZI2" s="100"/>
      <c r="TZJ2" s="100"/>
      <c r="TZK2" s="100"/>
      <c r="TZL2" s="100"/>
      <c r="TZM2" s="100"/>
      <c r="TZN2" s="100"/>
      <c r="TZO2" s="100"/>
      <c r="TZP2" s="100"/>
      <c r="TZQ2" s="100"/>
      <c r="TZR2" s="100"/>
      <c r="TZS2" s="100"/>
      <c r="TZT2" s="100"/>
      <c r="TZU2" s="100"/>
      <c r="TZV2" s="100"/>
      <c r="TZW2" s="100"/>
      <c r="TZX2" s="100"/>
      <c r="TZY2" s="100"/>
      <c r="TZZ2" s="100"/>
      <c r="UAA2" s="100"/>
      <c r="UAB2" s="100"/>
      <c r="UAC2" s="100"/>
      <c r="UAD2" s="100"/>
      <c r="UAE2" s="100"/>
      <c r="UAF2" s="100"/>
      <c r="UAG2" s="100"/>
      <c r="UAH2" s="100"/>
      <c r="UAI2" s="100"/>
      <c r="UAJ2" s="100"/>
      <c r="UAK2" s="100"/>
      <c r="UAL2" s="100"/>
      <c r="UAM2" s="100"/>
      <c r="UAN2" s="100"/>
      <c r="UAO2" s="100"/>
      <c r="UAP2" s="100"/>
      <c r="UAQ2" s="100"/>
      <c r="UAR2" s="100"/>
      <c r="UAS2" s="100"/>
      <c r="UAT2" s="100"/>
      <c r="UAU2" s="100"/>
      <c r="UAV2" s="100"/>
      <c r="UAW2" s="100"/>
      <c r="UAX2" s="100"/>
      <c r="UAY2" s="100"/>
      <c r="UAZ2" s="100"/>
      <c r="UBA2" s="100"/>
      <c r="UBB2" s="100"/>
      <c r="UBC2" s="100"/>
      <c r="UBD2" s="100"/>
      <c r="UBE2" s="100"/>
      <c r="UBF2" s="100"/>
      <c r="UBG2" s="100"/>
      <c r="UBH2" s="100"/>
      <c r="UBI2" s="100"/>
      <c r="UBJ2" s="633"/>
      <c r="UBK2" s="100"/>
      <c r="UBL2" s="100"/>
      <c r="UBM2" s="100"/>
      <c r="UBN2" s="199"/>
      <c r="UBO2" s="200"/>
      <c r="UBP2" s="201"/>
      <c r="UBQ2" s="100"/>
      <c r="UBR2" s="100"/>
      <c r="UBS2" s="100"/>
      <c r="UBT2" s="100"/>
      <c r="UBU2" s="100"/>
      <c r="UBV2" s="100"/>
      <c r="UBW2" s="100"/>
      <c r="UBX2" s="100"/>
      <c r="UBY2" s="100"/>
      <c r="UBZ2" s="100"/>
      <c r="UCA2" s="100"/>
      <c r="UCB2" s="100"/>
      <c r="UCC2" s="100"/>
      <c r="UCD2" s="100"/>
      <c r="UCE2" s="100"/>
      <c r="UCF2" s="100"/>
      <c r="UCG2" s="100"/>
      <c r="UCH2" s="100"/>
      <c r="UCI2" s="100"/>
      <c r="UCJ2" s="100"/>
      <c r="UCK2" s="100"/>
      <c r="UCL2" s="100"/>
      <c r="UCM2" s="100"/>
      <c r="UCN2" s="100"/>
      <c r="UCO2" s="100"/>
      <c r="UCP2" s="100"/>
      <c r="UCQ2" s="100"/>
      <c r="UCR2" s="100"/>
      <c r="UCS2" s="100"/>
      <c r="UCT2" s="100"/>
      <c r="UCU2" s="100"/>
      <c r="UCV2" s="100"/>
      <c r="UCW2" s="100"/>
      <c r="UCX2" s="100"/>
      <c r="UCY2" s="100"/>
      <c r="UCZ2" s="100"/>
      <c r="UDA2" s="100"/>
      <c r="UDB2" s="100"/>
      <c r="UDC2" s="100"/>
      <c r="UDD2" s="100"/>
      <c r="UDE2" s="100"/>
      <c r="UDF2" s="100"/>
      <c r="UDG2" s="100"/>
      <c r="UDH2" s="100"/>
      <c r="UDI2" s="100"/>
      <c r="UDJ2" s="100"/>
      <c r="UDK2" s="100"/>
      <c r="UDL2" s="100"/>
      <c r="UDM2" s="100"/>
      <c r="UDN2" s="100"/>
      <c r="UDO2" s="100"/>
      <c r="UDP2" s="100"/>
      <c r="UDQ2" s="100"/>
      <c r="UDR2" s="100"/>
      <c r="UDS2" s="100"/>
      <c r="UDT2" s="100"/>
      <c r="UDU2" s="100"/>
      <c r="UDV2" s="100"/>
      <c r="UDW2" s="100"/>
      <c r="UDX2" s="100"/>
      <c r="UDY2" s="633"/>
      <c r="UDZ2" s="100"/>
      <c r="UEA2" s="100"/>
      <c r="UEB2" s="100"/>
      <c r="UEC2" s="199"/>
      <c r="UED2" s="200"/>
      <c r="UEE2" s="201"/>
      <c r="UEF2" s="100"/>
      <c r="UEG2" s="100"/>
      <c r="UEH2" s="100"/>
      <c r="UEI2" s="100"/>
      <c r="UEJ2" s="100"/>
      <c r="UEK2" s="100"/>
      <c r="UEL2" s="100"/>
      <c r="UEM2" s="100"/>
      <c r="UEN2" s="100"/>
      <c r="UEO2" s="100"/>
      <c r="UEP2" s="100"/>
      <c r="UEQ2" s="100"/>
      <c r="UER2" s="100"/>
      <c r="UES2" s="100"/>
      <c r="UET2" s="100"/>
      <c r="UEU2" s="100"/>
      <c r="UEV2" s="100"/>
      <c r="UEW2" s="100"/>
      <c r="UEX2" s="100"/>
      <c r="UEY2" s="100"/>
      <c r="UEZ2" s="100"/>
      <c r="UFA2" s="100"/>
      <c r="UFB2" s="100"/>
      <c r="UFC2" s="100"/>
      <c r="UFD2" s="100"/>
      <c r="UFE2" s="100"/>
      <c r="UFF2" s="100"/>
      <c r="UFG2" s="100"/>
      <c r="UFH2" s="100"/>
      <c r="UFI2" s="100"/>
      <c r="UFJ2" s="100"/>
      <c r="UFK2" s="100"/>
      <c r="UFL2" s="100"/>
      <c r="UFM2" s="100"/>
      <c r="UFN2" s="100"/>
      <c r="UFO2" s="100"/>
      <c r="UFP2" s="100"/>
      <c r="UFQ2" s="100"/>
      <c r="UFR2" s="100"/>
      <c r="UFS2" s="100"/>
      <c r="UFT2" s="100"/>
      <c r="UFU2" s="100"/>
      <c r="UFV2" s="100"/>
      <c r="UFW2" s="100"/>
      <c r="UFX2" s="100"/>
      <c r="UFY2" s="100"/>
      <c r="UFZ2" s="100"/>
      <c r="UGA2" s="100"/>
      <c r="UGB2" s="100"/>
      <c r="UGC2" s="100"/>
      <c r="UGD2" s="100"/>
      <c r="UGE2" s="100"/>
      <c r="UGF2" s="100"/>
      <c r="UGG2" s="100"/>
      <c r="UGH2" s="100"/>
      <c r="UGI2" s="100"/>
      <c r="UGJ2" s="100"/>
      <c r="UGK2" s="100"/>
      <c r="UGL2" s="100"/>
      <c r="UGM2" s="100"/>
      <c r="UGN2" s="633"/>
      <c r="UGO2" s="100"/>
      <c r="UGP2" s="100"/>
      <c r="UGQ2" s="100"/>
      <c r="UGR2" s="199"/>
      <c r="UGS2" s="200"/>
      <c r="UGT2" s="201"/>
      <c r="UGU2" s="100"/>
      <c r="UGV2" s="100"/>
      <c r="UGW2" s="100"/>
      <c r="UGX2" s="100"/>
      <c r="UGY2" s="100"/>
      <c r="UGZ2" s="100"/>
      <c r="UHA2" s="100"/>
      <c r="UHB2" s="100"/>
      <c r="UHC2" s="100"/>
      <c r="UHD2" s="100"/>
      <c r="UHE2" s="100"/>
      <c r="UHF2" s="100"/>
      <c r="UHG2" s="100"/>
      <c r="UHH2" s="100"/>
      <c r="UHI2" s="100"/>
      <c r="UHJ2" s="100"/>
      <c r="UHK2" s="100"/>
      <c r="UHL2" s="100"/>
      <c r="UHM2" s="100"/>
      <c r="UHN2" s="100"/>
      <c r="UHO2" s="100"/>
      <c r="UHP2" s="100"/>
      <c r="UHQ2" s="100"/>
      <c r="UHR2" s="100"/>
      <c r="UHS2" s="100"/>
      <c r="UHT2" s="100"/>
      <c r="UHU2" s="100"/>
      <c r="UHV2" s="100"/>
      <c r="UHW2" s="100"/>
      <c r="UHX2" s="100"/>
      <c r="UHY2" s="100"/>
      <c r="UHZ2" s="100"/>
      <c r="UIA2" s="100"/>
      <c r="UIB2" s="100"/>
      <c r="UIC2" s="100"/>
      <c r="UID2" s="100"/>
      <c r="UIE2" s="100"/>
      <c r="UIF2" s="100"/>
      <c r="UIG2" s="100"/>
      <c r="UIH2" s="100"/>
      <c r="UII2" s="100"/>
      <c r="UIJ2" s="100"/>
      <c r="UIK2" s="100"/>
      <c r="UIL2" s="100"/>
      <c r="UIM2" s="100"/>
      <c r="UIN2" s="100"/>
      <c r="UIO2" s="100"/>
      <c r="UIP2" s="100"/>
      <c r="UIQ2" s="100"/>
      <c r="UIR2" s="100"/>
      <c r="UIS2" s="100"/>
      <c r="UIT2" s="100"/>
      <c r="UIU2" s="100"/>
      <c r="UIV2" s="100"/>
      <c r="UIW2" s="100"/>
      <c r="UIX2" s="100"/>
      <c r="UIY2" s="100"/>
      <c r="UIZ2" s="100"/>
      <c r="UJA2" s="100"/>
      <c r="UJB2" s="100"/>
      <c r="UJC2" s="633"/>
      <c r="UJD2" s="100"/>
      <c r="UJE2" s="100"/>
      <c r="UJF2" s="100"/>
      <c r="UJG2" s="199"/>
      <c r="UJH2" s="200"/>
      <c r="UJI2" s="201"/>
      <c r="UJJ2" s="100"/>
      <c r="UJK2" s="100"/>
      <c r="UJL2" s="100"/>
      <c r="UJM2" s="100"/>
      <c r="UJN2" s="100"/>
      <c r="UJO2" s="100"/>
      <c r="UJP2" s="100"/>
      <c r="UJQ2" s="100"/>
      <c r="UJR2" s="100"/>
      <c r="UJS2" s="100"/>
      <c r="UJT2" s="100"/>
      <c r="UJU2" s="100"/>
      <c r="UJV2" s="100"/>
      <c r="UJW2" s="100"/>
      <c r="UJX2" s="100"/>
      <c r="UJY2" s="100"/>
      <c r="UJZ2" s="100"/>
      <c r="UKA2" s="100"/>
      <c r="UKB2" s="100"/>
      <c r="UKC2" s="100"/>
      <c r="UKD2" s="100"/>
      <c r="UKE2" s="100"/>
      <c r="UKF2" s="100"/>
      <c r="UKG2" s="100"/>
      <c r="UKH2" s="100"/>
      <c r="UKI2" s="100"/>
      <c r="UKJ2" s="100"/>
      <c r="UKK2" s="100"/>
      <c r="UKL2" s="100"/>
      <c r="UKM2" s="100"/>
      <c r="UKN2" s="100"/>
      <c r="UKO2" s="100"/>
      <c r="UKP2" s="100"/>
      <c r="UKQ2" s="100"/>
      <c r="UKR2" s="100"/>
      <c r="UKS2" s="100"/>
      <c r="UKT2" s="100"/>
      <c r="UKU2" s="100"/>
      <c r="UKV2" s="100"/>
      <c r="UKW2" s="100"/>
      <c r="UKX2" s="100"/>
      <c r="UKY2" s="100"/>
      <c r="UKZ2" s="100"/>
      <c r="ULA2" s="100"/>
      <c r="ULB2" s="100"/>
      <c r="ULC2" s="100"/>
      <c r="ULD2" s="100"/>
      <c r="ULE2" s="100"/>
      <c r="ULF2" s="100"/>
      <c r="ULG2" s="100"/>
      <c r="ULH2" s="100"/>
      <c r="ULI2" s="100"/>
      <c r="ULJ2" s="100"/>
      <c r="ULK2" s="100"/>
      <c r="ULL2" s="100"/>
      <c r="ULM2" s="100"/>
      <c r="ULN2" s="100"/>
      <c r="ULO2" s="100"/>
      <c r="ULP2" s="100"/>
      <c r="ULQ2" s="100"/>
      <c r="ULR2" s="633"/>
      <c r="ULS2" s="100"/>
      <c r="ULT2" s="100"/>
      <c r="ULU2" s="100"/>
      <c r="ULV2" s="199"/>
      <c r="ULW2" s="200"/>
      <c r="ULX2" s="201"/>
      <c r="ULY2" s="100"/>
      <c r="ULZ2" s="100"/>
      <c r="UMA2" s="100"/>
      <c r="UMB2" s="100"/>
      <c r="UMC2" s="100"/>
      <c r="UMD2" s="100"/>
      <c r="UME2" s="100"/>
      <c r="UMF2" s="100"/>
      <c r="UMG2" s="100"/>
      <c r="UMH2" s="100"/>
      <c r="UMI2" s="100"/>
      <c r="UMJ2" s="100"/>
      <c r="UMK2" s="100"/>
      <c r="UML2" s="100"/>
      <c r="UMM2" s="100"/>
      <c r="UMN2" s="100"/>
      <c r="UMO2" s="100"/>
      <c r="UMP2" s="100"/>
      <c r="UMQ2" s="100"/>
      <c r="UMR2" s="100"/>
      <c r="UMS2" s="100"/>
      <c r="UMT2" s="100"/>
      <c r="UMU2" s="100"/>
      <c r="UMV2" s="100"/>
      <c r="UMW2" s="100"/>
      <c r="UMX2" s="100"/>
      <c r="UMY2" s="100"/>
      <c r="UMZ2" s="100"/>
      <c r="UNA2" s="100"/>
      <c r="UNB2" s="100"/>
      <c r="UNC2" s="100"/>
      <c r="UND2" s="100"/>
      <c r="UNE2" s="100"/>
      <c r="UNF2" s="100"/>
      <c r="UNG2" s="100"/>
      <c r="UNH2" s="100"/>
      <c r="UNI2" s="100"/>
      <c r="UNJ2" s="100"/>
      <c r="UNK2" s="100"/>
      <c r="UNL2" s="100"/>
      <c r="UNM2" s="100"/>
      <c r="UNN2" s="100"/>
      <c r="UNO2" s="100"/>
      <c r="UNP2" s="100"/>
      <c r="UNQ2" s="100"/>
      <c r="UNR2" s="100"/>
      <c r="UNS2" s="100"/>
      <c r="UNT2" s="100"/>
      <c r="UNU2" s="100"/>
      <c r="UNV2" s="100"/>
      <c r="UNW2" s="100"/>
      <c r="UNX2" s="100"/>
      <c r="UNY2" s="100"/>
      <c r="UNZ2" s="100"/>
      <c r="UOA2" s="100"/>
      <c r="UOB2" s="100"/>
      <c r="UOC2" s="100"/>
      <c r="UOD2" s="100"/>
      <c r="UOE2" s="100"/>
      <c r="UOF2" s="100"/>
      <c r="UOG2" s="633"/>
      <c r="UOH2" s="100"/>
      <c r="UOI2" s="100"/>
      <c r="UOJ2" s="100"/>
      <c r="UOK2" s="199"/>
      <c r="UOL2" s="200"/>
      <c r="UOM2" s="201"/>
      <c r="UON2" s="100"/>
      <c r="UOO2" s="100"/>
      <c r="UOP2" s="100"/>
      <c r="UOQ2" s="100"/>
      <c r="UOR2" s="100"/>
      <c r="UOS2" s="100"/>
      <c r="UOT2" s="100"/>
      <c r="UOU2" s="100"/>
      <c r="UOV2" s="100"/>
      <c r="UOW2" s="100"/>
      <c r="UOX2" s="100"/>
      <c r="UOY2" s="100"/>
      <c r="UOZ2" s="100"/>
      <c r="UPA2" s="100"/>
      <c r="UPB2" s="100"/>
      <c r="UPC2" s="100"/>
      <c r="UPD2" s="100"/>
      <c r="UPE2" s="100"/>
      <c r="UPF2" s="100"/>
      <c r="UPG2" s="100"/>
      <c r="UPH2" s="100"/>
      <c r="UPI2" s="100"/>
      <c r="UPJ2" s="100"/>
      <c r="UPK2" s="100"/>
      <c r="UPL2" s="100"/>
      <c r="UPM2" s="100"/>
      <c r="UPN2" s="100"/>
      <c r="UPO2" s="100"/>
      <c r="UPP2" s="100"/>
      <c r="UPQ2" s="100"/>
      <c r="UPR2" s="100"/>
      <c r="UPS2" s="100"/>
      <c r="UPT2" s="100"/>
      <c r="UPU2" s="100"/>
      <c r="UPV2" s="100"/>
      <c r="UPW2" s="100"/>
      <c r="UPX2" s="100"/>
      <c r="UPY2" s="100"/>
      <c r="UPZ2" s="100"/>
      <c r="UQA2" s="100"/>
      <c r="UQB2" s="100"/>
      <c r="UQC2" s="100"/>
      <c r="UQD2" s="100"/>
      <c r="UQE2" s="100"/>
      <c r="UQF2" s="100"/>
      <c r="UQG2" s="100"/>
      <c r="UQH2" s="100"/>
      <c r="UQI2" s="100"/>
      <c r="UQJ2" s="100"/>
      <c r="UQK2" s="100"/>
      <c r="UQL2" s="100"/>
      <c r="UQM2" s="100"/>
      <c r="UQN2" s="100"/>
      <c r="UQO2" s="100"/>
      <c r="UQP2" s="100"/>
      <c r="UQQ2" s="100"/>
      <c r="UQR2" s="100"/>
      <c r="UQS2" s="100"/>
      <c r="UQT2" s="100"/>
      <c r="UQU2" s="100"/>
      <c r="UQV2" s="633"/>
      <c r="UQW2" s="100"/>
      <c r="UQX2" s="100"/>
      <c r="UQY2" s="100"/>
      <c r="UQZ2" s="199"/>
      <c r="URA2" s="200"/>
      <c r="URB2" s="201"/>
      <c r="URC2" s="100"/>
      <c r="URD2" s="100"/>
      <c r="URE2" s="100"/>
      <c r="URF2" s="100"/>
      <c r="URG2" s="100"/>
      <c r="URH2" s="100"/>
      <c r="URI2" s="100"/>
      <c r="URJ2" s="100"/>
      <c r="URK2" s="100"/>
      <c r="URL2" s="100"/>
      <c r="URM2" s="100"/>
      <c r="URN2" s="100"/>
      <c r="URO2" s="100"/>
      <c r="URP2" s="100"/>
      <c r="URQ2" s="100"/>
      <c r="URR2" s="100"/>
      <c r="URS2" s="100"/>
      <c r="URT2" s="100"/>
      <c r="URU2" s="100"/>
      <c r="URV2" s="100"/>
      <c r="URW2" s="100"/>
      <c r="URX2" s="100"/>
      <c r="URY2" s="100"/>
      <c r="URZ2" s="100"/>
      <c r="USA2" s="100"/>
      <c r="USB2" s="100"/>
      <c r="USC2" s="100"/>
      <c r="USD2" s="100"/>
      <c r="USE2" s="100"/>
      <c r="USF2" s="100"/>
      <c r="USG2" s="100"/>
      <c r="USH2" s="100"/>
      <c r="USI2" s="100"/>
      <c r="USJ2" s="100"/>
      <c r="USK2" s="100"/>
      <c r="USL2" s="100"/>
      <c r="USM2" s="100"/>
      <c r="USN2" s="100"/>
      <c r="USO2" s="100"/>
      <c r="USP2" s="100"/>
      <c r="USQ2" s="100"/>
      <c r="USR2" s="100"/>
      <c r="USS2" s="100"/>
      <c r="UST2" s="100"/>
      <c r="USU2" s="100"/>
      <c r="USV2" s="100"/>
      <c r="USW2" s="100"/>
      <c r="USX2" s="100"/>
      <c r="USY2" s="100"/>
      <c r="USZ2" s="100"/>
      <c r="UTA2" s="100"/>
      <c r="UTB2" s="100"/>
      <c r="UTC2" s="100"/>
      <c r="UTD2" s="100"/>
      <c r="UTE2" s="100"/>
      <c r="UTF2" s="100"/>
      <c r="UTG2" s="100"/>
      <c r="UTH2" s="100"/>
      <c r="UTI2" s="100"/>
      <c r="UTJ2" s="100"/>
      <c r="UTK2" s="633"/>
      <c r="UTL2" s="100"/>
      <c r="UTM2" s="100"/>
      <c r="UTN2" s="100"/>
      <c r="UTO2" s="199"/>
      <c r="UTP2" s="200"/>
      <c r="UTQ2" s="201"/>
      <c r="UTR2" s="100"/>
      <c r="UTS2" s="100"/>
      <c r="UTT2" s="100"/>
      <c r="UTU2" s="100"/>
      <c r="UTV2" s="100"/>
      <c r="UTW2" s="100"/>
      <c r="UTX2" s="100"/>
      <c r="UTY2" s="100"/>
      <c r="UTZ2" s="100"/>
      <c r="UUA2" s="100"/>
      <c r="UUB2" s="100"/>
      <c r="UUC2" s="100"/>
      <c r="UUD2" s="100"/>
      <c r="UUE2" s="100"/>
      <c r="UUF2" s="100"/>
      <c r="UUG2" s="100"/>
      <c r="UUH2" s="100"/>
      <c r="UUI2" s="100"/>
      <c r="UUJ2" s="100"/>
      <c r="UUK2" s="100"/>
      <c r="UUL2" s="100"/>
      <c r="UUM2" s="100"/>
      <c r="UUN2" s="100"/>
      <c r="UUO2" s="100"/>
      <c r="UUP2" s="100"/>
      <c r="UUQ2" s="100"/>
      <c r="UUR2" s="100"/>
      <c r="UUS2" s="100"/>
      <c r="UUT2" s="100"/>
      <c r="UUU2" s="100"/>
      <c r="UUV2" s="100"/>
      <c r="UUW2" s="100"/>
      <c r="UUX2" s="100"/>
      <c r="UUY2" s="100"/>
      <c r="UUZ2" s="100"/>
      <c r="UVA2" s="100"/>
      <c r="UVB2" s="100"/>
      <c r="UVC2" s="100"/>
      <c r="UVD2" s="100"/>
      <c r="UVE2" s="100"/>
      <c r="UVF2" s="100"/>
      <c r="UVG2" s="100"/>
      <c r="UVH2" s="100"/>
      <c r="UVI2" s="100"/>
      <c r="UVJ2" s="100"/>
      <c r="UVK2" s="100"/>
      <c r="UVL2" s="100"/>
      <c r="UVM2" s="100"/>
      <c r="UVN2" s="100"/>
      <c r="UVO2" s="100"/>
      <c r="UVP2" s="100"/>
      <c r="UVQ2" s="100"/>
      <c r="UVR2" s="100"/>
      <c r="UVS2" s="100"/>
      <c r="UVT2" s="100"/>
      <c r="UVU2" s="100"/>
      <c r="UVV2" s="100"/>
      <c r="UVW2" s="100"/>
      <c r="UVX2" s="100"/>
      <c r="UVY2" s="100"/>
      <c r="UVZ2" s="633"/>
      <c r="UWA2" s="100"/>
      <c r="UWB2" s="100"/>
      <c r="UWC2" s="100"/>
      <c r="UWD2" s="199"/>
      <c r="UWE2" s="200"/>
      <c r="UWF2" s="201"/>
      <c r="UWG2" s="100"/>
      <c r="UWH2" s="100"/>
      <c r="UWI2" s="100"/>
      <c r="UWJ2" s="100"/>
      <c r="UWK2" s="100"/>
      <c r="UWL2" s="100"/>
      <c r="UWM2" s="100"/>
      <c r="UWN2" s="100"/>
      <c r="UWO2" s="100"/>
      <c r="UWP2" s="100"/>
      <c r="UWQ2" s="100"/>
      <c r="UWR2" s="100"/>
      <c r="UWS2" s="100"/>
      <c r="UWT2" s="100"/>
      <c r="UWU2" s="100"/>
      <c r="UWV2" s="100"/>
      <c r="UWW2" s="100"/>
      <c r="UWX2" s="100"/>
      <c r="UWY2" s="100"/>
      <c r="UWZ2" s="100"/>
      <c r="UXA2" s="100"/>
      <c r="UXB2" s="100"/>
      <c r="UXC2" s="100"/>
      <c r="UXD2" s="100"/>
      <c r="UXE2" s="100"/>
      <c r="UXF2" s="100"/>
      <c r="UXG2" s="100"/>
      <c r="UXH2" s="100"/>
      <c r="UXI2" s="100"/>
      <c r="UXJ2" s="100"/>
      <c r="UXK2" s="100"/>
      <c r="UXL2" s="100"/>
      <c r="UXM2" s="100"/>
      <c r="UXN2" s="100"/>
      <c r="UXO2" s="100"/>
      <c r="UXP2" s="100"/>
      <c r="UXQ2" s="100"/>
      <c r="UXR2" s="100"/>
      <c r="UXS2" s="100"/>
      <c r="UXT2" s="100"/>
      <c r="UXU2" s="100"/>
      <c r="UXV2" s="100"/>
      <c r="UXW2" s="100"/>
      <c r="UXX2" s="100"/>
      <c r="UXY2" s="100"/>
      <c r="UXZ2" s="100"/>
      <c r="UYA2" s="100"/>
      <c r="UYB2" s="100"/>
      <c r="UYC2" s="100"/>
      <c r="UYD2" s="100"/>
      <c r="UYE2" s="100"/>
      <c r="UYF2" s="100"/>
      <c r="UYG2" s="100"/>
      <c r="UYH2" s="100"/>
      <c r="UYI2" s="100"/>
      <c r="UYJ2" s="100"/>
      <c r="UYK2" s="100"/>
      <c r="UYL2" s="100"/>
      <c r="UYM2" s="100"/>
      <c r="UYN2" s="100"/>
      <c r="UYO2" s="633"/>
      <c r="UYP2" s="100"/>
      <c r="UYQ2" s="100"/>
      <c r="UYR2" s="100"/>
      <c r="UYS2" s="199"/>
      <c r="UYT2" s="200"/>
      <c r="UYU2" s="201"/>
      <c r="UYV2" s="100"/>
      <c r="UYW2" s="100"/>
      <c r="UYX2" s="100"/>
      <c r="UYY2" s="100"/>
      <c r="UYZ2" s="100"/>
      <c r="UZA2" s="100"/>
      <c r="UZB2" s="100"/>
      <c r="UZC2" s="100"/>
      <c r="UZD2" s="100"/>
      <c r="UZE2" s="100"/>
      <c r="UZF2" s="100"/>
      <c r="UZG2" s="100"/>
      <c r="UZH2" s="100"/>
      <c r="UZI2" s="100"/>
      <c r="UZJ2" s="100"/>
      <c r="UZK2" s="100"/>
      <c r="UZL2" s="100"/>
      <c r="UZM2" s="100"/>
      <c r="UZN2" s="100"/>
      <c r="UZO2" s="100"/>
      <c r="UZP2" s="100"/>
      <c r="UZQ2" s="100"/>
      <c r="UZR2" s="100"/>
      <c r="UZS2" s="100"/>
      <c r="UZT2" s="100"/>
      <c r="UZU2" s="100"/>
      <c r="UZV2" s="100"/>
      <c r="UZW2" s="100"/>
      <c r="UZX2" s="100"/>
      <c r="UZY2" s="100"/>
      <c r="UZZ2" s="100"/>
      <c r="VAA2" s="100"/>
      <c r="VAB2" s="100"/>
      <c r="VAC2" s="100"/>
      <c r="VAD2" s="100"/>
      <c r="VAE2" s="100"/>
      <c r="VAF2" s="100"/>
      <c r="VAG2" s="100"/>
      <c r="VAH2" s="100"/>
      <c r="VAI2" s="100"/>
      <c r="VAJ2" s="100"/>
      <c r="VAK2" s="100"/>
      <c r="VAL2" s="100"/>
      <c r="VAM2" s="100"/>
      <c r="VAN2" s="100"/>
      <c r="VAO2" s="100"/>
      <c r="VAP2" s="100"/>
      <c r="VAQ2" s="100"/>
      <c r="VAR2" s="100"/>
      <c r="VAS2" s="100"/>
      <c r="VAT2" s="100"/>
      <c r="VAU2" s="100"/>
      <c r="VAV2" s="100"/>
      <c r="VAW2" s="100"/>
      <c r="VAX2" s="100"/>
      <c r="VAY2" s="100"/>
      <c r="VAZ2" s="100"/>
      <c r="VBA2" s="100"/>
      <c r="VBB2" s="100"/>
      <c r="VBC2" s="100"/>
      <c r="VBD2" s="633"/>
      <c r="VBE2" s="100"/>
      <c r="VBF2" s="100"/>
      <c r="VBG2" s="100"/>
      <c r="VBH2" s="199"/>
      <c r="VBI2" s="200"/>
      <c r="VBJ2" s="201"/>
      <c r="VBK2" s="100"/>
      <c r="VBL2" s="100"/>
      <c r="VBM2" s="100"/>
      <c r="VBN2" s="100"/>
      <c r="VBO2" s="100"/>
      <c r="VBP2" s="100"/>
      <c r="VBQ2" s="100"/>
      <c r="VBR2" s="100"/>
      <c r="VBS2" s="100"/>
      <c r="VBT2" s="100"/>
      <c r="VBU2" s="100"/>
      <c r="VBV2" s="100"/>
      <c r="VBW2" s="100"/>
      <c r="VBX2" s="100"/>
      <c r="VBY2" s="100"/>
      <c r="VBZ2" s="100"/>
      <c r="VCA2" s="100"/>
      <c r="VCB2" s="100"/>
      <c r="VCC2" s="100"/>
      <c r="VCD2" s="100"/>
      <c r="VCE2" s="100"/>
      <c r="VCF2" s="100"/>
      <c r="VCG2" s="100"/>
      <c r="VCH2" s="100"/>
      <c r="VCI2" s="100"/>
      <c r="VCJ2" s="100"/>
      <c r="VCK2" s="100"/>
      <c r="VCL2" s="100"/>
      <c r="VCM2" s="100"/>
      <c r="VCN2" s="100"/>
      <c r="VCO2" s="100"/>
      <c r="VCP2" s="100"/>
      <c r="VCQ2" s="100"/>
      <c r="VCR2" s="100"/>
      <c r="VCS2" s="100"/>
      <c r="VCT2" s="100"/>
      <c r="VCU2" s="100"/>
      <c r="VCV2" s="100"/>
      <c r="VCW2" s="100"/>
      <c r="VCX2" s="100"/>
      <c r="VCY2" s="100"/>
      <c r="VCZ2" s="100"/>
      <c r="VDA2" s="100"/>
      <c r="VDB2" s="100"/>
      <c r="VDC2" s="100"/>
      <c r="VDD2" s="100"/>
      <c r="VDE2" s="100"/>
      <c r="VDF2" s="100"/>
      <c r="VDG2" s="100"/>
      <c r="VDH2" s="100"/>
      <c r="VDI2" s="100"/>
      <c r="VDJ2" s="100"/>
      <c r="VDK2" s="100"/>
      <c r="VDL2" s="100"/>
      <c r="VDM2" s="100"/>
      <c r="VDN2" s="100"/>
      <c r="VDO2" s="100"/>
      <c r="VDP2" s="100"/>
      <c r="VDQ2" s="100"/>
      <c r="VDR2" s="100"/>
      <c r="VDS2" s="633"/>
      <c r="VDT2" s="100"/>
      <c r="VDU2" s="100"/>
      <c r="VDV2" s="100"/>
      <c r="VDW2" s="199"/>
      <c r="VDX2" s="200"/>
      <c r="VDY2" s="201"/>
      <c r="VDZ2" s="100"/>
      <c r="VEA2" s="100"/>
      <c r="VEB2" s="100"/>
      <c r="VEC2" s="100"/>
      <c r="VED2" s="100"/>
      <c r="VEE2" s="100"/>
      <c r="VEF2" s="100"/>
      <c r="VEG2" s="100"/>
      <c r="VEH2" s="100"/>
      <c r="VEI2" s="100"/>
      <c r="VEJ2" s="100"/>
      <c r="VEK2" s="100"/>
      <c r="VEL2" s="100"/>
      <c r="VEM2" s="100"/>
      <c r="VEN2" s="100"/>
      <c r="VEO2" s="100"/>
      <c r="VEP2" s="100"/>
      <c r="VEQ2" s="100"/>
      <c r="VER2" s="100"/>
      <c r="VES2" s="100"/>
      <c r="VET2" s="100"/>
      <c r="VEU2" s="100"/>
      <c r="VEV2" s="100"/>
      <c r="VEW2" s="100"/>
      <c r="VEX2" s="100"/>
      <c r="VEY2" s="100"/>
      <c r="VEZ2" s="100"/>
      <c r="VFA2" s="100"/>
      <c r="VFB2" s="100"/>
      <c r="VFC2" s="100"/>
      <c r="VFD2" s="100"/>
      <c r="VFE2" s="100"/>
      <c r="VFF2" s="100"/>
      <c r="VFG2" s="100"/>
      <c r="VFH2" s="100"/>
      <c r="VFI2" s="100"/>
      <c r="VFJ2" s="100"/>
      <c r="VFK2" s="100"/>
      <c r="VFL2" s="100"/>
      <c r="VFM2" s="100"/>
      <c r="VFN2" s="100"/>
      <c r="VFO2" s="100"/>
      <c r="VFP2" s="100"/>
      <c r="VFQ2" s="100"/>
      <c r="VFR2" s="100"/>
      <c r="VFS2" s="100"/>
      <c r="VFT2" s="100"/>
      <c r="VFU2" s="100"/>
      <c r="VFV2" s="100"/>
      <c r="VFW2" s="100"/>
      <c r="VFX2" s="100"/>
      <c r="VFY2" s="100"/>
      <c r="VFZ2" s="100"/>
      <c r="VGA2" s="100"/>
      <c r="VGB2" s="100"/>
      <c r="VGC2" s="100"/>
      <c r="VGD2" s="100"/>
      <c r="VGE2" s="100"/>
      <c r="VGF2" s="100"/>
      <c r="VGG2" s="100"/>
      <c r="VGH2" s="633"/>
      <c r="VGI2" s="100"/>
      <c r="VGJ2" s="100"/>
      <c r="VGK2" s="100"/>
      <c r="VGL2" s="199"/>
      <c r="VGM2" s="200"/>
      <c r="VGN2" s="201"/>
      <c r="VGO2" s="100"/>
      <c r="VGP2" s="100"/>
      <c r="VGQ2" s="100"/>
      <c r="VGR2" s="100"/>
      <c r="VGS2" s="100"/>
      <c r="VGT2" s="100"/>
      <c r="VGU2" s="100"/>
      <c r="VGV2" s="100"/>
      <c r="VGW2" s="100"/>
      <c r="VGX2" s="100"/>
      <c r="VGY2" s="100"/>
      <c r="VGZ2" s="100"/>
      <c r="VHA2" s="100"/>
      <c r="VHB2" s="100"/>
      <c r="VHC2" s="100"/>
      <c r="VHD2" s="100"/>
      <c r="VHE2" s="100"/>
      <c r="VHF2" s="100"/>
      <c r="VHG2" s="100"/>
      <c r="VHH2" s="100"/>
      <c r="VHI2" s="100"/>
      <c r="VHJ2" s="100"/>
      <c r="VHK2" s="100"/>
      <c r="VHL2" s="100"/>
      <c r="VHM2" s="100"/>
      <c r="VHN2" s="100"/>
      <c r="VHO2" s="100"/>
      <c r="VHP2" s="100"/>
      <c r="VHQ2" s="100"/>
      <c r="VHR2" s="100"/>
      <c r="VHS2" s="100"/>
      <c r="VHT2" s="100"/>
      <c r="VHU2" s="100"/>
      <c r="VHV2" s="100"/>
      <c r="VHW2" s="100"/>
      <c r="VHX2" s="100"/>
      <c r="VHY2" s="100"/>
      <c r="VHZ2" s="100"/>
      <c r="VIA2" s="100"/>
      <c r="VIB2" s="100"/>
      <c r="VIC2" s="100"/>
      <c r="VID2" s="100"/>
      <c r="VIE2" s="100"/>
      <c r="VIF2" s="100"/>
      <c r="VIG2" s="100"/>
      <c r="VIH2" s="100"/>
      <c r="VII2" s="100"/>
      <c r="VIJ2" s="100"/>
      <c r="VIK2" s="100"/>
      <c r="VIL2" s="100"/>
      <c r="VIM2" s="100"/>
      <c r="VIN2" s="100"/>
      <c r="VIO2" s="100"/>
      <c r="VIP2" s="100"/>
      <c r="VIQ2" s="100"/>
      <c r="VIR2" s="100"/>
      <c r="VIS2" s="100"/>
      <c r="VIT2" s="100"/>
      <c r="VIU2" s="100"/>
      <c r="VIV2" s="100"/>
      <c r="VIW2" s="633"/>
      <c r="VIX2" s="100"/>
      <c r="VIY2" s="100"/>
      <c r="VIZ2" s="100"/>
      <c r="VJA2" s="199"/>
      <c r="VJB2" s="200"/>
      <c r="VJC2" s="201"/>
      <c r="VJD2" s="100"/>
      <c r="VJE2" s="100"/>
      <c r="VJF2" s="100"/>
      <c r="VJG2" s="100"/>
      <c r="VJH2" s="100"/>
      <c r="VJI2" s="100"/>
      <c r="VJJ2" s="100"/>
      <c r="VJK2" s="100"/>
      <c r="VJL2" s="100"/>
      <c r="VJM2" s="100"/>
      <c r="VJN2" s="100"/>
      <c r="VJO2" s="100"/>
      <c r="VJP2" s="100"/>
      <c r="VJQ2" s="100"/>
      <c r="VJR2" s="100"/>
      <c r="VJS2" s="100"/>
      <c r="VJT2" s="100"/>
      <c r="VJU2" s="100"/>
      <c r="VJV2" s="100"/>
      <c r="VJW2" s="100"/>
      <c r="VJX2" s="100"/>
      <c r="VJY2" s="100"/>
      <c r="VJZ2" s="100"/>
      <c r="VKA2" s="100"/>
      <c r="VKB2" s="100"/>
      <c r="VKC2" s="100"/>
      <c r="VKD2" s="100"/>
      <c r="VKE2" s="100"/>
      <c r="VKF2" s="100"/>
      <c r="VKG2" s="100"/>
      <c r="VKH2" s="100"/>
      <c r="VKI2" s="100"/>
      <c r="VKJ2" s="100"/>
      <c r="VKK2" s="100"/>
      <c r="VKL2" s="100"/>
      <c r="VKM2" s="100"/>
      <c r="VKN2" s="100"/>
      <c r="VKO2" s="100"/>
      <c r="VKP2" s="100"/>
      <c r="VKQ2" s="100"/>
      <c r="VKR2" s="100"/>
      <c r="VKS2" s="100"/>
      <c r="VKT2" s="100"/>
      <c r="VKU2" s="100"/>
      <c r="VKV2" s="100"/>
      <c r="VKW2" s="100"/>
      <c r="VKX2" s="100"/>
      <c r="VKY2" s="100"/>
      <c r="VKZ2" s="100"/>
      <c r="VLA2" s="100"/>
      <c r="VLB2" s="100"/>
      <c r="VLC2" s="100"/>
      <c r="VLD2" s="100"/>
      <c r="VLE2" s="100"/>
      <c r="VLF2" s="100"/>
      <c r="VLG2" s="100"/>
      <c r="VLH2" s="100"/>
      <c r="VLI2" s="100"/>
      <c r="VLJ2" s="100"/>
      <c r="VLK2" s="100"/>
      <c r="VLL2" s="633"/>
      <c r="VLM2" s="100"/>
      <c r="VLN2" s="100"/>
      <c r="VLO2" s="100"/>
      <c r="VLP2" s="199"/>
      <c r="VLQ2" s="200"/>
      <c r="VLR2" s="201"/>
      <c r="VLS2" s="100"/>
      <c r="VLT2" s="100"/>
      <c r="VLU2" s="100"/>
      <c r="VLV2" s="100"/>
      <c r="VLW2" s="100"/>
      <c r="VLX2" s="100"/>
      <c r="VLY2" s="100"/>
      <c r="VLZ2" s="100"/>
      <c r="VMA2" s="100"/>
      <c r="VMB2" s="100"/>
      <c r="VMC2" s="100"/>
      <c r="VMD2" s="100"/>
      <c r="VME2" s="100"/>
      <c r="VMF2" s="100"/>
      <c r="VMG2" s="100"/>
      <c r="VMH2" s="100"/>
      <c r="VMI2" s="100"/>
      <c r="VMJ2" s="100"/>
      <c r="VMK2" s="100"/>
      <c r="VML2" s="100"/>
      <c r="VMM2" s="100"/>
      <c r="VMN2" s="100"/>
      <c r="VMO2" s="100"/>
      <c r="VMP2" s="100"/>
      <c r="VMQ2" s="100"/>
      <c r="VMR2" s="100"/>
      <c r="VMS2" s="100"/>
      <c r="VMT2" s="100"/>
      <c r="VMU2" s="100"/>
      <c r="VMV2" s="100"/>
      <c r="VMW2" s="100"/>
      <c r="VMX2" s="100"/>
      <c r="VMY2" s="100"/>
      <c r="VMZ2" s="100"/>
      <c r="VNA2" s="100"/>
      <c r="VNB2" s="100"/>
      <c r="VNC2" s="100"/>
      <c r="VND2" s="100"/>
      <c r="VNE2" s="100"/>
      <c r="VNF2" s="100"/>
      <c r="VNG2" s="100"/>
      <c r="VNH2" s="100"/>
      <c r="VNI2" s="100"/>
      <c r="VNJ2" s="100"/>
      <c r="VNK2" s="100"/>
      <c r="VNL2" s="100"/>
      <c r="VNM2" s="100"/>
      <c r="VNN2" s="100"/>
      <c r="VNO2" s="100"/>
      <c r="VNP2" s="100"/>
      <c r="VNQ2" s="100"/>
      <c r="VNR2" s="100"/>
      <c r="VNS2" s="100"/>
      <c r="VNT2" s="100"/>
      <c r="VNU2" s="100"/>
      <c r="VNV2" s="100"/>
      <c r="VNW2" s="100"/>
      <c r="VNX2" s="100"/>
      <c r="VNY2" s="100"/>
      <c r="VNZ2" s="100"/>
      <c r="VOA2" s="633"/>
      <c r="VOB2" s="100"/>
      <c r="VOC2" s="100"/>
      <c r="VOD2" s="100"/>
      <c r="VOE2" s="199"/>
      <c r="VOF2" s="200"/>
      <c r="VOG2" s="201"/>
      <c r="VOH2" s="100"/>
      <c r="VOI2" s="100"/>
      <c r="VOJ2" s="100"/>
      <c r="VOK2" s="100"/>
      <c r="VOL2" s="100"/>
      <c r="VOM2" s="100"/>
      <c r="VON2" s="100"/>
      <c r="VOO2" s="100"/>
      <c r="VOP2" s="100"/>
      <c r="VOQ2" s="100"/>
      <c r="VOR2" s="100"/>
      <c r="VOS2" s="100"/>
      <c r="VOT2" s="100"/>
      <c r="VOU2" s="100"/>
      <c r="VOV2" s="100"/>
      <c r="VOW2" s="100"/>
      <c r="VOX2" s="100"/>
      <c r="VOY2" s="100"/>
      <c r="VOZ2" s="100"/>
      <c r="VPA2" s="100"/>
      <c r="VPB2" s="100"/>
      <c r="VPC2" s="100"/>
      <c r="VPD2" s="100"/>
      <c r="VPE2" s="100"/>
      <c r="VPF2" s="100"/>
      <c r="VPG2" s="100"/>
      <c r="VPH2" s="100"/>
      <c r="VPI2" s="100"/>
      <c r="VPJ2" s="100"/>
      <c r="VPK2" s="100"/>
      <c r="VPL2" s="100"/>
      <c r="VPM2" s="100"/>
      <c r="VPN2" s="100"/>
      <c r="VPO2" s="100"/>
      <c r="VPP2" s="100"/>
      <c r="VPQ2" s="100"/>
      <c r="VPR2" s="100"/>
      <c r="VPS2" s="100"/>
      <c r="VPT2" s="100"/>
      <c r="VPU2" s="100"/>
      <c r="VPV2" s="100"/>
      <c r="VPW2" s="100"/>
      <c r="VPX2" s="100"/>
      <c r="VPY2" s="100"/>
      <c r="VPZ2" s="100"/>
      <c r="VQA2" s="100"/>
      <c r="VQB2" s="100"/>
      <c r="VQC2" s="100"/>
      <c r="VQD2" s="100"/>
      <c r="VQE2" s="100"/>
      <c r="VQF2" s="100"/>
      <c r="VQG2" s="100"/>
      <c r="VQH2" s="100"/>
      <c r="VQI2" s="100"/>
      <c r="VQJ2" s="100"/>
      <c r="VQK2" s="100"/>
      <c r="VQL2" s="100"/>
      <c r="VQM2" s="100"/>
      <c r="VQN2" s="100"/>
      <c r="VQO2" s="100"/>
      <c r="VQP2" s="633"/>
      <c r="VQQ2" s="100"/>
      <c r="VQR2" s="100"/>
      <c r="VQS2" s="100"/>
      <c r="VQT2" s="199"/>
      <c r="VQU2" s="200"/>
      <c r="VQV2" s="201"/>
      <c r="VQW2" s="100"/>
      <c r="VQX2" s="100"/>
      <c r="VQY2" s="100"/>
      <c r="VQZ2" s="100"/>
      <c r="VRA2" s="100"/>
      <c r="VRB2" s="100"/>
      <c r="VRC2" s="100"/>
      <c r="VRD2" s="100"/>
      <c r="VRE2" s="100"/>
      <c r="VRF2" s="100"/>
      <c r="VRG2" s="100"/>
      <c r="VRH2" s="100"/>
      <c r="VRI2" s="100"/>
      <c r="VRJ2" s="100"/>
      <c r="VRK2" s="100"/>
      <c r="VRL2" s="100"/>
      <c r="VRM2" s="100"/>
      <c r="VRN2" s="100"/>
      <c r="VRO2" s="100"/>
      <c r="VRP2" s="100"/>
      <c r="VRQ2" s="100"/>
      <c r="VRR2" s="100"/>
      <c r="VRS2" s="100"/>
      <c r="VRT2" s="100"/>
      <c r="VRU2" s="100"/>
      <c r="VRV2" s="100"/>
      <c r="VRW2" s="100"/>
      <c r="VRX2" s="100"/>
      <c r="VRY2" s="100"/>
      <c r="VRZ2" s="100"/>
      <c r="VSA2" s="100"/>
      <c r="VSB2" s="100"/>
      <c r="VSC2" s="100"/>
      <c r="VSD2" s="100"/>
      <c r="VSE2" s="100"/>
      <c r="VSF2" s="100"/>
      <c r="VSG2" s="100"/>
      <c r="VSH2" s="100"/>
      <c r="VSI2" s="100"/>
      <c r="VSJ2" s="100"/>
      <c r="VSK2" s="100"/>
      <c r="VSL2" s="100"/>
      <c r="VSM2" s="100"/>
      <c r="VSN2" s="100"/>
      <c r="VSO2" s="100"/>
      <c r="VSP2" s="100"/>
      <c r="VSQ2" s="100"/>
      <c r="VSR2" s="100"/>
      <c r="VSS2" s="100"/>
      <c r="VST2" s="100"/>
      <c r="VSU2" s="100"/>
      <c r="VSV2" s="100"/>
      <c r="VSW2" s="100"/>
      <c r="VSX2" s="100"/>
      <c r="VSY2" s="100"/>
      <c r="VSZ2" s="100"/>
      <c r="VTA2" s="100"/>
      <c r="VTB2" s="100"/>
      <c r="VTC2" s="100"/>
      <c r="VTD2" s="100"/>
      <c r="VTE2" s="633"/>
      <c r="VTF2" s="100"/>
      <c r="VTG2" s="100"/>
      <c r="VTH2" s="100"/>
      <c r="VTI2" s="199"/>
      <c r="VTJ2" s="200"/>
      <c r="VTK2" s="201"/>
      <c r="VTL2" s="100"/>
      <c r="VTM2" s="100"/>
      <c r="VTN2" s="100"/>
      <c r="VTO2" s="100"/>
      <c r="VTP2" s="100"/>
      <c r="VTQ2" s="100"/>
      <c r="VTR2" s="100"/>
      <c r="VTS2" s="100"/>
      <c r="VTT2" s="100"/>
      <c r="VTU2" s="100"/>
      <c r="VTV2" s="100"/>
      <c r="VTW2" s="100"/>
      <c r="VTX2" s="100"/>
      <c r="VTY2" s="100"/>
      <c r="VTZ2" s="100"/>
      <c r="VUA2" s="100"/>
      <c r="VUB2" s="100"/>
      <c r="VUC2" s="100"/>
      <c r="VUD2" s="100"/>
      <c r="VUE2" s="100"/>
      <c r="VUF2" s="100"/>
      <c r="VUG2" s="100"/>
      <c r="VUH2" s="100"/>
      <c r="VUI2" s="100"/>
      <c r="VUJ2" s="100"/>
      <c r="VUK2" s="100"/>
      <c r="VUL2" s="100"/>
      <c r="VUM2" s="100"/>
      <c r="VUN2" s="100"/>
      <c r="VUO2" s="100"/>
      <c r="VUP2" s="100"/>
      <c r="VUQ2" s="100"/>
      <c r="VUR2" s="100"/>
      <c r="VUS2" s="100"/>
      <c r="VUT2" s="100"/>
      <c r="VUU2" s="100"/>
      <c r="VUV2" s="100"/>
      <c r="VUW2" s="100"/>
      <c r="VUX2" s="100"/>
      <c r="VUY2" s="100"/>
      <c r="VUZ2" s="100"/>
      <c r="VVA2" s="100"/>
      <c r="VVB2" s="100"/>
      <c r="VVC2" s="100"/>
      <c r="VVD2" s="100"/>
      <c r="VVE2" s="100"/>
      <c r="VVF2" s="100"/>
      <c r="VVG2" s="100"/>
      <c r="VVH2" s="100"/>
      <c r="VVI2" s="100"/>
      <c r="VVJ2" s="100"/>
      <c r="VVK2" s="100"/>
      <c r="VVL2" s="100"/>
      <c r="VVM2" s="100"/>
      <c r="VVN2" s="100"/>
      <c r="VVO2" s="100"/>
      <c r="VVP2" s="100"/>
      <c r="VVQ2" s="100"/>
      <c r="VVR2" s="100"/>
      <c r="VVS2" s="100"/>
      <c r="VVT2" s="633"/>
      <c r="VVU2" s="100"/>
      <c r="VVV2" s="100"/>
      <c r="VVW2" s="100"/>
      <c r="VVX2" s="199"/>
      <c r="VVY2" s="200"/>
      <c r="VVZ2" s="201"/>
      <c r="VWA2" s="100"/>
      <c r="VWB2" s="100"/>
      <c r="VWC2" s="100"/>
      <c r="VWD2" s="100"/>
      <c r="VWE2" s="100"/>
      <c r="VWF2" s="100"/>
      <c r="VWG2" s="100"/>
      <c r="VWH2" s="100"/>
      <c r="VWI2" s="100"/>
      <c r="VWJ2" s="100"/>
      <c r="VWK2" s="100"/>
      <c r="VWL2" s="100"/>
      <c r="VWM2" s="100"/>
      <c r="VWN2" s="100"/>
      <c r="VWO2" s="100"/>
      <c r="VWP2" s="100"/>
      <c r="VWQ2" s="100"/>
      <c r="VWR2" s="100"/>
      <c r="VWS2" s="100"/>
      <c r="VWT2" s="100"/>
      <c r="VWU2" s="100"/>
      <c r="VWV2" s="100"/>
      <c r="VWW2" s="100"/>
      <c r="VWX2" s="100"/>
      <c r="VWY2" s="100"/>
      <c r="VWZ2" s="100"/>
      <c r="VXA2" s="100"/>
      <c r="VXB2" s="100"/>
      <c r="VXC2" s="100"/>
      <c r="VXD2" s="100"/>
      <c r="VXE2" s="100"/>
      <c r="VXF2" s="100"/>
      <c r="VXG2" s="100"/>
      <c r="VXH2" s="100"/>
      <c r="VXI2" s="100"/>
      <c r="VXJ2" s="100"/>
      <c r="VXK2" s="100"/>
      <c r="VXL2" s="100"/>
      <c r="VXM2" s="100"/>
      <c r="VXN2" s="100"/>
      <c r="VXO2" s="100"/>
      <c r="VXP2" s="100"/>
      <c r="VXQ2" s="100"/>
      <c r="VXR2" s="100"/>
      <c r="VXS2" s="100"/>
      <c r="VXT2" s="100"/>
      <c r="VXU2" s="100"/>
      <c r="VXV2" s="100"/>
      <c r="VXW2" s="100"/>
      <c r="VXX2" s="100"/>
      <c r="VXY2" s="100"/>
      <c r="VXZ2" s="100"/>
      <c r="VYA2" s="100"/>
      <c r="VYB2" s="100"/>
      <c r="VYC2" s="100"/>
      <c r="VYD2" s="100"/>
      <c r="VYE2" s="100"/>
      <c r="VYF2" s="100"/>
      <c r="VYG2" s="100"/>
      <c r="VYH2" s="100"/>
      <c r="VYI2" s="633"/>
      <c r="VYJ2" s="100"/>
      <c r="VYK2" s="100"/>
      <c r="VYL2" s="100"/>
      <c r="VYM2" s="199"/>
      <c r="VYN2" s="200"/>
      <c r="VYO2" s="201"/>
      <c r="VYP2" s="100"/>
      <c r="VYQ2" s="100"/>
      <c r="VYR2" s="100"/>
      <c r="VYS2" s="100"/>
      <c r="VYT2" s="100"/>
      <c r="VYU2" s="100"/>
      <c r="VYV2" s="100"/>
      <c r="VYW2" s="100"/>
      <c r="VYX2" s="100"/>
      <c r="VYY2" s="100"/>
      <c r="VYZ2" s="100"/>
      <c r="VZA2" s="100"/>
      <c r="VZB2" s="100"/>
      <c r="VZC2" s="100"/>
      <c r="VZD2" s="100"/>
      <c r="VZE2" s="100"/>
      <c r="VZF2" s="100"/>
      <c r="VZG2" s="100"/>
      <c r="VZH2" s="100"/>
      <c r="VZI2" s="100"/>
      <c r="VZJ2" s="100"/>
      <c r="VZK2" s="100"/>
      <c r="VZL2" s="100"/>
      <c r="VZM2" s="100"/>
      <c r="VZN2" s="100"/>
      <c r="VZO2" s="100"/>
      <c r="VZP2" s="100"/>
      <c r="VZQ2" s="100"/>
      <c r="VZR2" s="100"/>
      <c r="VZS2" s="100"/>
      <c r="VZT2" s="100"/>
      <c r="VZU2" s="100"/>
      <c r="VZV2" s="100"/>
      <c r="VZW2" s="100"/>
      <c r="VZX2" s="100"/>
      <c r="VZY2" s="100"/>
      <c r="VZZ2" s="100"/>
      <c r="WAA2" s="100"/>
      <c r="WAB2" s="100"/>
      <c r="WAC2" s="100"/>
      <c r="WAD2" s="100"/>
      <c r="WAE2" s="100"/>
      <c r="WAF2" s="100"/>
      <c r="WAG2" s="100"/>
      <c r="WAH2" s="100"/>
      <c r="WAI2" s="100"/>
      <c r="WAJ2" s="100"/>
      <c r="WAK2" s="100"/>
      <c r="WAL2" s="100"/>
      <c r="WAM2" s="100"/>
      <c r="WAN2" s="100"/>
      <c r="WAO2" s="100"/>
      <c r="WAP2" s="100"/>
      <c r="WAQ2" s="100"/>
      <c r="WAR2" s="100"/>
      <c r="WAS2" s="100"/>
      <c r="WAT2" s="100"/>
      <c r="WAU2" s="100"/>
      <c r="WAV2" s="100"/>
      <c r="WAW2" s="100"/>
      <c r="WAX2" s="633"/>
      <c r="WAY2" s="100"/>
      <c r="WAZ2" s="100"/>
      <c r="WBA2" s="100"/>
      <c r="WBB2" s="199"/>
      <c r="WBC2" s="200"/>
      <c r="WBD2" s="201"/>
      <c r="WBE2" s="100"/>
      <c r="WBF2" s="100"/>
      <c r="WBG2" s="100"/>
      <c r="WBH2" s="100"/>
      <c r="WBI2" s="100"/>
      <c r="WBJ2" s="100"/>
      <c r="WBK2" s="100"/>
      <c r="WBL2" s="100"/>
      <c r="WBM2" s="100"/>
      <c r="WBN2" s="100"/>
      <c r="WBO2" s="100"/>
      <c r="WBP2" s="100"/>
      <c r="WBQ2" s="100"/>
      <c r="WBR2" s="100"/>
      <c r="WBS2" s="100"/>
      <c r="WBT2" s="100"/>
      <c r="WBU2" s="100"/>
      <c r="WBV2" s="100"/>
      <c r="WBW2" s="100"/>
      <c r="WBX2" s="100"/>
      <c r="WBY2" s="100"/>
      <c r="WBZ2" s="100"/>
      <c r="WCA2" s="100"/>
      <c r="WCB2" s="100"/>
      <c r="WCC2" s="100"/>
      <c r="WCD2" s="100"/>
      <c r="WCE2" s="100"/>
      <c r="WCF2" s="100"/>
      <c r="WCG2" s="100"/>
      <c r="WCH2" s="100"/>
      <c r="WCI2" s="100"/>
      <c r="WCJ2" s="100"/>
      <c r="WCK2" s="100"/>
      <c r="WCL2" s="100"/>
      <c r="WCM2" s="100"/>
      <c r="WCN2" s="100"/>
      <c r="WCO2" s="100"/>
      <c r="WCP2" s="100"/>
      <c r="WCQ2" s="100"/>
      <c r="WCR2" s="100"/>
      <c r="WCS2" s="100"/>
      <c r="WCT2" s="100"/>
      <c r="WCU2" s="100"/>
      <c r="WCV2" s="100"/>
      <c r="WCW2" s="100"/>
      <c r="WCX2" s="100"/>
      <c r="WCY2" s="100"/>
      <c r="WCZ2" s="100"/>
      <c r="WDA2" s="100"/>
      <c r="WDB2" s="100"/>
      <c r="WDC2" s="100"/>
      <c r="WDD2" s="100"/>
      <c r="WDE2" s="100"/>
      <c r="WDF2" s="100"/>
      <c r="WDG2" s="100"/>
      <c r="WDH2" s="100"/>
      <c r="WDI2" s="100"/>
      <c r="WDJ2" s="100"/>
      <c r="WDK2" s="100"/>
      <c r="WDL2" s="100"/>
      <c r="WDM2" s="633"/>
      <c r="WDN2" s="100"/>
      <c r="WDO2" s="100"/>
      <c r="WDP2" s="100"/>
      <c r="WDQ2" s="199"/>
      <c r="WDR2" s="200"/>
      <c r="WDS2" s="201"/>
      <c r="WDT2" s="100"/>
      <c r="WDU2" s="100"/>
      <c r="WDV2" s="100"/>
      <c r="WDW2" s="100"/>
      <c r="WDX2" s="100"/>
      <c r="WDY2" s="100"/>
      <c r="WDZ2" s="100"/>
      <c r="WEA2" s="100"/>
      <c r="WEB2" s="100"/>
      <c r="WEC2" s="100"/>
      <c r="WED2" s="100"/>
      <c r="WEE2" s="100"/>
      <c r="WEF2" s="100"/>
      <c r="WEG2" s="100"/>
      <c r="WEH2" s="100"/>
      <c r="WEI2" s="100"/>
      <c r="WEJ2" s="100"/>
      <c r="WEK2" s="100"/>
      <c r="WEL2" s="100"/>
      <c r="WEM2" s="100"/>
      <c r="WEN2" s="100"/>
      <c r="WEO2" s="100"/>
      <c r="WEP2" s="100"/>
      <c r="WEQ2" s="100"/>
      <c r="WER2" s="100"/>
      <c r="WES2" s="100"/>
      <c r="WET2" s="100"/>
      <c r="WEU2" s="100"/>
      <c r="WEV2" s="100"/>
      <c r="WEW2" s="100"/>
      <c r="WEX2" s="100"/>
      <c r="WEY2" s="100"/>
      <c r="WEZ2" s="100"/>
      <c r="WFA2" s="100"/>
      <c r="WFB2" s="100"/>
      <c r="WFC2" s="100"/>
      <c r="WFD2" s="100"/>
      <c r="WFE2" s="100"/>
      <c r="WFF2" s="100"/>
      <c r="WFG2" s="100"/>
      <c r="WFH2" s="100"/>
      <c r="WFI2" s="100"/>
      <c r="WFJ2" s="100"/>
      <c r="WFK2" s="100"/>
      <c r="WFL2" s="100"/>
      <c r="WFM2" s="100"/>
      <c r="WFN2" s="100"/>
      <c r="WFO2" s="100"/>
      <c r="WFP2" s="100"/>
      <c r="WFQ2" s="100"/>
      <c r="WFR2" s="100"/>
      <c r="WFS2" s="100"/>
      <c r="WFT2" s="100"/>
      <c r="WFU2" s="100"/>
      <c r="WFV2" s="100"/>
      <c r="WFW2" s="100"/>
      <c r="WFX2" s="100"/>
      <c r="WFY2" s="100"/>
      <c r="WFZ2" s="100"/>
      <c r="WGA2" s="100"/>
      <c r="WGB2" s="633"/>
      <c r="WGC2" s="100"/>
      <c r="WGD2" s="100"/>
      <c r="WGE2" s="100"/>
      <c r="WGF2" s="199"/>
      <c r="WGG2" s="200"/>
      <c r="WGH2" s="201"/>
      <c r="WGI2" s="100"/>
      <c r="WGJ2" s="100"/>
      <c r="WGK2" s="100"/>
      <c r="WGL2" s="100"/>
      <c r="WGM2" s="100"/>
      <c r="WGN2" s="100"/>
      <c r="WGO2" s="100"/>
      <c r="WGP2" s="100"/>
      <c r="WGQ2" s="100"/>
      <c r="WGR2" s="100"/>
      <c r="WGS2" s="100"/>
      <c r="WGT2" s="100"/>
      <c r="WGU2" s="100"/>
      <c r="WGV2" s="100"/>
      <c r="WGW2" s="100"/>
      <c r="WGX2" s="100"/>
      <c r="WGY2" s="100"/>
      <c r="WGZ2" s="100"/>
      <c r="WHA2" s="100"/>
      <c r="WHB2" s="100"/>
      <c r="WHC2" s="100"/>
      <c r="WHD2" s="100"/>
      <c r="WHE2" s="100"/>
      <c r="WHF2" s="100"/>
      <c r="WHG2" s="100"/>
      <c r="WHH2" s="100"/>
      <c r="WHI2" s="100"/>
      <c r="WHJ2" s="100"/>
      <c r="WHK2" s="100"/>
      <c r="WHL2" s="100"/>
      <c r="WHM2" s="100"/>
      <c r="WHN2" s="100"/>
      <c r="WHO2" s="100"/>
      <c r="WHP2" s="100"/>
      <c r="WHQ2" s="100"/>
      <c r="WHR2" s="100"/>
      <c r="WHS2" s="100"/>
      <c r="WHT2" s="100"/>
      <c r="WHU2" s="100"/>
      <c r="WHV2" s="100"/>
      <c r="WHW2" s="100"/>
      <c r="WHX2" s="100"/>
      <c r="WHY2" s="100"/>
      <c r="WHZ2" s="100"/>
      <c r="WIA2" s="100"/>
      <c r="WIB2" s="100"/>
      <c r="WIC2" s="100"/>
      <c r="WID2" s="100"/>
      <c r="WIE2" s="100"/>
      <c r="WIF2" s="100"/>
      <c r="WIG2" s="100"/>
      <c r="WIH2" s="100"/>
      <c r="WII2" s="100"/>
      <c r="WIJ2" s="100"/>
      <c r="WIK2" s="100"/>
      <c r="WIL2" s="100"/>
      <c r="WIM2" s="100"/>
      <c r="WIN2" s="100"/>
      <c r="WIO2" s="100"/>
      <c r="WIP2" s="100"/>
      <c r="WIQ2" s="633"/>
      <c r="WIR2" s="100"/>
      <c r="WIS2" s="100"/>
      <c r="WIT2" s="100"/>
      <c r="WIU2" s="199"/>
      <c r="WIV2" s="200"/>
      <c r="WIW2" s="201"/>
      <c r="WIX2" s="100"/>
      <c r="WIY2" s="100"/>
      <c r="WIZ2" s="100"/>
      <c r="WJA2" s="100"/>
      <c r="WJB2" s="100"/>
      <c r="WJC2" s="100"/>
      <c r="WJD2" s="100"/>
      <c r="WJE2" s="100"/>
      <c r="WJF2" s="100"/>
      <c r="WJG2" s="100"/>
      <c r="WJH2" s="100"/>
      <c r="WJI2" s="100"/>
      <c r="WJJ2" s="100"/>
      <c r="WJK2" s="100"/>
      <c r="WJL2" s="100"/>
      <c r="WJM2" s="100"/>
      <c r="WJN2" s="100"/>
      <c r="WJO2" s="100"/>
      <c r="WJP2" s="100"/>
      <c r="WJQ2" s="100"/>
      <c r="WJR2" s="100"/>
      <c r="WJS2" s="100"/>
      <c r="WJT2" s="100"/>
      <c r="WJU2" s="100"/>
      <c r="WJV2" s="100"/>
      <c r="WJW2" s="100"/>
      <c r="WJX2" s="100"/>
      <c r="WJY2" s="100"/>
      <c r="WJZ2" s="100"/>
      <c r="WKA2" s="100"/>
      <c r="WKB2" s="100"/>
      <c r="WKC2" s="100"/>
      <c r="WKD2" s="100"/>
      <c r="WKE2" s="100"/>
      <c r="WKF2" s="100"/>
      <c r="WKG2" s="100"/>
      <c r="WKH2" s="100"/>
      <c r="WKI2" s="100"/>
      <c r="WKJ2" s="100"/>
      <c r="WKK2" s="100"/>
      <c r="WKL2" s="100"/>
      <c r="WKM2" s="100"/>
      <c r="WKN2" s="100"/>
      <c r="WKO2" s="100"/>
      <c r="WKP2" s="100"/>
      <c r="WKQ2" s="100"/>
      <c r="WKR2" s="100"/>
      <c r="WKS2" s="100"/>
      <c r="WKT2" s="100"/>
      <c r="WKU2" s="100"/>
      <c r="WKV2" s="100"/>
      <c r="WKW2" s="100"/>
      <c r="WKX2" s="100"/>
      <c r="WKY2" s="100"/>
      <c r="WKZ2" s="100"/>
      <c r="WLA2" s="100"/>
      <c r="WLB2" s="100"/>
      <c r="WLC2" s="100"/>
      <c r="WLD2" s="100"/>
      <c r="WLE2" s="100"/>
      <c r="WLF2" s="633"/>
      <c r="WLG2" s="100"/>
      <c r="WLH2" s="100"/>
      <c r="WLI2" s="100"/>
      <c r="WLJ2" s="199"/>
      <c r="WLK2" s="200"/>
      <c r="WLL2" s="201"/>
      <c r="WLM2" s="100"/>
      <c r="WLN2" s="100"/>
      <c r="WLO2" s="100"/>
      <c r="WLP2" s="100"/>
      <c r="WLQ2" s="100"/>
      <c r="WLR2" s="100"/>
      <c r="WLS2" s="100"/>
      <c r="WLT2" s="100"/>
      <c r="WLU2" s="100"/>
      <c r="WLV2" s="100"/>
      <c r="WLW2" s="100"/>
      <c r="WLX2" s="100"/>
      <c r="WLY2" s="100"/>
      <c r="WLZ2" s="100"/>
      <c r="WMA2" s="100"/>
      <c r="WMB2" s="100"/>
      <c r="WMC2" s="100"/>
      <c r="WMD2" s="100"/>
      <c r="WME2" s="100"/>
      <c r="WMF2" s="100"/>
      <c r="WMG2" s="100"/>
      <c r="WMH2" s="100"/>
      <c r="WMI2" s="100"/>
      <c r="WMJ2" s="100"/>
      <c r="WMK2" s="100"/>
      <c r="WML2" s="100"/>
      <c r="WMM2" s="100"/>
      <c r="WMN2" s="100"/>
      <c r="WMO2" s="100"/>
      <c r="WMP2" s="100"/>
      <c r="WMQ2" s="100"/>
      <c r="WMR2" s="100"/>
      <c r="WMS2" s="100"/>
      <c r="WMT2" s="100"/>
      <c r="WMU2" s="100"/>
      <c r="WMV2" s="100"/>
      <c r="WMW2" s="100"/>
      <c r="WMX2" s="100"/>
      <c r="WMY2" s="100"/>
      <c r="WMZ2" s="100"/>
      <c r="WNA2" s="100"/>
      <c r="WNB2" s="100"/>
      <c r="WNC2" s="100"/>
      <c r="WND2" s="100"/>
      <c r="WNE2" s="100"/>
      <c r="WNF2" s="100"/>
      <c r="WNG2" s="100"/>
      <c r="WNH2" s="100"/>
      <c r="WNI2" s="100"/>
      <c r="WNJ2" s="100"/>
      <c r="WNK2" s="100"/>
      <c r="WNL2" s="100"/>
      <c r="WNM2" s="100"/>
      <c r="WNN2" s="100"/>
      <c r="WNO2" s="100"/>
      <c r="WNP2" s="100"/>
      <c r="WNQ2" s="100"/>
      <c r="WNR2" s="100"/>
      <c r="WNS2" s="100"/>
      <c r="WNT2" s="100"/>
      <c r="WNU2" s="633"/>
      <c r="WNV2" s="100"/>
      <c r="WNW2" s="100"/>
      <c r="WNX2" s="100"/>
      <c r="WNY2" s="199"/>
      <c r="WNZ2" s="200"/>
      <c r="WOA2" s="201"/>
      <c r="WOB2" s="100"/>
      <c r="WOC2" s="100"/>
      <c r="WOD2" s="100"/>
      <c r="WOE2" s="100"/>
      <c r="WOF2" s="100"/>
      <c r="WOG2" s="100"/>
      <c r="WOH2" s="100"/>
      <c r="WOI2" s="100"/>
      <c r="WOJ2" s="100"/>
      <c r="WOK2" s="100"/>
      <c r="WOL2" s="100"/>
      <c r="WOM2" s="100"/>
      <c r="WON2" s="100"/>
      <c r="WOO2" s="100"/>
      <c r="WOP2" s="100"/>
      <c r="WOQ2" s="100"/>
      <c r="WOR2" s="100"/>
      <c r="WOS2" s="100"/>
      <c r="WOT2" s="100"/>
      <c r="WOU2" s="100"/>
      <c r="WOV2" s="100"/>
      <c r="WOW2" s="100"/>
      <c r="WOX2" s="100"/>
      <c r="WOY2" s="100"/>
      <c r="WOZ2" s="100"/>
      <c r="WPA2" s="100"/>
      <c r="WPB2" s="100"/>
      <c r="WPC2" s="100"/>
      <c r="WPD2" s="100"/>
      <c r="WPE2" s="100"/>
      <c r="WPF2" s="100"/>
      <c r="WPG2" s="100"/>
      <c r="WPH2" s="100"/>
      <c r="WPI2" s="100"/>
      <c r="WPJ2" s="100"/>
      <c r="WPK2" s="100"/>
      <c r="WPL2" s="100"/>
      <c r="WPM2" s="100"/>
      <c r="WPN2" s="100"/>
      <c r="WPO2" s="100"/>
      <c r="WPP2" s="100"/>
      <c r="WPQ2" s="100"/>
      <c r="WPR2" s="100"/>
      <c r="WPS2" s="100"/>
      <c r="WPT2" s="100"/>
      <c r="WPU2" s="100"/>
      <c r="WPV2" s="100"/>
      <c r="WPW2" s="100"/>
      <c r="WPX2" s="100"/>
      <c r="WPY2" s="100"/>
      <c r="WPZ2" s="100"/>
      <c r="WQA2" s="100"/>
      <c r="WQB2" s="100"/>
      <c r="WQC2" s="100"/>
      <c r="WQD2" s="100"/>
      <c r="WQE2" s="100"/>
      <c r="WQF2" s="100"/>
      <c r="WQG2" s="100"/>
      <c r="WQH2" s="100"/>
      <c r="WQI2" s="100"/>
      <c r="WQJ2" s="633"/>
      <c r="WQK2" s="100"/>
      <c r="WQL2" s="100"/>
      <c r="WQM2" s="100"/>
      <c r="WQN2" s="199"/>
      <c r="WQO2" s="200"/>
      <c r="WQP2" s="201"/>
      <c r="WQQ2" s="100"/>
      <c r="WQR2" s="100"/>
      <c r="WQS2" s="100"/>
      <c r="WQT2" s="100"/>
      <c r="WQU2" s="100"/>
      <c r="WQV2" s="100"/>
      <c r="WQW2" s="100"/>
      <c r="WQX2" s="100"/>
      <c r="WQY2" s="100"/>
      <c r="WQZ2" s="100"/>
      <c r="WRA2" s="100"/>
      <c r="WRB2" s="100"/>
      <c r="WRC2" s="100"/>
      <c r="WRD2" s="100"/>
      <c r="WRE2" s="100"/>
      <c r="WRF2" s="100"/>
      <c r="WRG2" s="100"/>
      <c r="WRH2" s="100"/>
      <c r="WRI2" s="100"/>
      <c r="WRJ2" s="100"/>
      <c r="WRK2" s="100"/>
      <c r="WRL2" s="100"/>
      <c r="WRM2" s="100"/>
      <c r="WRN2" s="100"/>
      <c r="WRO2" s="100"/>
      <c r="WRP2" s="100"/>
      <c r="WRQ2" s="100"/>
      <c r="WRR2" s="100"/>
      <c r="WRS2" s="100"/>
      <c r="WRT2" s="100"/>
      <c r="WRU2" s="100"/>
      <c r="WRV2" s="100"/>
      <c r="WRW2" s="100"/>
      <c r="WRX2" s="100"/>
      <c r="WRY2" s="100"/>
      <c r="WRZ2" s="100"/>
      <c r="WSA2" s="100"/>
      <c r="WSB2" s="100"/>
      <c r="WSC2" s="100"/>
      <c r="WSD2" s="100"/>
      <c r="WSE2" s="100"/>
      <c r="WSF2" s="100"/>
      <c r="WSG2" s="100"/>
      <c r="WSH2" s="100"/>
      <c r="WSI2" s="100"/>
      <c r="WSJ2" s="100"/>
      <c r="WSK2" s="100"/>
      <c r="WSL2" s="100"/>
      <c r="WSM2" s="100"/>
      <c r="WSN2" s="100"/>
      <c r="WSO2" s="100"/>
      <c r="WSP2" s="100"/>
      <c r="WSQ2" s="100"/>
      <c r="WSR2" s="100"/>
      <c r="WSS2" s="100"/>
      <c r="WST2" s="100"/>
      <c r="WSU2" s="100"/>
      <c r="WSV2" s="100"/>
      <c r="WSW2" s="100"/>
      <c r="WSX2" s="100"/>
      <c r="WSY2" s="633"/>
      <c r="WSZ2" s="100"/>
      <c r="WTA2" s="100"/>
      <c r="WTB2" s="100"/>
      <c r="WTC2" s="199"/>
      <c r="WTD2" s="200"/>
      <c r="WTE2" s="201"/>
      <c r="WTF2" s="100"/>
      <c r="WTG2" s="100"/>
      <c r="WTH2" s="100"/>
      <c r="WTI2" s="100"/>
      <c r="WTJ2" s="100"/>
      <c r="WTK2" s="100"/>
      <c r="WTL2" s="100"/>
      <c r="WTM2" s="100"/>
      <c r="WTN2" s="100"/>
      <c r="WTO2" s="100"/>
      <c r="WTP2" s="100"/>
      <c r="WTQ2" s="100"/>
      <c r="WTR2" s="100"/>
      <c r="WTS2" s="100"/>
      <c r="WTT2" s="100"/>
      <c r="WTU2" s="100"/>
      <c r="WTV2" s="100"/>
      <c r="WTW2" s="100"/>
      <c r="WTX2" s="100"/>
      <c r="WTY2" s="100"/>
      <c r="WTZ2" s="100"/>
      <c r="WUA2" s="100"/>
      <c r="WUB2" s="100"/>
      <c r="WUC2" s="100"/>
      <c r="WUD2" s="100"/>
      <c r="WUE2" s="100"/>
      <c r="WUF2" s="100"/>
      <c r="WUG2" s="100"/>
      <c r="WUH2" s="100"/>
      <c r="WUI2" s="100"/>
      <c r="WUJ2" s="100"/>
      <c r="WUK2" s="100"/>
      <c r="WUL2" s="100"/>
      <c r="WUM2" s="100"/>
      <c r="WUN2" s="100"/>
      <c r="WUO2" s="100"/>
      <c r="WUP2" s="100"/>
      <c r="WUQ2" s="100"/>
      <c r="WUR2" s="100"/>
      <c r="WUS2" s="100"/>
      <c r="WUT2" s="100"/>
      <c r="WUU2" s="100"/>
      <c r="WUV2" s="100"/>
      <c r="WUW2" s="100"/>
      <c r="WUX2" s="100"/>
      <c r="WUY2" s="100"/>
      <c r="WUZ2" s="100"/>
      <c r="WVA2" s="100"/>
      <c r="WVB2" s="100"/>
      <c r="WVC2" s="100"/>
      <c r="WVD2" s="100"/>
      <c r="WVE2" s="100"/>
      <c r="WVF2" s="100"/>
      <c r="WVG2" s="100"/>
      <c r="WVH2" s="100"/>
      <c r="WVI2" s="100"/>
      <c r="WVJ2" s="100"/>
      <c r="WVK2" s="100"/>
      <c r="WVL2" s="100"/>
      <c r="WVM2" s="100"/>
      <c r="WVN2" s="633"/>
      <c r="WVO2" s="100"/>
      <c r="WVP2" s="100"/>
      <c r="WVQ2" s="100"/>
      <c r="WVR2" s="199"/>
      <c r="WVS2" s="200"/>
      <c r="WVT2" s="201"/>
      <c r="WVU2" s="100"/>
      <c r="WVV2" s="100"/>
      <c r="WVW2" s="100"/>
      <c r="WVX2" s="100"/>
      <c r="WVY2" s="100"/>
      <c r="WVZ2" s="100"/>
      <c r="WWA2" s="100"/>
      <c r="WWB2" s="100"/>
      <c r="WWC2" s="100"/>
      <c r="WWD2" s="100"/>
      <c r="WWE2" s="100"/>
      <c r="WWF2" s="100"/>
      <c r="WWG2" s="100"/>
      <c r="WWH2" s="100"/>
      <c r="WWI2" s="100"/>
      <c r="WWJ2" s="100"/>
      <c r="WWK2" s="100"/>
      <c r="WWL2" s="100"/>
      <c r="WWM2" s="100"/>
      <c r="WWN2" s="100"/>
      <c r="WWO2" s="100"/>
      <c r="WWP2" s="100"/>
      <c r="WWQ2" s="100"/>
      <c r="WWR2" s="100"/>
      <c r="WWS2" s="100"/>
      <c r="WWT2" s="100"/>
      <c r="WWU2" s="100"/>
      <c r="WWV2" s="100"/>
      <c r="WWW2" s="100"/>
      <c r="WWX2" s="100"/>
      <c r="WWY2" s="100"/>
      <c r="WWZ2" s="100"/>
      <c r="WXA2" s="100"/>
      <c r="WXB2" s="100"/>
      <c r="WXC2" s="100"/>
      <c r="WXD2" s="100"/>
      <c r="WXE2" s="100"/>
      <c r="WXF2" s="100"/>
      <c r="WXG2" s="100"/>
      <c r="WXH2" s="100"/>
      <c r="WXI2" s="100"/>
      <c r="WXJ2" s="100"/>
      <c r="WXK2" s="100"/>
      <c r="WXL2" s="100"/>
      <c r="WXM2" s="100"/>
      <c r="WXN2" s="100"/>
      <c r="WXO2" s="100"/>
      <c r="WXP2" s="100"/>
      <c r="WXQ2" s="100"/>
      <c r="WXR2" s="100"/>
      <c r="WXS2" s="100"/>
      <c r="WXT2" s="100"/>
      <c r="WXU2" s="100"/>
      <c r="WXV2" s="100"/>
      <c r="WXW2" s="100"/>
      <c r="WXX2" s="100"/>
      <c r="WXY2" s="100"/>
      <c r="WXZ2" s="100"/>
      <c r="WYA2" s="100"/>
      <c r="WYB2" s="100"/>
      <c r="WYC2" s="633"/>
      <c r="WYD2" s="100"/>
      <c r="WYE2" s="100"/>
      <c r="WYF2" s="100"/>
      <c r="WYG2" s="199"/>
      <c r="WYH2" s="200"/>
      <c r="WYI2" s="201"/>
      <c r="WYJ2" s="100"/>
      <c r="WYK2" s="100"/>
      <c r="WYL2" s="100"/>
      <c r="WYM2" s="100"/>
      <c r="WYN2" s="100"/>
      <c r="WYO2" s="100"/>
      <c r="WYP2" s="100"/>
      <c r="WYQ2" s="100"/>
      <c r="WYR2" s="100"/>
      <c r="WYS2" s="100"/>
      <c r="WYT2" s="100"/>
      <c r="WYU2" s="100"/>
      <c r="WYV2" s="100"/>
      <c r="WYW2" s="100"/>
      <c r="WYX2" s="100"/>
      <c r="WYY2" s="100"/>
      <c r="WYZ2" s="100"/>
      <c r="WZA2" s="100"/>
      <c r="WZB2" s="100"/>
      <c r="WZC2" s="100"/>
      <c r="WZD2" s="100"/>
      <c r="WZE2" s="100"/>
      <c r="WZF2" s="100"/>
      <c r="WZG2" s="100"/>
      <c r="WZH2" s="100"/>
      <c r="WZI2" s="100"/>
      <c r="WZJ2" s="100"/>
      <c r="WZK2" s="100"/>
      <c r="WZL2" s="100"/>
      <c r="WZM2" s="100"/>
      <c r="WZN2" s="100"/>
      <c r="WZO2" s="100"/>
      <c r="WZP2" s="100"/>
      <c r="WZQ2" s="100"/>
      <c r="WZR2" s="100"/>
      <c r="WZS2" s="100"/>
      <c r="WZT2" s="100"/>
      <c r="WZU2" s="100"/>
      <c r="WZV2" s="100"/>
      <c r="WZW2" s="100"/>
      <c r="WZX2" s="100"/>
      <c r="WZY2" s="100"/>
      <c r="WZZ2" s="100"/>
      <c r="XAA2" s="100"/>
      <c r="XAB2" s="100"/>
      <c r="XAC2" s="100"/>
      <c r="XAD2" s="100"/>
      <c r="XAE2" s="100"/>
      <c r="XAF2" s="100"/>
      <c r="XAG2" s="100"/>
      <c r="XAH2" s="100"/>
      <c r="XAI2" s="100"/>
      <c r="XAJ2" s="100"/>
      <c r="XAK2" s="100"/>
      <c r="XAL2" s="100"/>
      <c r="XAM2" s="100"/>
      <c r="XAN2" s="100"/>
      <c r="XAO2" s="100"/>
      <c r="XAP2" s="100"/>
      <c r="XAQ2" s="100"/>
      <c r="XAR2" s="633"/>
      <c r="XAS2" s="100"/>
      <c r="XAT2" s="100"/>
      <c r="XAU2" s="100"/>
      <c r="XAV2" s="199"/>
      <c r="XAW2" s="200"/>
      <c r="XAX2" s="201"/>
      <c r="XAY2" s="100"/>
      <c r="XAZ2" s="100"/>
      <c r="XBA2" s="100"/>
      <c r="XBB2" s="100"/>
      <c r="XBC2" s="100"/>
      <c r="XBD2" s="100"/>
      <c r="XBE2" s="100"/>
      <c r="XBF2" s="100"/>
      <c r="XBG2" s="100"/>
      <c r="XBH2" s="100"/>
      <c r="XBI2" s="100"/>
      <c r="XBJ2" s="100"/>
      <c r="XBK2" s="100"/>
      <c r="XBL2" s="100"/>
      <c r="XBM2" s="100"/>
      <c r="XBN2" s="100"/>
      <c r="XBO2" s="100"/>
      <c r="XBP2" s="100"/>
      <c r="XBQ2" s="100"/>
      <c r="XBR2" s="100"/>
      <c r="XBS2" s="100"/>
      <c r="XBT2" s="100"/>
      <c r="XBU2" s="100"/>
      <c r="XBV2" s="100"/>
      <c r="XBW2" s="100"/>
      <c r="XBX2" s="100"/>
      <c r="XBY2" s="100"/>
      <c r="XBZ2" s="100"/>
      <c r="XCA2" s="100"/>
      <c r="XCB2" s="100"/>
      <c r="XCC2" s="100"/>
      <c r="XCD2" s="100"/>
      <c r="XCE2" s="100"/>
      <c r="XCF2" s="100"/>
      <c r="XCG2" s="100"/>
      <c r="XCH2" s="100"/>
      <c r="XCI2" s="100"/>
      <c r="XCJ2" s="100"/>
      <c r="XCK2" s="100"/>
      <c r="XCL2" s="100"/>
      <c r="XCM2" s="100"/>
      <c r="XCN2" s="100"/>
      <c r="XCO2" s="100"/>
      <c r="XCP2" s="100"/>
      <c r="XCQ2" s="100"/>
      <c r="XCR2" s="100"/>
      <c r="XCS2" s="100"/>
      <c r="XCT2" s="100"/>
      <c r="XCU2" s="100"/>
      <c r="XCV2" s="100"/>
      <c r="XCW2" s="100"/>
      <c r="XCX2" s="100"/>
      <c r="XCY2" s="100"/>
      <c r="XCZ2" s="100"/>
      <c r="XDA2" s="100"/>
      <c r="XDB2" s="100"/>
      <c r="XDC2" s="100"/>
      <c r="XDD2" s="100"/>
      <c r="XDE2" s="100"/>
      <c r="XDF2" s="100"/>
      <c r="XDG2" s="633"/>
      <c r="XDH2" s="100"/>
      <c r="XDI2" s="100"/>
      <c r="XDJ2" s="100"/>
      <c r="XDK2" s="199"/>
      <c r="XDL2" s="200"/>
      <c r="XDM2" s="201"/>
      <c r="XDN2" s="100"/>
      <c r="XDO2" s="100"/>
      <c r="XDP2" s="100"/>
      <c r="XDQ2" s="100"/>
      <c r="XDR2" s="100"/>
      <c r="XDS2" s="100"/>
      <c r="XDT2" s="100"/>
      <c r="XDU2" s="100"/>
      <c r="XDV2" s="100"/>
      <c r="XDW2" s="100"/>
      <c r="XDX2" s="100"/>
      <c r="XDY2" s="100"/>
      <c r="XDZ2" s="100"/>
      <c r="XEA2" s="100"/>
      <c r="XEB2" s="100"/>
      <c r="XEC2" s="100"/>
      <c r="XED2" s="100"/>
      <c r="XEE2" s="100"/>
      <c r="XEF2" s="100"/>
      <c r="XEG2" s="100"/>
      <c r="XEH2" s="100"/>
      <c r="XEI2" s="100"/>
      <c r="XEJ2" s="100"/>
      <c r="XEK2" s="100"/>
      <c r="XEL2" s="100"/>
      <c r="XEM2" s="100"/>
      <c r="XEN2" s="100"/>
      <c r="XEO2" s="100"/>
      <c r="XEP2" s="100"/>
    </row>
    <row r="3" spans="1:16370" ht="35.25" customHeight="1">
      <c r="B3" s="150"/>
      <c r="D3" s="252"/>
      <c r="H3" s="1623"/>
      <c r="I3" s="1626" t="s">
        <v>1207</v>
      </c>
      <c r="J3" s="1624" t="s">
        <v>1208</v>
      </c>
      <c r="K3" s="1621" t="s">
        <v>1209</v>
      </c>
      <c r="L3" s="1621" t="s">
        <v>1210</v>
      </c>
      <c r="Q3" s="46"/>
      <c r="R3" s="44"/>
      <c r="S3" s="44"/>
      <c r="T3" s="44"/>
      <c r="U3" s="44"/>
      <c r="V3" s="44"/>
      <c r="W3" s="44"/>
      <c r="X3" s="44"/>
      <c r="Y3" s="44"/>
      <c r="Z3" s="44"/>
      <c r="AA3" s="44"/>
      <c r="AB3" s="44"/>
      <c r="AC3" s="44"/>
      <c r="AD3" s="44"/>
      <c r="AE3" s="44"/>
      <c r="AF3" s="44"/>
      <c r="AG3" s="44"/>
      <c r="AH3" s="44"/>
      <c r="AI3" s="44"/>
      <c r="AJ3" s="44"/>
      <c r="AK3" s="1495"/>
    </row>
    <row r="4" spans="1:16370" ht="15.75">
      <c r="C4" s="253" t="str">
        <f>IF(E41&gt;E26,"NOTE: USES EXCEED SOURCES","")</f>
        <v/>
      </c>
      <c r="G4" s="254"/>
      <c r="H4" s="1625" t="s">
        <v>1211</v>
      </c>
      <c r="I4" s="1622">
        <f>IF(ISERROR(('04_1_Pro Forma'!$C$30/$K$5)/(12*PMT($D$9/12,$E$9*12,-1))),0,('04_1_Pro Forma'!$C$30/$K$5)/(12*PMT($D$9/12,$E$9*12,-1)))</f>
        <v>0</v>
      </c>
      <c r="J4" s="1633">
        <f>IFERROR('06_2_Credit Committee'!G27*J5,0)</f>
        <v>0</v>
      </c>
      <c r="K4" s="1622">
        <f>IF(ISERROR(('04_1_Pro Forma'!Q30/$E$9)/(12*PMT(D9/12,E9*12,-1))),0,('04_1_Pro Forma'!Q30/$H$9)/(12*PMT(D9/12,E9*12,-1)))</f>
        <v>0</v>
      </c>
      <c r="L4" s="1635">
        <f>MIN(I4,J4,K4)</f>
        <v>0</v>
      </c>
      <c r="Q4" s="46"/>
      <c r="R4" s="44"/>
      <c r="S4" s="44"/>
      <c r="T4" s="44"/>
      <c r="U4" s="44"/>
      <c r="V4" s="44"/>
      <c r="W4" s="44"/>
      <c r="X4" s="44"/>
      <c r="Y4" s="44"/>
      <c r="Z4" s="44"/>
      <c r="AA4" s="44"/>
      <c r="AB4" s="44"/>
      <c r="AC4" s="44"/>
      <c r="AD4" s="44"/>
      <c r="AE4" s="44"/>
      <c r="AF4" s="44"/>
      <c r="AG4" s="44"/>
      <c r="AH4" s="44"/>
      <c r="AI4" s="44"/>
      <c r="AJ4" s="44"/>
      <c r="AK4" s="1495"/>
    </row>
    <row r="5" spans="1:16370" ht="15.75">
      <c r="G5" s="254"/>
      <c r="H5" s="1625" t="s">
        <v>1212</v>
      </c>
      <c r="I5" s="1634">
        <f>IFERROR(IF(F46&gt;F45,F46-F45,0),0)</f>
        <v>0</v>
      </c>
      <c r="J5" s="1673">
        <v>0.9</v>
      </c>
      <c r="K5" s="1627">
        <f>H9</f>
        <v>0</v>
      </c>
      <c r="L5" s="254"/>
      <c r="Q5" s="46"/>
      <c r="R5" s="44"/>
      <c r="S5" s="44"/>
      <c r="T5" s="44"/>
      <c r="U5" s="44"/>
      <c r="V5" s="44"/>
      <c r="W5" s="44"/>
      <c r="X5" s="44"/>
      <c r="Y5" s="44"/>
      <c r="Z5" s="44"/>
      <c r="AA5" s="44"/>
      <c r="AB5" s="44"/>
      <c r="AC5" s="44"/>
      <c r="AD5" s="44"/>
      <c r="AE5" s="44"/>
      <c r="AF5" s="44"/>
      <c r="AG5" s="44"/>
      <c r="AH5" s="44"/>
      <c r="AI5" s="44"/>
      <c r="AJ5" s="44"/>
      <c r="AK5" s="1495"/>
    </row>
    <row r="6" spans="1:16370" ht="15.75">
      <c r="G6" s="254"/>
      <c r="H6" s="1625" t="s">
        <v>1213</v>
      </c>
      <c r="I6" s="1635">
        <f>IFERROR(IF(F45&gt;F46,F45-F46,0),0)</f>
        <v>0</v>
      </c>
      <c r="K6" s="30"/>
      <c r="L6" s="254"/>
      <c r="Q6" s="46"/>
      <c r="R6" s="44"/>
      <c r="S6" s="44"/>
      <c r="T6" s="44"/>
      <c r="U6" s="44"/>
      <c r="V6" s="44"/>
      <c r="W6" s="44"/>
      <c r="X6" s="44"/>
      <c r="Y6" s="44"/>
      <c r="Z6" s="44"/>
      <c r="AA6" s="44"/>
      <c r="AB6" s="44"/>
      <c r="AC6" s="44"/>
      <c r="AD6" s="44"/>
      <c r="AE6" s="44"/>
      <c r="AF6" s="44"/>
      <c r="AG6" s="44"/>
      <c r="AH6" s="44"/>
      <c r="AI6" s="44"/>
      <c r="AJ6" s="44"/>
      <c r="AK6" s="1495"/>
    </row>
    <row r="7" spans="1:16370" ht="16.5" customHeight="1" thickBot="1">
      <c r="B7" s="10"/>
      <c r="F7" s="738"/>
      <c r="G7" s="738"/>
      <c r="H7" s="738"/>
      <c r="I7" s="738"/>
      <c r="K7" s="30"/>
      <c r="L7" s="30"/>
      <c r="N7" s="357" t="str">
        <f>IF(G10="Cash Flow","The 2nd Mortgage Type Selected is a Cash Flow Mortgage","The 2nd Mortgage Type Selected is Standard Amortizing")</f>
        <v>The 2nd Mortgage Type Selected is Standard Amortizing</v>
      </c>
      <c r="O7" s="30"/>
      <c r="P7" s="30"/>
      <c r="Q7" s="46"/>
      <c r="R7" s="44"/>
      <c r="S7" s="44"/>
      <c r="T7" s="44"/>
      <c r="U7" s="44"/>
      <c r="V7" s="44"/>
      <c r="W7" s="44"/>
      <c r="X7" s="44"/>
      <c r="Y7" s="44"/>
      <c r="Z7" s="44"/>
      <c r="AA7" s="44"/>
      <c r="AB7" s="44"/>
      <c r="AC7" s="44"/>
      <c r="AD7" s="44"/>
      <c r="AE7" s="44"/>
      <c r="AF7" s="44"/>
      <c r="AG7" s="44"/>
      <c r="AH7" s="44"/>
      <c r="AI7" s="44"/>
      <c r="AJ7" s="44"/>
      <c r="AK7" s="1495"/>
    </row>
    <row r="8" spans="1:16370" ht="35.25" customHeight="1">
      <c r="B8" s="55" t="s">
        <v>1215</v>
      </c>
      <c r="C8" s="1177" t="s">
        <v>656</v>
      </c>
      <c r="D8" s="56" t="s">
        <v>885</v>
      </c>
      <c r="E8" s="56" t="s">
        <v>1216</v>
      </c>
      <c r="F8" s="56" t="s">
        <v>1217</v>
      </c>
      <c r="G8" s="56" t="s">
        <v>1218</v>
      </c>
      <c r="H8" s="56" t="s">
        <v>1219</v>
      </c>
      <c r="I8" s="56" t="s">
        <v>1220</v>
      </c>
      <c r="J8" s="56" t="s">
        <v>1221</v>
      </c>
      <c r="K8" s="56" t="s">
        <v>1222</v>
      </c>
      <c r="L8" s="57" t="s">
        <v>1223</v>
      </c>
      <c r="M8" s="9"/>
      <c r="N8" s="629" t="s">
        <v>1237</v>
      </c>
      <c r="O8" s="628"/>
      <c r="P8" s="627"/>
      <c r="Q8" s="46"/>
      <c r="R8" s="44"/>
      <c r="S8" s="44"/>
      <c r="T8" s="44"/>
      <c r="U8" s="44"/>
      <c r="V8" s="44"/>
      <c r="W8" s="44"/>
      <c r="X8" s="44"/>
      <c r="Y8" s="44"/>
      <c r="Z8" s="44"/>
      <c r="AA8" s="44"/>
      <c r="AB8" s="44"/>
      <c r="AC8" s="44"/>
      <c r="AD8" s="44"/>
      <c r="AE8" s="44"/>
      <c r="AF8" s="44"/>
      <c r="AG8" s="44"/>
      <c r="AH8" s="44"/>
      <c r="AI8" s="44"/>
      <c r="AJ8" s="44"/>
      <c r="AK8" s="1495"/>
    </row>
    <row r="9" spans="1:16370" ht="15.75">
      <c r="B9" s="1859" t="str">
        <f>IF(ISBLANK(rng01_RIH_Mortgage), "", IF(rng01_RIH_Mortgage="Yes", "RIH First Mortgage", "Third Party Lender"))</f>
        <v/>
      </c>
      <c r="C9" s="1176"/>
      <c r="D9" s="255">
        <f>'01_1_General Data'!K13</f>
        <v>0</v>
      </c>
      <c r="E9" s="256">
        <f>'01_1_General Data'!K15</f>
        <v>0</v>
      </c>
      <c r="F9" s="1176"/>
      <c r="G9" s="793" t="s">
        <v>888</v>
      </c>
      <c r="H9" s="793">
        <f>'01_1_General Data'!$K$14</f>
        <v>0</v>
      </c>
      <c r="I9" s="1676">
        <v>0</v>
      </c>
      <c r="J9" s="739"/>
      <c r="K9" s="93"/>
      <c r="L9" s="1178">
        <f>IF('02_3_SOURCES'!D9&gt;0,-PMT('02_3_SOURCES'!D9/12,'02_3_SOURCES'!E9*12,'02_3_SOURCES'!K9)*12,0)</f>
        <v>0</v>
      </c>
      <c r="M9" s="9"/>
      <c r="N9" s="355" t="s">
        <v>1238</v>
      </c>
      <c r="O9" s="358">
        <f>'04_1_Pro Forma'!C37</f>
        <v>0</v>
      </c>
      <c r="P9" s="30"/>
      <c r="Q9" s="46"/>
      <c r="R9" s="44"/>
      <c r="S9" s="44"/>
      <c r="T9" s="44"/>
      <c r="U9" s="44"/>
      <c r="V9" s="44"/>
      <c r="W9" s="44"/>
      <c r="X9" s="44"/>
      <c r="Y9" s="44"/>
      <c r="Z9" s="44"/>
      <c r="AA9" s="44"/>
      <c r="AB9" s="44"/>
      <c r="AC9" s="44"/>
      <c r="AD9" s="44"/>
      <c r="AE9" s="44"/>
      <c r="AF9" s="44"/>
      <c r="AG9" s="44"/>
      <c r="AH9" s="44"/>
      <c r="AI9" s="44"/>
      <c r="AJ9" s="44"/>
      <c r="AK9" s="1495"/>
    </row>
    <row r="10" spans="1:16370" ht="15.75">
      <c r="B10" s="1782" t="s">
        <v>83</v>
      </c>
      <c r="C10" s="1176"/>
      <c r="D10" s="94"/>
      <c r="E10" s="95"/>
      <c r="F10" s="1176"/>
      <c r="G10" s="791"/>
      <c r="H10" s="791"/>
      <c r="I10" s="1676">
        <v>0</v>
      </c>
      <c r="J10" s="739"/>
      <c r="K10" s="93"/>
      <c r="L10" s="1178">
        <f>IF('02_3_SOURCES'!D10&gt;0,-PMT('02_3_SOURCES'!D10/12,'02_3_SOURCES'!E10*12,'02_3_SOURCES'!K10)*12,0)</f>
        <v>0</v>
      </c>
      <c r="M10" s="9"/>
      <c r="N10" s="355" t="s">
        <v>1239</v>
      </c>
      <c r="O10" s="356">
        <f>_xlfn.IFNA(VLOOKUP("RIH Second Mortgage", $B$9:$H$16, MATCH(LEFT(N10,LEN(N10)-1),$B$8:$H$8,0),FALSE), "NA")</f>
        <v>0</v>
      </c>
      <c r="P10" s="262"/>
      <c r="Q10" s="46"/>
      <c r="R10" s="44"/>
      <c r="S10" s="44"/>
      <c r="T10" s="44"/>
      <c r="U10" s="44"/>
      <c r="V10" s="44"/>
      <c r="W10" s="44"/>
      <c r="X10" s="44"/>
      <c r="Y10" s="44"/>
      <c r="Z10" s="44"/>
      <c r="AA10" s="44"/>
      <c r="AB10" s="44"/>
      <c r="AC10" s="44"/>
      <c r="AD10" s="44"/>
      <c r="AE10" s="44"/>
      <c r="AF10" s="44"/>
      <c r="AG10" s="44"/>
      <c r="AH10" s="44"/>
      <c r="AI10" s="44"/>
      <c r="AJ10" s="44"/>
      <c r="AK10" s="1495"/>
    </row>
    <row r="11" spans="1:16370" ht="15.75">
      <c r="B11" s="1783"/>
      <c r="C11" s="1176"/>
      <c r="D11" s="94"/>
      <c r="E11" s="95"/>
      <c r="F11" s="1774"/>
      <c r="G11" s="791"/>
      <c r="H11" s="791"/>
      <c r="I11" s="1775"/>
      <c r="J11" s="739"/>
      <c r="K11" s="93"/>
      <c r="L11" s="1178">
        <f>IF('02_3_SOURCES'!D11&gt;0,-PMT('02_3_SOURCES'!D11/12,'02_3_SOURCES'!E11*12,'02_3_SOURCES'!K11)*12,0)</f>
        <v>0</v>
      </c>
      <c r="M11" s="9"/>
      <c r="N11" s="359" t="s">
        <v>1240</v>
      </c>
      <c r="O11" s="358" t="e">
        <f>IF(O10="NA","NA",O9/O10)</f>
        <v>#DIV/0!</v>
      </c>
      <c r="P11" s="30"/>
      <c r="Q11" s="46"/>
      <c r="R11" s="44"/>
      <c r="S11" s="44"/>
      <c r="T11" s="44"/>
      <c r="U11" s="44"/>
      <c r="V11" s="44"/>
      <c r="W11" s="44"/>
      <c r="X11" s="44"/>
      <c r="Y11" s="44"/>
      <c r="Z11" s="44"/>
      <c r="AA11" s="44"/>
      <c r="AB11" s="44"/>
      <c r="AC11" s="44"/>
      <c r="AD11" s="44"/>
      <c r="AE11" s="44"/>
      <c r="AF11" s="44"/>
      <c r="AG11" s="44"/>
      <c r="AH11" s="44"/>
      <c r="AI11" s="44"/>
      <c r="AJ11" s="44"/>
      <c r="AK11" s="1495"/>
    </row>
    <row r="12" spans="1:16370" ht="15.75">
      <c r="B12" s="1783"/>
      <c r="C12" s="1176"/>
      <c r="D12" s="94"/>
      <c r="E12" s="95"/>
      <c r="F12" s="1774"/>
      <c r="G12" s="791"/>
      <c r="H12" s="791"/>
      <c r="I12" s="1775"/>
      <c r="J12" s="739"/>
      <c r="K12" s="93"/>
      <c r="L12" s="1178">
        <f>IF('02_3_SOURCES'!D12&gt;0,-PMT('02_3_SOURCES'!D12/12,'02_3_SOURCES'!E12*12,'02_3_SOURCES'!K12)*12,0)</f>
        <v>0</v>
      </c>
      <c r="M12" s="9"/>
      <c r="N12" s="360" t="s">
        <v>1241</v>
      </c>
      <c r="O12" s="361">
        <f>D14</f>
        <v>0</v>
      </c>
      <c r="P12" s="30"/>
      <c r="Q12" s="46"/>
      <c r="R12" s="44"/>
      <c r="S12" s="44"/>
      <c r="T12" s="44"/>
      <c r="U12" s="44"/>
      <c r="V12" s="44"/>
      <c r="W12" s="44"/>
      <c r="X12" s="44"/>
      <c r="Y12" s="44"/>
      <c r="Z12" s="44"/>
      <c r="AA12" s="44"/>
      <c r="AB12" s="44"/>
      <c r="AC12" s="44"/>
      <c r="AD12" s="44"/>
      <c r="AE12" s="44"/>
      <c r="AF12" s="44"/>
      <c r="AG12" s="44"/>
      <c r="AH12" s="44"/>
      <c r="AI12" s="44"/>
      <c r="AJ12" s="44"/>
      <c r="AK12" s="1495"/>
    </row>
    <row r="13" spans="1:16370" ht="15.75">
      <c r="B13" s="1783"/>
      <c r="C13" s="1176"/>
      <c r="D13" s="94"/>
      <c r="E13" s="95"/>
      <c r="F13" s="1774"/>
      <c r="G13" s="791"/>
      <c r="H13" s="791"/>
      <c r="I13" s="1775"/>
      <c r="J13" s="739"/>
      <c r="K13" s="93"/>
      <c r="L13" s="1178">
        <f>IF('02_3_SOURCES'!D13&gt;0,-PMT('02_3_SOURCES'!D13/12,'02_3_SOURCES'!E13*12,'02_3_SOURCES'!K13)*12,0)</f>
        <v>0</v>
      </c>
      <c r="M13" s="9"/>
      <c r="N13" s="355" t="s">
        <v>1242</v>
      </c>
      <c r="O13" s="792">
        <f>E14</f>
        <v>0</v>
      </c>
      <c r="P13" s="30"/>
      <c r="Q13" s="46"/>
      <c r="R13" s="44"/>
      <c r="S13" s="44"/>
      <c r="T13" s="44"/>
      <c r="U13" s="44"/>
      <c r="V13" s="44"/>
      <c r="W13" s="44"/>
      <c r="X13" s="44"/>
      <c r="Y13" s="44"/>
      <c r="Z13" s="44"/>
      <c r="AA13" s="44"/>
      <c r="AB13" s="44"/>
      <c r="AC13" s="44"/>
      <c r="AD13" s="44"/>
      <c r="AE13" s="44"/>
      <c r="AF13" s="44"/>
      <c r="AG13" s="44"/>
      <c r="AH13" s="44"/>
      <c r="AI13" s="44"/>
      <c r="AJ13" s="44"/>
      <c r="AK13" s="1495"/>
    </row>
    <row r="14" spans="1:16370" ht="15.75">
      <c r="B14" s="1783"/>
      <c r="C14" s="1176"/>
      <c r="D14" s="94"/>
      <c r="E14" s="95"/>
      <c r="F14" s="1774"/>
      <c r="G14" s="791"/>
      <c r="H14" s="791"/>
      <c r="I14" s="1775"/>
      <c r="J14" s="739"/>
      <c r="K14" s="93"/>
      <c r="L14" s="1178">
        <f>IF('02_3_SOURCES'!D14&gt;0,-PMT('02_3_SOURCES'!D14/12,'02_3_SOURCES'!E14*12,'02_3_SOURCES'!K14)*12,0)</f>
        <v>0</v>
      </c>
      <c r="M14" s="9"/>
      <c r="N14" s="359" t="s">
        <v>1243</v>
      </c>
      <c r="O14" s="358">
        <f>IF(ISERROR(O11/(12*PMT(O12/12,O13,-1))),0,O11/(12*PMT(O12/12,O13,-1)))</f>
        <v>0</v>
      </c>
      <c r="P14" s="30"/>
      <c r="Q14" s="46"/>
      <c r="R14" s="44"/>
      <c r="S14" s="44"/>
      <c r="T14" s="44"/>
      <c r="U14" s="44"/>
      <c r="V14" s="44"/>
      <c r="W14" s="44"/>
      <c r="X14" s="44"/>
      <c r="Y14" s="44"/>
      <c r="Z14" s="44"/>
      <c r="AA14" s="44"/>
      <c r="AB14" s="44"/>
      <c r="AC14" s="44"/>
      <c r="AD14" s="44"/>
      <c r="AE14" s="44"/>
      <c r="AF14" s="44"/>
      <c r="AG14" s="44"/>
      <c r="AH14" s="44"/>
      <c r="AI14" s="44"/>
      <c r="AJ14" s="44"/>
      <c r="AK14" s="1495"/>
    </row>
    <row r="15" spans="1:16370" ht="15.75">
      <c r="B15" s="1783"/>
      <c r="C15" s="1176"/>
      <c r="D15" s="94"/>
      <c r="E15" s="95"/>
      <c r="F15" s="1774"/>
      <c r="G15" s="791"/>
      <c r="H15" s="791"/>
      <c r="I15" s="1775"/>
      <c r="J15" s="739"/>
      <c r="K15" s="93"/>
      <c r="L15" s="1178">
        <f>IF('02_3_SOURCES'!D15&gt;0,-PMT('02_3_SOURCES'!D15/12,'02_3_SOURCES'!E15*12,'02_3_SOURCES'!K15)*12,0)</f>
        <v>0</v>
      </c>
      <c r="M15" s="9"/>
      <c r="N15" s="362"/>
      <c r="O15" s="8"/>
      <c r="P15" s="257"/>
      <c r="Q15" s="46"/>
      <c r="R15" s="44"/>
      <c r="S15" s="44"/>
      <c r="T15" s="44"/>
      <c r="U15" s="44"/>
      <c r="V15" s="44"/>
      <c r="W15" s="44"/>
      <c r="X15" s="44"/>
      <c r="Y15" s="44"/>
      <c r="Z15" s="44"/>
      <c r="AA15" s="44"/>
      <c r="AB15" s="44"/>
      <c r="AC15" s="44"/>
      <c r="AD15" s="44"/>
      <c r="AE15" s="44"/>
      <c r="AF15" s="44"/>
      <c r="AG15" s="44"/>
      <c r="AH15" s="44"/>
      <c r="AI15" s="44"/>
      <c r="AJ15" s="44"/>
      <c r="AK15" s="1495"/>
    </row>
    <row r="16" spans="1:16370" ht="15.75">
      <c r="B16" s="1783"/>
      <c r="C16" s="1176"/>
      <c r="D16" s="94"/>
      <c r="E16" s="95"/>
      <c r="F16" s="1774"/>
      <c r="G16" s="791"/>
      <c r="H16" s="791"/>
      <c r="I16" s="1775"/>
      <c r="J16" s="739"/>
      <c r="K16" s="93"/>
      <c r="L16" s="1178">
        <f>IF('02_3_SOURCES'!D16&gt;0,-PMT('02_3_SOURCES'!D16/12,'02_3_SOURCES'!E16*12,'02_3_SOURCES'!K16)*12,0)</f>
        <v>0</v>
      </c>
      <c r="M16" s="9"/>
      <c r="O16" s="30"/>
      <c r="P16" s="258"/>
      <c r="Q16" s="46"/>
      <c r="R16" s="44"/>
      <c r="S16" s="44"/>
      <c r="T16" s="44"/>
      <c r="U16" s="44"/>
      <c r="V16" s="44"/>
      <c r="W16" s="44"/>
      <c r="X16" s="44"/>
      <c r="Y16" s="44"/>
      <c r="Z16" s="44"/>
      <c r="AA16" s="44"/>
      <c r="AB16" s="44"/>
      <c r="AC16" s="44"/>
      <c r="AD16" s="44"/>
      <c r="AE16" s="44"/>
      <c r="AF16" s="44"/>
      <c r="AG16" s="44"/>
      <c r="AH16" s="44"/>
      <c r="AI16" s="44"/>
      <c r="AJ16" s="44"/>
      <c r="AK16" s="1495"/>
    </row>
    <row r="17" spans="2:37" ht="15.75">
      <c r="B17" s="1783"/>
      <c r="C17" s="1176"/>
      <c r="D17" s="94"/>
      <c r="E17" s="95"/>
      <c r="F17" s="1774"/>
      <c r="G17" s="791"/>
      <c r="H17" s="791"/>
      <c r="I17" s="1775"/>
      <c r="J17" s="739"/>
      <c r="K17" s="93"/>
      <c r="L17" s="1178">
        <f>IF('02_3_SOURCES'!D17&gt;0,-PMT('02_3_SOURCES'!D17/12,'02_3_SOURCES'!E17*12,'02_3_SOURCES'!K17)*12,0)</f>
        <v>0</v>
      </c>
      <c r="M17" s="9"/>
      <c r="O17" s="30"/>
      <c r="P17" s="258"/>
      <c r="Q17" s="46"/>
      <c r="R17" s="44"/>
      <c r="S17" s="44"/>
      <c r="T17" s="44"/>
      <c r="U17" s="44"/>
      <c r="V17" s="44"/>
      <c r="W17" s="44"/>
      <c r="X17" s="44"/>
      <c r="Y17" s="44"/>
      <c r="Z17" s="44"/>
      <c r="AA17" s="44"/>
      <c r="AB17" s="44"/>
      <c r="AC17" s="44"/>
      <c r="AD17" s="44"/>
      <c r="AE17" s="44"/>
      <c r="AF17" s="44"/>
      <c r="AG17" s="44"/>
      <c r="AH17" s="44"/>
      <c r="AI17" s="44"/>
      <c r="AJ17" s="44"/>
      <c r="AK17" s="1495"/>
    </row>
    <row r="18" spans="2:37" ht="15.75">
      <c r="B18" s="1783"/>
      <c r="C18" s="1176"/>
      <c r="D18" s="94"/>
      <c r="E18" s="95"/>
      <c r="F18" s="1774"/>
      <c r="G18" s="791"/>
      <c r="H18" s="791"/>
      <c r="I18" s="1775"/>
      <c r="J18" s="739"/>
      <c r="K18" s="93"/>
      <c r="L18" s="1178">
        <f>IF('02_3_SOURCES'!D18&gt;0,-PMT('02_3_SOURCES'!D18/12,'02_3_SOURCES'!E18*12,'02_3_SOURCES'!K18)*12,0)</f>
        <v>0</v>
      </c>
      <c r="M18" s="9"/>
      <c r="O18" s="30"/>
      <c r="P18" s="258"/>
      <c r="Q18" s="46"/>
      <c r="R18" s="44"/>
      <c r="S18" s="44"/>
      <c r="T18" s="44"/>
      <c r="U18" s="44"/>
      <c r="V18" s="44"/>
      <c r="W18" s="44"/>
      <c r="X18" s="44"/>
      <c r="Y18" s="44"/>
      <c r="Z18" s="44"/>
      <c r="AA18" s="44"/>
      <c r="AB18" s="44"/>
      <c r="AC18" s="44"/>
      <c r="AD18" s="44"/>
      <c r="AE18" s="44"/>
      <c r="AF18" s="44"/>
      <c r="AG18" s="44"/>
      <c r="AH18" s="44"/>
      <c r="AI18" s="44"/>
      <c r="AJ18" s="44"/>
      <c r="AK18" s="1495"/>
    </row>
    <row r="19" spans="2:37" ht="15.75">
      <c r="B19" s="1783"/>
      <c r="C19" s="1176"/>
      <c r="D19" s="94"/>
      <c r="E19" s="95"/>
      <c r="F19" s="1774"/>
      <c r="G19" s="791"/>
      <c r="H19" s="791"/>
      <c r="I19" s="1775"/>
      <c r="J19" s="739"/>
      <c r="K19" s="93"/>
      <c r="L19" s="1178">
        <f>IF('02_3_SOURCES'!D19&gt;0,-PMT('02_3_SOURCES'!D19/12,'02_3_SOURCES'!E19*12,'02_3_SOURCES'!K19)*12,0)</f>
        <v>0</v>
      </c>
      <c r="M19" s="9"/>
      <c r="O19" s="30"/>
      <c r="P19" s="258"/>
      <c r="Q19" s="46"/>
      <c r="R19" s="44"/>
      <c r="S19" s="44"/>
      <c r="T19" s="44"/>
      <c r="U19" s="44"/>
      <c r="V19" s="44"/>
      <c r="W19" s="44"/>
      <c r="X19" s="44"/>
      <c r="Y19" s="44"/>
      <c r="Z19" s="44"/>
      <c r="AA19" s="44"/>
      <c r="AB19" s="44"/>
      <c r="AC19" s="44"/>
      <c r="AD19" s="44"/>
      <c r="AE19" s="44"/>
      <c r="AF19" s="44"/>
      <c r="AG19" s="44"/>
      <c r="AH19" s="44"/>
      <c r="AI19" s="44"/>
      <c r="AJ19" s="44"/>
      <c r="AK19" s="1495"/>
    </row>
    <row r="20" spans="2:37" ht="15.75">
      <c r="B20" s="1783"/>
      <c r="C20" s="1176"/>
      <c r="D20" s="94"/>
      <c r="E20" s="95"/>
      <c r="F20" s="1774"/>
      <c r="G20" s="791"/>
      <c r="H20" s="791"/>
      <c r="I20" s="1775"/>
      <c r="J20" s="739"/>
      <c r="K20" s="93"/>
      <c r="L20" s="1178">
        <f>IF('02_3_SOURCES'!D20&gt;0,-PMT('02_3_SOURCES'!D20/12,'02_3_SOURCES'!E20*12,'02_3_SOURCES'!K20)*12,0)</f>
        <v>0</v>
      </c>
      <c r="M20" s="9"/>
      <c r="O20" s="30"/>
      <c r="P20" s="258"/>
      <c r="Q20" s="46"/>
      <c r="R20" s="44"/>
      <c r="S20" s="44"/>
      <c r="T20" s="44"/>
      <c r="U20" s="44"/>
      <c r="V20" s="44"/>
      <c r="W20" s="44"/>
      <c r="X20" s="44"/>
      <c r="Y20" s="44"/>
      <c r="Z20" s="44"/>
      <c r="AA20" s="44"/>
      <c r="AB20" s="44"/>
      <c r="AC20" s="44"/>
      <c r="AD20" s="44"/>
      <c r="AE20" s="44"/>
      <c r="AF20" s="44"/>
      <c r="AG20" s="44"/>
      <c r="AH20" s="44"/>
      <c r="AI20" s="44"/>
      <c r="AJ20" s="44"/>
      <c r="AK20" s="1495"/>
    </row>
    <row r="21" spans="2:37" ht="15.75">
      <c r="B21" s="1783"/>
      <c r="C21" s="1176"/>
      <c r="D21" s="94"/>
      <c r="E21" s="95"/>
      <c r="F21" s="1774"/>
      <c r="G21" s="791"/>
      <c r="H21" s="791"/>
      <c r="I21" s="1775"/>
      <c r="J21" s="739"/>
      <c r="K21" s="93"/>
      <c r="L21" s="1178">
        <f>IF('02_3_SOURCES'!D21&gt;0,-PMT('02_3_SOURCES'!D21/12,'02_3_SOURCES'!E21*12,'02_3_SOURCES'!K21)*12,0)</f>
        <v>0</v>
      </c>
      <c r="M21" s="9"/>
      <c r="O21" s="30"/>
      <c r="P21" s="258"/>
      <c r="Q21" s="46"/>
      <c r="R21" s="44"/>
      <c r="S21" s="44"/>
      <c r="T21" s="44"/>
      <c r="U21" s="44"/>
      <c r="V21" s="44"/>
      <c r="W21" s="44"/>
      <c r="X21" s="44"/>
      <c r="Y21" s="44"/>
      <c r="Z21" s="44"/>
      <c r="AA21" s="44"/>
      <c r="AB21" s="44"/>
      <c r="AC21" s="44"/>
      <c r="AD21" s="44"/>
      <c r="AE21" s="44"/>
      <c r="AF21" s="44"/>
      <c r="AG21" s="44"/>
      <c r="AH21" s="44"/>
      <c r="AI21" s="44"/>
      <c r="AJ21" s="44"/>
      <c r="AK21" s="1495"/>
    </row>
    <row r="22" spans="2:37" ht="16.5" thickBot="1">
      <c r="B22" s="1784"/>
      <c r="C22" s="1176"/>
      <c r="D22" s="94"/>
      <c r="E22" s="95"/>
      <c r="F22" s="1791"/>
      <c r="G22" s="791"/>
      <c r="H22" s="1792"/>
      <c r="I22" s="1793"/>
      <c r="J22" s="739"/>
      <c r="K22" s="93"/>
      <c r="L22" s="1178">
        <f>IF('02_3_SOURCES'!D22&gt;0,-PMT('02_3_SOURCES'!D22/12,'02_3_SOURCES'!E22*12,'02_3_SOURCES'!K22)*12,0)</f>
        <v>0</v>
      </c>
      <c r="M22" s="9"/>
      <c r="O22" s="30"/>
      <c r="P22" s="258"/>
      <c r="Q22" s="46"/>
      <c r="R22" s="44"/>
      <c r="S22" s="44"/>
      <c r="T22" s="44"/>
      <c r="U22" s="44"/>
      <c r="V22" s="44"/>
      <c r="W22" s="44"/>
      <c r="X22" s="44"/>
      <c r="Y22" s="44"/>
      <c r="Z22" s="44"/>
      <c r="AA22" s="44"/>
      <c r="AB22" s="44"/>
      <c r="AC22" s="44"/>
      <c r="AD22" s="44"/>
      <c r="AE22" s="44"/>
      <c r="AF22" s="44"/>
      <c r="AG22" s="44"/>
      <c r="AH22" s="44"/>
      <c r="AI22" s="44"/>
      <c r="AJ22" s="44"/>
      <c r="AK22" s="1495"/>
    </row>
    <row r="23" spans="2:37" ht="17.25" thickTop="1" thickBot="1">
      <c r="B23" s="148" t="s">
        <v>1225</v>
      </c>
      <c r="C23" s="1794"/>
      <c r="D23" s="1794"/>
      <c r="E23" s="1795"/>
      <c r="F23" s="722"/>
      <c r="G23" s="722"/>
      <c r="H23" s="722"/>
      <c r="I23" s="1373">
        <f>SUM(I9:I22)</f>
        <v>0</v>
      </c>
      <c r="J23" s="1374"/>
      <c r="K23" s="1374">
        <f>SUM(K9:K22)</f>
        <v>0</v>
      </c>
      <c r="L23" s="741">
        <f>SUM(L9:L22)</f>
        <v>0</v>
      </c>
      <c r="M23" s="9"/>
      <c r="O23" s="30"/>
      <c r="P23" s="30"/>
      <c r="Q23" s="47"/>
      <c r="R23" s="44"/>
      <c r="S23" s="44"/>
      <c r="T23" s="44"/>
      <c r="U23" s="44"/>
      <c r="V23" s="44"/>
      <c r="W23" s="44"/>
      <c r="X23" s="44"/>
      <c r="Y23" s="44"/>
      <c r="Z23" s="44"/>
      <c r="AA23" s="44"/>
      <c r="AB23" s="44"/>
      <c r="AC23" s="44"/>
      <c r="AD23" s="44"/>
      <c r="AE23" s="44"/>
      <c r="AF23" s="44"/>
      <c r="AG23" s="44"/>
      <c r="AH23" s="44"/>
      <c r="AI23" s="44"/>
      <c r="AJ23" s="44"/>
      <c r="AK23" s="1495"/>
    </row>
    <row r="24" spans="2:37">
      <c r="B24" s="253"/>
      <c r="K24" s="30"/>
      <c r="L24" s="30"/>
      <c r="O24" s="30"/>
      <c r="P24" s="30"/>
      <c r="Q24" s="46"/>
      <c r="R24" s="44"/>
      <c r="S24" s="44"/>
      <c r="T24" s="44"/>
      <c r="U24" s="44"/>
      <c r="V24" s="44"/>
      <c r="W24" s="44"/>
      <c r="X24" s="44"/>
      <c r="Y24" s="44"/>
      <c r="Z24" s="44"/>
      <c r="AA24" s="44"/>
      <c r="AB24" s="44"/>
      <c r="AC24" s="44"/>
      <c r="AD24" s="44"/>
      <c r="AE24" s="44"/>
      <c r="AF24" s="44"/>
      <c r="AG24" s="44"/>
      <c r="AH24" s="44"/>
      <c r="AI24" s="44"/>
      <c r="AJ24" s="44"/>
      <c r="AK24" s="1495"/>
    </row>
    <row r="25" spans="2:37" ht="15.75" thickBot="1">
      <c r="K25" s="30"/>
      <c r="L25" s="30"/>
      <c r="O25" s="30"/>
      <c r="P25" s="30"/>
      <c r="Q25" s="46"/>
      <c r="R25" s="44"/>
      <c r="S25" s="44"/>
      <c r="T25" s="44"/>
      <c r="U25" s="44"/>
      <c r="V25" s="44"/>
      <c r="W25" s="44"/>
      <c r="X25" s="44"/>
      <c r="Y25" s="44"/>
      <c r="Z25" s="44"/>
      <c r="AA25" s="44"/>
      <c r="AB25" s="44"/>
      <c r="AC25" s="44"/>
      <c r="AD25" s="44"/>
      <c r="AE25" s="44"/>
      <c r="AF25" s="44"/>
      <c r="AG25" s="44"/>
      <c r="AH25" s="44"/>
      <c r="AI25" s="44"/>
      <c r="AJ25" s="44"/>
      <c r="AK25" s="1495"/>
    </row>
    <row r="26" spans="2:37" ht="18.75">
      <c r="B26" s="58" t="s">
        <v>1226</v>
      </c>
      <c r="C26" s="2286" t="s">
        <v>1227</v>
      </c>
      <c r="D26" s="2287"/>
      <c r="E26" s="2288"/>
      <c r="F26" s="57" t="s">
        <v>1222</v>
      </c>
      <c r="K26" s="30"/>
      <c r="L26" s="30"/>
      <c r="N26" s="9"/>
      <c r="O26" s="30"/>
      <c r="P26" s="30"/>
      <c r="Q26" s="46"/>
      <c r="R26" s="44"/>
      <c r="S26" s="44"/>
      <c r="T26" s="44"/>
      <c r="U26" s="44"/>
      <c r="V26" s="44"/>
      <c r="W26" s="44"/>
      <c r="X26" s="44"/>
      <c r="Y26" s="44"/>
      <c r="Z26" s="44"/>
      <c r="AA26" s="44"/>
      <c r="AB26" s="44"/>
      <c r="AC26" s="44"/>
      <c r="AD26" s="44"/>
      <c r="AE26" s="44"/>
      <c r="AF26" s="44"/>
      <c r="AG26" s="44"/>
      <c r="AH26" s="44"/>
      <c r="AI26" s="44"/>
      <c r="AJ26" s="44"/>
      <c r="AK26" s="1495"/>
    </row>
    <row r="27" spans="2:37" ht="15.75">
      <c r="B27" s="1811" t="s">
        <v>63</v>
      </c>
      <c r="C27" s="2289" t="str">
        <f>TEXT(ROUND('02_5_LIHTC Proceeds'!C19+'02_5_LIHTC Proceeds'!D19,0),"$0,00")&amp;" per year at "&amp;TEXT('02_5_LIHTC Proceeds'!D23, "$0.000")&amp;" per Credit"</f>
        <v>$000 per year at $0.000 per Credit</v>
      </c>
      <c r="D27" s="2187"/>
      <c r="E27" s="2290"/>
      <c r="F27" s="1179">
        <f>SUM('02_5_LIHTC Proceeds'!$C$24:$G$24)-'02_5_LIHTC Proceeds'!$E$24-'02_5_LIHTC Proceeds'!F24</f>
        <v>0</v>
      </c>
      <c r="G27" s="872"/>
      <c r="K27" s="30"/>
      <c r="L27" s="30"/>
      <c r="O27" s="30"/>
      <c r="P27" s="30"/>
      <c r="Q27" s="46"/>
      <c r="R27" s="44"/>
      <c r="S27" s="44"/>
      <c r="T27" s="44"/>
      <c r="U27" s="44"/>
      <c r="V27" s="44"/>
      <c r="W27" s="44"/>
      <c r="X27" s="44"/>
      <c r="Y27" s="44"/>
      <c r="Z27" s="44"/>
      <c r="AA27" s="44"/>
      <c r="AB27" s="44"/>
      <c r="AC27" s="44"/>
      <c r="AD27" s="44"/>
      <c r="AE27" s="44"/>
      <c r="AF27" s="44"/>
      <c r="AG27" s="44"/>
      <c r="AH27" s="44"/>
      <c r="AI27" s="44"/>
      <c r="AJ27" s="44"/>
      <c r="AK27" s="1495"/>
    </row>
    <row r="28" spans="2:37" ht="15.75">
      <c r="B28" s="1811" t="s">
        <v>1228</v>
      </c>
      <c r="C28" s="2291" t="s">
        <v>1229</v>
      </c>
      <c r="D28" s="2292"/>
      <c r="E28" s="2293"/>
      <c r="F28" s="1180">
        <f>'02_5_LIHTC Proceeds'!C36</f>
        <v>0</v>
      </c>
      <c r="G28" s="873"/>
      <c r="K28" s="30"/>
      <c r="L28" s="30"/>
      <c r="O28" s="30"/>
      <c r="P28" s="30"/>
      <c r="Q28" s="46"/>
      <c r="R28" s="44"/>
      <c r="S28" s="44"/>
      <c r="T28" s="44"/>
      <c r="U28" s="44"/>
      <c r="V28" s="44"/>
      <c r="W28" s="44"/>
      <c r="X28" s="44"/>
      <c r="Y28" s="44"/>
      <c r="Z28" s="44"/>
      <c r="AA28" s="44"/>
      <c r="AB28" s="44"/>
      <c r="AC28" s="44"/>
      <c r="AD28" s="44"/>
      <c r="AE28" s="44"/>
      <c r="AF28" s="44"/>
      <c r="AG28" s="44"/>
      <c r="AH28" s="44"/>
      <c r="AI28" s="44"/>
      <c r="AJ28" s="44"/>
      <c r="AK28" s="1495"/>
    </row>
    <row r="29" spans="2:37" ht="15.75">
      <c r="B29" s="1811" t="s">
        <v>1230</v>
      </c>
      <c r="C29" s="2291" t="s">
        <v>1229</v>
      </c>
      <c r="D29" s="2292"/>
      <c r="E29" s="2293"/>
      <c r="F29" s="1181"/>
      <c r="K29" s="30"/>
      <c r="L29" s="30"/>
      <c r="O29" s="30"/>
      <c r="P29" s="30"/>
      <c r="Q29" s="46"/>
      <c r="R29" s="44"/>
      <c r="S29" s="44"/>
      <c r="T29" s="44"/>
      <c r="U29" s="44"/>
      <c r="V29" s="44"/>
      <c r="W29" s="44"/>
      <c r="X29" s="44"/>
      <c r="Y29" s="44"/>
      <c r="Z29" s="44"/>
      <c r="AA29" s="44"/>
      <c r="AB29" s="44"/>
      <c r="AC29" s="44"/>
      <c r="AD29" s="44"/>
      <c r="AE29" s="44"/>
      <c r="AF29" s="44"/>
      <c r="AG29" s="44"/>
      <c r="AH29" s="44"/>
      <c r="AI29" s="44"/>
      <c r="AJ29" s="44"/>
      <c r="AK29" s="1495"/>
    </row>
    <row r="30" spans="2:37" ht="15.75">
      <c r="B30" s="1859" t="s">
        <v>1231</v>
      </c>
      <c r="C30" s="2295"/>
      <c r="D30" s="2295"/>
      <c r="E30" s="2295"/>
      <c r="F30" s="1175">
        <f>'02_5_LIHTC Proceeds'!D36</f>
        <v>0</v>
      </c>
      <c r="K30" s="30"/>
      <c r="L30" s="30"/>
      <c r="O30" s="30"/>
      <c r="P30" s="30"/>
      <c r="Q30" s="46"/>
      <c r="R30" s="44"/>
      <c r="S30" s="44"/>
      <c r="T30" s="44"/>
      <c r="U30" s="44"/>
      <c r="V30" s="44"/>
      <c r="W30" s="44"/>
      <c r="X30" s="44"/>
      <c r="Y30" s="44"/>
      <c r="Z30" s="44"/>
      <c r="AA30" s="44"/>
      <c r="AB30" s="44"/>
      <c r="AC30" s="44"/>
      <c r="AD30" s="44"/>
      <c r="AE30" s="44"/>
      <c r="AF30" s="44"/>
      <c r="AG30" s="44"/>
      <c r="AH30" s="44"/>
      <c r="AI30" s="44"/>
      <c r="AJ30" s="44"/>
      <c r="AK30" s="1495"/>
    </row>
    <row r="31" spans="2:37" ht="15.75">
      <c r="B31" s="1859" t="s">
        <v>2459</v>
      </c>
      <c r="C31" s="2296" t="s">
        <v>2454</v>
      </c>
      <c r="D31" s="2296"/>
      <c r="E31" s="2296"/>
      <c r="F31" s="1870">
        <f>'02_5_LIHTC Proceeds'!F24</f>
        <v>0</v>
      </c>
      <c r="K31" s="30"/>
      <c r="L31" s="30"/>
      <c r="O31" s="30"/>
      <c r="P31" s="30"/>
      <c r="Q31" s="46"/>
      <c r="R31" s="44"/>
      <c r="S31" s="44"/>
      <c r="T31" s="44"/>
      <c r="U31" s="44"/>
      <c r="V31" s="44"/>
      <c r="W31" s="44"/>
      <c r="X31" s="44"/>
      <c r="Y31" s="44"/>
      <c r="Z31" s="44"/>
      <c r="AA31" s="44"/>
      <c r="AB31" s="44"/>
      <c r="AC31" s="44"/>
      <c r="AD31" s="44"/>
      <c r="AE31" s="44"/>
      <c r="AF31" s="44"/>
      <c r="AG31" s="44"/>
      <c r="AH31" s="44"/>
      <c r="AI31" s="44"/>
      <c r="AJ31" s="44"/>
      <c r="AK31" s="1495"/>
    </row>
    <row r="32" spans="2:37" ht="16.5" thickBot="1">
      <c r="B32" s="1812" t="s">
        <v>2378</v>
      </c>
      <c r="C32" s="2143"/>
      <c r="D32" s="2144"/>
      <c r="E32" s="2294"/>
      <c r="F32" s="1182"/>
      <c r="K32" s="30"/>
      <c r="L32" s="30"/>
      <c r="O32" s="30"/>
      <c r="P32" s="30"/>
      <c r="Q32" s="48"/>
      <c r="R32" s="49"/>
      <c r="S32" s="44"/>
      <c r="T32" s="44"/>
      <c r="U32" s="44"/>
      <c r="V32" s="44"/>
      <c r="W32" s="44"/>
      <c r="X32" s="44"/>
      <c r="Y32" s="44"/>
      <c r="Z32" s="44"/>
      <c r="AA32" s="44"/>
      <c r="AB32" s="44"/>
      <c r="AC32" s="44"/>
      <c r="AD32" s="44"/>
      <c r="AE32" s="44"/>
      <c r="AF32" s="44"/>
      <c r="AG32" s="44"/>
      <c r="AH32" s="44"/>
      <c r="AI32" s="44"/>
      <c r="AJ32" s="44"/>
      <c r="AK32" s="1495"/>
    </row>
    <row r="33" spans="2:37" ht="17.25" thickTop="1" thickBot="1">
      <c r="B33" s="559" t="s">
        <v>1232</v>
      </c>
      <c r="C33" s="721"/>
      <c r="D33" s="721"/>
      <c r="E33" s="722"/>
      <c r="F33" s="740">
        <f>SUM(F27:F32)</f>
        <v>0</v>
      </c>
      <c r="K33" s="30"/>
      <c r="L33" s="30"/>
      <c r="O33" s="30"/>
      <c r="P33" s="30"/>
      <c r="Q33" s="48"/>
      <c r="R33" s="49"/>
      <c r="S33" s="44"/>
      <c r="T33" s="44"/>
      <c r="U33" s="44"/>
      <c r="V33" s="44"/>
      <c r="W33" s="44"/>
      <c r="X33" s="44"/>
      <c r="Y33" s="44"/>
      <c r="Z33" s="44"/>
      <c r="AA33" s="44"/>
      <c r="AB33" s="44"/>
      <c r="AC33" s="44"/>
      <c r="AD33" s="44"/>
      <c r="AE33" s="44"/>
      <c r="AF33" s="44"/>
      <c r="AG33" s="44"/>
      <c r="AH33" s="44"/>
      <c r="AI33" s="44"/>
      <c r="AJ33" s="44"/>
      <c r="AK33" s="1495"/>
    </row>
    <row r="34" spans="2:37">
      <c r="B34" s="260"/>
      <c r="C34" s="260"/>
      <c r="D34" s="260"/>
      <c r="E34" s="260"/>
      <c r="F34" s="261"/>
      <c r="I34" s="261"/>
      <c r="K34" s="30"/>
      <c r="L34" s="30"/>
      <c r="O34" s="30"/>
      <c r="P34" s="30"/>
      <c r="Q34" s="46"/>
      <c r="R34" s="44"/>
      <c r="S34" s="44"/>
      <c r="T34" s="44"/>
      <c r="U34" s="44"/>
      <c r="V34" s="44"/>
      <c r="W34" s="44"/>
      <c r="X34" s="44"/>
      <c r="Y34" s="44"/>
      <c r="Z34" s="44"/>
      <c r="AA34" s="44"/>
      <c r="AB34" s="44"/>
      <c r="AC34" s="44"/>
      <c r="AD34" s="44"/>
      <c r="AE34" s="44"/>
      <c r="AF34" s="44"/>
      <c r="AG34" s="44"/>
      <c r="AH34" s="44"/>
      <c r="AI34" s="44"/>
      <c r="AJ34" s="44"/>
      <c r="AK34" s="1495"/>
    </row>
    <row r="35" spans="2:37" ht="15.75" thickBot="1">
      <c r="K35" s="30"/>
      <c r="L35" s="30"/>
      <c r="O35" s="30"/>
      <c r="P35" s="30"/>
      <c r="Q35" s="46"/>
      <c r="R35" s="44"/>
      <c r="S35" s="44"/>
      <c r="T35" s="44"/>
      <c r="U35" s="44"/>
      <c r="V35" s="44"/>
      <c r="W35" s="44"/>
      <c r="X35" s="44"/>
      <c r="Y35" s="44"/>
      <c r="Z35" s="44"/>
      <c r="AA35" s="44"/>
      <c r="AB35" s="44"/>
      <c r="AC35" s="44"/>
      <c r="AD35" s="44"/>
      <c r="AE35" s="44"/>
      <c r="AF35" s="44"/>
      <c r="AG35" s="44"/>
      <c r="AH35" s="44"/>
      <c r="AI35" s="44"/>
      <c r="AJ35" s="44"/>
      <c r="AK35" s="1495"/>
    </row>
    <row r="36" spans="2:37" ht="18.75">
      <c r="B36" s="58" t="s">
        <v>96</v>
      </c>
      <c r="C36" s="2286" t="s">
        <v>656</v>
      </c>
      <c r="D36" s="2287"/>
      <c r="E36" s="2288"/>
      <c r="F36" s="57" t="s">
        <v>1222</v>
      </c>
      <c r="K36" s="30"/>
      <c r="L36" s="30"/>
      <c r="M36" s="262"/>
      <c r="N36" s="262"/>
      <c r="O36" s="30"/>
      <c r="P36" s="30"/>
      <c r="Q36" s="46"/>
      <c r="R36" s="44"/>
      <c r="S36" s="44"/>
      <c r="T36" s="44"/>
      <c r="U36" s="44"/>
      <c r="V36" s="44"/>
      <c r="W36" s="44"/>
      <c r="X36" s="44"/>
      <c r="Y36" s="44"/>
      <c r="Z36" s="44"/>
      <c r="AA36" s="44"/>
      <c r="AB36" s="44"/>
      <c r="AC36" s="44"/>
      <c r="AD36" s="44"/>
      <c r="AE36" s="44"/>
      <c r="AF36" s="44"/>
      <c r="AG36" s="44"/>
      <c r="AH36" s="44"/>
      <c r="AI36" s="44"/>
      <c r="AJ36" s="44"/>
      <c r="AK36" s="1495"/>
    </row>
    <row r="37" spans="2:37" ht="15.75">
      <c r="B37" s="1811" t="s">
        <v>2403</v>
      </c>
      <c r="C37" s="2143"/>
      <c r="D37" s="2144"/>
      <c r="E37" s="2294"/>
      <c r="F37" s="1181"/>
      <c r="K37" s="30"/>
      <c r="L37" s="30"/>
      <c r="O37" s="30"/>
      <c r="P37" s="30"/>
      <c r="Q37" s="46"/>
      <c r="R37" s="44"/>
      <c r="S37" s="44"/>
      <c r="T37" s="44"/>
      <c r="U37" s="44"/>
      <c r="V37" s="44"/>
      <c r="W37" s="44"/>
      <c r="X37" s="44"/>
      <c r="Y37" s="44"/>
      <c r="Z37" s="44"/>
      <c r="AA37" s="44"/>
      <c r="AB37" s="44"/>
      <c r="AC37" s="44"/>
      <c r="AD37" s="44"/>
      <c r="AE37" s="44"/>
      <c r="AF37" s="44"/>
      <c r="AG37" s="44"/>
      <c r="AH37" s="44"/>
      <c r="AI37" s="44"/>
      <c r="AJ37" s="44"/>
      <c r="AK37" s="1495"/>
    </row>
    <row r="38" spans="2:37" ht="15.75">
      <c r="B38" s="2000" t="s">
        <v>2379</v>
      </c>
      <c r="C38" s="2143"/>
      <c r="D38" s="2144"/>
      <c r="E38" s="2294"/>
      <c r="F38" s="1181"/>
      <c r="K38" s="30"/>
      <c r="L38" s="30"/>
      <c r="O38" s="30"/>
      <c r="P38" s="30"/>
      <c r="Q38" s="48"/>
      <c r="R38" s="49"/>
      <c r="S38" s="44"/>
      <c r="T38" s="44"/>
      <c r="U38" s="44"/>
      <c r="V38" s="44"/>
      <c r="W38" s="44"/>
      <c r="X38" s="44"/>
      <c r="Y38" s="44"/>
      <c r="Z38" s="44"/>
      <c r="AA38" s="44"/>
      <c r="AB38" s="44"/>
      <c r="AC38" s="44"/>
      <c r="AD38" s="44"/>
      <c r="AE38" s="44"/>
      <c r="AF38" s="44"/>
      <c r="AG38" s="44"/>
      <c r="AH38" s="44"/>
      <c r="AI38" s="44"/>
      <c r="AJ38" s="44"/>
      <c r="AK38" s="1495"/>
    </row>
    <row r="39" spans="2:37" ht="15.75">
      <c r="B39" s="2000" t="s">
        <v>2380</v>
      </c>
      <c r="C39" s="2143"/>
      <c r="D39" s="2144"/>
      <c r="E39" s="2294"/>
      <c r="F39" s="1181"/>
      <c r="K39" s="30"/>
      <c r="L39" s="30"/>
      <c r="O39" s="30"/>
      <c r="P39" s="30"/>
      <c r="Q39" s="46"/>
      <c r="R39" s="44"/>
      <c r="S39" s="44"/>
      <c r="T39" s="44"/>
      <c r="U39" s="44"/>
      <c r="V39" s="44"/>
      <c r="W39" s="44"/>
      <c r="X39" s="44"/>
      <c r="Y39" s="44"/>
      <c r="Z39" s="44"/>
      <c r="AA39" s="44"/>
      <c r="AB39" s="44"/>
      <c r="AC39" s="44"/>
      <c r="AD39" s="44"/>
      <c r="AE39" s="44"/>
      <c r="AF39" s="44"/>
      <c r="AG39" s="44"/>
      <c r="AH39" s="44"/>
      <c r="AI39" s="44"/>
      <c r="AJ39" s="44"/>
      <c r="AK39" s="1495"/>
    </row>
    <row r="40" spans="2:37" ht="15.75">
      <c r="B40" s="2000" t="s">
        <v>2381</v>
      </c>
      <c r="C40" s="2143"/>
      <c r="D40" s="2144"/>
      <c r="E40" s="2294"/>
      <c r="F40" s="1181"/>
      <c r="K40" s="30"/>
      <c r="L40" s="30"/>
      <c r="O40" s="30"/>
      <c r="P40" s="30"/>
      <c r="Q40" s="46"/>
      <c r="R40" s="44"/>
      <c r="S40" s="44"/>
      <c r="T40" s="44"/>
      <c r="U40" s="44"/>
      <c r="V40" s="44"/>
      <c r="W40" s="44"/>
      <c r="X40" s="44"/>
      <c r="Y40" s="44"/>
      <c r="Z40" s="44"/>
      <c r="AA40" s="44"/>
      <c r="AB40" s="44"/>
      <c r="AC40" s="44"/>
      <c r="AD40" s="44"/>
      <c r="AE40" s="44"/>
      <c r="AF40" s="44"/>
      <c r="AG40" s="44"/>
      <c r="AH40" s="44"/>
      <c r="AI40" s="44"/>
      <c r="AJ40" s="44"/>
      <c r="AK40" s="1495"/>
    </row>
    <row r="41" spans="2:37" ht="16.5" thickBot="1">
      <c r="B41" s="2001" t="s">
        <v>2382</v>
      </c>
      <c r="C41" s="2143"/>
      <c r="D41" s="2144"/>
      <c r="E41" s="2294"/>
      <c r="F41" s="1181"/>
      <c r="K41" s="30"/>
      <c r="L41" s="30"/>
      <c r="O41" s="30"/>
      <c r="P41" s="30"/>
      <c r="Q41" s="46"/>
      <c r="R41" s="44"/>
      <c r="S41" s="44"/>
      <c r="T41" s="44"/>
      <c r="U41" s="44"/>
      <c r="V41" s="44"/>
      <c r="W41" s="44"/>
      <c r="X41" s="44"/>
      <c r="Y41" s="44"/>
      <c r="Z41" s="44"/>
      <c r="AA41" s="44"/>
      <c r="AB41" s="44"/>
      <c r="AC41" s="44"/>
      <c r="AD41" s="44"/>
      <c r="AE41" s="44"/>
      <c r="AF41" s="44"/>
      <c r="AG41" s="44"/>
      <c r="AH41" s="44"/>
      <c r="AI41" s="44"/>
      <c r="AJ41" s="44"/>
      <c r="AK41" s="1495"/>
    </row>
    <row r="42" spans="2:37" ht="17.25" thickTop="1" thickBot="1">
      <c r="B42" s="559" t="s">
        <v>1233</v>
      </c>
      <c r="C42" s="721"/>
      <c r="D42" s="721"/>
      <c r="E42" s="722"/>
      <c r="F42" s="741">
        <f>SUM(F37:F41)</f>
        <v>0</v>
      </c>
      <c r="K42" s="30"/>
      <c r="L42" s="30"/>
      <c r="O42" s="30"/>
      <c r="P42" s="30"/>
      <c r="Q42" s="46"/>
      <c r="R42" s="44"/>
      <c r="S42" s="44"/>
      <c r="T42" s="44"/>
      <c r="U42" s="44"/>
      <c r="V42" s="44"/>
      <c r="W42" s="44"/>
      <c r="X42" s="44"/>
      <c r="Y42" s="44"/>
      <c r="Z42" s="44"/>
      <c r="AA42" s="44"/>
      <c r="AB42" s="44"/>
      <c r="AC42" s="44"/>
      <c r="AD42" s="44"/>
      <c r="AE42" s="44"/>
      <c r="AF42" s="44"/>
      <c r="AG42" s="44"/>
      <c r="AH42" s="44"/>
      <c r="AI42" s="44"/>
      <c r="AJ42" s="44"/>
      <c r="AK42" s="1495"/>
    </row>
    <row r="43" spans="2:37" ht="15.75" thickBot="1">
      <c r="K43" s="30"/>
      <c r="L43" s="30"/>
      <c r="O43" s="30"/>
      <c r="P43" s="30"/>
      <c r="Q43" s="47"/>
      <c r="R43" s="44"/>
      <c r="S43" s="44"/>
      <c r="T43" s="44"/>
      <c r="U43" s="44"/>
      <c r="V43" s="44"/>
      <c r="W43" s="44"/>
      <c r="X43" s="44"/>
      <c r="Y43" s="44"/>
      <c r="Z43" s="44"/>
      <c r="AA43" s="44"/>
      <c r="AB43" s="44"/>
      <c r="AC43" s="44"/>
      <c r="AD43" s="44"/>
      <c r="AE43" s="44"/>
      <c r="AF43" s="44"/>
      <c r="AG43" s="44"/>
      <c r="AH43" s="44"/>
      <c r="AI43" s="44"/>
      <c r="AJ43" s="44"/>
      <c r="AK43" s="1495"/>
    </row>
    <row r="44" spans="2:37" ht="15.75">
      <c r="B44" s="1192" t="s">
        <v>1234</v>
      </c>
      <c r="C44" s="1189"/>
      <c r="D44" s="1189"/>
      <c r="E44" s="1186"/>
      <c r="F44" s="1183">
        <f>SUMIF($J$9:$J$16, "Tax Exempt", $K$9:$K$16)</f>
        <v>0</v>
      </c>
      <c r="G44" s="874"/>
      <c r="K44" s="262"/>
      <c r="L44" s="262"/>
      <c r="O44" s="262"/>
      <c r="P44" s="262"/>
      <c r="Q44" s="46"/>
      <c r="R44" s="44"/>
      <c r="S44" s="44"/>
      <c r="T44" s="44"/>
      <c r="U44" s="44"/>
      <c r="V44" s="44"/>
      <c r="W44" s="44"/>
      <c r="X44" s="44"/>
      <c r="Y44" s="44"/>
      <c r="Z44" s="44"/>
      <c r="AA44" s="44"/>
      <c r="AB44" s="44"/>
      <c r="AC44" s="44"/>
      <c r="AD44" s="44"/>
      <c r="AE44" s="44"/>
      <c r="AF44" s="44"/>
      <c r="AG44" s="44"/>
      <c r="AH44" s="44"/>
      <c r="AI44" s="44"/>
      <c r="AJ44" s="44"/>
      <c r="AK44" s="1495"/>
    </row>
    <row r="45" spans="2:37" ht="15.75">
      <c r="B45" s="1193" t="s">
        <v>1235</v>
      </c>
      <c r="C45" s="1190"/>
      <c r="D45" s="1190"/>
      <c r="E45" s="1187"/>
      <c r="F45" s="1184">
        <f>K23+F33+F42</f>
        <v>0</v>
      </c>
      <c r="G45" s="805"/>
      <c r="K45" s="30"/>
      <c r="L45" s="30"/>
      <c r="O45" s="30"/>
      <c r="P45" s="30"/>
      <c r="Q45" s="46"/>
      <c r="R45" s="44"/>
      <c r="S45" s="44"/>
      <c r="T45" s="44"/>
      <c r="U45" s="44"/>
      <c r="V45" s="44"/>
      <c r="W45" s="44"/>
      <c r="X45" s="44"/>
      <c r="Y45" s="44"/>
      <c r="Z45" s="44"/>
      <c r="AA45" s="44"/>
      <c r="AB45" s="44"/>
      <c r="AC45" s="44"/>
      <c r="AD45" s="44"/>
      <c r="AE45" s="44"/>
      <c r="AF45" s="44"/>
      <c r="AG45" s="44"/>
      <c r="AH45" s="44"/>
      <c r="AI45" s="44"/>
      <c r="AJ45" s="44"/>
      <c r="AK45" s="1495"/>
    </row>
    <row r="46" spans="2:37" ht="16.5" thickBot="1">
      <c r="B46" s="595" t="s">
        <v>1236</v>
      </c>
      <c r="C46" s="1191"/>
      <c r="D46" s="1191"/>
      <c r="E46" s="1188"/>
      <c r="F46" s="1185">
        <f>'02_4_USES'!F90</f>
        <v>0</v>
      </c>
      <c r="G46" s="805"/>
      <c r="K46" s="30"/>
      <c r="L46" s="30"/>
      <c r="O46" s="30"/>
      <c r="P46" s="30"/>
      <c r="Q46" s="46"/>
      <c r="R46" s="44"/>
      <c r="S46" s="44"/>
      <c r="T46" s="44"/>
      <c r="U46" s="44"/>
      <c r="V46" s="44"/>
      <c r="W46" s="44"/>
      <c r="X46" s="44"/>
      <c r="Y46" s="44"/>
      <c r="Z46" s="44"/>
      <c r="AA46" s="44"/>
      <c r="AB46" s="44"/>
      <c r="AC46" s="44"/>
      <c r="AD46" s="44"/>
      <c r="AE46" s="44"/>
      <c r="AF46" s="44"/>
      <c r="AG46" s="44"/>
      <c r="AH46" s="44"/>
      <c r="AI46" s="44"/>
      <c r="AJ46" s="44"/>
      <c r="AK46" s="1495"/>
    </row>
    <row r="47" spans="2:37">
      <c r="K47" s="30"/>
      <c r="L47" s="30"/>
      <c r="O47" s="30"/>
      <c r="P47" s="30"/>
      <c r="Q47" s="46"/>
      <c r="R47" s="44"/>
      <c r="S47" s="44"/>
      <c r="T47" s="44"/>
      <c r="U47" s="44"/>
      <c r="V47" s="44"/>
      <c r="W47" s="44"/>
      <c r="X47" s="44"/>
      <c r="Y47" s="44"/>
      <c r="Z47" s="44"/>
      <c r="AA47" s="44"/>
      <c r="AB47" s="44"/>
      <c r="AC47" s="44"/>
      <c r="AD47" s="44"/>
      <c r="AE47" s="44"/>
      <c r="AF47" s="44"/>
      <c r="AG47" s="44"/>
      <c r="AH47" s="44"/>
      <c r="AI47" s="44"/>
      <c r="AJ47" s="44"/>
      <c r="AK47" s="1495"/>
    </row>
    <row r="48" spans="2:37">
      <c r="K48" s="30"/>
      <c r="L48" s="30"/>
      <c r="O48" s="30"/>
      <c r="P48" s="30"/>
      <c r="Q48" s="46"/>
      <c r="R48" s="44"/>
      <c r="S48" s="44"/>
      <c r="T48" s="44"/>
      <c r="U48" s="44"/>
      <c r="V48" s="44"/>
      <c r="W48" s="44"/>
      <c r="X48" s="44"/>
      <c r="Y48" s="44"/>
      <c r="Z48" s="44"/>
      <c r="AA48" s="44"/>
      <c r="AB48" s="44"/>
      <c r="AC48" s="44"/>
      <c r="AD48" s="44"/>
      <c r="AE48" s="44"/>
      <c r="AF48" s="44"/>
      <c r="AG48" s="44"/>
      <c r="AH48" s="44"/>
      <c r="AI48" s="44"/>
      <c r="AJ48" s="44"/>
      <c r="AK48" s="1495"/>
    </row>
    <row r="49" spans="1:38" ht="17.25" customHeight="1">
      <c r="A49" s="251"/>
      <c r="K49" s="30"/>
      <c r="L49" s="30"/>
      <c r="O49" s="30"/>
      <c r="P49" s="30"/>
      <c r="Q49" s="46"/>
      <c r="R49" s="44"/>
      <c r="S49" s="44"/>
      <c r="T49" s="44"/>
      <c r="U49" s="44"/>
      <c r="V49" s="44"/>
      <c r="W49" s="44"/>
      <c r="X49" s="44"/>
      <c r="Y49" s="44"/>
      <c r="Z49" s="44"/>
      <c r="AA49" s="44"/>
      <c r="AB49" s="44"/>
      <c r="AC49" s="44"/>
      <c r="AD49" s="44"/>
      <c r="AE49" s="44"/>
      <c r="AF49" s="44"/>
      <c r="AG49" s="44"/>
      <c r="AH49" s="44"/>
      <c r="AI49" s="44"/>
      <c r="AJ49" s="44"/>
      <c r="AK49" s="1495"/>
    </row>
    <row r="50" spans="1:38" ht="15" customHeight="1">
      <c r="A50" s="251"/>
      <c r="K50" s="30"/>
      <c r="L50" s="30"/>
      <c r="O50" s="30"/>
      <c r="P50" s="30"/>
      <c r="Q50" s="48"/>
      <c r="R50" s="49"/>
      <c r="S50" s="44"/>
      <c r="T50" s="44"/>
      <c r="U50" s="44"/>
      <c r="V50" s="44"/>
      <c r="W50" s="44"/>
      <c r="X50" s="44"/>
      <c r="Y50" s="44"/>
      <c r="Z50" s="44"/>
      <c r="AA50" s="44"/>
      <c r="AB50" s="44"/>
      <c r="AC50" s="44"/>
      <c r="AD50" s="44"/>
      <c r="AE50" s="44"/>
      <c r="AF50" s="44"/>
      <c r="AG50" s="44"/>
      <c r="AH50" s="44"/>
      <c r="AI50" s="44"/>
      <c r="AJ50" s="44"/>
      <c r="AK50" s="1495"/>
    </row>
    <row r="51" spans="1:38">
      <c r="A51" s="251"/>
      <c r="K51" s="30"/>
      <c r="L51" s="30"/>
      <c r="O51" s="30"/>
      <c r="P51" s="30"/>
      <c r="Q51" s="48"/>
      <c r="R51" s="49"/>
      <c r="S51" s="44"/>
      <c r="T51" s="44"/>
      <c r="U51" s="44"/>
      <c r="V51" s="44"/>
      <c r="W51" s="44"/>
      <c r="X51" s="44"/>
      <c r="Y51" s="44"/>
      <c r="Z51" s="44"/>
      <c r="AA51" s="44"/>
      <c r="AB51" s="44"/>
      <c r="AC51" s="44"/>
      <c r="AD51" s="44"/>
      <c r="AE51" s="44"/>
      <c r="AF51" s="44"/>
      <c r="AG51" s="44"/>
      <c r="AH51" s="44"/>
      <c r="AI51" s="44"/>
      <c r="AJ51" s="44"/>
      <c r="AK51" s="1495"/>
    </row>
    <row r="52" spans="1:38">
      <c r="A52" s="251"/>
      <c r="K52" s="30"/>
      <c r="L52" s="30"/>
      <c r="O52" s="30"/>
      <c r="P52" s="30"/>
      <c r="Q52" s="46"/>
      <c r="R52" s="44"/>
      <c r="S52" s="44"/>
      <c r="T52" s="44"/>
      <c r="U52" s="44"/>
      <c r="V52" s="44"/>
      <c r="W52" s="44"/>
      <c r="X52" s="44"/>
      <c r="Y52" s="44"/>
      <c r="Z52" s="44"/>
      <c r="AA52" s="44"/>
      <c r="AB52" s="44"/>
      <c r="AC52" s="44"/>
      <c r="AD52" s="44"/>
      <c r="AE52" s="44"/>
      <c r="AF52" s="44"/>
      <c r="AG52" s="44"/>
      <c r="AH52" s="44"/>
      <c r="AI52" s="44"/>
      <c r="AJ52" s="44"/>
      <c r="AK52" s="1495"/>
    </row>
    <row r="53" spans="1:38">
      <c r="A53" s="251"/>
      <c r="K53" s="30"/>
      <c r="L53" s="30"/>
      <c r="O53" s="30"/>
      <c r="P53" s="30"/>
      <c r="Q53" s="46"/>
      <c r="R53" s="44"/>
      <c r="S53" s="44"/>
      <c r="T53" s="44"/>
      <c r="U53" s="44"/>
      <c r="V53" s="44"/>
      <c r="W53" s="44"/>
      <c r="X53" s="44"/>
      <c r="Y53" s="44"/>
      <c r="Z53" s="44"/>
      <c r="AA53" s="44"/>
      <c r="AB53" s="44"/>
      <c r="AC53" s="44"/>
      <c r="AD53" s="44"/>
      <c r="AE53" s="44"/>
      <c r="AF53" s="44"/>
      <c r="AG53" s="44"/>
      <c r="AH53" s="44"/>
      <c r="AI53" s="44"/>
      <c r="AJ53" s="44"/>
      <c r="AK53" s="1495"/>
    </row>
    <row r="54" spans="1:38">
      <c r="K54" s="30"/>
      <c r="L54" s="30"/>
      <c r="O54" s="30"/>
      <c r="P54" s="30"/>
      <c r="Q54" s="46"/>
      <c r="R54" s="44"/>
      <c r="S54" s="44"/>
      <c r="T54" s="44"/>
      <c r="U54" s="44"/>
      <c r="V54" s="44"/>
      <c r="W54" s="44"/>
      <c r="X54" s="44"/>
      <c r="Y54" s="44"/>
      <c r="Z54" s="44"/>
      <c r="AA54" s="44"/>
      <c r="AB54" s="44"/>
      <c r="AC54" s="44"/>
      <c r="AD54" s="44"/>
      <c r="AE54" s="44"/>
      <c r="AF54" s="44"/>
      <c r="AG54" s="44"/>
      <c r="AH54" s="44"/>
      <c r="AI54" s="44"/>
      <c r="AJ54" s="44"/>
      <c r="AK54" s="1495"/>
    </row>
    <row r="55" spans="1:38">
      <c r="K55" s="30"/>
      <c r="L55" s="30"/>
      <c r="O55" s="30"/>
      <c r="P55" s="30"/>
      <c r="Q55" s="46"/>
      <c r="R55" s="44"/>
      <c r="S55" s="44"/>
      <c r="T55" s="44"/>
      <c r="U55" s="44"/>
      <c r="V55" s="44"/>
      <c r="W55" s="44"/>
      <c r="X55" s="44"/>
      <c r="Y55" s="44"/>
      <c r="Z55" s="44"/>
      <c r="AA55" s="44"/>
      <c r="AB55" s="44"/>
      <c r="AC55" s="44"/>
      <c r="AD55" s="44"/>
      <c r="AE55" s="44"/>
      <c r="AF55" s="44"/>
      <c r="AG55" s="44"/>
      <c r="AH55" s="44"/>
      <c r="AI55" s="44"/>
      <c r="AJ55" s="44"/>
      <c r="AK55" s="1495"/>
    </row>
    <row r="56" spans="1:38">
      <c r="K56" s="30"/>
      <c r="L56" s="30"/>
      <c r="O56" s="30"/>
      <c r="P56" s="30"/>
      <c r="Q56" s="48"/>
      <c r="R56" s="49"/>
      <c r="S56" s="44"/>
      <c r="T56" s="44"/>
      <c r="U56" s="44"/>
      <c r="V56" s="44"/>
      <c r="W56" s="44"/>
      <c r="X56" s="44"/>
      <c r="Y56" s="44"/>
      <c r="Z56" s="44"/>
      <c r="AA56" s="44"/>
      <c r="AB56" s="44"/>
      <c r="AC56" s="44"/>
      <c r="AD56" s="44"/>
      <c r="AE56" s="44"/>
      <c r="AF56" s="44"/>
      <c r="AG56" s="44"/>
      <c r="AH56" s="44"/>
      <c r="AI56" s="44"/>
      <c r="AJ56" s="44"/>
      <c r="AK56" s="1495"/>
    </row>
    <row r="57" spans="1:38">
      <c r="K57" s="30"/>
      <c r="L57" s="30"/>
      <c r="O57" s="30"/>
      <c r="P57" s="30"/>
      <c r="Q57" s="46"/>
      <c r="R57" s="44"/>
      <c r="S57" s="44"/>
      <c r="T57" s="44"/>
      <c r="U57" s="44"/>
      <c r="V57" s="44"/>
      <c r="W57" s="44"/>
      <c r="X57" s="44"/>
      <c r="Y57" s="44"/>
      <c r="Z57" s="44"/>
      <c r="AA57" s="44"/>
      <c r="AB57" s="44"/>
      <c r="AC57" s="44"/>
      <c r="AD57" s="44"/>
      <c r="AE57" s="44"/>
      <c r="AF57" s="44"/>
      <c r="AG57" s="44"/>
      <c r="AH57" s="44"/>
      <c r="AI57" s="44"/>
      <c r="AJ57" s="44"/>
      <c r="AK57" s="1495"/>
    </row>
    <row r="58" spans="1:38">
      <c r="K58" s="30"/>
      <c r="L58" s="30"/>
      <c r="O58" s="30"/>
      <c r="P58" s="30"/>
      <c r="Q58" s="46"/>
      <c r="R58" s="44"/>
      <c r="S58" s="44"/>
      <c r="T58" s="44"/>
      <c r="U58" s="44"/>
      <c r="V58" s="44"/>
      <c r="W58" s="44"/>
      <c r="X58" s="44"/>
      <c r="Y58" s="44"/>
      <c r="Z58" s="44"/>
      <c r="AA58" s="44"/>
      <c r="AB58" s="44"/>
      <c r="AC58" s="44"/>
      <c r="AD58" s="44"/>
      <c r="AE58" s="44"/>
      <c r="AF58" s="44"/>
      <c r="AG58" s="44"/>
      <c r="AH58" s="44"/>
      <c r="AI58" s="44"/>
      <c r="AJ58" s="44"/>
      <c r="AK58" s="1495"/>
    </row>
    <row r="59" spans="1:38">
      <c r="K59" s="30"/>
      <c r="L59" s="30"/>
      <c r="O59" s="30"/>
      <c r="P59" s="30"/>
      <c r="Q59" s="46"/>
      <c r="R59" s="44"/>
      <c r="S59" s="44"/>
      <c r="T59" s="44"/>
      <c r="U59" s="44"/>
      <c r="V59" s="44"/>
      <c r="W59" s="44"/>
      <c r="X59" s="44"/>
      <c r="Y59" s="44"/>
      <c r="Z59" s="44"/>
      <c r="AA59" s="44"/>
      <c r="AB59" s="44"/>
      <c r="AC59" s="44"/>
      <c r="AD59" s="44"/>
      <c r="AE59" s="44"/>
      <c r="AF59" s="44"/>
      <c r="AG59" s="44"/>
      <c r="AH59" s="44"/>
      <c r="AI59" s="44"/>
      <c r="AJ59" s="44"/>
      <c r="AK59" s="1495"/>
    </row>
    <row r="60" spans="1:38" ht="15.75" thickBot="1">
      <c r="K60" s="30"/>
      <c r="L60" s="30"/>
      <c r="O60" s="30"/>
      <c r="P60" s="30"/>
      <c r="Q60" s="50"/>
      <c r="R60" s="51"/>
      <c r="S60" s="51"/>
      <c r="T60" s="51"/>
      <c r="U60" s="51"/>
      <c r="V60" s="51"/>
      <c r="W60" s="51"/>
      <c r="X60" s="51"/>
      <c r="Y60" s="51"/>
      <c r="Z60" s="51"/>
      <c r="AA60" s="51"/>
      <c r="AB60" s="51"/>
      <c r="AC60" s="51"/>
      <c r="AD60" s="51"/>
      <c r="AE60" s="51"/>
      <c r="AF60" s="51"/>
      <c r="AG60" s="51"/>
      <c r="AH60" s="51"/>
      <c r="AI60" s="51"/>
      <c r="AJ60" s="51"/>
      <c r="AK60" s="1496"/>
      <c r="AL60" s="1498"/>
    </row>
    <row r="61" spans="1:38" hidden="1">
      <c r="K61" s="30"/>
      <c r="L61" s="30"/>
      <c r="O61" s="30"/>
      <c r="P61" s="30"/>
    </row>
    <row r="62" spans="1:38" hidden="1">
      <c r="K62" s="30"/>
      <c r="L62" s="30"/>
      <c r="O62" s="30"/>
      <c r="P62" s="30"/>
    </row>
    <row r="63" spans="1:38" hidden="1">
      <c r="K63" s="30"/>
      <c r="L63" s="30"/>
      <c r="O63" s="30"/>
      <c r="P63" s="30"/>
    </row>
    <row r="64" spans="1:38" hidden="1">
      <c r="K64" s="30"/>
      <c r="L64" s="30"/>
      <c r="O64" s="30"/>
      <c r="P64" s="30"/>
    </row>
    <row r="67" spans="15:15" hidden="1">
      <c r="O67" s="30"/>
    </row>
    <row r="68" spans="15:15" hidden="1">
      <c r="O68" s="30"/>
    </row>
    <row r="69" spans="15:15" hidden="1">
      <c r="O69" s="30"/>
    </row>
    <row r="70" spans="15:15" hidden="1">
      <c r="O70" s="30"/>
    </row>
    <row r="71" spans="15:15" hidden="1">
      <c r="O71" s="30"/>
    </row>
    <row r="72" spans="15:15" hidden="1">
      <c r="O72" s="30"/>
    </row>
    <row r="73" spans="15:15" hidden="1">
      <c r="O73" s="30"/>
    </row>
    <row r="74" spans="15:15" hidden="1">
      <c r="O74" s="30"/>
    </row>
    <row r="75" spans="15:15" hidden="1">
      <c r="O75" s="30"/>
    </row>
    <row r="76" spans="15:15" hidden="1">
      <c r="O76" s="30"/>
    </row>
    <row r="77" spans="15:15" hidden="1">
      <c r="O77" s="30"/>
    </row>
    <row r="81" spans="4:5"/>
    <row r="82" spans="4:5"/>
    <row r="83" spans="4:5"/>
    <row r="84" spans="4:5"/>
    <row r="85" spans="4:5"/>
    <row r="86" spans="4:5"/>
    <row r="87" spans="4:5"/>
    <row r="93" spans="4:5" hidden="1">
      <c r="D93" s="257"/>
      <c r="E93" s="257"/>
    </row>
    <row r="94" spans="4:5" hidden="1">
      <c r="D94" s="258"/>
      <c r="E94" s="258"/>
    </row>
  </sheetData>
  <sheetProtection algorithmName="SHA-512" hashValue="w/pAJugh6hJKs7g7NFJa9+b6v9N0gcgjWhbyfFINhGxZ72lCuN6fKUJdBbzoB5BDHnp01OOYRo6zpPhb0GcRzQ==" saltValue="OkdSSuXi64wdiSy5oO9fbw==" spinCount="100000" sheet="1" objects="1" scenarios="1" formatCells="0" formatColumns="0" formatRows="0"/>
  <mergeCells count="13">
    <mergeCell ref="C39:E39"/>
    <mergeCell ref="C38:E38"/>
    <mergeCell ref="C37:E37"/>
    <mergeCell ref="C36:E36"/>
    <mergeCell ref="C41:E41"/>
    <mergeCell ref="C40:E40"/>
    <mergeCell ref="C26:E26"/>
    <mergeCell ref="C27:E27"/>
    <mergeCell ref="C28:E28"/>
    <mergeCell ref="C32:E32"/>
    <mergeCell ref="C29:E29"/>
    <mergeCell ref="C30:E30"/>
    <mergeCell ref="C31:E31"/>
  </mergeCells>
  <phoneticPr fontId="58" type="noConversion"/>
  <conditionalFormatting sqref="BX1:BX2 EM1:EM2 HB1:HB2 JQ1:JQ2 MF1:MF2 OU1:OU2 RJ1:RJ2 TY1:TY2 WN1:WN2 ZC1:ZC2 ABR1:ABR2 AEG1:AEG2 AGV1:AGV2 AJK1:AJK2 ALZ1:ALZ2 AOO1:AOO2 ARD1:ARD2 ATS1:ATS2 AWH1:AWH2 AYW1:AYW2 BBL1:BBL2 BEA1:BEA2 BGP1:BGP2 BJE1:BJE2 BLT1:BLT2 BOI1:BOI2 BQX1:BQX2 BTM1:BTM2 BWB1:BWB2 BYQ1:BYQ2 CBF1:CBF2 CDU1:CDU2 CGJ1:CGJ2 CIY1:CIY2 CLN1:CLN2 COC1:COC2 CQR1:CQR2 CTG1:CTG2 CVV1:CVV2 CYK1:CYK2 DAZ1:DAZ2 DDO1:DDO2 DGD1:DGD2 DIS1:DIS2 DLH1:DLH2 DNW1:DNW2 DQL1:DQL2 DTA1:DTA2 DVP1:DVP2 DYE1:DYE2 EAT1:EAT2 EDI1:EDI2 EFX1:EFX2 EIM1:EIM2 ELB1:ELB2 ENQ1:ENQ2 EQF1:EQF2 ESU1:ESU2 EVJ1:EVJ2 EXY1:EXY2 FAN1:FAN2 FDC1:FDC2 FFR1:FFR2 FIG1:FIG2 FKV1:FKV2 FNK1:FNK2 FPZ1:FPZ2 FSO1:FSO2 FVD1:FVD2 FXS1:FXS2 GAH1:GAH2 GCW1:GCW2 GFL1:GFL2 GIA1:GIA2 GKP1:GKP2 GNE1:GNE2 GPT1:GPT2 GSI1:GSI2 GUX1:GUX2 GXM1:GXM2 HAB1:HAB2 HCQ1:HCQ2 HFF1:HFF2 HHU1:HHU2 HKJ1:HKJ2 HMY1:HMY2 HPN1:HPN2 HSC1:HSC2 HUR1:HUR2 HXG1:HXG2 HZV1:HZV2 ICK1:ICK2 IEZ1:IEZ2 IHO1:IHO2 IKD1:IKD2 IMS1:IMS2 IPH1:IPH2 IRW1:IRW2 IUL1:IUL2 IXA1:IXA2 IZP1:IZP2 JCE1:JCE2 JET1:JET2 JHI1:JHI2 JJX1:JJX2 JMM1:JMM2 JPB1:JPB2 JRQ1:JRQ2 JUF1:JUF2 JWU1:JWU2 JZJ1:JZJ2 KBY1:KBY2 KEN1:KEN2 KHC1:KHC2 KJR1:KJR2 KMG1:KMG2 KOV1:KOV2 KRK1:KRK2 KTZ1:KTZ2 KWO1:KWO2 KZD1:KZD2 LBS1:LBS2 LEH1:LEH2 LGW1:LGW2 LJL1:LJL2 LMA1:LMA2 LOP1:LOP2 LRE1:LRE2 LTT1:LTT2 LWI1:LWI2 LYX1:LYX2 MBM1:MBM2 MEB1:MEB2 MGQ1:MGQ2 MJF1:MJF2 MLU1:MLU2 MOJ1:MOJ2 MQY1:MQY2 MTN1:MTN2 MWC1:MWC2 MYR1:MYR2 NBG1:NBG2 NDV1:NDV2 NGK1:NGK2 NIZ1:NIZ2 NLO1:NLO2 NOD1:NOD2 NQS1:NQS2 NTH1:NTH2 NVW1:NVW2 NYL1:NYL2 OBA1:OBA2 ODP1:ODP2 OGE1:OGE2 OIT1:OIT2 OLI1:OLI2 ONX1:ONX2 OQM1:OQM2 OTB1:OTB2 OVQ1:OVQ2 OYF1:OYF2 PAU1:PAU2 PDJ1:PDJ2 PFY1:PFY2 PIN1:PIN2 PLC1:PLC2 PNR1:PNR2 PQG1:PQG2 PSV1:PSV2 PVK1:PVK2 PXZ1:PXZ2 QAO1:QAO2 QDD1:QDD2 QFS1:QFS2 QIH1:QIH2 QKW1:QKW2 QNL1:QNL2 QQA1:QQA2 QSP1:QSP2 QVE1:QVE2 QXT1:QXT2 RAI1:RAI2 RCX1:RCX2 RFM1:RFM2 RIB1:RIB2 RKQ1:RKQ2 RNF1:RNF2 RPU1:RPU2 RSJ1:RSJ2 RUY1:RUY2 RXN1:RXN2 SAC1:SAC2 SCR1:SCR2 SFG1:SFG2 SHV1:SHV2 SKK1:SKK2 SMZ1:SMZ2 SPO1:SPO2 SSD1:SSD2 SUS1:SUS2 SXH1:SXH2 SZW1:SZW2 TCL1:TCL2 TFA1:TFA2 THP1:THP2 TKE1:TKE2 TMT1:TMT2 TPI1:TPI2 TRX1:TRX2 TUM1:TUM2 TXB1:TXB2 TZQ1:TZQ2 UCF1:UCF2 UEU1:UEU2 UHJ1:UHJ2 UJY1:UJY2 UMN1:UMN2 UPC1:UPC2 URR1:URR2 UUG1:UUG2 UWV1:UWV2 UZK1:UZK2 VBZ1:VBZ2 VEO1:VEO2 VHD1:VHD2 VJS1:VJS2 VMH1:VMH2 VOW1:VOW2 VRL1:VRL2 VUA1:VUA2 VWP1:VWP2 VZE1:VZE2 WBT1:WBT2 WEI1:WEI2 WGX1:WGX2 WJM1:WJM2 WMB1:WMB2 WOQ1:WOQ2 WRF1:WRF2 WTU1:WTU2 WWJ1:WWJ2 WYY1:WYY2 XBN1:XBN2 XEC1:XEC2">
    <cfRule type="colorScale" priority="8">
      <colorScale>
        <cfvo type="min"/>
        <cfvo type="num" val="0"/>
        <cfvo type="max"/>
        <color rgb="FF63CD7B"/>
        <color theme="0"/>
        <color rgb="FFF8696B"/>
      </colorScale>
    </cfRule>
  </conditionalFormatting>
  <conditionalFormatting sqref="BV1:BV2 EK1:EK2 GZ1:GZ2 JO1:JO2 MD1:MD2 OS1:OS2 RH1:RH2 TW1:TW2 WL1:WL2 ZA1:ZA2 ABP1:ABP2 AEE1:AEE2 AGT1:AGT2 AJI1:AJI2 ALX1:ALX2 AOM1:AOM2 ARB1:ARB2 ATQ1:ATQ2 AWF1:AWF2 AYU1:AYU2 BBJ1:BBJ2 BDY1:BDY2 BGN1:BGN2 BJC1:BJC2 BLR1:BLR2 BOG1:BOG2 BQV1:BQV2 BTK1:BTK2 BVZ1:BVZ2 BYO1:BYO2 CBD1:CBD2 CDS1:CDS2 CGH1:CGH2 CIW1:CIW2 CLL1:CLL2 COA1:COA2 CQP1:CQP2 CTE1:CTE2 CVT1:CVT2 CYI1:CYI2 DAX1:DAX2 DDM1:DDM2 DGB1:DGB2 DIQ1:DIQ2 DLF1:DLF2 DNU1:DNU2 DQJ1:DQJ2 DSY1:DSY2 DVN1:DVN2 DYC1:DYC2 EAR1:EAR2 EDG1:EDG2 EFV1:EFV2 EIK1:EIK2 EKZ1:EKZ2 ENO1:ENO2 EQD1:EQD2 ESS1:ESS2 EVH1:EVH2 EXW1:EXW2 FAL1:FAL2 FDA1:FDA2 FFP1:FFP2 FIE1:FIE2 FKT1:FKT2 FNI1:FNI2 FPX1:FPX2 FSM1:FSM2 FVB1:FVB2 FXQ1:FXQ2 GAF1:GAF2 GCU1:GCU2 GFJ1:GFJ2 GHY1:GHY2 GKN1:GKN2 GNC1:GNC2 GPR1:GPR2 GSG1:GSG2 GUV1:GUV2 GXK1:GXK2 GZZ1:GZZ2 HCO1:HCO2 HFD1:HFD2 HHS1:HHS2 HKH1:HKH2 HMW1:HMW2 HPL1:HPL2 HSA1:HSA2 HUP1:HUP2 HXE1:HXE2 HZT1:HZT2 ICI1:ICI2 IEX1:IEX2 IHM1:IHM2 IKB1:IKB2 IMQ1:IMQ2 IPF1:IPF2 IRU1:IRU2 IUJ1:IUJ2 IWY1:IWY2 IZN1:IZN2 JCC1:JCC2 JER1:JER2 JHG1:JHG2 JJV1:JJV2 JMK1:JMK2 JOZ1:JOZ2 JRO1:JRO2 JUD1:JUD2 JWS1:JWS2 JZH1:JZH2 KBW1:KBW2 KEL1:KEL2 KHA1:KHA2 KJP1:KJP2 KME1:KME2 KOT1:KOT2 KRI1:KRI2 KTX1:KTX2 KWM1:KWM2 KZB1:KZB2 LBQ1:LBQ2 LEF1:LEF2 LGU1:LGU2 LJJ1:LJJ2 LLY1:LLY2 LON1:LON2 LRC1:LRC2 LTR1:LTR2 LWG1:LWG2 LYV1:LYV2 MBK1:MBK2 MDZ1:MDZ2 MGO1:MGO2 MJD1:MJD2 MLS1:MLS2 MOH1:MOH2 MQW1:MQW2 MTL1:MTL2 MWA1:MWA2 MYP1:MYP2 NBE1:NBE2 NDT1:NDT2 NGI1:NGI2 NIX1:NIX2 NLM1:NLM2 NOB1:NOB2 NQQ1:NQQ2 NTF1:NTF2 NVU1:NVU2 NYJ1:NYJ2 OAY1:OAY2 ODN1:ODN2 OGC1:OGC2 OIR1:OIR2 OLG1:OLG2 ONV1:ONV2 OQK1:OQK2 OSZ1:OSZ2 OVO1:OVO2 OYD1:OYD2 PAS1:PAS2 PDH1:PDH2 PFW1:PFW2 PIL1:PIL2 PLA1:PLA2 PNP1:PNP2 PQE1:PQE2 PST1:PST2 PVI1:PVI2 PXX1:PXX2 QAM1:QAM2 QDB1:QDB2 QFQ1:QFQ2 QIF1:QIF2 QKU1:QKU2 QNJ1:QNJ2 QPY1:QPY2 QSN1:QSN2 QVC1:QVC2 QXR1:QXR2 RAG1:RAG2 RCV1:RCV2 RFK1:RFK2 RHZ1:RHZ2 RKO1:RKO2 RND1:RND2 RPS1:RPS2 RSH1:RSH2 RUW1:RUW2 RXL1:RXL2 SAA1:SAA2 SCP1:SCP2 SFE1:SFE2 SHT1:SHT2 SKI1:SKI2 SMX1:SMX2 SPM1:SPM2 SSB1:SSB2 SUQ1:SUQ2 SXF1:SXF2 SZU1:SZU2 TCJ1:TCJ2 TEY1:TEY2 THN1:THN2 TKC1:TKC2 TMR1:TMR2 TPG1:TPG2 TRV1:TRV2 TUK1:TUK2 TWZ1:TWZ2 TZO1:TZO2 UCD1:UCD2 UES1:UES2 UHH1:UHH2 UJW1:UJW2 UML1:UML2 UPA1:UPA2 URP1:URP2 UUE1:UUE2 UWT1:UWT2 UZI1:UZI2 VBX1:VBX2 VEM1:VEM2 VHB1:VHB2 VJQ1:VJQ2 VMF1:VMF2 VOU1:VOU2 VRJ1:VRJ2 VTY1:VTY2 VWN1:VWN2 VZC1:VZC2 WBR1:WBR2 WEG1:WEG2 WGV1:WGV2 WJK1:WJK2 WLZ1:WLZ2 WOO1:WOO2 WRD1:WRD2 WTS1:WTS2 WWH1:WWH2 WYW1:WYW2 XBL1:XBL2 XEA1:XEA2">
    <cfRule type="colorScale" priority="7">
      <colorScale>
        <cfvo type="min"/>
        <cfvo type="percentile" val="50"/>
        <cfvo type="max"/>
        <color rgb="FF63CD7B"/>
        <color rgb="FFFCFCFF"/>
        <color rgb="FFF8696B"/>
      </colorScale>
    </cfRule>
  </conditionalFormatting>
  <conditionalFormatting sqref="AD5:AD60">
    <cfRule type="colorScale" priority="6">
      <colorScale>
        <cfvo type="min"/>
        <cfvo type="num" val="0"/>
        <cfvo type="max"/>
        <color rgb="FF63CD7B"/>
        <color theme="0"/>
        <color rgb="FFF8696B"/>
      </colorScale>
    </cfRule>
  </conditionalFormatting>
  <conditionalFormatting sqref="AB5:AB60">
    <cfRule type="colorScale" priority="5">
      <colorScale>
        <cfvo type="min"/>
        <cfvo type="percentile" val="50"/>
        <cfvo type="max"/>
        <color rgb="FF63CD7B"/>
        <color rgb="FFFCFCFF"/>
        <color rgb="FFF8696B"/>
      </colorScale>
    </cfRule>
  </conditionalFormatting>
  <conditionalFormatting sqref="AD1:AD6">
    <cfRule type="colorScale" priority="2">
      <colorScale>
        <cfvo type="min"/>
        <cfvo type="num" val="0"/>
        <cfvo type="max"/>
        <color rgb="FF63CD7B"/>
        <color theme="0"/>
        <color rgb="FFF8696B"/>
      </colorScale>
    </cfRule>
  </conditionalFormatting>
  <conditionalFormatting sqref="AB1:AB6">
    <cfRule type="colorScale" priority="1">
      <colorScale>
        <cfvo type="min"/>
        <cfvo type="percentile" val="50"/>
        <cfvo type="max"/>
        <color rgb="FF63CD7B"/>
        <color rgb="FFFCFCFF"/>
        <color rgb="FFF8696B"/>
      </colorScale>
    </cfRule>
  </conditionalFormatting>
  <dataValidations count="27">
    <dataValidation type="list" allowBlank="1" showInputMessage="1" showErrorMessage="1" sqref="J9:J22" xr:uid="{00000000-0002-0000-0B00-000001000000}">
      <formula1>"Taxable, Tax Exempt"</formula1>
    </dataValidation>
    <dataValidation type="list" allowBlank="1" showInputMessage="1" showErrorMessage="1" sqref="G10:G22" xr:uid="{A9826439-DAB5-4467-8C7A-886C90D9D016}">
      <formula1>"Debt Service, Cash Flow"</formula1>
    </dataValidation>
    <dataValidation type="list" errorStyle="warning" showInputMessage="1" showErrorMessage="1" errorTitle="SmartDox" error="The value you entered for the dropdown is not valid." sqref="B31" xr:uid="{7B734A66-2F31-4EED-8FA3-FD979697CD22}">
      <formula1>SD_D_AllDEVFundingSourcesForSmartDox_Name</formula1>
    </dataValidation>
    <dataValidation type="list" errorStyle="warning" showInputMessage="1" showErrorMessage="1" errorTitle="SmartDox" error="The value you entered for the dropdown is not valid." sqref="B9" xr:uid="{9F6265AB-EFCD-4C7E-8102-7526BF6F59C2}">
      <formula1>SD_D_AllDEVFundingSourcesForSmartDox_Name</formula1>
    </dataValidation>
    <dataValidation type="list" errorStyle="warning" showInputMessage="1" showErrorMessage="1" errorTitle="SmartDox" error="The value you entered for the dropdown is not valid." sqref="B18" xr:uid="{36DDE8BB-7467-4170-A40F-B35920C81049}">
      <formula1>SD_D_AllDEVFundingSourcesForSmartDox_Name</formula1>
    </dataValidation>
    <dataValidation type="list" errorStyle="warning" showInputMessage="1" showErrorMessage="1" errorTitle="SmartDox" error="The value you entered for the dropdown is not valid." sqref="B19" xr:uid="{ADF5FE37-5364-4F8C-9333-300D3B0BBBE1}">
      <formula1>SD_D_AllDEVFundingSourcesForSmartDox_Name</formula1>
    </dataValidation>
    <dataValidation type="list" errorStyle="warning" showInputMessage="1" showErrorMessage="1" errorTitle="SmartDox" error="The value you entered for the dropdown is not valid." sqref="B20" xr:uid="{5A0EE4C5-DE29-4253-AE87-FD1EE8488EB2}">
      <formula1>SD_D_AllDEVFundingSourcesForSmartDox_Name</formula1>
    </dataValidation>
    <dataValidation type="list" errorStyle="warning" showInputMessage="1" showErrorMessage="1" errorTitle="SmartDox" error="The value you entered for the dropdown is not valid." sqref="B21" xr:uid="{7753DA20-BFCD-4FE7-BB48-665D2B7E019E}">
      <formula1>SD_D_AllDEVFundingSourcesForSmartDox_Name</formula1>
    </dataValidation>
    <dataValidation type="list" errorStyle="warning" showInputMessage="1" showErrorMessage="1" errorTitle="SmartDox" error="The value you entered for the dropdown is not valid." sqref="B22" xr:uid="{D07772EF-5984-4C38-913A-EA13412729DB}">
      <formula1>SD_D_AllDEVFundingSourcesForSmartDox_Name</formula1>
    </dataValidation>
    <dataValidation type="list" errorStyle="warning" showInputMessage="1" showErrorMessage="1" errorTitle="SmartDox" error="The value you entered for the dropdown is not valid." sqref="B27" xr:uid="{AF5D76BD-F265-4E5A-A0B9-F77433CA998A}">
      <formula1>SD_D_AllDEVFundingSourcesForSmartDox_Name</formula1>
    </dataValidation>
    <dataValidation type="list" errorStyle="warning" showInputMessage="1" showErrorMessage="1" errorTitle="SmartDox" error="The value you entered for the dropdown is not valid." sqref="B28" xr:uid="{B1B1607E-4623-4B9D-B343-48F29E1CB15A}">
      <formula1>SD_D_AllDEVFundingSourcesForSmartDox_Name</formula1>
    </dataValidation>
    <dataValidation type="list" errorStyle="warning" showInputMessage="1" showErrorMessage="1" errorTitle="SmartDox" error="The value you entered for the dropdown is not valid." sqref="B29" xr:uid="{46559568-D11F-4671-8BB1-E11BC7774523}">
      <formula1>SD_D_AllDEVFundingSourcesForSmartDox_Name</formula1>
    </dataValidation>
    <dataValidation type="list" errorStyle="warning" showInputMessage="1" showErrorMessage="1" errorTitle="SmartDox" error="The value you entered for the dropdown is not valid." sqref="B30" xr:uid="{365E15A5-54AF-4D78-A2B1-338D73DE8E23}">
      <formula1>SD_D_AllDEVFundingSourcesForSmartDox_Name</formula1>
    </dataValidation>
    <dataValidation type="list" errorStyle="warning" showInputMessage="1" showErrorMessage="1" errorTitle="SmartDox" error="The value you entered for the dropdown is not valid." sqref="B32" xr:uid="{EEE0807C-D9C3-46DA-AD1C-5E014A3AD1CB}">
      <formula1>SD_D_AllDEVFundingSourcesForSmartDox_Name</formula1>
    </dataValidation>
    <dataValidation type="list" errorStyle="warning" showInputMessage="1" showErrorMessage="1" errorTitle="SmartDox" error="The value you entered for the dropdown is not valid." sqref="B10" xr:uid="{A6DA9318-324A-4712-AB1E-DA88DA5DEFDC}">
      <formula1>SD_D_AllDEVFundingSourcesForSmartDox_Name</formula1>
    </dataValidation>
    <dataValidation type="list" errorStyle="warning" showInputMessage="1" showErrorMessage="1" errorTitle="SmartDox" error="The value you entered for the dropdown is not valid." sqref="B37" xr:uid="{A435D3BF-FA9A-4F2C-91A5-DFBCB5A92AF6}">
      <formula1>SD_D_AllDEVFundingSourcesForSmartDox_Name</formula1>
    </dataValidation>
    <dataValidation type="list" errorStyle="warning" showInputMessage="1" showErrorMessage="1" errorTitle="SmartDox" error="The value you entered for the dropdown is not valid." sqref="B38" xr:uid="{F712DF8E-BBE1-4E26-BD78-24BB1487C993}">
      <formula1>SD_D_AllDEVFundingSourcesForSmartDox_Name</formula1>
    </dataValidation>
    <dataValidation type="list" errorStyle="warning" showInputMessage="1" showErrorMessage="1" errorTitle="SmartDox" error="The value you entered for the dropdown is not valid." sqref="B39" xr:uid="{02357F03-EA30-466C-993E-8FECCCF82E84}">
      <formula1>SD_D_AllDEVFundingSourcesForSmartDox_Name</formula1>
    </dataValidation>
    <dataValidation type="list" errorStyle="warning" showInputMessage="1" showErrorMessage="1" errorTitle="SmartDox" error="The value you entered for the dropdown is not valid." sqref="B40" xr:uid="{5A55403E-9BD3-4D4D-B17B-8DF005DEB043}">
      <formula1>SD_D_AllDEVFundingSourcesForSmartDox_Name</formula1>
    </dataValidation>
    <dataValidation type="list" errorStyle="warning" showInputMessage="1" showErrorMessage="1" errorTitle="SmartDox" error="The value you entered for the dropdown is not valid." sqref="B41" xr:uid="{2F97C3C1-71E1-498C-B24E-602649AFB5A7}">
      <formula1>SD_D_AllDEVFundingSourcesForSmartDox_Name</formula1>
    </dataValidation>
    <dataValidation type="list" errorStyle="warning" showInputMessage="1" showErrorMessage="1" errorTitle="SmartDox" error="The value you entered for the dropdown is not valid." sqref="B11" xr:uid="{8EF3AFBA-6526-4C48-87FA-8D4D4BC63FDE}">
      <formula1>SD_D_AllDEVFundingSourcesForSmartDox_Name</formula1>
    </dataValidation>
    <dataValidation type="list" errorStyle="warning" showInputMessage="1" showErrorMessage="1" errorTitle="SmartDox" error="The value you entered for the dropdown is not valid." sqref="B12" xr:uid="{B18C0702-10EB-4B25-A6A6-23A50396F74E}">
      <formula1>SD_D_AllDEVFundingSourcesForSmartDox_Name</formula1>
    </dataValidation>
    <dataValidation type="list" errorStyle="warning" showInputMessage="1" showErrorMessage="1" errorTitle="SmartDox" error="The value you entered for the dropdown is not valid." sqref="B13" xr:uid="{B99CA2B3-92E9-4611-8690-C7481388FC34}">
      <formula1>SD_D_AllDEVFundingSourcesForSmartDox_Name</formula1>
    </dataValidation>
    <dataValidation type="list" errorStyle="warning" showInputMessage="1" showErrorMessage="1" errorTitle="SmartDox" error="The value you entered for the dropdown is not valid." sqref="B14" xr:uid="{C6B74042-51F6-4185-AC6F-5AF3DB60E473}">
      <formula1>SD_D_AllDEVFundingSourcesForSmartDox_Name</formula1>
    </dataValidation>
    <dataValidation type="list" errorStyle="warning" showInputMessage="1" showErrorMessage="1" errorTitle="SmartDox" error="The value you entered for the dropdown is not valid." sqref="B15" xr:uid="{C6D69BDC-912D-47E3-B41A-10DE314ADA1A}">
      <formula1>SD_D_AllDEVFundingSourcesForSmartDox_Name</formula1>
    </dataValidation>
    <dataValidation type="list" errorStyle="warning" showInputMessage="1" showErrorMessage="1" errorTitle="SmartDox" error="The value you entered for the dropdown is not valid." sqref="B16" xr:uid="{F69FC536-37F6-4D0F-A8A3-42B23F609EBB}">
      <formula1>SD_D_AllDEVFundingSourcesForSmartDox_Name</formula1>
    </dataValidation>
    <dataValidation type="list" errorStyle="warning" showInputMessage="1" showErrorMessage="1" errorTitle="SmartDox" error="The value you entered for the dropdown is not valid." sqref="B17" xr:uid="{146937F3-9DFF-4A86-80A3-AB5052BDD406}">
      <formula1>SD_D_AllDEVFundingSourcesForSmartDox_Name</formula1>
    </dataValidation>
  </dataValidations>
  <pageMargins left="0.7" right="0.7" top="0.75" bottom="0.75" header="0.3" footer="0.3"/>
  <pageSetup scale="60" orientation="landscape" r:id="rId1"/>
  <headerFooter alignWithMargins="0">
    <oddFooter>&amp;L&amp;A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wst02_4_Uses">
    <tabColor theme="5" tint="-0.249977111117893"/>
    <pageSetUpPr fitToPage="1"/>
  </sheetPr>
  <dimension ref="A1:BH240"/>
  <sheetViews>
    <sheetView zoomScale="85" zoomScaleNormal="85" workbookViewId="0"/>
  </sheetViews>
  <sheetFormatPr defaultColWidth="9.5" defaultRowHeight="12.75" zeroHeight="1"/>
  <cols>
    <col min="1" max="1" width="3" style="11" customWidth="1"/>
    <col min="2" max="2" width="71" style="11" customWidth="1"/>
    <col min="3" max="5" width="23.5" style="11" customWidth="1"/>
    <col min="6" max="6" width="22.5" style="11" customWidth="1"/>
    <col min="7" max="7" width="18.5" style="11" customWidth="1"/>
    <col min="8" max="8" width="7" style="11" customWidth="1"/>
    <col min="9" max="9" width="21" style="11" customWidth="1"/>
    <col min="10" max="10" width="21.6640625" style="11" customWidth="1"/>
    <col min="11" max="11" width="19" style="11" customWidth="1"/>
    <col min="12" max="12" width="7.5" style="11" customWidth="1"/>
    <col min="13" max="13" width="19.83203125" style="11" bestFit="1" customWidth="1"/>
    <col min="14" max="14" width="21.1640625" style="11" customWidth="1"/>
    <col min="15" max="16" width="8" style="11" customWidth="1"/>
    <col min="17" max="17" width="27.6640625" style="11" bestFit="1" customWidth="1"/>
    <col min="18" max="18" width="17.1640625" style="11" customWidth="1"/>
    <col min="19" max="19" width="3" style="11" customWidth="1"/>
    <col min="20" max="21" width="9.5" style="11" customWidth="1"/>
    <col min="22" max="22" width="9.5" style="11" bestFit="1" customWidth="1"/>
    <col min="23" max="23" width="10" style="11" bestFit="1" customWidth="1"/>
    <col min="24" max="60" width="9.5" style="11" customWidth="1"/>
    <col min="61" max="16384" width="9.5" style="11"/>
  </cols>
  <sheetData>
    <row r="1" spans="1:60" s="9" customFormat="1" ht="27" thickTop="1">
      <c r="A1" s="61" t="s">
        <v>1543</v>
      </c>
      <c r="B1" s="60"/>
      <c r="C1" s="60"/>
      <c r="D1" s="60"/>
      <c r="E1" s="60"/>
      <c r="F1" s="60"/>
      <c r="G1" s="60"/>
      <c r="H1" s="60"/>
      <c r="I1" s="60"/>
      <c r="J1" s="60"/>
      <c r="K1" s="60"/>
      <c r="L1" s="60"/>
      <c r="M1" s="60"/>
      <c r="N1" s="60"/>
      <c r="O1" s="60"/>
      <c r="P1" s="60"/>
      <c r="Q1" s="60"/>
      <c r="R1" s="60"/>
      <c r="S1" s="59"/>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row>
    <row r="2" spans="1:60" s="9" customFormat="1" ht="21">
      <c r="A2" s="668" t="str">
        <f>IF(rng01_ProjectName="","[Project Name]", rng01_ProjectName)</f>
        <v>[Project Name]</v>
      </c>
      <c r="B2" s="664"/>
      <c r="C2" s="664"/>
      <c r="D2" s="664"/>
      <c r="E2" s="665"/>
      <c r="F2" s="666" t="s">
        <v>245</v>
      </c>
      <c r="G2" s="667">
        <f>tbl00ModelProgress[[#Totals],[Date of Progress /
Last Edit]]</f>
        <v>0</v>
      </c>
      <c r="H2" s="665"/>
      <c r="I2" s="666"/>
      <c r="J2" s="667"/>
      <c r="K2" s="675"/>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row>
    <row r="3" spans="1:60" ht="15.75">
      <c r="B3" s="151"/>
      <c r="C3" s="151"/>
      <c r="D3" s="151"/>
      <c r="E3" s="151"/>
    </row>
    <row r="4" spans="1:60" ht="13.5" thickBot="1"/>
    <row r="5" spans="1:60" s="1011" customFormat="1" ht="51.75" customHeight="1" thickBot="1">
      <c r="B5" s="1274" t="s">
        <v>29</v>
      </c>
      <c r="C5" s="1260" t="s">
        <v>1246</v>
      </c>
      <c r="D5" s="1000" t="s">
        <v>1247</v>
      </c>
      <c r="E5" s="1248" t="s">
        <v>1248</v>
      </c>
      <c r="F5" s="1014" t="s">
        <v>1002</v>
      </c>
      <c r="G5" s="1253" t="s">
        <v>1249</v>
      </c>
      <c r="H5" s="1010"/>
      <c r="I5" s="1167" t="s">
        <v>1250</v>
      </c>
      <c r="J5" s="1236" t="s">
        <v>1251</v>
      </c>
      <c r="K5" s="1001" t="s">
        <v>1252</v>
      </c>
      <c r="L5" s="1010"/>
      <c r="M5" s="1001" t="s">
        <v>1253</v>
      </c>
      <c r="N5" s="1291" t="s">
        <v>917</v>
      </c>
      <c r="Q5" s="2297" t="s">
        <v>1544</v>
      </c>
      <c r="R5" s="2298"/>
    </row>
    <row r="6" spans="1:60" ht="33.75" customHeight="1" thickBot="1">
      <c r="B6" s="1275"/>
      <c r="C6" s="1261"/>
      <c r="D6" s="1227"/>
      <c r="E6" s="1249"/>
      <c r="F6" s="1256"/>
      <c r="G6" s="1254"/>
      <c r="H6" s="1012"/>
      <c r="I6" s="1235"/>
      <c r="J6" s="1237"/>
      <c r="K6" s="1246"/>
      <c r="L6" s="1012"/>
      <c r="M6" s="1246"/>
      <c r="N6" s="1292"/>
      <c r="O6" s="1013"/>
      <c r="P6" s="1013"/>
      <c r="Q6" s="1644"/>
      <c r="R6" s="1645"/>
      <c r="V6" s="76" t="s">
        <v>1483</v>
      </c>
      <c r="W6" s="74"/>
      <c r="X6" s="75"/>
      <c r="Y6" s="75"/>
      <c r="Z6" s="75"/>
      <c r="AA6" s="75"/>
      <c r="AB6" s="75"/>
      <c r="AC6" s="75"/>
      <c r="AD6" s="75"/>
      <c r="AE6" s="75"/>
      <c r="AF6" s="75"/>
      <c r="AG6" s="75"/>
      <c r="AH6" s="75"/>
      <c r="AI6" s="75"/>
      <c r="AJ6" s="75"/>
      <c r="AK6" s="75"/>
      <c r="AL6" s="75"/>
      <c r="AM6" s="75"/>
      <c r="AN6" s="75"/>
      <c r="AO6" s="75"/>
      <c r="AP6" s="72"/>
    </row>
    <row r="7" spans="1:60" ht="15.75">
      <c r="B7" s="1276" t="s">
        <v>1255</v>
      </c>
      <c r="C7" s="263"/>
      <c r="D7" s="263"/>
      <c r="E7" s="263"/>
      <c r="F7" s="1015"/>
      <c r="G7" s="264"/>
      <c r="H7" s="8"/>
      <c r="I7" s="161"/>
      <c r="J7" s="295"/>
      <c r="K7" s="855"/>
      <c r="L7" s="8"/>
      <c r="M7" s="855"/>
      <c r="N7" s="1293"/>
      <c r="Q7" s="152" t="s">
        <v>1545</v>
      </c>
      <c r="R7" s="1639">
        <f>SUM(F18:F19)</f>
        <v>0</v>
      </c>
      <c r="V7" s="42"/>
      <c r="W7" s="43"/>
      <c r="X7" s="43"/>
      <c r="Y7" s="44"/>
      <c r="Z7" s="44"/>
      <c r="AA7" s="44"/>
      <c r="AB7" s="44"/>
      <c r="AC7" s="44"/>
      <c r="AD7" s="44"/>
      <c r="AE7" s="44"/>
      <c r="AF7" s="44"/>
      <c r="AG7" s="44"/>
      <c r="AH7" s="44"/>
      <c r="AI7" s="44"/>
      <c r="AJ7" s="44"/>
      <c r="AK7" s="44"/>
      <c r="AL7" s="44"/>
      <c r="AM7" s="44"/>
      <c r="AN7" s="44"/>
      <c r="AO7" s="44"/>
      <c r="AP7" s="45"/>
    </row>
    <row r="8" spans="1:60" ht="15.75">
      <c r="A8" s="121"/>
      <c r="B8" s="1277" t="s">
        <v>1256</v>
      </c>
      <c r="C8" s="1262"/>
      <c r="D8" s="96"/>
      <c r="E8" s="97"/>
      <c r="F8" s="1257">
        <f>SUM(C8:E8)</f>
        <v>0</v>
      </c>
      <c r="G8" s="266">
        <f>IF($F$15=0,0,F8/$F$15)</f>
        <v>0</v>
      </c>
      <c r="H8" s="8"/>
      <c r="I8" s="1168"/>
      <c r="J8" s="97"/>
      <c r="K8" s="878">
        <f t="shared" ref="K8:K14" si="0">F8-I8-J8</f>
        <v>0</v>
      </c>
      <c r="L8" s="8"/>
      <c r="M8" s="876"/>
      <c r="N8" s="1294"/>
      <c r="Q8" s="152" t="s">
        <v>1546</v>
      </c>
      <c r="R8" s="1641" t="e">
        <f>F20/R7</f>
        <v>#DIV/0!</v>
      </c>
      <c r="V8" s="46"/>
      <c r="W8" s="44"/>
      <c r="X8" s="44"/>
      <c r="Y8" s="44"/>
      <c r="Z8" s="44"/>
      <c r="AA8" s="44"/>
      <c r="AB8" s="44"/>
      <c r="AC8" s="44"/>
      <c r="AD8" s="44"/>
      <c r="AE8" s="44"/>
      <c r="AF8" s="44"/>
      <c r="AG8" s="44"/>
      <c r="AH8" s="44"/>
      <c r="AI8" s="44"/>
      <c r="AJ8" s="44"/>
      <c r="AK8" s="44"/>
      <c r="AL8" s="44"/>
      <c r="AM8" s="44"/>
      <c r="AN8" s="44"/>
      <c r="AO8" s="44"/>
      <c r="AP8" s="45"/>
    </row>
    <row r="9" spans="1:60" ht="15.75">
      <c r="A9" s="121"/>
      <c r="B9" s="1278" t="s">
        <v>1257</v>
      </c>
      <c r="C9" s="1262"/>
      <c r="D9" s="96"/>
      <c r="E9" s="97"/>
      <c r="F9" s="1257">
        <f t="shared" ref="F9:F15" si="1">SUM(C9:E9)</f>
        <v>0</v>
      </c>
      <c r="G9" s="266">
        <f t="shared" ref="G9:G14" si="2">IF($F$15=0,0,F9/$F$15)</f>
        <v>0</v>
      </c>
      <c r="H9" s="8"/>
      <c r="I9" s="1168"/>
      <c r="J9" s="97"/>
      <c r="K9" s="878">
        <f t="shared" si="0"/>
        <v>0</v>
      </c>
      <c r="L9" s="8"/>
      <c r="M9" s="876"/>
      <c r="N9" s="1294"/>
      <c r="Q9" s="152" t="s">
        <v>1547</v>
      </c>
      <c r="R9" s="1641" t="e">
        <f>F21/R7</f>
        <v>#DIV/0!</v>
      </c>
      <c r="V9" s="46"/>
      <c r="W9" s="44"/>
      <c r="X9" s="44"/>
      <c r="Y9" s="44"/>
      <c r="Z9" s="44"/>
      <c r="AA9" s="44"/>
      <c r="AB9" s="44"/>
      <c r="AC9" s="44"/>
      <c r="AD9" s="44"/>
      <c r="AE9" s="44"/>
      <c r="AF9" s="44"/>
      <c r="AG9" s="44"/>
      <c r="AH9" s="44"/>
      <c r="AI9" s="44"/>
      <c r="AJ9" s="44"/>
      <c r="AK9" s="44"/>
      <c r="AL9" s="44"/>
      <c r="AM9" s="44"/>
      <c r="AN9" s="44"/>
      <c r="AO9" s="44"/>
      <c r="AP9" s="45"/>
    </row>
    <row r="10" spans="1:60" ht="15.75">
      <c r="A10" s="121"/>
      <c r="B10" s="1278" t="s">
        <v>1258</v>
      </c>
      <c r="C10" s="1262"/>
      <c r="D10" s="96"/>
      <c r="E10" s="97"/>
      <c r="F10" s="1257">
        <f t="shared" si="1"/>
        <v>0</v>
      </c>
      <c r="G10" s="266">
        <f t="shared" si="2"/>
        <v>0</v>
      </c>
      <c r="H10" s="267"/>
      <c r="I10" s="1168"/>
      <c r="J10" s="97"/>
      <c r="K10" s="878">
        <f t="shared" si="0"/>
        <v>0</v>
      </c>
      <c r="L10" s="8"/>
      <c r="M10" s="876"/>
      <c r="N10" s="1294"/>
      <c r="Q10" s="565" t="s">
        <v>1548</v>
      </c>
      <c r="R10" s="1643" t="e">
        <f>F22/SUM(F18:F21)</f>
        <v>#DIV/0!</v>
      </c>
      <c r="V10" s="46"/>
      <c r="W10" s="44"/>
      <c r="X10" s="44"/>
      <c r="Y10" s="44"/>
      <c r="Z10" s="44"/>
      <c r="AA10" s="44"/>
      <c r="AB10" s="44"/>
      <c r="AC10" s="44"/>
      <c r="AD10" s="44"/>
      <c r="AE10" s="44"/>
      <c r="AF10" s="44"/>
      <c r="AG10" s="44"/>
      <c r="AH10" s="44"/>
      <c r="AI10" s="44"/>
      <c r="AJ10" s="44"/>
      <c r="AK10" s="44"/>
      <c r="AL10" s="44"/>
      <c r="AM10" s="44"/>
      <c r="AN10" s="44"/>
      <c r="AO10" s="44"/>
      <c r="AP10" s="45"/>
    </row>
    <row r="11" spans="1:60" ht="15.75">
      <c r="A11" s="121"/>
      <c r="B11" s="1278" t="s">
        <v>1259</v>
      </c>
      <c r="C11" s="1262"/>
      <c r="D11" s="96"/>
      <c r="E11" s="97"/>
      <c r="F11" s="1257">
        <f t="shared" si="1"/>
        <v>0</v>
      </c>
      <c r="G11" s="266">
        <f t="shared" si="2"/>
        <v>0</v>
      </c>
      <c r="H11" s="267"/>
      <c r="I11" s="1168"/>
      <c r="J11" s="97"/>
      <c r="K11" s="878">
        <f t="shared" si="0"/>
        <v>0</v>
      </c>
      <c r="L11" s="8"/>
      <c r="M11" s="876"/>
      <c r="N11" s="1294"/>
      <c r="Q11" s="152" t="s">
        <v>1549</v>
      </c>
      <c r="R11" s="1639">
        <f>F31+F32</f>
        <v>0</v>
      </c>
      <c r="V11" s="46"/>
      <c r="W11" s="44"/>
      <c r="X11" s="44"/>
      <c r="Y11" s="44"/>
      <c r="Z11" s="44"/>
      <c r="AA11" s="44"/>
      <c r="AB11" s="44"/>
      <c r="AC11" s="44"/>
      <c r="AD11" s="44"/>
      <c r="AE11" s="44"/>
      <c r="AF11" s="44"/>
      <c r="AG11" s="44"/>
      <c r="AH11" s="44"/>
      <c r="AI11" s="44"/>
      <c r="AJ11" s="44"/>
      <c r="AK11" s="44"/>
      <c r="AL11" s="44"/>
      <c r="AM11" s="44"/>
      <c r="AN11" s="44"/>
      <c r="AO11" s="44"/>
      <c r="AP11" s="45"/>
    </row>
    <row r="12" spans="1:60" ht="15.75">
      <c r="A12" s="121"/>
      <c r="B12" s="1279" t="s">
        <v>96</v>
      </c>
      <c r="C12" s="1262"/>
      <c r="D12" s="96"/>
      <c r="E12" s="97"/>
      <c r="F12" s="1257">
        <f t="shared" si="1"/>
        <v>0</v>
      </c>
      <c r="G12" s="266">
        <f t="shared" si="2"/>
        <v>0</v>
      </c>
      <c r="H12" s="267"/>
      <c r="I12" s="1168"/>
      <c r="J12" s="97"/>
      <c r="K12" s="878">
        <f t="shared" si="0"/>
        <v>0</v>
      </c>
      <c r="L12" s="8"/>
      <c r="M12" s="876"/>
      <c r="N12" s="1294"/>
      <c r="Q12" s="1384" t="s">
        <v>1550</v>
      </c>
      <c r="R12" s="1647" t="e">
        <f>F31/R11</f>
        <v>#DIV/0!</v>
      </c>
      <c r="V12" s="46"/>
      <c r="W12" s="44"/>
      <c r="X12" s="44"/>
      <c r="Y12" s="44"/>
      <c r="Z12" s="44"/>
      <c r="AA12" s="44"/>
      <c r="AB12" s="44"/>
      <c r="AC12" s="44"/>
      <c r="AD12" s="44"/>
      <c r="AE12" s="44"/>
      <c r="AF12" s="44"/>
      <c r="AG12" s="44"/>
      <c r="AH12" s="44"/>
      <c r="AI12" s="44"/>
      <c r="AJ12" s="44"/>
      <c r="AK12" s="44"/>
      <c r="AL12" s="44"/>
      <c r="AM12" s="44"/>
      <c r="AN12" s="44"/>
      <c r="AO12" s="44"/>
      <c r="AP12" s="45"/>
    </row>
    <row r="13" spans="1:60" ht="15.75">
      <c r="A13" s="121"/>
      <c r="B13" s="1279" t="s">
        <v>96</v>
      </c>
      <c r="C13" s="1262"/>
      <c r="D13" s="96"/>
      <c r="E13" s="97"/>
      <c r="F13" s="1257">
        <f t="shared" si="1"/>
        <v>0</v>
      </c>
      <c r="G13" s="266">
        <f t="shared" si="2"/>
        <v>0</v>
      </c>
      <c r="H13" s="8"/>
      <c r="I13" s="1168"/>
      <c r="J13" s="97"/>
      <c r="K13" s="878">
        <f t="shared" si="0"/>
        <v>0</v>
      </c>
      <c r="L13" s="8"/>
      <c r="M13" s="876"/>
      <c r="N13" s="1294"/>
      <c r="Q13" s="1642" t="s">
        <v>1551</v>
      </c>
      <c r="R13" s="1648" t="e">
        <f>F32/R11</f>
        <v>#DIV/0!</v>
      </c>
      <c r="V13" s="46"/>
      <c r="W13" s="44"/>
      <c r="X13" s="44"/>
      <c r="Y13" s="44"/>
      <c r="Z13" s="44"/>
      <c r="AA13" s="44"/>
      <c r="AB13" s="44"/>
      <c r="AC13" s="44"/>
      <c r="AD13" s="44"/>
      <c r="AE13" s="44"/>
      <c r="AF13" s="44"/>
      <c r="AG13" s="44"/>
      <c r="AH13" s="44"/>
      <c r="AI13" s="44"/>
      <c r="AJ13" s="44"/>
      <c r="AK13" s="44"/>
      <c r="AL13" s="44"/>
      <c r="AM13" s="44"/>
      <c r="AN13" s="44"/>
      <c r="AO13" s="44"/>
      <c r="AP13" s="45"/>
    </row>
    <row r="14" spans="1:60" ht="15.75">
      <c r="A14" s="121"/>
      <c r="B14" s="1279" t="s">
        <v>96</v>
      </c>
      <c r="C14" s="1262"/>
      <c r="D14" s="96"/>
      <c r="E14" s="97"/>
      <c r="F14" s="1257">
        <f t="shared" si="1"/>
        <v>0</v>
      </c>
      <c r="G14" s="266">
        <f t="shared" si="2"/>
        <v>0</v>
      </c>
      <c r="H14" s="8"/>
      <c r="I14" s="1168"/>
      <c r="J14" s="97"/>
      <c r="K14" s="878">
        <f t="shared" si="0"/>
        <v>0</v>
      </c>
      <c r="L14" s="8"/>
      <c r="M14" s="876"/>
      <c r="N14" s="1294"/>
      <c r="Q14" s="1384" t="s">
        <v>1552</v>
      </c>
      <c r="R14" s="1639">
        <f>F38</f>
        <v>0</v>
      </c>
      <c r="V14" s="46"/>
      <c r="W14" s="44"/>
      <c r="X14" s="44"/>
      <c r="Y14" s="44"/>
      <c r="Z14" s="44"/>
      <c r="AA14" s="44"/>
      <c r="AB14" s="44"/>
      <c r="AC14" s="44"/>
      <c r="AD14" s="44"/>
      <c r="AE14" s="44"/>
      <c r="AF14" s="44"/>
      <c r="AG14" s="44"/>
      <c r="AH14" s="44"/>
      <c r="AI14" s="44"/>
      <c r="AJ14" s="44"/>
      <c r="AK14" s="44"/>
      <c r="AL14" s="44"/>
      <c r="AM14" s="44"/>
      <c r="AN14" s="44"/>
      <c r="AO14" s="44"/>
      <c r="AP14" s="45"/>
    </row>
    <row r="15" spans="1:60" ht="16.5" thickBot="1">
      <c r="B15" s="1280" t="s">
        <v>1260</v>
      </c>
      <c r="C15" s="1263">
        <f>SUM(C8:C14)</f>
        <v>0</v>
      </c>
      <c r="D15" s="269">
        <f>SUM(D8:D14)</f>
        <v>0</v>
      </c>
      <c r="E15" s="1238">
        <f>SUM(E8:E14)</f>
        <v>0</v>
      </c>
      <c r="F15" s="838">
        <f t="shared" si="1"/>
        <v>0</v>
      </c>
      <c r="G15" s="277">
        <f>IF($F$15=0,0,F15/$F$15)</f>
        <v>0</v>
      </c>
      <c r="H15" s="8"/>
      <c r="I15" s="1169">
        <f>SUM(I8:I14)</f>
        <v>0</v>
      </c>
      <c r="J15" s="1238">
        <f>SUM(J8:J14)</f>
        <v>0</v>
      </c>
      <c r="K15" s="838">
        <f>SUM(K8:K14)</f>
        <v>0</v>
      </c>
      <c r="L15" s="8"/>
      <c r="M15" s="838">
        <f>SUM(M8:M14)</f>
        <v>0</v>
      </c>
      <c r="N15" s="1295">
        <f>SUM(N8:N14)</f>
        <v>0</v>
      </c>
      <c r="Q15" s="1640" t="s">
        <v>1553</v>
      </c>
      <c r="R15" s="1649" t="e">
        <f>R14/F26</f>
        <v>#DIV/0!</v>
      </c>
      <c r="V15" s="46"/>
      <c r="W15" s="44"/>
      <c r="X15" s="44"/>
      <c r="Y15" s="44"/>
      <c r="Z15" s="44"/>
      <c r="AA15" s="44"/>
      <c r="AB15" s="44"/>
      <c r="AC15" s="44"/>
      <c r="AD15" s="44"/>
      <c r="AE15" s="44"/>
      <c r="AF15" s="44"/>
      <c r="AG15" s="44"/>
      <c r="AH15" s="44"/>
      <c r="AI15" s="44"/>
      <c r="AJ15" s="44"/>
      <c r="AK15" s="44"/>
      <c r="AL15" s="44"/>
      <c r="AM15" s="44"/>
      <c r="AN15" s="44"/>
      <c r="AO15" s="44"/>
      <c r="AP15" s="45"/>
    </row>
    <row r="16" spans="1:60" ht="16.5" thickBot="1">
      <c r="B16" s="1281"/>
      <c r="C16" s="1264"/>
      <c r="D16" s="77"/>
      <c r="E16" s="64"/>
      <c r="F16" s="1016"/>
      <c r="G16" s="65"/>
      <c r="H16" s="8"/>
      <c r="I16" s="1170"/>
      <c r="J16" s="1239"/>
      <c r="K16" s="839"/>
      <c r="L16" s="8"/>
      <c r="M16" s="877"/>
      <c r="N16" s="1296"/>
      <c r="V16" s="46"/>
      <c r="W16" s="44"/>
      <c r="X16" s="44"/>
      <c r="Y16" s="44"/>
      <c r="Z16" s="44"/>
      <c r="AA16" s="44"/>
      <c r="AB16" s="44"/>
      <c r="AC16" s="44"/>
      <c r="AD16" s="44"/>
      <c r="AE16" s="44"/>
      <c r="AF16" s="44"/>
      <c r="AG16" s="44"/>
      <c r="AH16" s="44"/>
      <c r="AI16" s="44"/>
      <c r="AJ16" s="44"/>
      <c r="AK16" s="44"/>
      <c r="AL16" s="44"/>
      <c r="AM16" s="44"/>
      <c r="AN16" s="44"/>
      <c r="AO16" s="44"/>
      <c r="AP16" s="45"/>
    </row>
    <row r="17" spans="2:42" ht="15.75">
      <c r="B17" s="1276" t="s">
        <v>1554</v>
      </c>
      <c r="C17" s="263"/>
      <c r="D17" s="263"/>
      <c r="E17" s="263"/>
      <c r="F17" s="1015"/>
      <c r="G17" s="264"/>
      <c r="H17" s="8"/>
      <c r="I17" s="265"/>
      <c r="J17" s="1240"/>
      <c r="K17" s="875"/>
      <c r="L17" s="8"/>
      <c r="M17" s="875"/>
      <c r="N17" s="1293"/>
      <c r="V17" s="42"/>
      <c r="W17" s="43"/>
      <c r="X17" s="43"/>
      <c r="Y17" s="44"/>
      <c r="Z17" s="44"/>
      <c r="AA17" s="44"/>
      <c r="AB17" s="44"/>
      <c r="AC17" s="44"/>
      <c r="AD17" s="44"/>
      <c r="AE17" s="44"/>
      <c r="AF17" s="44"/>
      <c r="AG17" s="44"/>
      <c r="AH17" s="44"/>
      <c r="AI17" s="44"/>
      <c r="AJ17" s="44"/>
      <c r="AK17" s="44"/>
      <c r="AL17" s="44"/>
      <c r="AM17" s="44"/>
      <c r="AN17" s="44"/>
      <c r="AO17" s="44"/>
      <c r="AP17" s="45"/>
    </row>
    <row r="18" spans="2:42" ht="15.75">
      <c r="B18" s="1282" t="s">
        <v>1262</v>
      </c>
      <c r="C18" s="1265">
        <f>'03_1_Construction Cost'!$P$39</f>
        <v>0</v>
      </c>
      <c r="D18" s="268">
        <f>'03_1_Construction Cost'!$Q$39</f>
        <v>0</v>
      </c>
      <c r="E18" s="1250">
        <f>'03_1_Construction Cost'!$R$39</f>
        <v>0</v>
      </c>
      <c r="F18" s="1257">
        <f t="shared" ref="F18:F28" si="3">SUM(C18:E18)</f>
        <v>0</v>
      </c>
      <c r="G18" s="266">
        <f t="shared" ref="G18:G28" si="4">IF($F$28=0,0,F18/$F$28)</f>
        <v>0</v>
      </c>
      <c r="H18" s="8"/>
      <c r="I18" s="1168"/>
      <c r="J18" s="97"/>
      <c r="K18" s="878">
        <f t="shared" ref="K18:K25" si="5">F18-I18-J18</f>
        <v>0</v>
      </c>
      <c r="L18" s="8"/>
      <c r="M18" s="876"/>
      <c r="N18" s="1294"/>
      <c r="V18" s="46"/>
      <c r="W18" s="44"/>
      <c r="X18" s="44"/>
      <c r="Y18" s="44"/>
      <c r="Z18" s="44"/>
      <c r="AA18" s="44"/>
      <c r="AB18" s="44"/>
      <c r="AC18" s="44"/>
      <c r="AD18" s="44"/>
      <c r="AE18" s="44"/>
      <c r="AF18" s="44"/>
      <c r="AG18" s="44"/>
      <c r="AH18" s="44"/>
      <c r="AI18" s="44"/>
      <c r="AJ18" s="44"/>
      <c r="AK18" s="44"/>
      <c r="AL18" s="44"/>
      <c r="AM18" s="44"/>
      <c r="AN18" s="44"/>
      <c r="AO18" s="44"/>
      <c r="AP18" s="45"/>
    </row>
    <row r="19" spans="2:42" ht="15.75">
      <c r="B19" s="1282" t="s">
        <v>1263</v>
      </c>
      <c r="C19" s="1265">
        <f>'03_1_Construction Cost'!$P$47</f>
        <v>0</v>
      </c>
      <c r="D19" s="268">
        <f>'03_1_Construction Cost'!$Q$47</f>
        <v>0</v>
      </c>
      <c r="E19" s="1250">
        <f>'03_1_Construction Cost'!$R$47</f>
        <v>0</v>
      </c>
      <c r="F19" s="1257">
        <f t="shared" si="3"/>
        <v>0</v>
      </c>
      <c r="G19" s="266">
        <f t="shared" si="4"/>
        <v>0</v>
      </c>
      <c r="H19" s="8"/>
      <c r="I19" s="1168"/>
      <c r="J19" s="97"/>
      <c r="K19" s="878">
        <f t="shared" si="5"/>
        <v>0</v>
      </c>
      <c r="L19" s="8"/>
      <c r="M19" s="876"/>
      <c r="N19" s="1294"/>
      <c r="V19" s="46"/>
      <c r="W19" s="44"/>
      <c r="X19" s="44"/>
      <c r="Y19" s="44"/>
      <c r="Z19" s="44"/>
      <c r="AA19" s="44"/>
      <c r="AB19" s="44"/>
      <c r="AC19" s="44"/>
      <c r="AD19" s="44"/>
      <c r="AE19" s="44"/>
      <c r="AF19" s="44"/>
      <c r="AG19" s="44"/>
      <c r="AH19" s="44"/>
      <c r="AI19" s="44"/>
      <c r="AJ19" s="44"/>
      <c r="AK19" s="44"/>
      <c r="AL19" s="44"/>
      <c r="AM19" s="44"/>
      <c r="AN19" s="44"/>
      <c r="AO19" s="44"/>
      <c r="AP19" s="45"/>
    </row>
    <row r="20" spans="2:42" ht="15.75">
      <c r="B20" s="1282" t="str">
        <f>"General Requirements: Typically "&amp;VALUE(IF(F28&lt;1000000,8%,IF(AND(F28&gt;=1000000,F28&lt;3000000),7%,6%))*100)&amp;"%"</f>
        <v>General Requirements: Typically 8%</v>
      </c>
      <c r="C20" s="1265">
        <f>'03_1_Construction Cost'!$P$49</f>
        <v>0</v>
      </c>
      <c r="D20" s="268">
        <f>'03_1_Construction Cost'!$Q$49</f>
        <v>0</v>
      </c>
      <c r="E20" s="1250">
        <f>'03_1_Construction Cost'!$R$49</f>
        <v>0</v>
      </c>
      <c r="F20" s="1257">
        <f t="shared" si="3"/>
        <v>0</v>
      </c>
      <c r="G20" s="266">
        <f t="shared" si="4"/>
        <v>0</v>
      </c>
      <c r="H20" s="267"/>
      <c r="I20" s="1168"/>
      <c r="J20" s="97"/>
      <c r="K20" s="878">
        <f t="shared" si="5"/>
        <v>0</v>
      </c>
      <c r="L20" s="8"/>
      <c r="M20" s="876"/>
      <c r="N20" s="1294"/>
      <c r="V20" s="46"/>
      <c r="W20" s="44"/>
      <c r="X20" s="44"/>
      <c r="Y20" s="44"/>
      <c r="Z20" s="44"/>
      <c r="AA20" s="44"/>
      <c r="AB20" s="44"/>
      <c r="AC20" s="44"/>
      <c r="AD20" s="44"/>
      <c r="AE20" s="44"/>
      <c r="AF20" s="44"/>
      <c r="AG20" s="44"/>
      <c r="AH20" s="44"/>
      <c r="AI20" s="44"/>
      <c r="AJ20" s="44"/>
      <c r="AK20" s="44"/>
      <c r="AL20" s="44"/>
      <c r="AM20" s="44"/>
      <c r="AN20" s="44"/>
      <c r="AO20" s="44"/>
      <c r="AP20" s="45"/>
    </row>
    <row r="21" spans="2:42" ht="15.75">
      <c r="B21" s="1282" t="s">
        <v>1265</v>
      </c>
      <c r="C21" s="1265">
        <f>'03_1_Construction Cost'!$P$51</f>
        <v>0</v>
      </c>
      <c r="D21" s="268">
        <f>'03_1_Construction Cost'!$Q$51</f>
        <v>0</v>
      </c>
      <c r="E21" s="1250">
        <f>'03_1_Construction Cost'!$R$51</f>
        <v>0</v>
      </c>
      <c r="F21" s="1257">
        <f t="shared" si="3"/>
        <v>0</v>
      </c>
      <c r="G21" s="266">
        <f t="shared" si="4"/>
        <v>0</v>
      </c>
      <c r="H21" s="267"/>
      <c r="I21" s="1168"/>
      <c r="J21" s="97"/>
      <c r="K21" s="878">
        <f t="shared" si="5"/>
        <v>0</v>
      </c>
      <c r="L21" s="8"/>
      <c r="M21" s="876"/>
      <c r="N21" s="1294"/>
      <c r="V21" s="46"/>
      <c r="W21" s="44"/>
      <c r="X21" s="44"/>
      <c r="Y21" s="44"/>
      <c r="Z21" s="44"/>
      <c r="AA21" s="44"/>
      <c r="AB21" s="44"/>
      <c r="AC21" s="44"/>
      <c r="AD21" s="44"/>
      <c r="AE21" s="44"/>
      <c r="AF21" s="44"/>
      <c r="AG21" s="44"/>
      <c r="AH21" s="44"/>
      <c r="AI21" s="44"/>
      <c r="AJ21" s="44"/>
      <c r="AK21" s="44"/>
      <c r="AL21" s="44"/>
      <c r="AM21" s="44"/>
      <c r="AN21" s="44"/>
      <c r="AO21" s="44"/>
      <c r="AP21" s="45"/>
    </row>
    <row r="22" spans="2:42" ht="15.75">
      <c r="B22" s="1282" t="str">
        <f>"Builders Profit: Typically "&amp;VALUE(IF(F28&lt;1000000,9%,IF(AND(F28&gt;=1000000,F28&lt;3000000),8%,IF(AND(F28&gt;=3000000,F28&lt;4000000),6%,IF(AND(F28&gt;=4000000,F28&lt;5000000),5.5%,5%))))*100)&amp;"%"</f>
        <v>Builders Profit: Typically 9%</v>
      </c>
      <c r="C22" s="1265">
        <f>'03_1_Construction Cost'!$P$52</f>
        <v>0</v>
      </c>
      <c r="D22" s="268">
        <f>'03_1_Construction Cost'!$Q$52</f>
        <v>0</v>
      </c>
      <c r="E22" s="1250">
        <f>'03_1_Construction Cost'!$R$52</f>
        <v>0</v>
      </c>
      <c r="F22" s="1257">
        <f t="shared" si="3"/>
        <v>0</v>
      </c>
      <c r="G22" s="266">
        <f t="shared" si="4"/>
        <v>0</v>
      </c>
      <c r="H22" s="267"/>
      <c r="I22" s="1168"/>
      <c r="J22" s="97"/>
      <c r="K22" s="878">
        <f t="shared" si="5"/>
        <v>0</v>
      </c>
      <c r="L22" s="8"/>
      <c r="M22" s="876"/>
      <c r="N22" s="1294"/>
      <c r="V22" s="46"/>
      <c r="W22" s="44"/>
      <c r="X22" s="44"/>
      <c r="Y22" s="44"/>
      <c r="Z22" s="44"/>
      <c r="AA22" s="44"/>
      <c r="AB22" s="44"/>
      <c r="AC22" s="44"/>
      <c r="AD22" s="44"/>
      <c r="AE22" s="44"/>
      <c r="AF22" s="44"/>
      <c r="AG22" s="44"/>
      <c r="AH22" s="44"/>
      <c r="AI22" s="44"/>
      <c r="AJ22" s="44"/>
      <c r="AK22" s="44"/>
      <c r="AL22" s="44"/>
      <c r="AM22" s="44"/>
      <c r="AN22" s="44"/>
      <c r="AO22" s="44"/>
      <c r="AP22" s="45"/>
    </row>
    <row r="23" spans="2:42" ht="15.75">
      <c r="B23" s="1282" t="s">
        <v>1267</v>
      </c>
      <c r="C23" s="1265">
        <f>'03_1_Construction Cost'!$P$54</f>
        <v>0</v>
      </c>
      <c r="D23" s="268">
        <f>'03_1_Construction Cost'!$Q$54</f>
        <v>0</v>
      </c>
      <c r="E23" s="1250">
        <f>'03_1_Construction Cost'!$R$54</f>
        <v>0</v>
      </c>
      <c r="F23" s="1257">
        <f t="shared" si="3"/>
        <v>0</v>
      </c>
      <c r="G23" s="266">
        <f t="shared" si="4"/>
        <v>0</v>
      </c>
      <c r="H23" s="8"/>
      <c r="I23" s="1168"/>
      <c r="J23" s="97"/>
      <c r="K23" s="878">
        <f t="shared" si="5"/>
        <v>0</v>
      </c>
      <c r="L23" s="8"/>
      <c r="M23" s="876"/>
      <c r="N23" s="1294"/>
      <c r="V23" s="46"/>
      <c r="W23" s="44"/>
      <c r="X23" s="44"/>
      <c r="Y23" s="44"/>
      <c r="Z23" s="44"/>
      <c r="AA23" s="44"/>
      <c r="AB23" s="44"/>
      <c r="AC23" s="44"/>
      <c r="AD23" s="44"/>
      <c r="AE23" s="44"/>
      <c r="AF23" s="44"/>
      <c r="AG23" s="44"/>
      <c r="AH23" s="44"/>
      <c r="AI23" s="44"/>
      <c r="AJ23" s="44"/>
      <c r="AK23" s="44"/>
      <c r="AL23" s="44"/>
      <c r="AM23" s="44"/>
      <c r="AN23" s="44"/>
      <c r="AO23" s="44"/>
      <c r="AP23" s="45"/>
    </row>
    <row r="24" spans="2:42" ht="18.75" customHeight="1">
      <c r="B24" s="1282" t="s">
        <v>1268</v>
      </c>
      <c r="C24" s="1262"/>
      <c r="D24" s="96"/>
      <c r="E24" s="97"/>
      <c r="F24" s="1257">
        <f t="shared" si="3"/>
        <v>0</v>
      </c>
      <c r="G24" s="266">
        <f t="shared" si="4"/>
        <v>0</v>
      </c>
      <c r="H24" s="8"/>
      <c r="I24" s="1168"/>
      <c r="J24" s="97"/>
      <c r="K24" s="878">
        <f t="shared" si="5"/>
        <v>0</v>
      </c>
      <c r="L24" s="8"/>
      <c r="M24" s="876"/>
      <c r="N24" s="1294"/>
      <c r="V24" s="46"/>
      <c r="W24" s="44"/>
      <c r="X24" s="44"/>
      <c r="Y24" s="44"/>
      <c r="Z24" s="44"/>
      <c r="AA24" s="44"/>
      <c r="AB24" s="44"/>
      <c r="AC24" s="44"/>
      <c r="AD24" s="44"/>
      <c r="AE24" s="44"/>
      <c r="AF24" s="44"/>
      <c r="AG24" s="44"/>
      <c r="AH24" s="44"/>
      <c r="AI24" s="44"/>
      <c r="AJ24" s="44"/>
      <c r="AK24" s="44"/>
      <c r="AL24" s="44"/>
      <c r="AM24" s="44"/>
      <c r="AN24" s="44"/>
      <c r="AO24" s="44"/>
      <c r="AP24" s="45"/>
    </row>
    <row r="25" spans="2:42" ht="15.75">
      <c r="B25" s="1375" t="s">
        <v>1269</v>
      </c>
      <c r="C25" s="1376">
        <f>'03_1_Construction Cost'!P$53</f>
        <v>0</v>
      </c>
      <c r="D25" s="1376">
        <f>'03_1_Construction Cost'!Q$53</f>
        <v>0</v>
      </c>
      <c r="E25" s="1376">
        <f>'03_1_Construction Cost'!R$53</f>
        <v>0</v>
      </c>
      <c r="F25" s="1257">
        <f t="shared" si="3"/>
        <v>0</v>
      </c>
      <c r="G25" s="266">
        <f t="shared" si="4"/>
        <v>0</v>
      </c>
      <c r="H25" s="8"/>
      <c r="I25" s="1168"/>
      <c r="J25" s="97"/>
      <c r="K25" s="878">
        <f t="shared" si="5"/>
        <v>0</v>
      </c>
      <c r="L25" s="8"/>
      <c r="M25" s="876"/>
      <c r="N25" s="1294"/>
      <c r="V25" s="46"/>
      <c r="W25" s="44"/>
      <c r="X25" s="44"/>
      <c r="Y25" s="44"/>
      <c r="Z25" s="44"/>
      <c r="AA25" s="44"/>
      <c r="AB25" s="44"/>
      <c r="AC25" s="44"/>
      <c r="AD25" s="44"/>
      <c r="AE25" s="44"/>
      <c r="AF25" s="44"/>
      <c r="AG25" s="44"/>
      <c r="AH25" s="44"/>
      <c r="AI25" s="44"/>
      <c r="AJ25" s="44"/>
      <c r="AK25" s="44"/>
      <c r="AL25" s="44"/>
      <c r="AM25" s="44"/>
      <c r="AN25" s="44"/>
      <c r="AO25" s="44"/>
      <c r="AP25" s="45"/>
    </row>
    <row r="26" spans="2:42" ht="15.75">
      <c r="B26" s="1284" t="s">
        <v>1270</v>
      </c>
      <c r="C26" s="1265">
        <f>SUM(C18:C25)</f>
        <v>0</v>
      </c>
      <c r="D26" s="268">
        <f>SUM(D18:D25)</f>
        <v>0</v>
      </c>
      <c r="E26" s="1250">
        <f>SUM(E18:E25)</f>
        <v>0</v>
      </c>
      <c r="F26" s="1257">
        <f t="shared" si="3"/>
        <v>0</v>
      </c>
      <c r="G26" s="266">
        <f t="shared" si="4"/>
        <v>0</v>
      </c>
      <c r="H26" s="8"/>
      <c r="I26" s="1407">
        <f>SUM(I18:I25)</f>
        <v>0</v>
      </c>
      <c r="J26" s="1408">
        <f>SUM(J18:J25)</f>
        <v>0</v>
      </c>
      <c r="K26" s="1247"/>
      <c r="L26" s="8"/>
      <c r="M26" s="878">
        <f>SUM(M18:M25)</f>
        <v>0</v>
      </c>
      <c r="N26" s="1294"/>
      <c r="V26" s="47"/>
      <c r="W26" s="44"/>
      <c r="X26" s="44"/>
      <c r="Y26" s="44"/>
      <c r="Z26" s="44"/>
      <c r="AA26" s="44"/>
      <c r="AB26" s="44"/>
      <c r="AC26" s="44"/>
      <c r="AD26" s="44"/>
      <c r="AE26" s="44"/>
      <c r="AF26" s="44"/>
      <c r="AG26" s="44"/>
      <c r="AH26" s="44"/>
      <c r="AI26" s="44"/>
      <c r="AJ26" s="44"/>
      <c r="AK26" s="44"/>
      <c r="AL26" s="44"/>
      <c r="AM26" s="44"/>
      <c r="AN26" s="44"/>
      <c r="AO26" s="44"/>
      <c r="AP26" s="45"/>
    </row>
    <row r="27" spans="2:42" ht="15.75">
      <c r="B27" s="1282" t="s">
        <v>1271</v>
      </c>
      <c r="C27" s="1262"/>
      <c r="D27" s="96"/>
      <c r="E27" s="97"/>
      <c r="F27" s="1257">
        <f t="shared" si="3"/>
        <v>0</v>
      </c>
      <c r="G27" s="266">
        <f t="shared" si="4"/>
        <v>0</v>
      </c>
      <c r="H27" s="267"/>
      <c r="I27" s="1168"/>
      <c r="J27" s="97"/>
      <c r="K27" s="878">
        <f>F27-I27-J27</f>
        <v>0</v>
      </c>
      <c r="L27" s="8"/>
      <c r="M27" s="876"/>
      <c r="N27" s="1294"/>
      <c r="V27" s="46"/>
      <c r="W27" s="44"/>
      <c r="X27" s="44"/>
      <c r="Y27" s="44"/>
      <c r="Z27" s="44"/>
      <c r="AA27" s="44"/>
      <c r="AB27" s="44"/>
      <c r="AC27" s="44"/>
      <c r="AD27" s="44"/>
      <c r="AE27" s="44"/>
      <c r="AF27" s="44"/>
      <c r="AG27" s="44"/>
      <c r="AH27" s="44"/>
      <c r="AI27" s="44"/>
      <c r="AJ27" s="44"/>
      <c r="AK27" s="44"/>
      <c r="AL27" s="44"/>
      <c r="AM27" s="44"/>
      <c r="AN27" s="44"/>
      <c r="AO27" s="44"/>
      <c r="AP27" s="45"/>
    </row>
    <row r="28" spans="2:42" ht="16.5" thickBot="1">
      <c r="B28" s="1280" t="s">
        <v>1272</v>
      </c>
      <c r="C28" s="1263">
        <f>SUM(C18:C27)-C26</f>
        <v>0</v>
      </c>
      <c r="D28" s="269">
        <f>SUM(D18:D27)-D26</f>
        <v>0</v>
      </c>
      <c r="E28" s="1238">
        <f>SUM(E18:E27)-E26</f>
        <v>0</v>
      </c>
      <c r="F28" s="838">
        <f t="shared" si="3"/>
        <v>0</v>
      </c>
      <c r="G28" s="277">
        <f t="shared" si="4"/>
        <v>0</v>
      </c>
      <c r="H28" s="8"/>
      <c r="I28" s="1409">
        <f>SUM(I26:I27)</f>
        <v>0</v>
      </c>
      <c r="J28" s="1410">
        <f>SUM(J26:J27)</f>
        <v>0</v>
      </c>
      <c r="K28" s="1414">
        <f>SUM(K26:K27)</f>
        <v>0</v>
      </c>
      <c r="L28" s="8"/>
      <c r="M28" s="838">
        <f>SUM(M18:M27)-M26</f>
        <v>0</v>
      </c>
      <c r="N28" s="1295">
        <f>SUM(N18:N27)-N26</f>
        <v>0</v>
      </c>
      <c r="V28" s="46"/>
      <c r="W28" s="44"/>
      <c r="X28" s="44"/>
      <c r="Y28" s="44"/>
      <c r="Z28" s="44"/>
      <c r="AA28" s="44"/>
      <c r="AB28" s="44"/>
      <c r="AC28" s="44"/>
      <c r="AD28" s="44"/>
      <c r="AE28" s="44"/>
      <c r="AF28" s="44"/>
      <c r="AG28" s="44"/>
      <c r="AH28" s="44"/>
      <c r="AI28" s="44"/>
      <c r="AJ28" s="44"/>
      <c r="AK28" s="44"/>
      <c r="AL28" s="44"/>
      <c r="AM28" s="44"/>
      <c r="AN28" s="44"/>
      <c r="AO28" s="44"/>
      <c r="AP28" s="45"/>
    </row>
    <row r="29" spans="2:42" ht="16.5" thickBot="1">
      <c r="B29" s="1281" t="str">
        <f>IF(F28=0,"",IF(F27/F28&gt;10%,"Contingency Fee Currently Exceeds 10% of Hard Construction Costs",""))</f>
        <v/>
      </c>
      <c r="C29" s="1264"/>
      <c r="D29" s="77"/>
      <c r="E29" s="64"/>
      <c r="F29" s="1016"/>
      <c r="G29" s="65"/>
      <c r="H29" s="8"/>
      <c r="I29" s="1170"/>
      <c r="J29" s="1242"/>
      <c r="K29" s="839"/>
      <c r="L29" s="8"/>
      <c r="M29" s="877"/>
      <c r="N29" s="1296"/>
      <c r="V29" s="46"/>
      <c r="W29" s="44"/>
      <c r="X29" s="44"/>
      <c r="Y29" s="44"/>
      <c r="Z29" s="44"/>
      <c r="AA29" s="44"/>
      <c r="AB29" s="44"/>
      <c r="AC29" s="44"/>
      <c r="AD29" s="44"/>
      <c r="AE29" s="44"/>
      <c r="AF29" s="44"/>
      <c r="AG29" s="44"/>
      <c r="AH29" s="44"/>
      <c r="AI29" s="44"/>
      <c r="AJ29" s="44"/>
      <c r="AK29" s="44"/>
      <c r="AL29" s="44"/>
      <c r="AM29" s="44"/>
      <c r="AN29" s="44"/>
      <c r="AO29" s="44"/>
      <c r="AP29" s="45"/>
    </row>
    <row r="30" spans="2:42" ht="15.75">
      <c r="B30" s="1285" t="s">
        <v>1273</v>
      </c>
      <c r="C30" s="1266"/>
      <c r="D30" s="270"/>
      <c r="E30" s="270"/>
      <c r="F30" s="1017"/>
      <c r="G30" s="271"/>
      <c r="H30" s="8"/>
      <c r="I30" s="1171"/>
      <c r="J30" s="1241"/>
      <c r="K30" s="1247"/>
      <c r="L30" s="8"/>
      <c r="M30" s="879"/>
      <c r="N30" s="1297"/>
      <c r="V30" s="46"/>
      <c r="W30" s="44"/>
      <c r="X30" s="44"/>
      <c r="Y30" s="44"/>
      <c r="Z30" s="44"/>
      <c r="AA30" s="44"/>
      <c r="AB30" s="44"/>
      <c r="AC30" s="44"/>
      <c r="AD30" s="44"/>
      <c r="AE30" s="44"/>
      <c r="AF30" s="44"/>
      <c r="AG30" s="44"/>
      <c r="AH30" s="44"/>
      <c r="AI30" s="44"/>
      <c r="AJ30" s="44"/>
      <c r="AK30" s="44"/>
      <c r="AL30" s="44"/>
      <c r="AM30" s="44"/>
      <c r="AN30" s="44"/>
      <c r="AO30" s="44"/>
      <c r="AP30" s="45"/>
    </row>
    <row r="31" spans="2:42" ht="15.75">
      <c r="B31" s="1282" t="s">
        <v>1274</v>
      </c>
      <c r="C31" s="1267"/>
      <c r="D31" s="97"/>
      <c r="E31" s="97"/>
      <c r="F31" s="1257">
        <f t="shared" ref="F31:F59" si="6">SUM(C31:E31)</f>
        <v>0</v>
      </c>
      <c r="G31" s="266">
        <f>IF($F$28=0,0,F31/$F$59)</f>
        <v>0</v>
      </c>
      <c r="H31" s="8"/>
      <c r="I31" s="1168"/>
      <c r="J31" s="97"/>
      <c r="K31" s="878">
        <f t="shared" ref="K31:K42" si="7">F31-I31-J31</f>
        <v>0</v>
      </c>
      <c r="L31" s="8"/>
      <c r="M31" s="876"/>
      <c r="N31" s="1294"/>
      <c r="V31" s="46"/>
      <c r="W31" s="44"/>
      <c r="X31" s="44"/>
      <c r="Y31" s="44"/>
      <c r="Z31" s="44"/>
      <c r="AA31" s="44"/>
      <c r="AB31" s="44"/>
      <c r="AC31" s="44"/>
      <c r="AD31" s="44"/>
      <c r="AE31" s="44"/>
      <c r="AF31" s="44"/>
      <c r="AG31" s="44"/>
      <c r="AH31" s="44"/>
      <c r="AI31" s="44"/>
      <c r="AJ31" s="44"/>
      <c r="AK31" s="44"/>
      <c r="AL31" s="44"/>
      <c r="AM31" s="44"/>
      <c r="AN31" s="44"/>
      <c r="AO31" s="44"/>
      <c r="AP31" s="45"/>
    </row>
    <row r="32" spans="2:42" ht="15.75">
      <c r="B32" s="1282" t="s">
        <v>1275</v>
      </c>
      <c r="C32" s="1267"/>
      <c r="D32" s="97"/>
      <c r="E32" s="97"/>
      <c r="F32" s="1257">
        <f t="shared" si="6"/>
        <v>0</v>
      </c>
      <c r="G32" s="266">
        <f t="shared" ref="G32:G58" si="8">IF($F$28=0,0,F32/$F$59)</f>
        <v>0</v>
      </c>
      <c r="H32" s="8"/>
      <c r="I32" s="1168"/>
      <c r="J32" s="97"/>
      <c r="K32" s="878">
        <f t="shared" si="7"/>
        <v>0</v>
      </c>
      <c r="L32" s="8"/>
      <c r="M32" s="876"/>
      <c r="N32" s="1294"/>
      <c r="V32" s="46"/>
      <c r="W32" s="44"/>
      <c r="X32" s="44"/>
      <c r="Y32" s="44"/>
      <c r="Z32" s="44"/>
      <c r="AA32" s="44"/>
      <c r="AB32" s="44"/>
      <c r="AC32" s="44"/>
      <c r="AD32" s="44"/>
      <c r="AE32" s="44"/>
      <c r="AF32" s="44"/>
      <c r="AG32" s="44"/>
      <c r="AH32" s="44"/>
      <c r="AI32" s="44"/>
      <c r="AJ32" s="44"/>
      <c r="AK32" s="44"/>
      <c r="AL32" s="44"/>
      <c r="AM32" s="44"/>
      <c r="AN32" s="44"/>
      <c r="AO32" s="44"/>
      <c r="AP32" s="45"/>
    </row>
    <row r="33" spans="2:42" ht="15.75">
      <c r="B33" s="1282" t="s">
        <v>1276</v>
      </c>
      <c r="C33" s="1267"/>
      <c r="D33" s="97"/>
      <c r="E33" s="97"/>
      <c r="F33" s="1257">
        <f t="shared" si="6"/>
        <v>0</v>
      </c>
      <c r="G33" s="266">
        <f t="shared" si="8"/>
        <v>0</v>
      </c>
      <c r="H33" s="8"/>
      <c r="I33" s="1168"/>
      <c r="J33" s="97"/>
      <c r="K33" s="878">
        <f t="shared" si="7"/>
        <v>0</v>
      </c>
      <c r="L33" s="8"/>
      <c r="M33" s="876"/>
      <c r="N33" s="1294"/>
      <c r="V33" s="46"/>
      <c r="W33" s="44"/>
      <c r="X33" s="44"/>
      <c r="Y33" s="44"/>
      <c r="Z33" s="44"/>
      <c r="AA33" s="44"/>
      <c r="AB33" s="44"/>
      <c r="AC33" s="44"/>
      <c r="AD33" s="44"/>
      <c r="AE33" s="44"/>
      <c r="AF33" s="44"/>
      <c r="AG33" s="44"/>
      <c r="AH33" s="44"/>
      <c r="AI33" s="44"/>
      <c r="AJ33" s="44"/>
      <c r="AK33" s="44"/>
      <c r="AL33" s="44"/>
      <c r="AM33" s="44"/>
      <c r="AN33" s="44"/>
      <c r="AO33" s="44"/>
      <c r="AP33" s="45"/>
    </row>
    <row r="34" spans="2:42" ht="15.75">
      <c r="B34" s="1282" t="s">
        <v>1277</v>
      </c>
      <c r="C34" s="1267"/>
      <c r="D34" s="97"/>
      <c r="E34" s="97"/>
      <c r="F34" s="1257">
        <f t="shared" si="6"/>
        <v>0</v>
      </c>
      <c r="G34" s="266">
        <f t="shared" si="8"/>
        <v>0</v>
      </c>
      <c r="H34" s="8"/>
      <c r="I34" s="1168"/>
      <c r="J34" s="97"/>
      <c r="K34" s="878">
        <f t="shared" si="7"/>
        <v>0</v>
      </c>
      <c r="L34" s="8"/>
      <c r="M34" s="876"/>
      <c r="N34" s="1294"/>
      <c r="V34" s="48"/>
      <c r="W34" s="49"/>
      <c r="X34" s="44"/>
      <c r="Y34" s="44"/>
      <c r="Z34" s="44"/>
      <c r="AA34" s="44"/>
      <c r="AB34" s="44"/>
      <c r="AC34" s="44"/>
      <c r="AD34" s="44"/>
      <c r="AE34" s="44"/>
      <c r="AF34" s="44"/>
      <c r="AG34" s="44"/>
      <c r="AH34" s="44"/>
      <c r="AI34" s="44"/>
      <c r="AJ34" s="44"/>
      <c r="AK34" s="44"/>
      <c r="AL34" s="44"/>
      <c r="AM34" s="44"/>
      <c r="AN34" s="44"/>
      <c r="AO34" s="44"/>
      <c r="AP34" s="45"/>
    </row>
    <row r="35" spans="2:42" ht="15.75">
      <c r="B35" s="1282" t="s">
        <v>1278</v>
      </c>
      <c r="C35" s="1267"/>
      <c r="D35" s="97"/>
      <c r="E35" s="97"/>
      <c r="F35" s="1257">
        <f t="shared" si="6"/>
        <v>0</v>
      </c>
      <c r="G35" s="266">
        <f t="shared" si="8"/>
        <v>0</v>
      </c>
      <c r="H35" s="8"/>
      <c r="I35" s="1168"/>
      <c r="J35" s="97"/>
      <c r="K35" s="878">
        <f t="shared" si="7"/>
        <v>0</v>
      </c>
      <c r="L35" s="8"/>
      <c r="M35" s="876"/>
      <c r="N35" s="1294"/>
      <c r="V35" s="48"/>
      <c r="W35" s="49"/>
      <c r="X35" s="44"/>
      <c r="Y35" s="44"/>
      <c r="Z35" s="44"/>
      <c r="AA35" s="44"/>
      <c r="AB35" s="44"/>
      <c r="AC35" s="44"/>
      <c r="AD35" s="44"/>
      <c r="AE35" s="44"/>
      <c r="AF35" s="44"/>
      <c r="AG35" s="44"/>
      <c r="AH35" s="44"/>
      <c r="AI35" s="44"/>
      <c r="AJ35" s="44"/>
      <c r="AK35" s="44"/>
      <c r="AL35" s="44"/>
      <c r="AM35" s="44"/>
      <c r="AN35" s="44"/>
      <c r="AO35" s="44"/>
      <c r="AP35" s="45"/>
    </row>
    <row r="36" spans="2:42" ht="15.75">
      <c r="B36" s="1282" t="s">
        <v>1279</v>
      </c>
      <c r="C36" s="1267"/>
      <c r="D36" s="97"/>
      <c r="E36" s="97"/>
      <c r="F36" s="1257">
        <f t="shared" si="6"/>
        <v>0</v>
      </c>
      <c r="G36" s="266">
        <f t="shared" si="8"/>
        <v>0</v>
      </c>
      <c r="H36" s="8"/>
      <c r="I36" s="1168"/>
      <c r="J36" s="97"/>
      <c r="K36" s="878">
        <f t="shared" si="7"/>
        <v>0</v>
      </c>
      <c r="L36" s="8"/>
      <c r="M36" s="876"/>
      <c r="N36" s="1294"/>
      <c r="V36" s="48"/>
      <c r="W36" s="49"/>
      <c r="X36" s="44"/>
      <c r="Y36" s="44"/>
      <c r="Z36" s="44"/>
      <c r="AA36" s="44"/>
      <c r="AB36" s="44"/>
      <c r="AC36" s="44"/>
      <c r="AD36" s="44"/>
      <c r="AE36" s="44"/>
      <c r="AF36" s="44"/>
      <c r="AG36" s="44"/>
      <c r="AH36" s="44"/>
      <c r="AI36" s="44"/>
      <c r="AJ36" s="44"/>
      <c r="AK36" s="44"/>
      <c r="AL36" s="44"/>
      <c r="AM36" s="44"/>
      <c r="AN36" s="44"/>
      <c r="AO36" s="44"/>
      <c r="AP36" s="45"/>
    </row>
    <row r="37" spans="2:42" ht="15.75">
      <c r="B37" s="1282" t="s">
        <v>1280</v>
      </c>
      <c r="C37" s="1267"/>
      <c r="D37" s="97"/>
      <c r="E37" s="97"/>
      <c r="F37" s="1257">
        <f t="shared" si="6"/>
        <v>0</v>
      </c>
      <c r="G37" s="266">
        <f t="shared" si="8"/>
        <v>0</v>
      </c>
      <c r="H37" s="8"/>
      <c r="I37" s="1168"/>
      <c r="J37" s="97"/>
      <c r="K37" s="878">
        <f t="shared" si="7"/>
        <v>0</v>
      </c>
      <c r="L37" s="8"/>
      <c r="M37" s="876"/>
      <c r="N37" s="1294"/>
      <c r="V37" s="48"/>
      <c r="W37" s="49"/>
      <c r="X37" s="44"/>
      <c r="Y37" s="44"/>
      <c r="Z37" s="44"/>
      <c r="AA37" s="44"/>
      <c r="AB37" s="44"/>
      <c r="AC37" s="44"/>
      <c r="AD37" s="44"/>
      <c r="AE37" s="44"/>
      <c r="AF37" s="44"/>
      <c r="AG37" s="44"/>
      <c r="AH37" s="44"/>
      <c r="AI37" s="44"/>
      <c r="AJ37" s="44"/>
      <c r="AK37" s="44"/>
      <c r="AL37" s="44"/>
      <c r="AM37" s="44"/>
      <c r="AN37" s="44"/>
      <c r="AO37" s="44"/>
      <c r="AP37" s="45"/>
    </row>
    <row r="38" spans="2:42" ht="15.75">
      <c r="B38" s="1282" t="s">
        <v>1281</v>
      </c>
      <c r="C38" s="1267"/>
      <c r="D38" s="97"/>
      <c r="E38" s="97"/>
      <c r="F38" s="1257">
        <f t="shared" si="6"/>
        <v>0</v>
      </c>
      <c r="G38" s="266">
        <f t="shared" si="8"/>
        <v>0</v>
      </c>
      <c r="H38" s="8"/>
      <c r="I38" s="1168"/>
      <c r="J38" s="97"/>
      <c r="K38" s="878">
        <f t="shared" si="7"/>
        <v>0</v>
      </c>
      <c r="L38" s="8"/>
      <c r="M38" s="876"/>
      <c r="N38" s="1294"/>
      <c r="V38" s="48"/>
      <c r="W38" s="49"/>
      <c r="X38" s="44"/>
      <c r="Y38" s="44"/>
      <c r="Z38" s="44"/>
      <c r="AA38" s="44"/>
      <c r="AB38" s="44"/>
      <c r="AC38" s="44"/>
      <c r="AD38" s="44"/>
      <c r="AE38" s="44"/>
      <c r="AF38" s="44"/>
      <c r="AG38" s="44"/>
      <c r="AH38" s="44"/>
      <c r="AI38" s="44"/>
      <c r="AJ38" s="44"/>
      <c r="AK38" s="44"/>
      <c r="AL38" s="44"/>
      <c r="AM38" s="44"/>
      <c r="AN38" s="44"/>
      <c r="AO38" s="44"/>
      <c r="AP38" s="45"/>
    </row>
    <row r="39" spans="2:42" ht="15.75">
      <c r="B39" s="1282" t="s">
        <v>1282</v>
      </c>
      <c r="C39" s="1267"/>
      <c r="D39" s="97"/>
      <c r="E39" s="97"/>
      <c r="F39" s="1257">
        <f t="shared" si="6"/>
        <v>0</v>
      </c>
      <c r="G39" s="266">
        <f t="shared" si="8"/>
        <v>0</v>
      </c>
      <c r="H39" s="8"/>
      <c r="I39" s="1168"/>
      <c r="J39" s="97"/>
      <c r="K39" s="878">
        <f t="shared" si="7"/>
        <v>0</v>
      </c>
      <c r="L39" s="8"/>
      <c r="M39" s="876"/>
      <c r="N39" s="1294"/>
      <c r="V39" s="48"/>
      <c r="W39" s="49"/>
      <c r="X39" s="44"/>
      <c r="Y39" s="44"/>
      <c r="Z39" s="44"/>
      <c r="AA39" s="44"/>
      <c r="AB39" s="44"/>
      <c r="AC39" s="44"/>
      <c r="AD39" s="44"/>
      <c r="AE39" s="44"/>
      <c r="AF39" s="44"/>
      <c r="AG39" s="44"/>
      <c r="AH39" s="44"/>
      <c r="AI39" s="44"/>
      <c r="AJ39" s="44"/>
      <c r="AK39" s="44"/>
      <c r="AL39" s="44"/>
      <c r="AM39" s="44"/>
      <c r="AN39" s="44"/>
      <c r="AO39" s="44"/>
      <c r="AP39" s="45"/>
    </row>
    <row r="40" spans="2:42" ht="15.75">
      <c r="B40" s="1282" t="s">
        <v>1283</v>
      </c>
      <c r="C40" s="1267"/>
      <c r="D40" s="97"/>
      <c r="E40" s="97"/>
      <c r="F40" s="1257">
        <f t="shared" si="6"/>
        <v>0</v>
      </c>
      <c r="G40" s="266">
        <f t="shared" si="8"/>
        <v>0</v>
      </c>
      <c r="H40" s="8"/>
      <c r="I40" s="1168"/>
      <c r="J40" s="97"/>
      <c r="K40" s="878">
        <f t="shared" si="7"/>
        <v>0</v>
      </c>
      <c r="L40" s="8"/>
      <c r="M40" s="876"/>
      <c r="N40" s="1294"/>
      <c r="V40" s="48"/>
      <c r="W40" s="49"/>
      <c r="X40" s="44"/>
      <c r="Y40" s="44"/>
      <c r="Z40" s="44"/>
      <c r="AA40" s="44"/>
      <c r="AB40" s="44"/>
      <c r="AC40" s="44"/>
      <c r="AD40" s="44"/>
      <c r="AE40" s="44"/>
      <c r="AF40" s="44"/>
      <c r="AG40" s="44"/>
      <c r="AH40" s="44"/>
      <c r="AI40" s="44"/>
      <c r="AJ40" s="44"/>
      <c r="AK40" s="44"/>
      <c r="AL40" s="44"/>
      <c r="AM40" s="44"/>
      <c r="AN40" s="44"/>
      <c r="AO40" s="44"/>
      <c r="AP40" s="45"/>
    </row>
    <row r="41" spans="2:42" ht="15.75">
      <c r="B41" s="1282" t="s">
        <v>1284</v>
      </c>
      <c r="C41" s="1267"/>
      <c r="D41" s="97"/>
      <c r="E41" s="97"/>
      <c r="F41" s="1257">
        <f t="shared" si="6"/>
        <v>0</v>
      </c>
      <c r="G41" s="266">
        <f t="shared" si="8"/>
        <v>0</v>
      </c>
      <c r="H41" s="8"/>
      <c r="I41" s="1168"/>
      <c r="J41" s="97"/>
      <c r="K41" s="878">
        <f t="shared" si="7"/>
        <v>0</v>
      </c>
      <c r="L41" s="8"/>
      <c r="M41" s="876"/>
      <c r="N41" s="1294"/>
      <c r="V41" s="48"/>
      <c r="W41" s="49"/>
      <c r="X41" s="44"/>
      <c r="Y41" s="44"/>
      <c r="Z41" s="44"/>
      <c r="AA41" s="44"/>
      <c r="AB41" s="44"/>
      <c r="AC41" s="44"/>
      <c r="AD41" s="44"/>
      <c r="AE41" s="44"/>
      <c r="AF41" s="44"/>
      <c r="AG41" s="44"/>
      <c r="AH41" s="44"/>
      <c r="AI41" s="44"/>
      <c r="AJ41" s="44"/>
      <c r="AK41" s="44"/>
      <c r="AL41" s="44"/>
      <c r="AM41" s="44"/>
      <c r="AN41" s="44"/>
      <c r="AO41" s="44"/>
      <c r="AP41" s="45"/>
    </row>
    <row r="42" spans="2:42" ht="15.75">
      <c r="B42" s="1282" t="s">
        <v>1285</v>
      </c>
      <c r="C42" s="1267"/>
      <c r="D42" s="97"/>
      <c r="E42" s="97"/>
      <c r="F42" s="1257">
        <f t="shared" si="6"/>
        <v>0</v>
      </c>
      <c r="G42" s="266">
        <f t="shared" si="8"/>
        <v>0</v>
      </c>
      <c r="H42" s="8"/>
      <c r="I42" s="1168"/>
      <c r="J42" s="97"/>
      <c r="K42" s="878">
        <f t="shared" si="7"/>
        <v>0</v>
      </c>
      <c r="L42" s="8"/>
      <c r="M42" s="876"/>
      <c r="N42" s="1294"/>
      <c r="V42" s="48"/>
      <c r="W42" s="49"/>
      <c r="X42" s="44"/>
      <c r="Y42" s="44"/>
      <c r="Z42" s="44"/>
      <c r="AA42" s="44"/>
      <c r="AB42" s="44"/>
      <c r="AC42" s="44"/>
      <c r="AD42" s="44"/>
      <c r="AE42" s="44"/>
      <c r="AF42" s="44"/>
      <c r="AG42" s="44"/>
      <c r="AH42" s="44"/>
      <c r="AI42" s="44"/>
      <c r="AJ42" s="44"/>
      <c r="AK42" s="44"/>
      <c r="AL42" s="44"/>
      <c r="AM42" s="44"/>
      <c r="AN42" s="44"/>
      <c r="AO42" s="44"/>
      <c r="AP42" s="45"/>
    </row>
    <row r="43" spans="2:42" ht="15.75">
      <c r="B43" s="1282" t="s">
        <v>1286</v>
      </c>
      <c r="C43" s="1267"/>
      <c r="D43" s="97"/>
      <c r="E43" s="97"/>
      <c r="F43" s="1257">
        <f t="shared" si="6"/>
        <v>0</v>
      </c>
      <c r="G43" s="266">
        <f t="shared" si="8"/>
        <v>0</v>
      </c>
      <c r="H43" s="8"/>
      <c r="I43" s="1172"/>
      <c r="J43" s="1243"/>
      <c r="K43" s="878">
        <f>F43</f>
        <v>0</v>
      </c>
      <c r="L43" s="8"/>
      <c r="M43" s="949"/>
      <c r="N43" s="1294"/>
      <c r="V43" s="48"/>
      <c r="W43" s="49"/>
      <c r="X43" s="44"/>
      <c r="Y43" s="44"/>
      <c r="Z43" s="44"/>
      <c r="AA43" s="44"/>
      <c r="AB43" s="44"/>
      <c r="AC43" s="44"/>
      <c r="AD43" s="44"/>
      <c r="AE43" s="44"/>
      <c r="AF43" s="44"/>
      <c r="AG43" s="44"/>
      <c r="AH43" s="44"/>
      <c r="AI43" s="44"/>
      <c r="AJ43" s="44"/>
      <c r="AK43" s="44"/>
      <c r="AL43" s="44"/>
      <c r="AM43" s="44"/>
      <c r="AN43" s="44"/>
      <c r="AO43" s="44"/>
      <c r="AP43" s="45"/>
    </row>
    <row r="44" spans="2:42" ht="15.75">
      <c r="B44" s="1282" t="s">
        <v>1287</v>
      </c>
      <c r="C44" s="1267"/>
      <c r="D44" s="97"/>
      <c r="E44" s="97"/>
      <c r="F44" s="1257">
        <f t="shared" si="6"/>
        <v>0</v>
      </c>
      <c r="G44" s="266">
        <f t="shared" si="8"/>
        <v>0</v>
      </c>
      <c r="H44" s="8"/>
      <c r="I44" s="1172"/>
      <c r="J44" s="1243"/>
      <c r="K44" s="878">
        <f>F44</f>
        <v>0</v>
      </c>
      <c r="L44" s="8"/>
      <c r="M44" s="949"/>
      <c r="N44" s="1294"/>
      <c r="V44" s="48"/>
      <c r="W44" s="49"/>
      <c r="X44" s="44"/>
      <c r="Y44" s="44"/>
      <c r="Z44" s="44"/>
      <c r="AA44" s="44"/>
      <c r="AB44" s="44"/>
      <c r="AC44" s="44"/>
      <c r="AD44" s="44"/>
      <c r="AE44" s="44"/>
      <c r="AF44" s="44"/>
      <c r="AG44" s="44"/>
      <c r="AH44" s="44"/>
      <c r="AI44" s="44"/>
      <c r="AJ44" s="44"/>
      <c r="AK44" s="44"/>
      <c r="AL44" s="44"/>
      <c r="AM44" s="44"/>
      <c r="AN44" s="44"/>
      <c r="AO44" s="44"/>
      <c r="AP44" s="45"/>
    </row>
    <row r="45" spans="2:42" ht="15.75">
      <c r="B45" s="1282" t="s">
        <v>1110</v>
      </c>
      <c r="C45" s="1267"/>
      <c r="D45" s="97"/>
      <c r="E45" s="97"/>
      <c r="F45" s="1257">
        <f t="shared" si="6"/>
        <v>0</v>
      </c>
      <c r="G45" s="266">
        <f t="shared" si="8"/>
        <v>0</v>
      </c>
      <c r="H45" s="8"/>
      <c r="I45" s="1168"/>
      <c r="J45" s="97"/>
      <c r="K45" s="878">
        <f>F45-I45-J45</f>
        <v>0</v>
      </c>
      <c r="L45" s="8"/>
      <c r="M45" s="876"/>
      <c r="N45" s="1294"/>
      <c r="V45" s="48"/>
      <c r="W45" s="49"/>
      <c r="X45" s="44"/>
      <c r="Y45" s="44"/>
      <c r="Z45" s="44"/>
      <c r="AA45" s="44"/>
      <c r="AB45" s="44"/>
      <c r="AC45" s="44"/>
      <c r="AD45" s="44"/>
      <c r="AE45" s="44"/>
      <c r="AF45" s="44"/>
      <c r="AG45" s="44"/>
      <c r="AH45" s="44"/>
      <c r="AI45" s="44"/>
      <c r="AJ45" s="44"/>
      <c r="AK45" s="44"/>
      <c r="AL45" s="44"/>
      <c r="AM45" s="44"/>
      <c r="AN45" s="44"/>
      <c r="AO45" s="44"/>
      <c r="AP45" s="45"/>
    </row>
    <row r="46" spans="2:42" ht="15.75">
      <c r="B46" s="1282" t="s">
        <v>1288</v>
      </c>
      <c r="C46" s="1267"/>
      <c r="D46" s="97"/>
      <c r="E46" s="97"/>
      <c r="F46" s="1257">
        <f t="shared" si="6"/>
        <v>0</v>
      </c>
      <c r="G46" s="266">
        <f t="shared" si="8"/>
        <v>0</v>
      </c>
      <c r="H46" s="8"/>
      <c r="I46" s="1168"/>
      <c r="J46" s="97"/>
      <c r="K46" s="878">
        <f>F46-I46-J46</f>
        <v>0</v>
      </c>
      <c r="L46" s="8"/>
      <c r="M46" s="876"/>
      <c r="N46" s="1294"/>
      <c r="V46" s="48"/>
      <c r="W46" s="49"/>
      <c r="X46" s="44"/>
      <c r="Y46" s="44"/>
      <c r="Z46" s="44"/>
      <c r="AA46" s="44"/>
      <c r="AB46" s="44"/>
      <c r="AC46" s="44"/>
      <c r="AD46" s="44"/>
      <c r="AE46" s="44"/>
      <c r="AF46" s="44"/>
      <c r="AG46" s="44"/>
      <c r="AH46" s="44"/>
      <c r="AI46" s="44"/>
      <c r="AJ46" s="44"/>
      <c r="AK46" s="44"/>
      <c r="AL46" s="44"/>
      <c r="AM46" s="44"/>
      <c r="AN46" s="44"/>
      <c r="AO46" s="44"/>
      <c r="AP46" s="45"/>
    </row>
    <row r="47" spans="2:42" ht="15.75">
      <c r="B47" s="1282" t="s">
        <v>1289</v>
      </c>
      <c r="C47" s="1267"/>
      <c r="D47" s="97"/>
      <c r="E47" s="97"/>
      <c r="F47" s="1257">
        <f t="shared" si="6"/>
        <v>0</v>
      </c>
      <c r="G47" s="266">
        <f t="shared" si="8"/>
        <v>0</v>
      </c>
      <c r="H47" s="8"/>
      <c r="I47" s="1168"/>
      <c r="J47" s="97"/>
      <c r="K47" s="878">
        <f>F47-I47-J47</f>
        <v>0</v>
      </c>
      <c r="L47" s="8"/>
      <c r="M47" s="876"/>
      <c r="N47" s="1294"/>
      <c r="V47" s="48"/>
      <c r="W47" s="49"/>
      <c r="X47" s="44"/>
      <c r="Y47" s="44"/>
      <c r="Z47" s="44"/>
      <c r="AA47" s="44"/>
      <c r="AB47" s="44"/>
      <c r="AC47" s="44"/>
      <c r="AD47" s="44"/>
      <c r="AE47" s="44"/>
      <c r="AF47" s="44"/>
      <c r="AG47" s="44"/>
      <c r="AH47" s="44"/>
      <c r="AI47" s="44"/>
      <c r="AJ47" s="44"/>
      <c r="AK47" s="44"/>
      <c r="AL47" s="44"/>
      <c r="AM47" s="44"/>
      <c r="AN47" s="44"/>
      <c r="AO47" s="44"/>
      <c r="AP47" s="45"/>
    </row>
    <row r="48" spans="2:42" ht="15.75">
      <c r="B48" s="1282" t="s">
        <v>1290</v>
      </c>
      <c r="C48" s="1267"/>
      <c r="D48" s="97"/>
      <c r="E48" s="97"/>
      <c r="F48" s="1257">
        <f t="shared" si="6"/>
        <v>0</v>
      </c>
      <c r="G48" s="266">
        <f t="shared" si="8"/>
        <v>0</v>
      </c>
      <c r="H48" s="8"/>
      <c r="I48" s="1168"/>
      <c r="J48" s="97"/>
      <c r="K48" s="878">
        <f>F48-I48-J48</f>
        <v>0</v>
      </c>
      <c r="L48" s="8"/>
      <c r="M48" s="876"/>
      <c r="N48" s="1294"/>
      <c r="V48" s="48"/>
      <c r="W48" s="49"/>
      <c r="X48" s="44"/>
      <c r="Y48" s="44"/>
      <c r="Z48" s="44"/>
      <c r="AA48" s="44"/>
      <c r="AB48" s="44"/>
      <c r="AC48" s="44"/>
      <c r="AD48" s="44"/>
      <c r="AE48" s="44"/>
      <c r="AF48" s="44"/>
      <c r="AG48" s="44"/>
      <c r="AH48" s="44"/>
      <c r="AI48" s="44"/>
      <c r="AJ48" s="44"/>
      <c r="AK48" s="44"/>
      <c r="AL48" s="44"/>
      <c r="AM48" s="44"/>
      <c r="AN48" s="44"/>
      <c r="AO48" s="44"/>
      <c r="AP48" s="45"/>
    </row>
    <row r="49" spans="2:42" ht="15.75">
      <c r="B49" s="1282" t="s">
        <v>1291</v>
      </c>
      <c r="C49" s="1267"/>
      <c r="D49" s="97"/>
      <c r="E49" s="97"/>
      <c r="F49" s="1257">
        <f t="shared" si="6"/>
        <v>0</v>
      </c>
      <c r="G49" s="266">
        <f t="shared" si="8"/>
        <v>0</v>
      </c>
      <c r="H49" s="8"/>
      <c r="I49" s="1172"/>
      <c r="J49" s="1243"/>
      <c r="K49" s="878">
        <f>F49</f>
        <v>0</v>
      </c>
      <c r="L49" s="8"/>
      <c r="M49" s="949"/>
      <c r="N49" s="1294"/>
      <c r="V49" s="48"/>
      <c r="W49" s="49"/>
      <c r="X49" s="44"/>
      <c r="Y49" s="44"/>
      <c r="Z49" s="44"/>
      <c r="AA49" s="44"/>
      <c r="AB49" s="44"/>
      <c r="AC49" s="44"/>
      <c r="AD49" s="44"/>
      <c r="AE49" s="44"/>
      <c r="AF49" s="44"/>
      <c r="AG49" s="44"/>
      <c r="AH49" s="44"/>
      <c r="AI49" s="44"/>
      <c r="AJ49" s="44"/>
      <c r="AK49" s="44"/>
      <c r="AL49" s="44"/>
      <c r="AM49" s="44"/>
      <c r="AN49" s="44"/>
      <c r="AO49" s="44"/>
      <c r="AP49" s="45"/>
    </row>
    <row r="50" spans="2:42" ht="15.75">
      <c r="B50" s="1282" t="s">
        <v>1292</v>
      </c>
      <c r="C50" s="1267"/>
      <c r="D50" s="97"/>
      <c r="E50" s="97"/>
      <c r="F50" s="1257">
        <f t="shared" si="6"/>
        <v>0</v>
      </c>
      <c r="G50" s="266">
        <f t="shared" si="8"/>
        <v>0</v>
      </c>
      <c r="H50" s="8"/>
      <c r="I50" s="1168"/>
      <c r="J50" s="97"/>
      <c r="K50" s="878">
        <f t="shared" ref="K50:K58" si="9">F50-I50-J50</f>
        <v>0</v>
      </c>
      <c r="L50" s="8"/>
      <c r="M50" s="876"/>
      <c r="N50" s="1294"/>
      <c r="V50" s="48"/>
      <c r="W50" s="49"/>
      <c r="X50" s="44"/>
      <c r="Y50" s="44"/>
      <c r="Z50" s="44"/>
      <c r="AA50" s="44"/>
      <c r="AB50" s="44"/>
      <c r="AC50" s="44"/>
      <c r="AD50" s="44"/>
      <c r="AE50" s="44"/>
      <c r="AF50" s="44"/>
      <c r="AG50" s="44"/>
      <c r="AH50" s="44"/>
      <c r="AI50" s="44"/>
      <c r="AJ50" s="44"/>
      <c r="AK50" s="44"/>
      <c r="AL50" s="44"/>
      <c r="AM50" s="44"/>
      <c r="AN50" s="44"/>
      <c r="AO50" s="44"/>
      <c r="AP50" s="45"/>
    </row>
    <row r="51" spans="2:42" ht="15.75">
      <c r="B51" s="1282" t="s">
        <v>1293</v>
      </c>
      <c r="C51" s="1267"/>
      <c r="D51" s="97"/>
      <c r="E51" s="97"/>
      <c r="F51" s="1257">
        <f t="shared" si="6"/>
        <v>0</v>
      </c>
      <c r="G51" s="266">
        <f t="shared" si="8"/>
        <v>0</v>
      </c>
      <c r="H51" s="8"/>
      <c r="I51" s="1168"/>
      <c r="J51" s="97"/>
      <c r="K51" s="878">
        <f t="shared" si="9"/>
        <v>0</v>
      </c>
      <c r="L51" s="8"/>
      <c r="M51" s="876"/>
      <c r="N51" s="1294"/>
      <c r="V51" s="48"/>
      <c r="W51" s="49"/>
      <c r="X51" s="44"/>
      <c r="Y51" s="44"/>
      <c r="Z51" s="44"/>
      <c r="AA51" s="44"/>
      <c r="AB51" s="44"/>
      <c r="AC51" s="44"/>
      <c r="AD51" s="44"/>
      <c r="AE51" s="44"/>
      <c r="AF51" s="44"/>
      <c r="AG51" s="44"/>
      <c r="AH51" s="44"/>
      <c r="AI51" s="44"/>
      <c r="AJ51" s="44"/>
      <c r="AK51" s="44"/>
      <c r="AL51" s="44"/>
      <c r="AM51" s="44"/>
      <c r="AN51" s="44"/>
      <c r="AO51" s="44"/>
      <c r="AP51" s="45"/>
    </row>
    <row r="52" spans="2:42" ht="15.75">
      <c r="B52" s="1282" t="s">
        <v>1294</v>
      </c>
      <c r="C52" s="1168"/>
      <c r="D52" s="96"/>
      <c r="E52" s="97"/>
      <c r="F52" s="1257">
        <f t="shared" si="6"/>
        <v>0</v>
      </c>
      <c r="G52" s="266">
        <f t="shared" si="8"/>
        <v>0</v>
      </c>
      <c r="H52" s="8"/>
      <c r="I52" s="1168"/>
      <c r="J52" s="97"/>
      <c r="K52" s="878">
        <f t="shared" si="9"/>
        <v>0</v>
      </c>
      <c r="L52" s="8"/>
      <c r="M52" s="876"/>
      <c r="N52" s="1294"/>
      <c r="V52" s="48"/>
      <c r="W52" s="49"/>
      <c r="X52" s="44"/>
      <c r="Y52" s="44"/>
      <c r="Z52" s="44"/>
      <c r="AA52" s="44"/>
      <c r="AB52" s="44"/>
      <c r="AC52" s="44"/>
      <c r="AD52" s="44"/>
      <c r="AE52" s="44"/>
      <c r="AF52" s="44"/>
      <c r="AG52" s="44"/>
      <c r="AH52" s="44"/>
      <c r="AI52" s="44"/>
      <c r="AJ52" s="44"/>
      <c r="AK52" s="44"/>
      <c r="AL52" s="44"/>
      <c r="AM52" s="44"/>
      <c r="AN52" s="44"/>
      <c r="AO52" s="44"/>
      <c r="AP52" s="45"/>
    </row>
    <row r="53" spans="2:42" ht="15.75">
      <c r="B53" s="1282" t="s">
        <v>1295</v>
      </c>
      <c r="C53" s="1267"/>
      <c r="D53" s="97"/>
      <c r="E53" s="97"/>
      <c r="F53" s="1257">
        <f t="shared" si="6"/>
        <v>0</v>
      </c>
      <c r="G53" s="266">
        <f t="shared" si="8"/>
        <v>0</v>
      </c>
      <c r="H53" s="8"/>
      <c r="I53" s="1168"/>
      <c r="J53" s="97"/>
      <c r="K53" s="878">
        <f t="shared" si="9"/>
        <v>0</v>
      </c>
      <c r="L53" s="8"/>
      <c r="M53" s="876"/>
      <c r="N53" s="1294"/>
      <c r="V53" s="48"/>
      <c r="W53" s="49"/>
      <c r="X53" s="44"/>
      <c r="Y53" s="44"/>
      <c r="Z53" s="44"/>
      <c r="AA53" s="44"/>
      <c r="AB53" s="44"/>
      <c r="AC53" s="44"/>
      <c r="AD53" s="44"/>
      <c r="AE53" s="44"/>
      <c r="AF53" s="44"/>
      <c r="AG53" s="44"/>
      <c r="AH53" s="44"/>
      <c r="AI53" s="44"/>
      <c r="AJ53" s="44"/>
      <c r="AK53" s="44"/>
      <c r="AL53" s="44"/>
      <c r="AM53" s="44"/>
      <c r="AN53" s="44"/>
      <c r="AO53" s="44"/>
      <c r="AP53" s="45"/>
    </row>
    <row r="54" spans="2:42" ht="15.75">
      <c r="B54" s="1283" t="s">
        <v>96</v>
      </c>
      <c r="C54" s="1267"/>
      <c r="D54" s="97"/>
      <c r="E54" s="97"/>
      <c r="F54" s="1257">
        <f t="shared" si="6"/>
        <v>0</v>
      </c>
      <c r="G54" s="266">
        <f t="shared" si="8"/>
        <v>0</v>
      </c>
      <c r="H54" s="8"/>
      <c r="I54" s="1168"/>
      <c r="J54" s="97"/>
      <c r="K54" s="878">
        <f t="shared" si="9"/>
        <v>0</v>
      </c>
      <c r="L54" s="8"/>
      <c r="M54" s="876"/>
      <c r="N54" s="1294"/>
      <c r="V54" s="48"/>
      <c r="W54" s="49"/>
      <c r="X54" s="44"/>
      <c r="Y54" s="44"/>
      <c r="Z54" s="44"/>
      <c r="AA54" s="44"/>
      <c r="AB54" s="44"/>
      <c r="AC54" s="44"/>
      <c r="AD54" s="44"/>
      <c r="AE54" s="44"/>
      <c r="AF54" s="44"/>
      <c r="AG54" s="44"/>
      <c r="AH54" s="44"/>
      <c r="AI54" s="44"/>
      <c r="AJ54" s="44"/>
      <c r="AK54" s="44"/>
      <c r="AL54" s="44"/>
      <c r="AM54" s="44"/>
      <c r="AN54" s="44"/>
      <c r="AO54" s="44"/>
      <c r="AP54" s="45"/>
    </row>
    <row r="55" spans="2:42" ht="15.75">
      <c r="B55" s="1283" t="s">
        <v>96</v>
      </c>
      <c r="C55" s="1267"/>
      <c r="D55" s="97"/>
      <c r="E55" s="97"/>
      <c r="F55" s="1257">
        <f t="shared" si="6"/>
        <v>0</v>
      </c>
      <c r="G55" s="266">
        <f t="shared" si="8"/>
        <v>0</v>
      </c>
      <c r="H55" s="8"/>
      <c r="I55" s="1168"/>
      <c r="J55" s="97"/>
      <c r="K55" s="878">
        <f t="shared" si="9"/>
        <v>0</v>
      </c>
      <c r="L55" s="8"/>
      <c r="M55" s="876"/>
      <c r="N55" s="1294"/>
      <c r="V55" s="46"/>
      <c r="W55" s="44"/>
      <c r="X55" s="44"/>
      <c r="Y55" s="44"/>
      <c r="Z55" s="44"/>
      <c r="AA55" s="44"/>
      <c r="AB55" s="44"/>
      <c r="AC55" s="44"/>
      <c r="AD55" s="44"/>
      <c r="AE55" s="44"/>
      <c r="AF55" s="44"/>
      <c r="AG55" s="44"/>
      <c r="AH55" s="44"/>
      <c r="AI55" s="44"/>
      <c r="AJ55" s="44"/>
      <c r="AK55" s="44"/>
      <c r="AL55" s="44"/>
      <c r="AM55" s="44"/>
      <c r="AN55" s="44"/>
      <c r="AO55" s="44"/>
      <c r="AP55" s="45"/>
    </row>
    <row r="56" spans="2:42" ht="15.75">
      <c r="B56" s="1283" t="s">
        <v>96</v>
      </c>
      <c r="C56" s="1267"/>
      <c r="D56" s="97"/>
      <c r="E56" s="97"/>
      <c r="F56" s="1257">
        <f t="shared" si="6"/>
        <v>0</v>
      </c>
      <c r="G56" s="266">
        <f t="shared" si="8"/>
        <v>0</v>
      </c>
      <c r="H56" s="8"/>
      <c r="I56" s="1168"/>
      <c r="J56" s="97"/>
      <c r="K56" s="878">
        <f t="shared" si="9"/>
        <v>0</v>
      </c>
      <c r="L56" s="8"/>
      <c r="M56" s="876"/>
      <c r="N56" s="1294"/>
      <c r="V56" s="46"/>
      <c r="W56" s="44"/>
      <c r="X56" s="44"/>
      <c r="Y56" s="44"/>
      <c r="Z56" s="44"/>
      <c r="AA56" s="44"/>
      <c r="AB56" s="44"/>
      <c r="AC56" s="44"/>
      <c r="AD56" s="44"/>
      <c r="AE56" s="44"/>
      <c r="AF56" s="44"/>
      <c r="AG56" s="44"/>
      <c r="AH56" s="44"/>
      <c r="AI56" s="44"/>
      <c r="AJ56" s="44"/>
      <c r="AK56" s="44"/>
      <c r="AL56" s="44"/>
      <c r="AM56" s="44"/>
      <c r="AN56" s="44"/>
      <c r="AO56" s="44"/>
      <c r="AP56" s="45"/>
    </row>
    <row r="57" spans="2:42" ht="15.75">
      <c r="B57" s="1283" t="s">
        <v>96</v>
      </c>
      <c r="C57" s="1267"/>
      <c r="D57" s="97"/>
      <c r="E57" s="97"/>
      <c r="F57" s="1257">
        <f t="shared" si="6"/>
        <v>0</v>
      </c>
      <c r="G57" s="266">
        <f t="shared" si="8"/>
        <v>0</v>
      </c>
      <c r="H57" s="8"/>
      <c r="I57" s="1168"/>
      <c r="J57" s="97"/>
      <c r="K57" s="878">
        <f t="shared" si="9"/>
        <v>0</v>
      </c>
      <c r="L57" s="8"/>
      <c r="M57" s="876"/>
      <c r="N57" s="1294"/>
      <c r="V57" s="46"/>
      <c r="W57" s="44"/>
      <c r="X57" s="44"/>
      <c r="Y57" s="44"/>
      <c r="Z57" s="44"/>
      <c r="AA57" s="44"/>
      <c r="AB57" s="44"/>
      <c r="AC57" s="44"/>
      <c r="AD57" s="44"/>
      <c r="AE57" s="44"/>
      <c r="AF57" s="44"/>
      <c r="AG57" s="44"/>
      <c r="AH57" s="44"/>
      <c r="AI57" s="44"/>
      <c r="AJ57" s="44"/>
      <c r="AK57" s="44"/>
      <c r="AL57" s="44"/>
      <c r="AM57" s="44"/>
      <c r="AN57" s="44"/>
      <c r="AO57" s="44"/>
      <c r="AP57" s="45"/>
    </row>
    <row r="58" spans="2:42" ht="15.75">
      <c r="B58" s="1282" t="s">
        <v>1296</v>
      </c>
      <c r="C58" s="97"/>
      <c r="D58" s="97"/>
      <c r="E58" s="97"/>
      <c r="F58" s="1257">
        <f t="shared" si="6"/>
        <v>0</v>
      </c>
      <c r="G58" s="266">
        <f t="shared" si="8"/>
        <v>0</v>
      </c>
      <c r="H58" s="8"/>
      <c r="I58" s="1168"/>
      <c r="J58" s="97"/>
      <c r="K58" s="878">
        <f t="shared" si="9"/>
        <v>0</v>
      </c>
      <c r="L58" s="8"/>
      <c r="M58" s="876"/>
      <c r="N58" s="1294"/>
      <c r="V58" s="46"/>
      <c r="W58" s="44"/>
      <c r="X58" s="44"/>
      <c r="Y58" s="44"/>
      <c r="Z58" s="44"/>
      <c r="AA58" s="44"/>
      <c r="AB58" s="44"/>
      <c r="AC58" s="44"/>
      <c r="AD58" s="44"/>
      <c r="AE58" s="44"/>
      <c r="AF58" s="44"/>
      <c r="AG58" s="44"/>
      <c r="AH58" s="44"/>
      <c r="AI58" s="44"/>
      <c r="AJ58" s="44"/>
      <c r="AK58" s="44"/>
      <c r="AL58" s="44"/>
      <c r="AM58" s="44"/>
      <c r="AN58" s="44"/>
      <c r="AO58" s="44"/>
      <c r="AP58" s="45"/>
    </row>
    <row r="59" spans="2:42" ht="16.5" thickBot="1">
      <c r="B59" s="1286" t="s">
        <v>1297</v>
      </c>
      <c r="C59" s="1268">
        <f>SUM(C31:C58)</f>
        <v>0</v>
      </c>
      <c r="D59" s="947">
        <f>SUM(D31:D58)</f>
        <v>0</v>
      </c>
      <c r="E59" s="947">
        <f>SUM(E31:E58)</f>
        <v>0</v>
      </c>
      <c r="F59" s="948">
        <f t="shared" si="6"/>
        <v>0</v>
      </c>
      <c r="G59" s="1255">
        <f>IF($F$28=0,0,F59/$F$59)</f>
        <v>0</v>
      </c>
      <c r="H59" s="8"/>
      <c r="I59" s="1411">
        <f>SUM(I31:I58)</f>
        <v>0</v>
      </c>
      <c r="J59" s="1412">
        <f>SUM(J31:J58)</f>
        <v>0</v>
      </c>
      <c r="K59" s="1413">
        <f>SUM(K31:K58)</f>
        <v>0</v>
      </c>
      <c r="L59" s="8"/>
      <c r="M59" s="948">
        <f>SUM(M31:M57)</f>
        <v>0</v>
      </c>
      <c r="N59" s="1298">
        <f>SUM(N31:N58)</f>
        <v>0</v>
      </c>
      <c r="V59" s="47"/>
      <c r="W59" s="44"/>
      <c r="X59" s="44"/>
      <c r="Y59" s="44"/>
      <c r="Z59" s="44"/>
      <c r="AA59" s="44"/>
      <c r="AB59" s="44"/>
      <c r="AC59" s="44"/>
      <c r="AD59" s="44"/>
      <c r="AE59" s="44"/>
      <c r="AF59" s="44"/>
      <c r="AG59" s="44"/>
      <c r="AH59" s="44"/>
      <c r="AI59" s="44"/>
      <c r="AJ59" s="44"/>
      <c r="AK59" s="44"/>
      <c r="AL59" s="44"/>
      <c r="AM59" s="44"/>
      <c r="AN59" s="44"/>
      <c r="AO59" s="44"/>
      <c r="AP59" s="45"/>
    </row>
    <row r="60" spans="2:42" ht="16.5" thickBot="1">
      <c r="B60" s="1287"/>
      <c r="C60" s="1269"/>
      <c r="D60" s="64"/>
      <c r="E60" s="64"/>
      <c r="F60" s="1016"/>
      <c r="G60" s="65"/>
      <c r="H60" s="8"/>
      <c r="I60" s="1173"/>
      <c r="J60" s="1239"/>
      <c r="K60" s="839"/>
      <c r="L60" s="8"/>
      <c r="M60" s="877"/>
      <c r="N60" s="1296"/>
      <c r="V60" s="46"/>
      <c r="W60" s="44"/>
      <c r="X60" s="44"/>
      <c r="Y60" s="44"/>
      <c r="Z60" s="44"/>
      <c r="AA60" s="44"/>
      <c r="AB60" s="44"/>
      <c r="AC60" s="44"/>
      <c r="AD60" s="44"/>
      <c r="AE60" s="44"/>
      <c r="AF60" s="44"/>
      <c r="AG60" s="44"/>
      <c r="AH60" s="44"/>
      <c r="AI60" s="44"/>
      <c r="AJ60" s="44"/>
      <c r="AK60" s="44"/>
      <c r="AL60" s="44"/>
      <c r="AM60" s="44"/>
      <c r="AN60" s="44"/>
      <c r="AO60" s="44"/>
      <c r="AP60" s="45"/>
    </row>
    <row r="61" spans="2:42" ht="15.75">
      <c r="B61" s="1285" t="s">
        <v>1298</v>
      </c>
      <c r="C61" s="1270"/>
      <c r="D61" s="273"/>
      <c r="E61" s="273"/>
      <c r="F61" s="1018"/>
      <c r="G61" s="274"/>
      <c r="H61" s="8"/>
      <c r="I61" s="1171"/>
      <c r="J61" s="1241"/>
      <c r="K61" s="1247"/>
      <c r="L61" s="8"/>
      <c r="M61" s="879"/>
      <c r="N61" s="1299"/>
      <c r="V61" s="46"/>
      <c r="W61" s="44"/>
      <c r="X61" s="44"/>
      <c r="Y61" s="44"/>
      <c r="Z61" s="44"/>
      <c r="AA61" s="44"/>
      <c r="AB61" s="44"/>
      <c r="AC61" s="44"/>
      <c r="AD61" s="44"/>
      <c r="AE61" s="44"/>
      <c r="AF61" s="44"/>
      <c r="AG61" s="44"/>
      <c r="AH61" s="44"/>
      <c r="AI61" s="44"/>
      <c r="AJ61" s="44"/>
      <c r="AK61" s="44"/>
      <c r="AL61" s="44"/>
      <c r="AM61" s="44"/>
      <c r="AN61" s="44"/>
      <c r="AO61" s="44"/>
      <c r="AP61" s="45"/>
    </row>
    <row r="62" spans="2:42" ht="15.75">
      <c r="B62" s="1282" t="s">
        <v>1299</v>
      </c>
      <c r="C62" s="1267"/>
      <c r="D62" s="97"/>
      <c r="E62" s="1251"/>
      <c r="F62" s="1258">
        <f t="shared" ref="F62:F74" si="10">SUM(C62:E62)</f>
        <v>0</v>
      </c>
      <c r="G62" s="266">
        <f>IF($F$74=0,0,F62/$F$74)</f>
        <v>0</v>
      </c>
      <c r="H62" s="8"/>
      <c r="I62" s="1168"/>
      <c r="J62" s="97"/>
      <c r="K62" s="878">
        <f>F62-I62-J62</f>
        <v>0</v>
      </c>
      <c r="L62" s="8"/>
      <c r="M62" s="876"/>
      <c r="N62" s="1300"/>
      <c r="V62" s="46"/>
      <c r="W62" s="44"/>
      <c r="X62" s="44"/>
      <c r="Y62" s="44"/>
      <c r="Z62" s="44"/>
      <c r="AA62" s="44"/>
      <c r="AB62" s="44"/>
      <c r="AC62" s="44"/>
      <c r="AD62" s="44"/>
      <c r="AE62" s="44"/>
      <c r="AF62" s="44"/>
      <c r="AG62" s="44"/>
      <c r="AH62" s="44"/>
      <c r="AI62" s="44"/>
      <c r="AJ62" s="44"/>
      <c r="AK62" s="44"/>
      <c r="AL62" s="44"/>
      <c r="AM62" s="44"/>
      <c r="AN62" s="44"/>
      <c r="AO62" s="44"/>
      <c r="AP62" s="45"/>
    </row>
    <row r="63" spans="2:42" ht="15.75">
      <c r="B63" s="1282" t="s">
        <v>1300</v>
      </c>
      <c r="C63" s="1271"/>
      <c r="D63" s="98"/>
      <c r="E63" s="1251"/>
      <c r="F63" s="1258">
        <f t="shared" si="10"/>
        <v>0</v>
      </c>
      <c r="G63" s="266">
        <f t="shared" ref="G63:G73" si="11">IF($F$74=0,0,F63/$F$74)</f>
        <v>0</v>
      </c>
      <c r="H63" s="8"/>
      <c r="I63" s="1168"/>
      <c r="J63" s="97"/>
      <c r="K63" s="878">
        <f>F63-I63-J63</f>
        <v>0</v>
      </c>
      <c r="L63" s="8"/>
      <c r="M63" s="876"/>
      <c r="N63" s="1300"/>
      <c r="Q63" s="11" t="s">
        <v>2428</v>
      </c>
      <c r="V63" s="46"/>
      <c r="W63" s="44"/>
      <c r="X63" s="44"/>
      <c r="Y63" s="44"/>
      <c r="Z63" s="44"/>
      <c r="AA63" s="44"/>
      <c r="AB63" s="44"/>
      <c r="AC63" s="44"/>
      <c r="AD63" s="44"/>
      <c r="AE63" s="44"/>
      <c r="AF63" s="44"/>
      <c r="AG63" s="44"/>
      <c r="AH63" s="44"/>
      <c r="AI63" s="44"/>
      <c r="AJ63" s="44"/>
      <c r="AK63" s="44"/>
      <c r="AL63" s="44"/>
      <c r="AM63" s="44"/>
      <c r="AN63" s="44"/>
      <c r="AO63" s="44"/>
      <c r="AP63" s="45"/>
    </row>
    <row r="64" spans="2:42" ht="15.75">
      <c r="B64" s="1282" t="s">
        <v>49</v>
      </c>
      <c r="C64" s="1272"/>
      <c r="D64" s="1267"/>
      <c r="E64" s="1252"/>
      <c r="F64" s="1258">
        <f t="shared" si="10"/>
        <v>0</v>
      </c>
      <c r="G64" s="266">
        <f t="shared" si="11"/>
        <v>0</v>
      </c>
      <c r="H64" s="8"/>
      <c r="I64" s="1168"/>
      <c r="J64" s="97"/>
      <c r="K64" s="878">
        <f>F64-I64-J64</f>
        <v>0</v>
      </c>
      <c r="L64" s="8"/>
      <c r="M64" s="876"/>
      <c r="N64" s="1300"/>
      <c r="V64" s="46"/>
      <c r="W64" s="44"/>
      <c r="X64" s="44"/>
      <c r="Y64" s="44"/>
      <c r="Z64" s="44"/>
      <c r="AA64" s="44"/>
      <c r="AB64" s="44"/>
      <c r="AC64" s="44"/>
      <c r="AD64" s="44"/>
      <c r="AE64" s="44"/>
      <c r="AF64" s="44"/>
      <c r="AG64" s="44"/>
      <c r="AH64" s="44"/>
      <c r="AI64" s="44"/>
      <c r="AJ64" s="44"/>
      <c r="AK64" s="44"/>
      <c r="AL64" s="44"/>
      <c r="AM64" s="44"/>
      <c r="AN64" s="44"/>
      <c r="AO64" s="44"/>
      <c r="AP64" s="45"/>
    </row>
    <row r="65" spans="2:42" ht="15.75">
      <c r="B65" s="1282" t="s">
        <v>1301</v>
      </c>
      <c r="C65" s="1271"/>
      <c r="D65" s="98"/>
      <c r="E65" s="1251"/>
      <c r="F65" s="1258">
        <f t="shared" si="10"/>
        <v>0</v>
      </c>
      <c r="G65" s="266">
        <f t="shared" si="11"/>
        <v>0</v>
      </c>
      <c r="H65" s="8"/>
      <c r="I65" s="1172"/>
      <c r="J65" s="1243"/>
      <c r="K65" s="878">
        <f>F65</f>
        <v>0</v>
      </c>
      <c r="L65" s="8"/>
      <c r="M65" s="949"/>
      <c r="N65" s="1300"/>
      <c r="V65" s="46"/>
      <c r="W65" s="44"/>
      <c r="X65" s="44"/>
      <c r="Y65" s="44"/>
      <c r="Z65" s="44"/>
      <c r="AA65" s="44"/>
      <c r="AB65" s="44"/>
      <c r="AC65" s="44"/>
      <c r="AD65" s="44"/>
      <c r="AE65" s="44"/>
      <c r="AF65" s="44"/>
      <c r="AG65" s="44"/>
      <c r="AH65" s="44"/>
      <c r="AI65" s="44"/>
      <c r="AJ65" s="44"/>
      <c r="AK65" s="44"/>
      <c r="AL65" s="44"/>
      <c r="AM65" s="44"/>
      <c r="AN65" s="44"/>
      <c r="AO65" s="44"/>
      <c r="AP65" s="45"/>
    </row>
    <row r="66" spans="2:42" ht="15.75">
      <c r="B66" s="1282" t="s">
        <v>1302</v>
      </c>
      <c r="C66" s="1271"/>
      <c r="D66" s="1271"/>
      <c r="E66" s="1251"/>
      <c r="F66" s="1258">
        <f t="shared" si="10"/>
        <v>0</v>
      </c>
      <c r="G66" s="266">
        <f t="shared" si="11"/>
        <v>0</v>
      </c>
      <c r="H66" s="8"/>
      <c r="I66" s="1172"/>
      <c r="J66" s="1243"/>
      <c r="K66" s="878">
        <f>F66</f>
        <v>0</v>
      </c>
      <c r="L66" s="8"/>
      <c r="M66" s="950"/>
      <c r="N66" s="1300"/>
      <c r="V66" s="46"/>
      <c r="W66" s="44"/>
      <c r="X66" s="44"/>
      <c r="Y66" s="44"/>
      <c r="Z66" s="44"/>
      <c r="AA66" s="44"/>
      <c r="AB66" s="44"/>
      <c r="AC66" s="44"/>
      <c r="AD66" s="44"/>
      <c r="AE66" s="44"/>
      <c r="AF66" s="44"/>
      <c r="AG66" s="44"/>
      <c r="AH66" s="44"/>
      <c r="AI66" s="44"/>
      <c r="AJ66" s="44"/>
      <c r="AK66" s="44"/>
      <c r="AL66" s="44"/>
      <c r="AM66" s="44"/>
      <c r="AN66" s="44"/>
      <c r="AO66" s="44"/>
      <c r="AP66" s="45"/>
    </row>
    <row r="67" spans="2:42" ht="15.75">
      <c r="B67" s="1282" t="s">
        <v>1303</v>
      </c>
      <c r="C67" s="1271"/>
      <c r="D67" s="98"/>
      <c r="E67" s="1251"/>
      <c r="F67" s="1258">
        <f t="shared" si="10"/>
        <v>0</v>
      </c>
      <c r="G67" s="266">
        <f t="shared" si="11"/>
        <v>0</v>
      </c>
      <c r="H67" s="8"/>
      <c r="I67" s="1172"/>
      <c r="J67" s="1243"/>
      <c r="K67" s="878">
        <f>F67</f>
        <v>0</v>
      </c>
      <c r="L67" s="8"/>
      <c r="M67" s="950"/>
      <c r="N67" s="1300"/>
      <c r="V67" s="48"/>
      <c r="W67" s="49"/>
      <c r="X67" s="44"/>
      <c r="Y67" s="44"/>
      <c r="Z67" s="44"/>
      <c r="AA67" s="44"/>
      <c r="AB67" s="44"/>
      <c r="AC67" s="44"/>
      <c r="AD67" s="44"/>
      <c r="AE67" s="44"/>
      <c r="AF67" s="44"/>
      <c r="AG67" s="44"/>
      <c r="AH67" s="44"/>
      <c r="AI67" s="44"/>
      <c r="AJ67" s="44"/>
      <c r="AK67" s="44"/>
      <c r="AL67" s="44"/>
      <c r="AM67" s="44"/>
      <c r="AN67" s="44"/>
      <c r="AO67" s="44"/>
      <c r="AP67" s="45"/>
    </row>
    <row r="68" spans="2:42" ht="15.75">
      <c r="B68" s="1282" t="s">
        <v>1304</v>
      </c>
      <c r="C68" s="1271"/>
      <c r="D68" s="98"/>
      <c r="E68" s="1251"/>
      <c r="F68" s="1258">
        <f t="shared" si="10"/>
        <v>0</v>
      </c>
      <c r="G68" s="266">
        <f t="shared" si="11"/>
        <v>0</v>
      </c>
      <c r="H68" s="8"/>
      <c r="I68" s="1172"/>
      <c r="J68" s="1243"/>
      <c r="K68" s="878">
        <f>F68</f>
        <v>0</v>
      </c>
      <c r="L68" s="8"/>
      <c r="M68" s="950"/>
      <c r="N68" s="1300"/>
      <c r="Q68" s="11" t="s">
        <v>2429</v>
      </c>
      <c r="V68" s="48"/>
      <c r="W68" s="49"/>
      <c r="X68" s="44"/>
      <c r="Y68" s="44"/>
      <c r="Z68" s="44"/>
      <c r="AA68" s="44"/>
      <c r="AB68" s="44"/>
      <c r="AC68" s="44"/>
      <c r="AD68" s="44"/>
      <c r="AE68" s="44"/>
      <c r="AF68" s="44"/>
      <c r="AG68" s="44"/>
      <c r="AH68" s="44"/>
      <c r="AI68" s="44"/>
      <c r="AJ68" s="44"/>
      <c r="AK68" s="44"/>
      <c r="AL68" s="44"/>
      <c r="AM68" s="44"/>
      <c r="AN68" s="44"/>
      <c r="AO68" s="44"/>
      <c r="AP68" s="45"/>
    </row>
    <row r="69" spans="2:42" ht="15.75">
      <c r="B69" s="1282" t="str">
        <f>"Tax Credit Allocation Fee: Typ. " &amp; IF(OR(rng01_CreditType = "9%", rng01_CreditType = "4% and 9%"), TEXT('02_5_LIHTC Proceeds'!$C$29*0.005, "$0,00"), IF(rng01_CreditType = "4%", TEXT('02_5_LIHTC Proceeds'!$C$29*0.01, "$0,00"), "$0"))</f>
        <v>Tax Credit Allocation Fee: Typ. $0</v>
      </c>
      <c r="C69" s="1271"/>
      <c r="D69" s="98"/>
      <c r="E69" s="1251"/>
      <c r="F69" s="1258">
        <f t="shared" si="10"/>
        <v>0</v>
      </c>
      <c r="G69" s="266">
        <f t="shared" si="11"/>
        <v>0</v>
      </c>
      <c r="H69" s="8"/>
      <c r="I69" s="1172"/>
      <c r="J69" s="1243"/>
      <c r="K69" s="878">
        <f>F69</f>
        <v>0</v>
      </c>
      <c r="L69" s="8"/>
      <c r="M69" s="950"/>
      <c r="N69" s="1300"/>
      <c r="V69" s="46"/>
      <c r="W69" s="44"/>
      <c r="X69" s="44"/>
      <c r="Y69" s="44"/>
      <c r="Z69" s="44"/>
      <c r="AA69" s="44"/>
      <c r="AB69" s="44"/>
      <c r="AC69" s="44"/>
      <c r="AD69" s="44"/>
      <c r="AE69" s="44"/>
      <c r="AF69" s="44"/>
      <c r="AG69" s="44"/>
      <c r="AH69" s="44"/>
      <c r="AI69" s="44"/>
      <c r="AJ69" s="44"/>
      <c r="AK69" s="44"/>
      <c r="AL69" s="44"/>
      <c r="AM69" s="44"/>
      <c r="AN69" s="44"/>
      <c r="AO69" s="44"/>
      <c r="AP69" s="45"/>
    </row>
    <row r="70" spans="2:42" ht="15.75">
      <c r="B70" s="1283" t="s">
        <v>96</v>
      </c>
      <c r="C70" s="1271"/>
      <c r="D70" s="98"/>
      <c r="E70" s="1251"/>
      <c r="F70" s="1258">
        <f t="shared" si="10"/>
        <v>0</v>
      </c>
      <c r="G70" s="266">
        <f t="shared" si="11"/>
        <v>0</v>
      </c>
      <c r="H70" s="8"/>
      <c r="I70" s="1168"/>
      <c r="J70" s="97"/>
      <c r="K70" s="878">
        <f>F70-I70-J70</f>
        <v>0</v>
      </c>
      <c r="L70" s="8"/>
      <c r="M70" s="876"/>
      <c r="N70" s="1300"/>
      <c r="V70" s="46"/>
      <c r="W70" s="44"/>
      <c r="X70" s="44"/>
      <c r="Y70" s="44"/>
      <c r="Z70" s="44"/>
      <c r="AA70" s="44"/>
      <c r="AB70" s="44"/>
      <c r="AC70" s="44"/>
      <c r="AD70" s="44"/>
      <c r="AE70" s="44"/>
      <c r="AF70" s="44"/>
      <c r="AG70" s="44"/>
      <c r="AH70" s="44"/>
      <c r="AI70" s="44"/>
      <c r="AJ70" s="44"/>
      <c r="AK70" s="44"/>
      <c r="AL70" s="44"/>
      <c r="AM70" s="44"/>
      <c r="AN70" s="44"/>
      <c r="AO70" s="44"/>
      <c r="AP70" s="45"/>
    </row>
    <row r="71" spans="2:42" ht="15.75">
      <c r="B71" s="1283" t="s">
        <v>96</v>
      </c>
      <c r="C71" s="1271"/>
      <c r="D71" s="98"/>
      <c r="E71" s="1251"/>
      <c r="F71" s="1258">
        <f t="shared" si="10"/>
        <v>0</v>
      </c>
      <c r="G71" s="266">
        <f t="shared" si="11"/>
        <v>0</v>
      </c>
      <c r="H71" s="8"/>
      <c r="I71" s="1168"/>
      <c r="J71" s="97"/>
      <c r="K71" s="878">
        <f>F71-I71-J71</f>
        <v>0</v>
      </c>
      <c r="L71" s="8"/>
      <c r="M71" s="876"/>
      <c r="N71" s="1300"/>
      <c r="V71" s="46"/>
      <c r="W71" s="44"/>
      <c r="X71" s="44"/>
      <c r="Y71" s="44"/>
      <c r="Z71" s="44"/>
      <c r="AA71" s="44"/>
      <c r="AB71" s="44"/>
      <c r="AC71" s="44"/>
      <c r="AD71" s="44"/>
      <c r="AE71" s="44"/>
      <c r="AF71" s="44"/>
      <c r="AG71" s="44"/>
      <c r="AH71" s="44"/>
      <c r="AI71" s="44"/>
      <c r="AJ71" s="44"/>
      <c r="AK71" s="44"/>
      <c r="AL71" s="44"/>
      <c r="AM71" s="44"/>
      <c r="AN71" s="44"/>
      <c r="AO71" s="44"/>
      <c r="AP71" s="45"/>
    </row>
    <row r="72" spans="2:42" ht="15.75">
      <c r="B72" s="1283" t="s">
        <v>96</v>
      </c>
      <c r="C72" s="1271"/>
      <c r="D72" s="98"/>
      <c r="E72" s="1251"/>
      <c r="F72" s="1258">
        <f t="shared" si="10"/>
        <v>0</v>
      </c>
      <c r="G72" s="266">
        <f t="shared" si="11"/>
        <v>0</v>
      </c>
      <c r="H72" s="8"/>
      <c r="I72" s="1168"/>
      <c r="J72" s="97"/>
      <c r="K72" s="878">
        <f>F72-I72-J72</f>
        <v>0</v>
      </c>
      <c r="L72" s="8"/>
      <c r="M72" s="876"/>
      <c r="N72" s="1300"/>
      <c r="V72" s="46"/>
      <c r="W72" s="44"/>
      <c r="X72" s="44"/>
      <c r="Y72" s="44"/>
      <c r="Z72" s="44"/>
      <c r="AA72" s="44"/>
      <c r="AB72" s="44"/>
      <c r="AC72" s="44"/>
      <c r="AD72" s="44"/>
      <c r="AE72" s="44"/>
      <c r="AF72" s="44"/>
      <c r="AG72" s="44"/>
      <c r="AH72" s="44"/>
      <c r="AI72" s="44"/>
      <c r="AJ72" s="44"/>
      <c r="AK72" s="44"/>
      <c r="AL72" s="44"/>
      <c r="AM72" s="44"/>
      <c r="AN72" s="44"/>
      <c r="AO72" s="44"/>
      <c r="AP72" s="45"/>
    </row>
    <row r="73" spans="2:42" ht="15.75">
      <c r="B73" s="1283" t="s">
        <v>96</v>
      </c>
      <c r="C73" s="1271"/>
      <c r="D73" s="98"/>
      <c r="E73" s="1251"/>
      <c r="F73" s="1258">
        <f t="shared" si="10"/>
        <v>0</v>
      </c>
      <c r="G73" s="266">
        <f t="shared" si="11"/>
        <v>0</v>
      </c>
      <c r="H73" s="8"/>
      <c r="I73" s="1168"/>
      <c r="J73" s="97"/>
      <c r="K73" s="878">
        <f>F73-I73-J73</f>
        <v>0</v>
      </c>
      <c r="L73" s="8"/>
      <c r="M73" s="876"/>
      <c r="N73" s="1300"/>
      <c r="V73" s="48"/>
      <c r="W73" s="49"/>
      <c r="X73" s="44"/>
      <c r="Y73" s="44"/>
      <c r="Z73" s="44"/>
      <c r="AA73" s="44"/>
      <c r="AB73" s="44"/>
      <c r="AC73" s="44"/>
      <c r="AD73" s="44"/>
      <c r="AE73" s="44"/>
      <c r="AF73" s="44"/>
      <c r="AG73" s="44"/>
      <c r="AH73" s="44"/>
      <c r="AI73" s="44"/>
      <c r="AJ73" s="44"/>
      <c r="AK73" s="44"/>
      <c r="AL73" s="44"/>
      <c r="AM73" s="44"/>
      <c r="AN73" s="44"/>
      <c r="AO73" s="44"/>
      <c r="AP73" s="45"/>
    </row>
    <row r="74" spans="2:42" ht="16.5" thickBot="1">
      <c r="B74" s="1288" t="s">
        <v>1305</v>
      </c>
      <c r="C74" s="1263">
        <f>SUM(C62:C73)</f>
        <v>0</v>
      </c>
      <c r="D74" s="269">
        <f>SUM(D62:D73)</f>
        <v>0</v>
      </c>
      <c r="E74" s="1238">
        <f>SUM(E62:E73)</f>
        <v>0</v>
      </c>
      <c r="F74" s="838">
        <f t="shared" si="10"/>
        <v>0</v>
      </c>
      <c r="G74" s="275">
        <f>IF($F$74=0,0,F74/$F$74)</f>
        <v>0</v>
      </c>
      <c r="H74" s="8"/>
      <c r="I74" s="1415">
        <f>SUM(I62:I73)</f>
        <v>0</v>
      </c>
      <c r="J74" s="1408">
        <f>SUM(J62:J73)</f>
        <v>0</v>
      </c>
      <c r="K74" s="1414">
        <f>SUM(K62:K73)</f>
        <v>0</v>
      </c>
      <c r="L74" s="8"/>
      <c r="M74" s="880">
        <f>SUM(M62:M73)</f>
        <v>0</v>
      </c>
      <c r="N74" s="1295">
        <f>SUM(N62:N73)</f>
        <v>0</v>
      </c>
      <c r="V74" s="46"/>
      <c r="W74" s="44"/>
      <c r="X74" s="44"/>
      <c r="Y74" s="44"/>
      <c r="Z74" s="44"/>
      <c r="AA74" s="44"/>
      <c r="AB74" s="44"/>
      <c r="AC74" s="44"/>
      <c r="AD74" s="44"/>
      <c r="AE74" s="44"/>
      <c r="AF74" s="44"/>
      <c r="AG74" s="44"/>
      <c r="AH74" s="44"/>
      <c r="AI74" s="44"/>
      <c r="AJ74" s="44"/>
      <c r="AK74" s="44"/>
      <c r="AL74" s="44"/>
      <c r="AM74" s="44"/>
      <c r="AN74" s="44"/>
      <c r="AO74" s="44"/>
      <c r="AP74" s="45"/>
    </row>
    <row r="75" spans="2:42" ht="16.5" thickBot="1">
      <c r="B75" s="1287"/>
      <c r="C75" s="1269"/>
      <c r="D75" s="64"/>
      <c r="E75" s="64"/>
      <c r="F75" s="1016"/>
      <c r="G75" s="65"/>
      <c r="H75" s="8"/>
      <c r="I75" s="1170"/>
      <c r="J75" s="1239"/>
      <c r="K75" s="839"/>
      <c r="L75" s="8"/>
      <c r="M75" s="877"/>
      <c r="N75" s="1296"/>
      <c r="V75" s="50"/>
      <c r="W75" s="51"/>
      <c r="X75" s="51"/>
      <c r="Y75" s="51"/>
      <c r="Z75" s="51"/>
      <c r="AA75" s="51"/>
      <c r="AB75" s="51"/>
      <c r="AC75" s="51"/>
      <c r="AD75" s="51"/>
      <c r="AE75" s="51"/>
      <c r="AF75" s="51"/>
      <c r="AG75" s="51"/>
      <c r="AH75" s="51"/>
      <c r="AI75" s="51"/>
      <c r="AJ75" s="51"/>
      <c r="AK75" s="51"/>
      <c r="AL75" s="51"/>
      <c r="AM75" s="51"/>
      <c r="AN75" s="51"/>
      <c r="AO75" s="51"/>
      <c r="AP75" s="52"/>
    </row>
    <row r="76" spans="2:42" ht="15.75">
      <c r="B76" s="1285" t="s">
        <v>1306</v>
      </c>
      <c r="C76" s="1270"/>
      <c r="D76" s="273"/>
      <c r="E76" s="273"/>
      <c r="F76" s="1018"/>
      <c r="G76" s="274"/>
      <c r="H76" s="8"/>
      <c r="I76" s="1171"/>
      <c r="J76" s="1241"/>
      <c r="K76" s="1247"/>
      <c r="L76" s="8"/>
      <c r="M76" s="879"/>
      <c r="N76" s="1299"/>
    </row>
    <row r="77" spans="2:42" ht="15.75">
      <c r="B77" s="1282" t="s">
        <v>1307</v>
      </c>
      <c r="C77" s="1168"/>
      <c r="D77" s="1272"/>
      <c r="E77" s="1252"/>
      <c r="F77" s="1258">
        <f t="shared" ref="F77:F83" si="12">SUM(C77:E77)</f>
        <v>0</v>
      </c>
      <c r="G77" s="266">
        <f t="shared" ref="G77:G82" si="13">IF($F$83=0,0,F77/$F$83)</f>
        <v>0</v>
      </c>
      <c r="H77" s="8"/>
      <c r="I77" s="1172"/>
      <c r="J77" s="1243"/>
      <c r="K77" s="878">
        <f t="shared" ref="K77:K82" si="14">F77</f>
        <v>0</v>
      </c>
      <c r="L77" s="8"/>
      <c r="M77" s="950"/>
      <c r="N77" s="1301"/>
    </row>
    <row r="78" spans="2:42" ht="15.75">
      <c r="B78" s="1282" t="s">
        <v>1308</v>
      </c>
      <c r="C78" s="1168"/>
      <c r="D78" s="1272"/>
      <c r="E78" s="1251"/>
      <c r="F78" s="1258">
        <f t="shared" si="12"/>
        <v>0</v>
      </c>
      <c r="G78" s="266">
        <f t="shared" si="13"/>
        <v>0</v>
      </c>
      <c r="H78" s="8"/>
      <c r="I78" s="1172"/>
      <c r="J78" s="1243"/>
      <c r="K78" s="878">
        <f t="shared" si="14"/>
        <v>0</v>
      </c>
      <c r="L78" s="8"/>
      <c r="M78" s="950"/>
      <c r="N78" s="1300"/>
    </row>
    <row r="79" spans="2:42" ht="15.75">
      <c r="B79" s="1282" t="str">
        <f>"Operating Reserve: " &amp; "Typ. " &amp; TEXT((('02_2_EXPENSE'!D91)*0.5)+(0.5*'04_1_Pro Forma'!C36), "$0,00")</f>
        <v>Operating Reserve: Typ. $000</v>
      </c>
      <c r="C79" s="1271"/>
      <c r="D79" s="1271"/>
      <c r="E79" s="1251"/>
      <c r="F79" s="1258">
        <f t="shared" si="12"/>
        <v>0</v>
      </c>
      <c r="G79" s="266">
        <f t="shared" si="13"/>
        <v>0</v>
      </c>
      <c r="H79" s="8"/>
      <c r="I79" s="1172"/>
      <c r="J79" s="1243"/>
      <c r="K79" s="878">
        <f t="shared" si="14"/>
        <v>0</v>
      </c>
      <c r="L79" s="8"/>
      <c r="M79" s="950"/>
      <c r="N79" s="1300"/>
    </row>
    <row r="80" spans="2:42" ht="15.75">
      <c r="B80" s="1282" t="s">
        <v>1310</v>
      </c>
      <c r="C80" s="1271"/>
      <c r="D80" s="1271"/>
      <c r="E80" s="1251"/>
      <c r="F80" s="1258">
        <f t="shared" si="12"/>
        <v>0</v>
      </c>
      <c r="G80" s="266">
        <f t="shared" si="13"/>
        <v>0</v>
      </c>
      <c r="H80" s="8"/>
      <c r="I80" s="1172"/>
      <c r="J80" s="1243"/>
      <c r="K80" s="878">
        <f t="shared" si="14"/>
        <v>0</v>
      </c>
      <c r="L80" s="8"/>
      <c r="M80" s="950"/>
      <c r="N80" s="1300"/>
      <c r="X80" s="276"/>
    </row>
    <row r="81" spans="2:24" ht="15.75">
      <c r="B81" s="1282" t="s">
        <v>1311</v>
      </c>
      <c r="C81" s="1267"/>
      <c r="D81" s="98"/>
      <c r="E81" s="1251"/>
      <c r="F81" s="1258">
        <f t="shared" si="12"/>
        <v>0</v>
      </c>
      <c r="G81" s="266">
        <f t="shared" si="13"/>
        <v>0</v>
      </c>
      <c r="H81" s="8"/>
      <c r="I81" s="1172"/>
      <c r="J81" s="1243"/>
      <c r="K81" s="878">
        <f t="shared" si="14"/>
        <v>0</v>
      </c>
      <c r="L81" s="8"/>
      <c r="M81" s="950"/>
      <c r="N81" s="1300"/>
    </row>
    <row r="82" spans="2:24" ht="15.75">
      <c r="B82" s="1283" t="s">
        <v>96</v>
      </c>
      <c r="C82" s="1271"/>
      <c r="D82" s="98"/>
      <c r="E82" s="1251"/>
      <c r="F82" s="1258">
        <f t="shared" si="12"/>
        <v>0</v>
      </c>
      <c r="G82" s="266">
        <f t="shared" si="13"/>
        <v>0</v>
      </c>
      <c r="H82" s="267"/>
      <c r="I82" s="1172"/>
      <c r="J82" s="1243"/>
      <c r="K82" s="878">
        <f t="shared" si="14"/>
        <v>0</v>
      </c>
      <c r="L82" s="8"/>
      <c r="M82" s="950"/>
      <c r="N82" s="1300"/>
    </row>
    <row r="83" spans="2:24" ht="16.5" thickBot="1">
      <c r="B83" s="1288" t="s">
        <v>1312</v>
      </c>
      <c r="C83" s="1263">
        <f>SUM(C77:C82)</f>
        <v>0</v>
      </c>
      <c r="D83" s="269">
        <f>SUM(D77:D82)</f>
        <v>0</v>
      </c>
      <c r="E83" s="1238">
        <f>SUM(E77:E82)</f>
        <v>0</v>
      </c>
      <c r="F83" s="1259">
        <f t="shared" si="12"/>
        <v>0</v>
      </c>
      <c r="G83" s="275">
        <f>IF($F$28=0,0,F83/$F$28)</f>
        <v>0</v>
      </c>
      <c r="H83" s="8"/>
      <c r="I83" s="1415">
        <f>SUM(I76:I82)</f>
        <v>0</v>
      </c>
      <c r="J83" s="1408">
        <f>SUM(J76:J82)</f>
        <v>0</v>
      </c>
      <c r="K83" s="1414">
        <f>SUM(K76:K82)</f>
        <v>0</v>
      </c>
      <c r="L83" s="8"/>
      <c r="M83" s="880">
        <f>SUM(M77:M82)</f>
        <v>0</v>
      </c>
      <c r="N83" s="1295">
        <f>SUM(N77:N82)</f>
        <v>0</v>
      </c>
      <c r="X83" s="276"/>
    </row>
    <row r="84" spans="2:24" ht="16.5" thickBot="1">
      <c r="B84" s="1281" t="str">
        <f>IF(SUM(F66)&lt;20000,"PLEASE ADJUST THE ORIGINATION FEE, MINIMUM ORIGINATION FEE IS $20,000","")</f>
        <v>PLEASE ADJUST THE ORIGINATION FEE, MINIMUM ORIGINATION FEE IS $20,000</v>
      </c>
      <c r="C84" s="1269"/>
      <c r="D84" s="64"/>
      <c r="E84" s="64"/>
      <c r="F84" s="1016"/>
      <c r="G84" s="65"/>
      <c r="H84" s="8"/>
      <c r="I84" s="1170"/>
      <c r="J84" s="1239"/>
      <c r="K84" s="839"/>
      <c r="L84" s="8"/>
      <c r="M84" s="877"/>
      <c r="N84" s="1296"/>
    </row>
    <row r="85" spans="2:24" ht="15.75">
      <c r="B85" s="1285" t="s">
        <v>1314</v>
      </c>
      <c r="C85" s="1270"/>
      <c r="D85" s="273"/>
      <c r="E85" s="273"/>
      <c r="F85" s="1018"/>
      <c r="G85" s="274"/>
      <c r="H85" s="8"/>
      <c r="I85" s="1171"/>
      <c r="J85" s="1241"/>
      <c r="K85" s="1247"/>
      <c r="L85" s="8"/>
      <c r="M85" s="879"/>
      <c r="N85" s="1299"/>
    </row>
    <row r="86" spans="2:24" ht="15.75">
      <c r="B86" s="1282" t="str">
        <f>"Base Developer Fee: Typ. "&amp;TEXT('06_3_UWChecklist'!B11, "$0,00")</f>
        <v>Base Developer Fee: Typ. FALSE</v>
      </c>
      <c r="C86" s="1271"/>
      <c r="D86" s="1377"/>
      <c r="E86" s="1251"/>
      <c r="F86" s="1258">
        <f>SUM(C86:E86)</f>
        <v>0</v>
      </c>
      <c r="G86" s="266">
        <f>IF($F$28=0,0,F86/$F$88)</f>
        <v>0</v>
      </c>
      <c r="H86" s="267"/>
      <c r="I86" s="1168"/>
      <c r="J86" s="97"/>
      <c r="K86" s="878">
        <f>F86-I86-J86</f>
        <v>0</v>
      </c>
      <c r="L86" s="8"/>
      <c r="M86" s="876"/>
      <c r="N86" s="1300"/>
    </row>
    <row r="87" spans="2:24" ht="15.75">
      <c r="B87" s="1282" t="s">
        <v>1316</v>
      </c>
      <c r="C87" s="1271"/>
      <c r="D87" s="98"/>
      <c r="E87" s="1251"/>
      <c r="F87" s="1258">
        <f>SUM(C87:E87)</f>
        <v>0</v>
      </c>
      <c r="G87" s="266">
        <f>IF($F$28=0,0,F87/$F$88)</f>
        <v>0</v>
      </c>
      <c r="H87" s="8"/>
      <c r="I87" s="1168"/>
      <c r="J87" s="97"/>
      <c r="K87" s="878">
        <f>F87-I87-J87</f>
        <v>0</v>
      </c>
      <c r="L87" s="8"/>
      <c r="M87" s="876"/>
      <c r="N87" s="1300"/>
    </row>
    <row r="88" spans="2:24" ht="16.5" thickBot="1">
      <c r="B88" s="1280" t="s">
        <v>1317</v>
      </c>
      <c r="C88" s="1263">
        <f>SUM(C86:C87)</f>
        <v>0</v>
      </c>
      <c r="D88" s="269">
        <f>SUM(D86:D87)</f>
        <v>0</v>
      </c>
      <c r="E88" s="1238">
        <f>SUM(E86:E87)</f>
        <v>0</v>
      </c>
      <c r="F88" s="1259">
        <f>SUM(C88:E88)</f>
        <v>0</v>
      </c>
      <c r="G88" s="277">
        <f>IF($F$28=0,0,F88/$F$88)</f>
        <v>0</v>
      </c>
      <c r="H88" s="8"/>
      <c r="I88" s="1415">
        <f>SUM(I86:I87)</f>
        <v>0</v>
      </c>
      <c r="J88" s="1416">
        <f>SUM(J86:J87)</f>
        <v>0</v>
      </c>
      <c r="K88" s="1417">
        <f>SUM(K86:K87)</f>
        <v>0</v>
      </c>
      <c r="L88" s="8"/>
      <c r="M88" s="838">
        <f>SUM(M86:M87)</f>
        <v>0</v>
      </c>
      <c r="N88" s="1295">
        <f>SUM(N86:N87)</f>
        <v>0</v>
      </c>
      <c r="Q88" s="8"/>
      <c r="R88" s="8"/>
    </row>
    <row r="89" spans="2:24" ht="16.5" thickBot="1">
      <c r="B89" s="723" t="s">
        <v>1318</v>
      </c>
      <c r="C89" s="1273">
        <f>C28+C59+C74+C83+C88</f>
        <v>0</v>
      </c>
      <c r="D89" s="278">
        <f>D28+D59+D74+D83+D88</f>
        <v>0</v>
      </c>
      <c r="E89" s="1245">
        <f>E28+E59+E74+E83+E88</f>
        <v>0</v>
      </c>
      <c r="F89" s="837">
        <f>SUM(C89:E89)</f>
        <v>0</v>
      </c>
      <c r="G89" s="279" t="s">
        <v>1085</v>
      </c>
      <c r="H89" s="8"/>
      <c r="I89" s="278">
        <f>I28+I59+I74+I83+I88</f>
        <v>0</v>
      </c>
      <c r="J89" s="1244">
        <f>J28+J59+J74+J83+J88</f>
        <v>0</v>
      </c>
      <c r="K89" s="837">
        <f>K28+K59+K74+K83+K88</f>
        <v>0</v>
      </c>
      <c r="L89" s="8"/>
      <c r="M89" s="837">
        <f>M28+M59+M74+M83+M88</f>
        <v>0</v>
      </c>
      <c r="N89" s="1302">
        <f>N28+N59+N74+N83+N88</f>
        <v>0</v>
      </c>
      <c r="Q89" s="8"/>
      <c r="R89" s="8"/>
    </row>
    <row r="90" spans="2:24" ht="16.5" thickBot="1">
      <c r="B90" s="1289" t="s">
        <v>1319</v>
      </c>
      <c r="C90" s="1273">
        <f>C89+C15</f>
        <v>0</v>
      </c>
      <c r="D90" s="278">
        <f>D89+D15</f>
        <v>0</v>
      </c>
      <c r="E90" s="1245">
        <f>E89+E15</f>
        <v>0</v>
      </c>
      <c r="F90" s="837">
        <f>SUM(C90:E90)</f>
        <v>0</v>
      </c>
      <c r="G90" s="279" t="s">
        <v>1085</v>
      </c>
      <c r="H90" s="8"/>
      <c r="I90" s="278">
        <f>I89+I15</f>
        <v>0</v>
      </c>
      <c r="J90" s="1245">
        <f t="shared" ref="J90:N90" si="15">J89+J15</f>
        <v>0</v>
      </c>
      <c r="K90" s="837">
        <f t="shared" si="15"/>
        <v>0</v>
      </c>
      <c r="L90" s="8"/>
      <c r="M90" s="837">
        <f t="shared" si="15"/>
        <v>0</v>
      </c>
      <c r="N90" s="1302">
        <f t="shared" si="15"/>
        <v>0</v>
      </c>
      <c r="Q90" s="8"/>
      <c r="R90" s="8"/>
    </row>
    <row r="91" spans="2:24" ht="15.75">
      <c r="B91" s="151"/>
      <c r="C91" s="151"/>
      <c r="D91" s="151"/>
      <c r="E91" s="151"/>
      <c r="F91" s="280"/>
      <c r="G91" s="280"/>
      <c r="H91" s="280"/>
      <c r="I91" s="280"/>
      <c r="J91" s="280"/>
      <c r="K91" s="280"/>
      <c r="L91" s="281"/>
      <c r="M91" s="8"/>
      <c r="N91" s="8"/>
      <c r="O91" s="8"/>
      <c r="P91" s="8"/>
      <c r="Q91" s="8"/>
      <c r="R91" s="8"/>
      <c r="S91" s="8"/>
    </row>
    <row r="92" spans="2:24" ht="15.75">
      <c r="B92" s="151"/>
      <c r="C92" s="151"/>
      <c r="D92" s="151"/>
      <c r="E92" s="151"/>
      <c r="F92" s="280"/>
      <c r="G92" s="280"/>
      <c r="H92" s="280"/>
      <c r="I92" s="280"/>
      <c r="J92" s="280"/>
      <c r="K92" s="280"/>
      <c r="L92" s="281"/>
      <c r="M92" s="8"/>
      <c r="N92" s="8"/>
      <c r="O92" s="8"/>
      <c r="P92" s="8"/>
      <c r="S92" s="8"/>
    </row>
    <row r="93" spans="2:24" ht="15.75">
      <c r="B93" s="135" t="s">
        <v>1320</v>
      </c>
      <c r="C93" s="2305" t="str">
        <f>'01_1_General Data'!C48&amp;", "&amp;'01_1_General Data'!C39</f>
        <v xml:space="preserve">, </v>
      </c>
      <c r="D93" s="2305"/>
      <c r="E93" s="1632"/>
      <c r="H93" s="8"/>
      <c r="I93" s="280"/>
      <c r="J93" s="280"/>
      <c r="K93" s="280"/>
      <c r="L93" s="281"/>
      <c r="M93" s="8"/>
      <c r="N93" s="8"/>
      <c r="O93" s="8"/>
      <c r="P93" s="8"/>
      <c r="S93" s="8"/>
    </row>
    <row r="94" spans="2:24" ht="15.75">
      <c r="B94" s="8"/>
      <c r="C94" s="8"/>
      <c r="D94" s="8"/>
      <c r="E94" s="8"/>
      <c r="F94" s="8"/>
      <c r="G94" s="8"/>
      <c r="H94" s="8"/>
      <c r="I94" s="8"/>
      <c r="J94" s="8"/>
      <c r="K94" s="8"/>
      <c r="L94" s="8"/>
      <c r="M94" s="8"/>
      <c r="N94" s="8"/>
      <c r="O94" s="8"/>
      <c r="P94" s="8"/>
      <c r="S94" s="8"/>
    </row>
    <row r="95" spans="2:24" ht="15.75">
      <c r="B95" s="66" t="s">
        <v>1555</v>
      </c>
      <c r="C95" s="39"/>
      <c r="D95" s="39"/>
      <c r="E95" s="39"/>
      <c r="F95" s="272">
        <f>IF((F28+F59+F74)=0,0,F86/(F28+F59+F74))</f>
        <v>0</v>
      </c>
      <c r="G95" s="8"/>
      <c r="H95" s="8"/>
      <c r="O95" s="8"/>
    </row>
    <row r="96" spans="2:24" ht="15.75">
      <c r="B96" s="66" t="s">
        <v>1556</v>
      </c>
      <c r="C96" s="39"/>
      <c r="D96" s="39"/>
      <c r="E96" s="39"/>
      <c r="F96" s="272">
        <f>IF((F28+F59+F74+'02_4_USES'!F15)=0,0,F86/(F28+F59+F74+'02_4_USES'!F15))</f>
        <v>0</v>
      </c>
      <c r="G96" s="8"/>
      <c r="H96" s="8"/>
      <c r="O96" s="8"/>
    </row>
    <row r="97" spans="2:15" ht="16.5" thickBot="1">
      <c r="B97" s="8"/>
      <c r="C97" s="8"/>
      <c r="D97" s="8"/>
      <c r="E97" s="282" t="s">
        <v>1557</v>
      </c>
      <c r="F97" s="8"/>
      <c r="G97" s="8"/>
      <c r="H97" s="8"/>
      <c r="O97" s="8"/>
    </row>
    <row r="98" spans="2:15" ht="16.5" thickBot="1">
      <c r="B98" s="579" t="s">
        <v>1318</v>
      </c>
      <c r="C98" s="470">
        <f>F28+F59+F74+F83+F88</f>
        <v>0</v>
      </c>
      <c r="D98" s="471"/>
      <c r="E98" s="283">
        <f>IF(SUM('02_1_INCOME'!$M$65:$M$66)=0,0,C98/SUM('02_1_INCOME'!$M$65:$M$66))</f>
        <v>0</v>
      </c>
      <c r="F98" s="8"/>
      <c r="G98" s="284"/>
      <c r="H98" s="284"/>
      <c r="O98" s="8"/>
    </row>
    <row r="99" spans="2:15" ht="16.5" thickBot="1">
      <c r="B99" s="1005" t="s">
        <v>1255</v>
      </c>
      <c r="C99" s="468">
        <f>'02_4_USES'!F15</f>
        <v>0</v>
      </c>
      <c r="D99" s="469"/>
      <c r="E99" s="285">
        <f>IF(SUM('02_1_INCOME'!$M$65:$M$66)=0,0,C99/SUM('02_1_INCOME'!$M$65:$M$66))</f>
        <v>0</v>
      </c>
      <c r="F99" s="8"/>
      <c r="G99" s="8"/>
      <c r="H99" s="8"/>
      <c r="O99" s="8"/>
    </row>
    <row r="100" spans="2:15" ht="17.25" thickTop="1" thickBot="1">
      <c r="B100" s="1006" t="s">
        <v>1319</v>
      </c>
      <c r="C100" s="466">
        <f>C98+C99</f>
        <v>0</v>
      </c>
      <c r="D100" s="467"/>
      <c r="E100" s="286">
        <f>IF(rng02_TotalUnit=0,0,C100/rng02_TotalUnit)</f>
        <v>0</v>
      </c>
      <c r="F100" s="8"/>
      <c r="G100" s="8"/>
      <c r="H100" s="8"/>
      <c r="O100" s="8"/>
    </row>
    <row r="101" spans="2:15" ht="16.5" thickBot="1">
      <c r="B101" s="8"/>
      <c r="C101" s="8"/>
      <c r="D101" s="8"/>
      <c r="E101" s="284"/>
      <c r="F101" s="8"/>
      <c r="G101" s="8"/>
      <c r="H101" s="8"/>
      <c r="O101" s="8"/>
    </row>
    <row r="102" spans="2:15" ht="15.75" customHeight="1">
      <c r="B102" s="1007" t="s">
        <v>1558</v>
      </c>
      <c r="C102" s="2299"/>
      <c r="D102" s="2300"/>
      <c r="E102" s="287">
        <f>IF(SUM('02_1_INCOME'!$M$65:$M$66)=0,0,C102/SUM('02_1_INCOME'!$M$65:$M$66))</f>
        <v>0</v>
      </c>
      <c r="F102" s="8"/>
      <c r="G102" s="8"/>
      <c r="H102" s="8"/>
      <c r="O102" s="8"/>
    </row>
    <row r="103" spans="2:15" ht="16.5" customHeight="1" thickBot="1">
      <c r="B103" s="1008" t="s">
        <v>1559</v>
      </c>
      <c r="C103" s="2301"/>
      <c r="D103" s="2302"/>
      <c r="E103" s="288">
        <f>IF(SUM('02_1_INCOME'!$M$65:$M$66)=0,0,C103/SUM('02_1_INCOME'!$M$65:$M$66))</f>
        <v>0</v>
      </c>
      <c r="F103" s="8"/>
      <c r="G103" s="8"/>
      <c r="H103" s="8"/>
      <c r="O103" s="8"/>
    </row>
    <row r="104" spans="2:15" ht="16.5" customHeight="1" thickBot="1">
      <c r="B104" s="1009" t="s">
        <v>1560</v>
      </c>
      <c r="C104" s="2303">
        <f>IF(C103=0,0,C102/C103)</f>
        <v>0</v>
      </c>
      <c r="D104" s="2304"/>
      <c r="E104" s="8"/>
      <c r="F104" s="8"/>
      <c r="G104" s="8"/>
      <c r="H104" s="8"/>
      <c r="O104" s="8"/>
    </row>
    <row r="105" spans="2:15" ht="13.15" customHeight="1"/>
    <row r="106" spans="2:15" ht="13.15" customHeight="1" thickBot="1"/>
    <row r="107" spans="2:15" ht="15.75">
      <c r="B107" s="146" t="s">
        <v>1561</v>
      </c>
      <c r="C107" s="1149"/>
      <c r="D107" s="1149"/>
      <c r="E107" s="1150"/>
      <c r="F107" s="8"/>
      <c r="G107" s="8"/>
      <c r="H107" s="8"/>
    </row>
    <row r="108" spans="2:15" ht="18" customHeight="1">
      <c r="B108" s="1290" t="s">
        <v>1562</v>
      </c>
      <c r="C108" s="799"/>
      <c r="D108" s="799"/>
      <c r="E108" s="727">
        <f>IF(rng01_DevelopmentType='00_3_Drop Down'!R13,ROUND(('06_3_UWChecklist'!O11*'02_4_USES'!F15)+('06_3_UWChecklist'!P11*(F28+F59+F74)),0),ROUND(('06_3_UWChecklist'!O11*SUMIF($C$6:$E$6, '00_3_Drop Down'!$X$13,'02_4_USES'!C15:E15))+('06_3_UWChecklist'!P11*(SUMIF($C$6:$E$6, '00_3_Drop Down'!$X$13,'02_4_USES'!C28:E28)+SUMIF($C$6:$E$6, '00_3_Drop Down'!$X$13,'02_4_USES'!C59:E59)+SUMIF($C$6:$E$6, '00_3_Drop Down'!$X$13,'02_4_USES'!C74:E74))),0))</f>
        <v>0</v>
      </c>
    </row>
    <row r="109" spans="2:15" ht="18" customHeight="1">
      <c r="B109" s="1151" t="s">
        <v>1563</v>
      </c>
      <c r="C109" s="8"/>
      <c r="D109" s="8"/>
      <c r="E109" s="156"/>
    </row>
    <row r="110" spans="2:15" ht="8.25" customHeight="1">
      <c r="B110" s="1151"/>
      <c r="C110" s="8"/>
      <c r="D110" s="8"/>
      <c r="E110" s="156"/>
    </row>
    <row r="111" spans="2:15" ht="18" customHeight="1">
      <c r="B111" s="1193" t="s">
        <v>1564</v>
      </c>
      <c r="C111" s="799"/>
      <c r="D111" s="799"/>
      <c r="E111" s="727">
        <f>IF(rng01_DevelopmentType='00_3_Drop Down'!R12,ROUND('06_3_UWChecklist'!R11*SUM('06_1_Summary Printout'!E50:F53)+'06_3_UWChecklist'!S11*SUM('06_1_Summary Printout'!E54:F56),0),ROUND('06_3_UWChecklist'!R11*SUMIFS('02_1_INCOME'!F8:F37,'02_1_INCOME'!E8:E37,'00_3_Drop Down'!AG12,'02_1_INCOME'!W8:W37,"&lt;=3")+'06_3_UWChecklist'!S11*SUMIFS('02_1_INCOME'!F8:F37,'02_1_INCOME'!E8:E37,'00_3_Drop Down'!AG12,'02_1_INCOME'!W8:W37,"&gt;3"),0))</f>
        <v>0</v>
      </c>
    </row>
    <row r="112" spans="2:15" ht="18" customHeight="1">
      <c r="B112" s="1151" t="str">
        <f>"Result is "&amp;TEXT('06_3_UWChecklist'!$R$11, "$0,00")&amp;" per 0-2BR Unit plus, "&amp;TEXT('06_3_UWChecklist'!$S$11, "$0,00")&amp;" per 3-5BR Unit"</f>
        <v>Result is $20,790 per 0-2BR Unit plus, $23,100 per 3-5BR Unit</v>
      </c>
      <c r="C112" s="8"/>
      <c r="D112" s="8"/>
      <c r="E112" s="156"/>
    </row>
    <row r="113" spans="2:5" ht="8.25" customHeight="1">
      <c r="B113" s="1151"/>
      <c r="C113" s="8"/>
      <c r="D113" s="8"/>
      <c r="E113" s="156"/>
    </row>
    <row r="114" spans="2:5" ht="18" customHeight="1">
      <c r="B114" s="1193" t="s">
        <v>1565</v>
      </c>
      <c r="C114" s="799"/>
      <c r="D114" s="799"/>
      <c r="E114" s="727">
        <f>IF(rng01_DevelopmentType='00_3_Drop Down'!R12,ROUND('06_3_UWChecklist'!U11*SUM('06_1_Summary Printout'!E50:F53)+'06_3_UWChecklist'!V11*SUM('06_1_Summary Printout'!E54:F56),0),ROUND('06_3_UWChecklist'!U11*SUMIFS('02_1_INCOME'!F8:F37,'02_1_INCOME'!E8:E37,'00_3_Drop Down'!AG12,'02_1_INCOME'!W8:W37,"&lt;=3")+'06_3_UWChecklist'!V11*SUMIFS('02_1_INCOME'!F8:F37,'02_1_INCOME'!E8:E37,'00_3_Drop Down'!AG12,'02_1_INCOME'!W8:W37,"&gt;3"),0))</f>
        <v>0</v>
      </c>
    </row>
    <row r="115" spans="2:5" ht="18" customHeight="1">
      <c r="B115" s="1151" t="str">
        <f>"Result is "&amp;TEXT('06_3_UWChecklist'!$U$11, "$0,00")&amp;" per 0-2BR Unit plus, "&amp;TEXT('06_3_UWChecklist'!$V$11, "$0,00")&amp;" per 3-5BR Unit"</f>
        <v>Result is $23,650 per 0-2BR Unit plus, $25,300 per 3-5BR Unit</v>
      </c>
      <c r="C115" s="8"/>
      <c r="D115" s="8"/>
      <c r="E115" s="156"/>
    </row>
    <row r="116" spans="2:5" ht="8.25" customHeight="1">
      <c r="B116" s="1521"/>
      <c r="C116" s="296"/>
      <c r="D116" s="296"/>
      <c r="E116" s="264"/>
    </row>
    <row r="117" spans="2:5" ht="18" customHeight="1">
      <c r="B117" s="707" t="s">
        <v>1566</v>
      </c>
      <c r="C117" s="296"/>
      <c r="D117" s="296"/>
      <c r="E117" s="747">
        <f>E108+IF(rng01_ProjectType='00_3_Drop Down'!G12,'02_4_USES'!E114,'02_4_USES'!E111)</f>
        <v>0</v>
      </c>
    </row>
    <row r="118" spans="2:5" ht="18" customHeight="1">
      <c r="B118" s="1151" t="s">
        <v>1567</v>
      </c>
      <c r="C118" s="8"/>
      <c r="D118" s="8"/>
      <c r="E118" s="156"/>
    </row>
    <row r="119" spans="2:5" ht="8.25" customHeight="1" thickBot="1">
      <c r="B119" s="1152"/>
      <c r="C119" s="149"/>
      <c r="D119" s="149"/>
      <c r="E119" s="157"/>
    </row>
    <row r="120" spans="2:5"/>
    <row r="121" spans="2:5" ht="15.75">
      <c r="B121" s="289" t="s">
        <v>1568</v>
      </c>
      <c r="C121" s="183"/>
      <c r="D121" s="290"/>
    </row>
    <row r="122" spans="2:5" ht="15.75">
      <c r="B122" s="186"/>
      <c r="C122" s="8"/>
      <c r="D122" s="147"/>
    </row>
    <row r="123" spans="2:5" ht="15.75">
      <c r="B123" s="186" t="s">
        <v>1569</v>
      </c>
      <c r="C123" s="8"/>
      <c r="D123" s="291">
        <f>C100-F88-F83</f>
        <v>0</v>
      </c>
    </row>
    <row r="124" spans="2:5" ht="15.75">
      <c r="B124" s="292"/>
      <c r="C124" s="293">
        <v>0.15</v>
      </c>
      <c r="D124" s="294">
        <f>D123*C124</f>
        <v>0</v>
      </c>
    </row>
    <row r="125" spans="2:5" ht="15.75">
      <c r="B125" s="295"/>
      <c r="C125" s="296"/>
      <c r="D125" s="297"/>
    </row>
    <row r="126" spans="2:5"/>
    <row r="127" spans="2:5"/>
    <row r="128" spans="2:5"/>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213"/>
    <row r="214"/>
    <row r="215"/>
    <row r="216"/>
    <row r="217"/>
    <row r="218"/>
    <row r="219"/>
    <row r="220"/>
    <row r="221"/>
    <row r="222"/>
    <row r="223"/>
    <row r="224"/>
    <row r="225"/>
    <row r="226"/>
    <row r="227"/>
    <row r="228"/>
    <row r="229"/>
    <row r="230"/>
    <row r="231"/>
    <row r="232"/>
    <row r="233"/>
    <row r="234"/>
    <row r="235"/>
    <row r="236"/>
    <row r="237"/>
    <row r="238"/>
    <row r="239"/>
    <row r="240"/>
  </sheetData>
  <sheetProtection algorithmName="SHA-512" hashValue="Od9PS+2J4M1KR5vxLMFlh4jPf86TVWSuVmYuoVA/1xZA73WgvkbNvD/cidvWlEXysGa/dk7Ajmn67Moo5TjaRg==" saltValue="rnH7fVGPBwC1rZXn/k7Bqg==" spinCount="100000" sheet="1" objects="1" scenarios="1" formatCells="0" formatColumns="0" formatRows="0"/>
  <mergeCells count="5">
    <mergeCell ref="Q5:R5"/>
    <mergeCell ref="C102:D102"/>
    <mergeCell ref="C103:D103"/>
    <mergeCell ref="C104:D104"/>
    <mergeCell ref="C93:D93"/>
  </mergeCells>
  <phoneticPr fontId="58" type="noConversion"/>
  <conditionalFormatting sqref="AI7:AI16">
    <cfRule type="colorScale" priority="36">
      <colorScale>
        <cfvo type="min"/>
        <cfvo type="num" val="0"/>
        <cfvo type="max"/>
        <color rgb="FF63CD7B"/>
        <color theme="0"/>
        <color rgb="FFF8696B"/>
      </colorScale>
    </cfRule>
  </conditionalFormatting>
  <conditionalFormatting sqref="AG7:AG16">
    <cfRule type="colorScale" priority="38">
      <colorScale>
        <cfvo type="min"/>
        <cfvo type="percentile" val="50"/>
        <cfvo type="max"/>
        <color rgb="FF63CD7B"/>
        <color rgb="FFFCFCFF"/>
        <color rgb="FFF8696B"/>
      </colorScale>
    </cfRule>
  </conditionalFormatting>
  <conditionalFormatting sqref="AI36:AI53">
    <cfRule type="colorScale" priority="43">
      <colorScale>
        <cfvo type="min"/>
        <cfvo type="num" val="0"/>
        <cfvo type="max"/>
        <color rgb="FF63CD7B"/>
        <color theme="0"/>
        <color rgb="FFF8696B"/>
      </colorScale>
    </cfRule>
  </conditionalFormatting>
  <conditionalFormatting sqref="AG36:AG53">
    <cfRule type="colorScale" priority="44">
      <colorScale>
        <cfvo type="min"/>
        <cfvo type="percentile" val="50"/>
        <cfvo type="max"/>
        <color rgb="FF63CD7B"/>
        <color rgb="FFFCFCFF"/>
        <color rgb="FFF8696B"/>
      </colorScale>
    </cfRule>
  </conditionalFormatting>
  <conditionalFormatting sqref="AI54:AI75 AI17:AI35 AI6">
    <cfRule type="colorScale" priority="49">
      <colorScale>
        <cfvo type="min"/>
        <cfvo type="num" val="0"/>
        <cfvo type="max"/>
        <color rgb="FF63CD7B"/>
        <color theme="0"/>
        <color rgb="FFF8696B"/>
      </colorScale>
    </cfRule>
  </conditionalFormatting>
  <conditionalFormatting sqref="AG54:AG75 AG17:AG35 AG6">
    <cfRule type="colorScale" priority="53">
      <colorScale>
        <cfvo type="min"/>
        <cfvo type="percentile" val="50"/>
        <cfvo type="max"/>
        <color rgb="FF63CD7B"/>
        <color rgb="FFFCFCFF"/>
        <color rgb="FFF8696B"/>
      </colorScale>
    </cfRule>
  </conditionalFormatting>
  <conditionalFormatting sqref="U1:U2">
    <cfRule type="colorScale" priority="54">
      <colorScale>
        <cfvo type="min"/>
        <cfvo type="num" val="0"/>
        <cfvo type="max"/>
        <color rgb="FF63CD7B"/>
        <color theme="0"/>
        <color rgb="FFF8696B"/>
      </colorScale>
    </cfRule>
  </conditionalFormatting>
  <dataValidations count="1">
    <dataValidation type="list" allowBlank="1" showInputMessage="1" showErrorMessage="1" sqref="C6:E6" xr:uid="{00000000-0002-0000-0C00-000000000000}">
      <formula1>INDIRECT("tbl01_DevelopmentType[Development Type]")</formula1>
    </dataValidation>
  </dataValidations>
  <pageMargins left="0.7" right="0.7" top="0.75" bottom="0.75" header="0.3" footer="0.3"/>
  <pageSetup scale="45" fitToHeight="0" orientation="landscape" r:id="rId1"/>
  <headerFooter alignWithMargins="0">
    <oddFooter>&amp;C&amp;"Garamond,Regular"&amp;12&amp;P&amp;R&amp;"Garamond,Italic"&amp;11Uses &amp;D</oddFooter>
  </headerFooter>
  <rowBreaks count="1" manualBreakCount="1">
    <brk id="60" max="1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wst02_5_LIHTCProceeds">
    <tabColor theme="5" tint="-0.249977111117893"/>
    <pageSetUpPr autoPageBreaks="0"/>
  </sheetPr>
  <dimension ref="A1:Z213"/>
  <sheetViews>
    <sheetView zoomScale="85" zoomScaleNormal="85" workbookViewId="0"/>
  </sheetViews>
  <sheetFormatPr defaultColWidth="9.5" defaultRowHeight="12.75" zeroHeight="1"/>
  <cols>
    <col min="1" max="1" width="3" style="11" customWidth="1"/>
    <col min="2" max="2" width="69.5" style="11" customWidth="1"/>
    <col min="3" max="3" width="35.5" style="11" customWidth="1"/>
    <col min="4" max="5" width="36" style="11" customWidth="1"/>
    <col min="6" max="10" width="28.5" style="11" customWidth="1"/>
    <col min="11" max="26" width="9.5" style="11" customWidth="1"/>
    <col min="27" max="16384" width="9.5" style="11"/>
  </cols>
  <sheetData>
    <row r="1" spans="1:26" s="9" customFormat="1" ht="26.25">
      <c r="A1" s="61" t="s">
        <v>1570</v>
      </c>
      <c r="B1" s="60"/>
      <c r="C1" s="60"/>
      <c r="D1" s="60"/>
      <c r="E1" s="60"/>
      <c r="F1" s="60"/>
      <c r="G1" s="60"/>
      <c r="H1" s="60"/>
      <c r="I1" s="60"/>
      <c r="J1" s="60"/>
      <c r="K1" s="60"/>
      <c r="L1" s="60"/>
      <c r="M1" s="60"/>
      <c r="N1" s="60"/>
      <c r="O1" s="60"/>
      <c r="P1" s="60"/>
      <c r="Q1" s="60"/>
      <c r="R1" s="60"/>
      <c r="S1" s="60"/>
      <c r="T1" s="60"/>
      <c r="U1" s="60"/>
      <c r="V1" s="60"/>
      <c r="W1" s="60"/>
      <c r="X1" s="60"/>
      <c r="Y1" s="60"/>
      <c r="Z1" s="60"/>
    </row>
    <row r="2" spans="1:26" s="9" customFormat="1" ht="21">
      <c r="A2" s="668" t="str">
        <f>IF(rng01_ProjectName="","[Project Name]", rng01_ProjectName)</f>
        <v>[Project Name]</v>
      </c>
      <c r="B2" s="664"/>
      <c r="C2" s="666" t="s">
        <v>245</v>
      </c>
      <c r="D2" s="667">
        <f>tbl00ModelProgress[[#Totals],[Date of Progress /
Last Edit]]</f>
        <v>0</v>
      </c>
      <c r="E2" s="667"/>
      <c r="F2" s="665"/>
      <c r="G2" s="665"/>
      <c r="H2" s="675"/>
      <c r="I2" s="664"/>
      <c r="J2" s="664"/>
      <c r="K2" s="664"/>
      <c r="L2" s="664"/>
      <c r="M2" s="664"/>
      <c r="N2" s="664"/>
      <c r="O2" s="664"/>
      <c r="P2" s="664"/>
      <c r="Q2" s="664"/>
      <c r="R2" s="664"/>
      <c r="S2" s="664"/>
      <c r="T2" s="664"/>
      <c r="U2" s="664"/>
      <c r="V2" s="664"/>
      <c r="W2" s="664"/>
      <c r="X2" s="664"/>
      <c r="Y2" s="664"/>
      <c r="Z2" s="664"/>
    </row>
    <row r="3" spans="1:26" ht="15.75">
      <c r="F3" s="352"/>
    </row>
    <row r="4" spans="1:26" ht="25.15" customHeight="1">
      <c r="F4" s="352"/>
    </row>
    <row r="5" spans="1:26" ht="25.15" customHeight="1">
      <c r="F5" s="352"/>
    </row>
    <row r="6" spans="1:26" ht="13.5" thickBot="1">
      <c r="H6" s="353"/>
    </row>
    <row r="7" spans="1:26" ht="17.25" customHeight="1" thickBot="1">
      <c r="B7" s="1194" t="s">
        <v>1322</v>
      </c>
      <c r="C7" s="1195" t="s">
        <v>1323</v>
      </c>
      <c r="D7" s="1196" t="s">
        <v>1324</v>
      </c>
      <c r="E7" s="1196" t="s">
        <v>1325</v>
      </c>
      <c r="F7" s="1196" t="s">
        <v>2434</v>
      </c>
      <c r="G7" s="1197"/>
    </row>
    <row r="8" spans="1:26" ht="15.75">
      <c r="B8" s="1198" t="s">
        <v>1571</v>
      </c>
      <c r="C8" s="426">
        <f>'02_4_USES'!I90</f>
        <v>0</v>
      </c>
      <c r="D8" s="426">
        <f>'02_4_USES'!J89</f>
        <v>0</v>
      </c>
      <c r="E8" s="1572"/>
      <c r="F8" s="1872">
        <f>rng05_Proceeds_TotalEligibleUses+D8</f>
        <v>0</v>
      </c>
      <c r="G8" s="1199"/>
    </row>
    <row r="9" spans="1:26" ht="15.75">
      <c r="B9" s="1200" t="s">
        <v>1572</v>
      </c>
      <c r="C9" s="426">
        <v>0</v>
      </c>
      <c r="D9" s="426">
        <f>-C34</f>
        <v>0</v>
      </c>
      <c r="E9" s="1572"/>
      <c r="F9" s="426">
        <f>-C34</f>
        <v>0</v>
      </c>
      <c r="G9" s="1201">
        <f>G34</f>
        <v>0</v>
      </c>
    </row>
    <row r="10" spans="1:26" ht="15.75">
      <c r="B10" s="1200" t="s">
        <v>1573</v>
      </c>
      <c r="C10" s="1572"/>
      <c r="D10" s="1572"/>
      <c r="E10" s="1572"/>
      <c r="F10" s="476"/>
      <c r="G10" s="1199">
        <v>0</v>
      </c>
    </row>
    <row r="11" spans="1:26" ht="15.75">
      <c r="B11" s="1198" t="s">
        <v>1330</v>
      </c>
      <c r="C11" s="426">
        <f>SUM(C8:C10)</f>
        <v>0</v>
      </c>
      <c r="D11" s="426">
        <f>SUM(D8:D10)</f>
        <v>0</v>
      </c>
      <c r="E11" s="426">
        <f>SUM(E8:E10)</f>
        <v>0</v>
      </c>
      <c r="F11" s="426">
        <f>SUM(F8:F10)</f>
        <v>0</v>
      </c>
      <c r="G11" s="1202">
        <f>SUM(G8:G10)</f>
        <v>0</v>
      </c>
    </row>
    <row r="12" spans="1:26" ht="15.75">
      <c r="B12" s="487" t="s">
        <v>1331</v>
      </c>
      <c r="C12" s="1166"/>
      <c r="D12" s="427"/>
      <c r="E12" s="427"/>
      <c r="F12" s="1166"/>
      <c r="G12" s="1203"/>
    </row>
    <row r="13" spans="1:26" ht="15.75">
      <c r="B13" s="1198" t="s">
        <v>1332</v>
      </c>
      <c r="C13" s="426">
        <f>C11</f>
        <v>0</v>
      </c>
      <c r="D13" s="426">
        <f>D11*D12</f>
        <v>0</v>
      </c>
      <c r="E13" s="426">
        <f>E11*E12</f>
        <v>0</v>
      </c>
      <c r="F13" s="426">
        <f>F11</f>
        <v>0</v>
      </c>
      <c r="G13" s="1202">
        <f>G8*G12</f>
        <v>0</v>
      </c>
    </row>
    <row r="14" spans="1:26" ht="15.75">
      <c r="B14" s="487" t="s">
        <v>1333</v>
      </c>
      <c r="C14" s="651">
        <f>MIN('02_1_INCOME'!$C$114:$C$115)</f>
        <v>0</v>
      </c>
      <c r="D14" s="651">
        <f>MIN('02_1_INCOME'!$C$114:$C$115)</f>
        <v>0</v>
      </c>
      <c r="E14" s="651">
        <f>MIN('02_1_INCOME'!$C$114:$C$115)</f>
        <v>0</v>
      </c>
      <c r="F14" s="651">
        <f>D14</f>
        <v>0</v>
      </c>
      <c r="G14" s="1204">
        <f>MIN('02_1_INCOME'!$C$114:$C$115)</f>
        <v>0</v>
      </c>
    </row>
    <row r="15" spans="1:26" ht="15.75">
      <c r="B15" s="487" t="s">
        <v>1334</v>
      </c>
      <c r="C15" s="426">
        <f>C13*C14</f>
        <v>0</v>
      </c>
      <c r="D15" s="426">
        <f>D13*D14</f>
        <v>0</v>
      </c>
      <c r="E15" s="426">
        <f>E13*E14</f>
        <v>0</v>
      </c>
      <c r="F15" s="426">
        <f>F13*F14</f>
        <v>0</v>
      </c>
      <c r="G15" s="1202">
        <f>G13*G14</f>
        <v>0</v>
      </c>
    </row>
    <row r="16" spans="1:26" ht="15.75">
      <c r="B16" s="487" t="s">
        <v>1335</v>
      </c>
      <c r="C16" s="1158"/>
      <c r="D16" s="2002"/>
      <c r="E16" s="2002"/>
      <c r="F16" s="2002"/>
      <c r="G16" s="2003"/>
    </row>
    <row r="17" spans="2:7" ht="15.75">
      <c r="B17" s="1198" t="s">
        <v>1336</v>
      </c>
      <c r="C17" s="1803">
        <f>C15*C16</f>
        <v>0</v>
      </c>
      <c r="D17" s="430">
        <f>D15*D16</f>
        <v>0</v>
      </c>
      <c r="E17" s="430">
        <f>E15*E16</f>
        <v>0</v>
      </c>
      <c r="F17" s="426">
        <f>F15*F16</f>
        <v>0</v>
      </c>
      <c r="G17" s="1202">
        <f>G15*G16</f>
        <v>0</v>
      </c>
    </row>
    <row r="18" spans="2:7" ht="15.75">
      <c r="B18" s="487" t="s">
        <v>1337</v>
      </c>
      <c r="C18" s="99"/>
      <c r="D18" s="99"/>
      <c r="E18" s="99"/>
      <c r="F18" s="99"/>
      <c r="G18" s="1205"/>
    </row>
    <row r="19" spans="2:7" ht="15.75">
      <c r="B19" s="1198" t="s">
        <v>1338</v>
      </c>
      <c r="C19" s="426">
        <f>C17-C18</f>
        <v>0</v>
      </c>
      <c r="D19" s="426">
        <f>D17-D18</f>
        <v>0</v>
      </c>
      <c r="E19" s="426">
        <f>E17-E18</f>
        <v>0</v>
      </c>
      <c r="F19" s="426">
        <f>F17-F18</f>
        <v>0</v>
      </c>
      <c r="G19" s="1202">
        <f>G17-G18</f>
        <v>0</v>
      </c>
    </row>
    <row r="20" spans="2:7" ht="15.75">
      <c r="B20" s="1198" t="s">
        <v>1339</v>
      </c>
      <c r="C20" s="428">
        <v>10</v>
      </c>
      <c r="D20" s="428">
        <v>10</v>
      </c>
      <c r="E20" s="428">
        <v>10</v>
      </c>
      <c r="F20" s="1873">
        <v>5</v>
      </c>
      <c r="G20" s="1206"/>
    </row>
    <row r="21" spans="2:7" ht="15.75">
      <c r="B21" s="1198" t="s">
        <v>1340</v>
      </c>
      <c r="C21" s="1802">
        <f>C19*C20</f>
        <v>0</v>
      </c>
      <c r="D21" s="426">
        <f>D19*D20</f>
        <v>0</v>
      </c>
      <c r="E21" s="426">
        <f>E19*E20</f>
        <v>0</v>
      </c>
      <c r="F21" s="426">
        <f>F20*F19</f>
        <v>0</v>
      </c>
      <c r="G21" s="1202">
        <f>G19*G20</f>
        <v>0</v>
      </c>
    </row>
    <row r="22" spans="2:7" ht="15.75">
      <c r="B22" s="1207" t="s">
        <v>1341</v>
      </c>
      <c r="C22" s="648"/>
      <c r="D22" s="648"/>
      <c r="E22" s="648"/>
      <c r="F22" s="648"/>
      <c r="G22" s="1208"/>
    </row>
    <row r="23" spans="2:7" ht="16.5" thickBot="1">
      <c r="B23" s="1209" t="s">
        <v>1342</v>
      </c>
      <c r="C23" s="429"/>
      <c r="D23" s="429"/>
      <c r="E23" s="429"/>
      <c r="F23" s="1874"/>
      <c r="G23" s="1210"/>
    </row>
    <row r="24" spans="2:7" ht="16.5" thickBot="1">
      <c r="B24" s="1211" t="s">
        <v>1343</v>
      </c>
      <c r="C24" s="1212">
        <f>C21*C23*C22</f>
        <v>0</v>
      </c>
      <c r="D24" s="1212">
        <f>D21*D23*D22</f>
        <v>0</v>
      </c>
      <c r="E24" s="1212">
        <f>E21*E23*E22</f>
        <v>0</v>
      </c>
      <c r="F24" s="1212">
        <f>F21*F23*F22</f>
        <v>0</v>
      </c>
      <c r="G24" s="1213">
        <f>G21*G23*G22</f>
        <v>0</v>
      </c>
    </row>
    <row r="25" spans="2:7" ht="15.75">
      <c r="G25" s="434"/>
    </row>
    <row r="26" spans="2:7" ht="16.5" thickBot="1">
      <c r="B26" s="8"/>
      <c r="C26" s="8"/>
      <c r="D26" s="8"/>
      <c r="F26" s="8"/>
      <c r="G26" s="8"/>
    </row>
    <row r="27" spans="2:7" ht="16.5" thickBot="1">
      <c r="B27" s="1194" t="s">
        <v>2433</v>
      </c>
      <c r="C27" s="1195" t="s">
        <v>1002</v>
      </c>
      <c r="D27" s="1220" t="s">
        <v>1345</v>
      </c>
    </row>
    <row r="28" spans="2:7" ht="15.75">
      <c r="B28" s="1214" t="s">
        <v>1346</v>
      </c>
      <c r="C28" s="426">
        <f>SUM(C19:E19)</f>
        <v>0</v>
      </c>
      <c r="D28" s="1202">
        <f>SUMPRODUCT(C22:E22,C19:E19)</f>
        <v>0</v>
      </c>
    </row>
    <row r="29" spans="2:7" ht="16.5" thickBot="1">
      <c r="B29" s="1209" t="s">
        <v>1347</v>
      </c>
      <c r="C29" s="1215">
        <f>C28*10</f>
        <v>0</v>
      </c>
      <c r="D29" s="1221">
        <f>D28*10</f>
        <v>0</v>
      </c>
    </row>
    <row r="30" spans="2:7" ht="16.5" thickBot="1">
      <c r="B30" s="8"/>
      <c r="C30" s="8"/>
    </row>
    <row r="31" spans="2:7" ht="16.5" thickBot="1">
      <c r="B31" s="1216" t="s">
        <v>1348</v>
      </c>
      <c r="C31" s="1195" t="s">
        <v>1349</v>
      </c>
      <c r="D31" s="1220" t="s">
        <v>1350</v>
      </c>
    </row>
    <row r="32" spans="2:7" ht="15.75">
      <c r="B32" s="1198" t="s">
        <v>1334</v>
      </c>
      <c r="C32" s="653"/>
      <c r="D32" s="1217"/>
    </row>
    <row r="33" spans="2:7" ht="15.75">
      <c r="B33" s="487" t="s">
        <v>1335</v>
      </c>
      <c r="C33" s="652"/>
      <c r="D33" s="1218"/>
    </row>
    <row r="34" spans="2:7" ht="15.75">
      <c r="B34" s="1198" t="s">
        <v>1351</v>
      </c>
      <c r="C34" s="426">
        <f>C32*C33</f>
        <v>0</v>
      </c>
      <c r="D34" s="1202">
        <f>D32*D33</f>
        <v>0</v>
      </c>
    </row>
    <row r="35" spans="2:7" ht="16.5" thickBot="1">
      <c r="B35" s="1209" t="s">
        <v>1342</v>
      </c>
      <c r="C35" s="1174"/>
      <c r="D35" s="1222"/>
    </row>
    <row r="36" spans="2:7" ht="16.5" thickBot="1">
      <c r="B36" s="1219" t="s">
        <v>1352</v>
      </c>
      <c r="C36" s="1212">
        <f>C34*C35</f>
        <v>0</v>
      </c>
      <c r="D36" s="1213">
        <f>D34*D35</f>
        <v>0</v>
      </c>
    </row>
    <row r="37" spans="2:7" ht="15.75">
      <c r="B37" s="431"/>
      <c r="C37" s="431"/>
      <c r="F37" s="432"/>
      <c r="G37" s="433"/>
    </row>
    <row r="38" spans="2:7" ht="16.5" thickBot="1">
      <c r="D38" s="8"/>
      <c r="E38" s="8"/>
    </row>
    <row r="39" spans="2:7" ht="16.5" thickBot="1">
      <c r="B39" s="1194" t="s">
        <v>2432</v>
      </c>
      <c r="C39" s="1195" t="s">
        <v>1002</v>
      </c>
      <c r="D39" s="1220" t="s">
        <v>1345</v>
      </c>
      <c r="E39" s="8"/>
    </row>
    <row r="40" spans="2:7" ht="15.75">
      <c r="B40" s="1214" t="s">
        <v>1346</v>
      </c>
      <c r="C40" s="426">
        <f>F19</f>
        <v>0</v>
      </c>
      <c r="D40" s="1202" t="e">
        <f>SUMPRODUCT(F22,F19)</f>
        <v>#VALUE!</v>
      </c>
      <c r="E40" s="8"/>
    </row>
    <row r="41" spans="2:7" ht="16.5" thickBot="1">
      <c r="B41" s="1209" t="s">
        <v>2435</v>
      </c>
      <c r="C41" s="1215">
        <f>C40*5</f>
        <v>0</v>
      </c>
      <c r="D41" s="1221" t="e">
        <f>D40*5</f>
        <v>#VALUE!</v>
      </c>
      <c r="E41" s="8"/>
    </row>
    <row r="42" spans="2:7"/>
    <row r="43" spans="2:7"/>
    <row r="44" spans="2:7"/>
    <row r="45" spans="2:7">
      <c r="C45" s="353"/>
      <c r="F45" s="353"/>
      <c r="G45" s="354"/>
    </row>
    <row r="46" spans="2:7"/>
    <row r="47" spans="2:7"/>
    <row r="48" spans="2:7"/>
    <row r="49" spans="4:5">
      <c r="D49" s="353"/>
      <c r="E49" s="353"/>
    </row>
    <row r="50" spans="4:5"/>
    <row r="51" spans="4:5"/>
    <row r="52" spans="4:5"/>
    <row r="53" spans="4:5"/>
    <row r="54" spans="4:5"/>
    <row r="55" spans="4:5"/>
    <row r="56" spans="4:5"/>
    <row r="57" spans="4:5"/>
    <row r="58" spans="4:5"/>
    <row r="180"/>
    <row r="181"/>
    <row r="182"/>
    <row r="183"/>
    <row r="184"/>
    <row r="185"/>
    <row r="186"/>
    <row r="187"/>
    <row r="188"/>
    <row r="195"/>
    <row r="196"/>
    <row r="197"/>
    <row r="198"/>
    <row r="199"/>
    <row r="200"/>
    <row r="201"/>
    <row r="202"/>
    <row r="203"/>
    <row r="204"/>
    <row r="205"/>
    <row r="206"/>
    <row r="207"/>
    <row r="208"/>
    <row r="209"/>
    <row r="210"/>
    <row r="211"/>
    <row r="212"/>
    <row r="213"/>
  </sheetData>
  <sheetProtection algorithmName="SHA-512" hashValue="2o72WOTqfZSF99Jn2G6XHc7S6NLYQQCtlpTFSDUJaoqdTAi2uhPT2/fQoSGu3XkY2F0/jyzFsEIWC+SBcwkcMQ==" saltValue="JNts8k+V6ymDZToSmotPrw==" spinCount="100000" sheet="1" objects="1" scenarios="1" formatCells="0" formatColumns="0" formatRows="0"/>
  <phoneticPr fontId="58" type="noConversion"/>
  <conditionalFormatting sqref="T1">
    <cfRule type="colorScale" priority="57">
      <colorScale>
        <cfvo type="min"/>
        <cfvo type="num" val="0"/>
        <cfvo type="max"/>
        <color rgb="FF63CD7B"/>
        <color theme="0"/>
        <color rgb="FFF8696B"/>
      </colorScale>
    </cfRule>
  </conditionalFormatting>
  <conditionalFormatting sqref="R1">
    <cfRule type="colorScale" priority="58">
      <colorScale>
        <cfvo type="min"/>
        <cfvo type="percentile" val="50"/>
        <cfvo type="max"/>
        <color rgb="FF63CD7B"/>
        <color rgb="FFFCFCFF"/>
        <color rgb="FFF8696B"/>
      </colorScale>
    </cfRule>
  </conditionalFormatting>
  <conditionalFormatting sqref="T2">
    <cfRule type="colorScale" priority="59">
      <colorScale>
        <cfvo type="min"/>
        <cfvo type="num" val="0"/>
        <cfvo type="max"/>
        <color rgb="FF63CD7B"/>
        <color theme="0"/>
        <color rgb="FFF8696B"/>
      </colorScale>
    </cfRule>
  </conditionalFormatting>
  <conditionalFormatting sqref="R2">
    <cfRule type="colorScale" priority="60">
      <colorScale>
        <cfvo type="min"/>
        <cfvo type="percentile" val="50"/>
        <cfvo type="max"/>
        <color rgb="FF63CD7B"/>
        <color rgb="FFFCFCFF"/>
        <color rgb="FFF8696B"/>
      </colorScale>
    </cfRule>
  </conditionalFormatting>
  <dataValidations count="3">
    <dataValidation type="decimal" operator="lessThanOrEqual" allowBlank="1" showInputMessage="1" showErrorMessage="1" errorTitle="Negative Entry Required" sqref="D9:G9" xr:uid="{00000000-0002-0000-0D00-000000000000}">
      <formula1>0</formula1>
    </dataValidation>
    <dataValidation type="decimal" allowBlank="1" showInputMessage="1" showErrorMessage="1" errorTitle="ERROR" error="Value must be between 100% and 130%" promptTitle="Basis Boost" prompt="Input Number between 100% and 130%" sqref="G12" xr:uid="{00000000-0002-0000-0D00-000001000000}">
      <formula1>1</formula1>
      <formula2>1.3</formula2>
    </dataValidation>
    <dataValidation type="decimal" allowBlank="1" showInputMessage="1" showErrorMessage="1" errorTitle="Invalid Value" error="Value must be between 100% and 130%." promptTitle="Basis Boost" prompt="Input either 100% or 130% if basis boost. If partially qualifies for basis boost, input number between 100% - 130%." sqref="D12:E12" xr:uid="{00000000-0002-0000-0D00-000002000000}">
      <formula1>1</formula1>
      <formula2>1.3</formula2>
    </dataValidation>
  </dataValidations>
  <pageMargins left="0.7" right="0.7" top="0.75" bottom="0.75" header="0.3" footer="0.3"/>
  <pageSetup scale="72" orientation="landscape" r:id="rId1"/>
  <headerFooter alignWithMargins="0">
    <oddFooter>&amp;L&amp;A</oddFooter>
  </headerFooter>
  <colBreaks count="1" manualBreakCount="1">
    <brk id="5" max="3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FA458-E09F-4591-B358-53FCAFA39555}">
  <sheetPr codeName="wst02_7_OperatingSubsidy">
    <tabColor theme="5" tint="-0.249977111117893"/>
    <pageSetUpPr autoPageBreaks="0"/>
  </sheetPr>
  <dimension ref="A1:EF28"/>
  <sheetViews>
    <sheetView zoomScale="85" zoomScaleNormal="85" workbookViewId="0"/>
  </sheetViews>
  <sheetFormatPr defaultColWidth="0" defaultRowHeight="0" customHeight="1" zeroHeight="1"/>
  <cols>
    <col min="1" max="1" width="3" style="9" customWidth="1"/>
    <col min="2" max="2" width="62" style="10" customWidth="1"/>
    <col min="3" max="3" width="25.6640625" style="33" customWidth="1"/>
    <col min="4" max="4" width="21" style="9" customWidth="1"/>
    <col min="5" max="5" width="21" style="10" customWidth="1"/>
    <col min="6" max="52" width="21" style="9" customWidth="1"/>
    <col min="53" max="57" width="9" style="9" customWidth="1"/>
    <col min="58" max="16384" width="9" style="9" hidden="1"/>
  </cols>
  <sheetData>
    <row r="1" spans="1:136" s="11" customFormat="1" ht="26.25">
      <c r="A1" s="61" t="s">
        <v>2415</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c r="DW1" s="630"/>
      <c r="DX1" s="630"/>
      <c r="DY1" s="630"/>
      <c r="DZ1" s="630"/>
      <c r="EA1" s="630"/>
      <c r="EB1" s="630"/>
      <c r="EC1" s="630"/>
      <c r="ED1" s="630"/>
      <c r="EE1" s="630"/>
      <c r="EF1" s="630"/>
    </row>
    <row r="2" spans="1:136" s="11" customFormat="1" ht="21">
      <c r="A2" s="668" t="str">
        <f>IF(rng01_ProjectName="","[Project Name]", rng01_ProjectName)</f>
        <v>[Project Name]</v>
      </c>
      <c r="B2" s="664"/>
      <c r="C2" s="664"/>
      <c r="D2" s="665"/>
      <c r="E2" s="666" t="s">
        <v>245</v>
      </c>
      <c r="F2" s="667">
        <f>tbl00ModelProgress[[#Totals],[Date of Progress /
Last Edit]]</f>
        <v>0</v>
      </c>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row>
    <row r="3" spans="1:136" ht="12.75" customHeight="1"/>
    <row r="4" spans="1:136" ht="16.5" thickBot="1">
      <c r="B4" s="1849"/>
      <c r="C4" s="1853"/>
      <c r="D4" s="1853"/>
      <c r="E4" s="1853"/>
      <c r="G4" s="10"/>
      <c r="H4" s="151"/>
      <c r="I4" s="151"/>
      <c r="J4" s="151"/>
      <c r="K4" s="151"/>
      <c r="L4" s="151"/>
    </row>
    <row r="5" spans="1:136" ht="21.75" thickBot="1">
      <c r="B5" s="473" t="s">
        <v>2414</v>
      </c>
      <c r="C5" s="20"/>
      <c r="D5" s="21"/>
      <c r="E5" s="474"/>
      <c r="F5" s="475"/>
      <c r="G5" s="475"/>
      <c r="H5" s="475"/>
      <c r="I5" s="475"/>
      <c r="J5" s="475"/>
      <c r="K5" s="475"/>
      <c r="L5" s="475"/>
      <c r="M5" s="475"/>
      <c r="N5" s="475"/>
      <c r="O5" s="475"/>
      <c r="P5" s="475"/>
      <c r="Q5" s="475"/>
      <c r="R5" s="475"/>
      <c r="S5" s="475"/>
      <c r="T5" s="475"/>
      <c r="U5" s="475"/>
      <c r="V5" s="616"/>
    </row>
    <row r="6" spans="1:136" ht="16.5" thickBot="1">
      <c r="B6" s="159"/>
      <c r="C6" s="160"/>
      <c r="D6" s="11"/>
      <c r="E6" s="159"/>
      <c r="F6" s="11"/>
      <c r="G6" s="11"/>
      <c r="H6" s="11"/>
      <c r="I6" s="151"/>
      <c r="J6" s="160"/>
      <c r="L6" s="11"/>
      <c r="M6" s="159"/>
      <c r="N6" s="11"/>
      <c r="O6" s="11"/>
      <c r="P6" s="11"/>
    </row>
    <row r="7" spans="1:136" ht="19.5" thickBot="1">
      <c r="B7" s="34" t="s">
        <v>2416</v>
      </c>
      <c r="C7" s="1854"/>
      <c r="D7" s="10"/>
      <c r="E7" s="1855" t="s">
        <v>2418</v>
      </c>
      <c r="F7" s="2040"/>
    </row>
    <row r="8" spans="1:136" ht="15.75">
      <c r="B8" s="1856" t="s">
        <v>875</v>
      </c>
      <c r="C8" s="1844" t="s">
        <v>2414</v>
      </c>
      <c r="D8" s="10"/>
      <c r="E8" s="1845" t="s">
        <v>2218</v>
      </c>
      <c r="F8" s="2041">
        <v>0.3</v>
      </c>
    </row>
    <row r="9" spans="1:136" ht="15.75">
      <c r="B9" s="1857" t="s">
        <v>2417</v>
      </c>
      <c r="C9" s="2095"/>
      <c r="D9" s="10" t="s">
        <v>2425</v>
      </c>
      <c r="E9" s="1846" t="s">
        <v>141</v>
      </c>
      <c r="F9" s="1576">
        <f>SUMIFS(Number_of_Units, ProjectBasedSubsidy,$C$8, AMI, F$8, NumberofBedrooms, $E9)</f>
        <v>0</v>
      </c>
    </row>
    <row r="10" spans="1:136" ht="15.75">
      <c r="B10" s="1857" t="s">
        <v>2420</v>
      </c>
      <c r="C10" s="1847">
        <f>SUM(HPFELI30)</f>
        <v>0</v>
      </c>
      <c r="E10" s="1846" t="s">
        <v>168</v>
      </c>
      <c r="F10" s="1576">
        <f t="shared" ref="F10:F15" si="0">SUMIFS(Number_of_Units, ProjectBasedSubsidy,$C$8, AMI, F$8, NumberofBedrooms, $E10)</f>
        <v>0</v>
      </c>
    </row>
    <row r="11" spans="1:136" ht="16.5" thickBot="1">
      <c r="B11" s="1858" t="s">
        <v>2419</v>
      </c>
      <c r="C11" s="1848">
        <f>C10</f>
        <v>0</v>
      </c>
      <c r="E11" s="1846">
        <v>1</v>
      </c>
      <c r="F11" s="1576">
        <f t="shared" si="0"/>
        <v>0</v>
      </c>
    </row>
    <row r="12" spans="1:136" ht="15.75">
      <c r="B12" s="1849"/>
      <c r="C12" s="1850"/>
      <c r="E12" s="1846">
        <v>2</v>
      </c>
      <c r="F12" s="1576">
        <f t="shared" si="0"/>
        <v>0</v>
      </c>
    </row>
    <row r="13" spans="1:136" ht="15.75">
      <c r="B13" s="1849"/>
      <c r="C13" s="1851"/>
      <c r="D13" s="150"/>
      <c r="E13" s="1846">
        <v>3</v>
      </c>
      <c r="F13" s="1576">
        <f t="shared" si="0"/>
        <v>0</v>
      </c>
    </row>
    <row r="14" spans="1:136" ht="15.75">
      <c r="B14" s="159"/>
      <c r="C14" s="160"/>
      <c r="D14" s="150"/>
      <c r="E14" s="1846">
        <v>4</v>
      </c>
      <c r="F14" s="1576">
        <f t="shared" si="0"/>
        <v>0</v>
      </c>
    </row>
    <row r="15" spans="1:136" ht="16.5" thickBot="1">
      <c r="B15" s="159"/>
      <c r="C15" s="160"/>
      <c r="D15" s="11"/>
      <c r="E15" s="1852">
        <v>5</v>
      </c>
      <c r="F15" s="1578">
        <f t="shared" si="0"/>
        <v>0</v>
      </c>
      <c r="G15" s="151"/>
      <c r="H15" s="160"/>
      <c r="J15" s="11"/>
      <c r="K15" s="159"/>
      <c r="L15" s="11"/>
      <c r="M15" s="11"/>
      <c r="N15" s="11"/>
    </row>
    <row r="16" spans="1:136" ht="16.5" thickBot="1">
      <c r="B16" s="159"/>
      <c r="C16" s="160"/>
      <c r="D16" s="11"/>
      <c r="E16" s="1875"/>
      <c r="F16" s="1876"/>
      <c r="G16" s="151"/>
      <c r="H16" s="160"/>
      <c r="J16" s="11"/>
      <c r="K16" s="159"/>
      <c r="L16" s="11"/>
      <c r="M16" s="11"/>
      <c r="N16" s="11"/>
    </row>
    <row r="17" spans="2:22" ht="21.75" thickBot="1">
      <c r="B17" s="473" t="s">
        <v>2437</v>
      </c>
      <c r="C17" s="20"/>
      <c r="D17" s="21"/>
      <c r="E17" s="474"/>
      <c r="F17" s="475"/>
      <c r="G17" s="475"/>
      <c r="H17" s="475"/>
      <c r="I17" s="475"/>
      <c r="J17" s="475"/>
      <c r="K17" s="475"/>
      <c r="L17" s="475"/>
      <c r="M17" s="475"/>
      <c r="N17" s="475"/>
      <c r="O17" s="475"/>
      <c r="P17" s="475"/>
      <c r="Q17" s="475"/>
      <c r="R17" s="475"/>
      <c r="S17" s="475"/>
      <c r="T17" s="475"/>
      <c r="U17" s="475"/>
      <c r="V17" s="616"/>
    </row>
    <row r="18" spans="2:22" ht="16.5" thickBot="1">
      <c r="B18" s="159"/>
      <c r="C18" s="160"/>
      <c r="D18" s="11"/>
      <c r="E18" s="159"/>
      <c r="F18" s="11"/>
      <c r="G18" s="11"/>
      <c r="H18" s="11"/>
      <c r="I18" s="151"/>
      <c r="J18" s="160"/>
      <c r="L18" s="11"/>
      <c r="M18" s="159"/>
      <c r="N18" s="11"/>
      <c r="O18" s="11"/>
      <c r="P18" s="11"/>
    </row>
    <row r="19" spans="2:22" ht="19.5" thickBot="1">
      <c r="B19" s="34" t="s">
        <v>2416</v>
      </c>
      <c r="C19" s="1854"/>
      <c r="D19" s="10"/>
      <c r="E19" s="1855" t="s">
        <v>2438</v>
      </c>
      <c r="F19" s="2040"/>
    </row>
    <row r="20" spans="2:22" ht="15.75">
      <c r="B20" s="1856" t="s">
        <v>875</v>
      </c>
      <c r="C20" s="1844" t="s">
        <v>2437</v>
      </c>
      <c r="D20" s="10"/>
      <c r="E20" s="1845" t="s">
        <v>2218</v>
      </c>
      <c r="F20" s="2041">
        <v>0.3</v>
      </c>
    </row>
    <row r="21" spans="2:22" ht="15.75">
      <c r="B21" s="1857" t="s">
        <v>2417</v>
      </c>
      <c r="C21" s="2095"/>
      <c r="D21" s="10" t="s">
        <v>2425</v>
      </c>
      <c r="E21" s="1846" t="s">
        <v>141</v>
      </c>
      <c r="F21" s="1576">
        <f t="shared" ref="F21:F27" si="1">SUMIFS(Number_of_Units, ProjectBasedSubsidy,$C$20, AMI, F$20, NumberofBedrooms, $E21)</f>
        <v>0</v>
      </c>
    </row>
    <row r="22" spans="2:22" ht="15.75">
      <c r="B22" s="1857" t="s">
        <v>2461</v>
      </c>
      <c r="C22" s="1847"/>
      <c r="E22" s="1846" t="s">
        <v>168</v>
      </c>
      <c r="F22" s="1576">
        <f t="shared" si="1"/>
        <v>0</v>
      </c>
    </row>
    <row r="23" spans="2:22" ht="16.5" thickBot="1">
      <c r="B23" s="1858" t="s">
        <v>2440</v>
      </c>
      <c r="C23" s="1848"/>
      <c r="E23" s="1846">
        <v>1</v>
      </c>
      <c r="F23" s="1576">
        <f t="shared" si="1"/>
        <v>0</v>
      </c>
    </row>
    <row r="24" spans="2:22" ht="15.75">
      <c r="B24" s="1849"/>
      <c r="C24" s="1850"/>
      <c r="E24" s="1846">
        <v>2</v>
      </c>
      <c r="F24" s="1576">
        <f t="shared" si="1"/>
        <v>0</v>
      </c>
    </row>
    <row r="25" spans="2:22" ht="15.75">
      <c r="B25" s="1849"/>
      <c r="C25" s="1851"/>
      <c r="D25" s="150"/>
      <c r="E25" s="1846">
        <v>3</v>
      </c>
      <c r="F25" s="1576">
        <f t="shared" si="1"/>
        <v>0</v>
      </c>
    </row>
    <row r="26" spans="2:22" ht="15.75">
      <c r="B26" s="159"/>
      <c r="C26" s="160"/>
      <c r="D26" s="150"/>
      <c r="E26" s="1846">
        <v>4</v>
      </c>
      <c r="F26" s="1576">
        <f t="shared" si="1"/>
        <v>0</v>
      </c>
    </row>
    <row r="27" spans="2:22" ht="16.5" thickBot="1">
      <c r="B27" s="159"/>
      <c r="C27" s="160"/>
      <c r="D27" s="11"/>
      <c r="E27" s="1852">
        <v>5</v>
      </c>
      <c r="F27" s="1578">
        <f t="shared" si="1"/>
        <v>0</v>
      </c>
      <c r="G27" s="151"/>
      <c r="H27" s="160"/>
      <c r="J27" s="11"/>
      <c r="K27" s="159"/>
      <c r="L27" s="11"/>
      <c r="M27" s="11"/>
      <c r="N27" s="11"/>
    </row>
    <row r="28" spans="2:22" ht="15"/>
  </sheetData>
  <sheetProtection algorithmName="SHA-512" hashValue="B270KDfZfLJiUK6XsagxkkwEmVyL6/31k+wVToy7Wyng+ExsPdkDmdNCgzNilpUwcEOHa84Ud6tWS/NIenTRIQ==" saltValue="UxVMc5hw1Km1JoN4a9ze4A==" spinCount="100000" sheet="1" formatCells="0" formatColumns="0" formatRows="0" selectLockedCells="1"/>
  <phoneticPr fontId="53" type="noConversion"/>
  <conditionalFormatting sqref="F9:F16 F21:F27">
    <cfRule type="cellIs" dxfId="10" priority="3" operator="equal">
      <formula>0</formula>
    </cfRule>
    <cfRule type="cellIs" dxfId="9" priority="4" operator="greaterThan">
      <formula>0</formula>
    </cfRule>
  </conditionalFormatting>
  <conditionalFormatting sqref="C10:C11">
    <cfRule type="cellIs" dxfId="8" priority="2" operator="equal">
      <formula>0</formula>
    </cfRule>
  </conditionalFormatting>
  <conditionalFormatting sqref="C22:C23">
    <cfRule type="cellIs" dxfId="7" priority="1" operator="equal">
      <formula>0</formula>
    </cfRule>
  </conditionalFormatting>
  <pageMargins left="0.7" right="0.7" top="0.75" bottom="0.75" header="0.3" footer="0.3"/>
  <pageSetup scale="40" fitToWidth="0" fitToHeight="5" orientation="landscape" r:id="rId1"/>
  <headerFooter alignWithMargins="0">
    <oddFooter>&amp;L&amp;A&amp;C&amp;P of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D4A57-C072-40DC-BF21-623C38FD6A0E}">
  <sheetPr codeName="wst02_8_PSHUnits">
    <tabColor theme="5" tint="-0.249977111117893"/>
    <pageSetUpPr autoPageBreaks="0"/>
  </sheetPr>
  <dimension ref="A1:EG31017"/>
  <sheetViews>
    <sheetView zoomScale="85" zoomScaleNormal="85" workbookViewId="0"/>
  </sheetViews>
  <sheetFormatPr defaultColWidth="0" defaultRowHeight="15" customHeight="1"/>
  <cols>
    <col min="1" max="1" width="3" style="2416" customWidth="1"/>
    <col min="2" max="2" width="62" style="2417" customWidth="1"/>
    <col min="3" max="3" width="20.83203125" style="2418" customWidth="1"/>
    <col min="4" max="4" width="20.83203125" style="2416" customWidth="1"/>
    <col min="5" max="5" width="20.83203125" style="2417" customWidth="1"/>
    <col min="6" max="12" width="20.83203125" style="2416" customWidth="1"/>
    <col min="13" max="14" width="21" style="2416" customWidth="1"/>
    <col min="15" max="53" width="21" style="2416" hidden="1" customWidth="1"/>
    <col min="54" max="58" width="9" style="2416" hidden="1" customWidth="1"/>
    <col min="59" max="16384" width="9" style="2416" hidden="1"/>
  </cols>
  <sheetData>
    <row r="1" spans="1:137" s="2409" customFormat="1" ht="26.25">
      <c r="A1" s="2406" t="s">
        <v>2464</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c r="AC1" s="2407"/>
      <c r="AD1" s="2407"/>
      <c r="AE1" s="2407"/>
      <c r="AF1" s="2407"/>
      <c r="AG1" s="2407"/>
      <c r="AH1" s="2407"/>
      <c r="AI1" s="2407"/>
      <c r="AJ1" s="2407"/>
      <c r="AK1" s="2407"/>
      <c r="AL1" s="2407"/>
      <c r="AM1" s="2407"/>
      <c r="AN1" s="2407"/>
      <c r="AO1" s="2407"/>
      <c r="AP1" s="2407"/>
      <c r="AQ1" s="2407"/>
      <c r="AR1" s="2407"/>
      <c r="AS1" s="2407"/>
      <c r="AT1" s="2407"/>
      <c r="AU1" s="2407"/>
      <c r="AV1" s="2407"/>
      <c r="AW1" s="2407"/>
      <c r="AX1" s="2407"/>
      <c r="AY1" s="2407"/>
      <c r="AZ1" s="2407"/>
      <c r="BA1" s="2407"/>
      <c r="BB1" s="2408"/>
      <c r="BC1" s="2408"/>
      <c r="BD1" s="2408"/>
      <c r="BE1" s="2408"/>
      <c r="BF1" s="2408"/>
      <c r="BG1" s="2408"/>
      <c r="BH1" s="2408"/>
      <c r="BI1" s="2408"/>
      <c r="BJ1" s="2408"/>
      <c r="BK1" s="2408"/>
      <c r="BL1" s="2408"/>
      <c r="BM1" s="2408"/>
      <c r="BN1" s="2408"/>
      <c r="BO1" s="2408"/>
      <c r="BP1" s="2408"/>
      <c r="BQ1" s="2408"/>
      <c r="BR1" s="2408"/>
      <c r="BS1" s="2408"/>
      <c r="BT1" s="2408"/>
      <c r="BU1" s="2408"/>
      <c r="BV1" s="2408"/>
      <c r="BW1" s="2408"/>
      <c r="BX1" s="2408"/>
      <c r="BY1" s="2408"/>
      <c r="BZ1" s="2408"/>
      <c r="CA1" s="2408"/>
      <c r="CB1" s="2408"/>
      <c r="CC1" s="2408"/>
      <c r="CD1" s="2408"/>
      <c r="CE1" s="2408"/>
      <c r="CF1" s="2408"/>
      <c r="CG1" s="2408"/>
      <c r="CH1" s="2408"/>
      <c r="CI1" s="2408"/>
      <c r="CJ1" s="2408"/>
      <c r="CK1" s="2408"/>
      <c r="CL1" s="2408"/>
      <c r="CM1" s="2408"/>
      <c r="CN1" s="2408"/>
      <c r="CO1" s="2408"/>
      <c r="CP1" s="2408"/>
      <c r="CQ1" s="2408"/>
      <c r="CR1" s="2408"/>
      <c r="CS1" s="2408"/>
      <c r="CT1" s="2408"/>
      <c r="CU1" s="2408"/>
      <c r="CV1" s="2408"/>
      <c r="CW1" s="2408"/>
      <c r="CX1" s="2408"/>
      <c r="CY1" s="2408"/>
      <c r="CZ1" s="2408"/>
      <c r="DA1" s="2408"/>
      <c r="DB1" s="2408"/>
      <c r="DC1" s="2408"/>
      <c r="DD1" s="2408"/>
      <c r="DE1" s="2408"/>
      <c r="DF1" s="2408"/>
      <c r="DG1" s="2408"/>
      <c r="DH1" s="2408"/>
      <c r="DI1" s="2408"/>
      <c r="DJ1" s="2408"/>
      <c r="DK1" s="2408"/>
      <c r="DL1" s="2408"/>
      <c r="DM1" s="2408"/>
      <c r="DN1" s="2408"/>
      <c r="DO1" s="2408"/>
      <c r="DP1" s="2408"/>
      <c r="DQ1" s="2408"/>
      <c r="DR1" s="2408"/>
      <c r="DS1" s="2408"/>
      <c r="DT1" s="2408"/>
      <c r="DU1" s="2408"/>
      <c r="DV1" s="2408"/>
      <c r="DW1" s="2408"/>
      <c r="DX1" s="2408"/>
      <c r="DY1" s="2408"/>
      <c r="DZ1" s="2408"/>
      <c r="EA1" s="2408"/>
      <c r="EB1" s="2408"/>
      <c r="EC1" s="2408"/>
      <c r="ED1" s="2408"/>
      <c r="EE1" s="2408"/>
      <c r="EF1" s="2408"/>
      <c r="EG1" s="2408"/>
    </row>
    <row r="2" spans="1:137" s="2409" customFormat="1" ht="21">
      <c r="A2" s="2410" t="str">
        <f>IF(rng01_ProjectName="","[Project Name]", rng01_ProjectName)</f>
        <v>[Project Name]</v>
      </c>
      <c r="B2" s="2411"/>
      <c r="C2" s="2411"/>
      <c r="D2" s="2412"/>
      <c r="E2" s="2413" t="s">
        <v>245</v>
      </c>
      <c r="F2" s="2414">
        <f>tbl00ModelProgress[[#Totals],[Date of Progress /
Last Edit]]</f>
        <v>0</v>
      </c>
      <c r="G2" s="2411"/>
      <c r="H2" s="2411"/>
      <c r="I2" s="2411"/>
      <c r="J2" s="2411"/>
      <c r="K2" s="2411"/>
      <c r="L2" s="2411"/>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row>
    <row r="3" spans="1:137" ht="12.75" customHeight="1"/>
    <row r="4" spans="1:137" ht="16.5" thickBot="1">
      <c r="B4" s="2419"/>
      <c r="C4" s="2420"/>
      <c r="D4" s="2420"/>
      <c r="E4" s="2420"/>
      <c r="G4" s="2417"/>
      <c r="H4" s="2421"/>
      <c r="I4" s="2421"/>
      <c r="J4" s="2421"/>
      <c r="K4" s="2421"/>
      <c r="L4" s="2421"/>
      <c r="M4" s="2421"/>
    </row>
    <row r="5" spans="1:137" ht="21.75" thickBot="1">
      <c r="B5" s="2422">
        <v>811</v>
      </c>
      <c r="C5" s="2423"/>
      <c r="D5" s="2424"/>
      <c r="E5" s="2425"/>
      <c r="F5" s="2426"/>
      <c r="G5" s="2426"/>
      <c r="H5" s="2426"/>
      <c r="I5" s="2426"/>
      <c r="J5" s="2426"/>
      <c r="K5" s="2426"/>
      <c r="L5" s="2426"/>
      <c r="M5" s="2426"/>
      <c r="N5" s="2426"/>
      <c r="O5" s="2426"/>
      <c r="P5" s="2426"/>
      <c r="Q5" s="2426"/>
      <c r="R5" s="2426"/>
      <c r="S5" s="2426"/>
      <c r="T5" s="2426"/>
      <c r="U5" s="2426"/>
      <c r="V5" s="2426"/>
      <c r="W5" s="2427"/>
    </row>
    <row r="6" spans="1:137" ht="16.5" thickBot="1">
      <c r="B6" s="2428"/>
      <c r="C6" s="2429"/>
      <c r="D6" s="2409"/>
      <c r="E6" s="2428"/>
      <c r="F6" s="2409"/>
      <c r="G6" s="2409"/>
      <c r="H6" s="2409"/>
      <c r="I6" s="2421"/>
      <c r="J6" s="2429"/>
      <c r="K6" s="2429"/>
      <c r="M6" s="2409"/>
      <c r="N6" s="2428"/>
      <c r="O6" s="2409"/>
      <c r="P6" s="2409"/>
      <c r="Q6" s="2409"/>
    </row>
    <row r="7" spans="1:137" ht="19.5" thickBot="1">
      <c r="B7" s="2430" t="s">
        <v>2416</v>
      </c>
      <c r="C7" s="2431"/>
      <c r="D7" s="2417"/>
      <c r="E7" s="2432" t="s">
        <v>2465</v>
      </c>
      <c r="F7" s="2433"/>
      <c r="H7" s="2434" t="s">
        <v>2475</v>
      </c>
      <c r="I7" s="2435"/>
      <c r="J7" s="2436"/>
      <c r="K7" s="2436"/>
      <c r="L7" s="2436"/>
      <c r="M7" s="2437"/>
    </row>
    <row r="8" spans="1:137" ht="15.75">
      <c r="B8" s="2438" t="s">
        <v>2533</v>
      </c>
      <c r="C8" s="2439">
        <v>811</v>
      </c>
      <c r="D8" s="2417"/>
      <c r="E8" s="2440" t="s">
        <v>2218</v>
      </c>
      <c r="F8" s="2441">
        <v>0.3</v>
      </c>
      <c r="H8" s="2442" t="s">
        <v>2535</v>
      </c>
      <c r="I8" s="2443"/>
      <c r="J8" s="2310"/>
      <c r="K8" s="2310"/>
      <c r="L8" s="2310"/>
      <c r="M8" s="2311"/>
    </row>
    <row r="9" spans="1:137" ht="15.75">
      <c r="B9" s="2444" t="s">
        <v>2417</v>
      </c>
      <c r="C9" s="2095"/>
      <c r="D9" s="2417" t="s">
        <v>2425</v>
      </c>
      <c r="E9" s="2445" t="s">
        <v>141</v>
      </c>
      <c r="F9" s="2117"/>
      <c r="H9" s="2442" t="s">
        <v>2468</v>
      </c>
      <c r="I9" s="2443"/>
      <c r="J9" s="2312"/>
      <c r="K9" s="2312"/>
      <c r="L9" s="2312"/>
      <c r="M9" s="2313"/>
    </row>
    <row r="10" spans="1:137" ht="15.75">
      <c r="B10" s="2444" t="s">
        <v>2473</v>
      </c>
      <c r="C10" s="2446">
        <f>SUM(HPFELI30)</f>
        <v>0</v>
      </c>
      <c r="E10" s="2445" t="s">
        <v>168</v>
      </c>
      <c r="F10" s="2117"/>
      <c r="H10" s="2442" t="s">
        <v>2469</v>
      </c>
      <c r="I10" s="2443"/>
      <c r="J10" s="2310"/>
      <c r="K10" s="2310"/>
      <c r="L10" s="2310"/>
      <c r="M10" s="2311"/>
    </row>
    <row r="11" spans="1:137" ht="16.5" thickBot="1">
      <c r="B11" s="2447" t="s">
        <v>2474</v>
      </c>
      <c r="C11" s="2448">
        <f>C10</f>
        <v>0</v>
      </c>
      <c r="E11" s="2445">
        <v>1</v>
      </c>
      <c r="F11" s="2117"/>
      <c r="H11" s="2442" t="s">
        <v>2472</v>
      </c>
      <c r="I11" s="2443"/>
      <c r="J11" s="2306"/>
      <c r="K11" s="2306"/>
      <c r="L11" s="2306"/>
      <c r="M11" s="2307"/>
    </row>
    <row r="12" spans="1:137" ht="15.75">
      <c r="B12" s="2419"/>
      <c r="C12" s="2449"/>
      <c r="E12" s="2445">
        <v>2</v>
      </c>
      <c r="F12" s="2117"/>
      <c r="H12" s="2442" t="s">
        <v>2470</v>
      </c>
      <c r="I12" s="2443"/>
      <c r="J12" s="2306"/>
      <c r="K12" s="2306"/>
      <c r="L12" s="2306"/>
      <c r="M12" s="2307"/>
    </row>
    <row r="13" spans="1:137" ht="16.5" thickBot="1">
      <c r="B13" s="2419"/>
      <c r="C13" s="2450"/>
      <c r="D13" s="2451"/>
      <c r="E13" s="2445">
        <v>3</v>
      </c>
      <c r="F13" s="2117"/>
      <c r="H13" s="2452" t="s">
        <v>2471</v>
      </c>
      <c r="I13" s="2453"/>
      <c r="J13" s="2308"/>
      <c r="K13" s="2308"/>
      <c r="L13" s="2308"/>
      <c r="M13" s="2309"/>
    </row>
    <row r="14" spans="1:137" ht="15.75">
      <c r="B14" s="2428"/>
      <c r="C14" s="2429"/>
      <c r="D14" s="2451"/>
      <c r="E14" s="2445">
        <v>4</v>
      </c>
      <c r="F14" s="2117"/>
    </row>
    <row r="15" spans="1:137" ht="15.75">
      <c r="B15" s="2428"/>
      <c r="C15" s="2429"/>
      <c r="D15" s="2409"/>
      <c r="E15" s="2454">
        <v>5</v>
      </c>
      <c r="F15" s="2118"/>
      <c r="G15" s="2421"/>
      <c r="H15" s="2429"/>
      <c r="J15" s="2409"/>
      <c r="K15" s="2409"/>
      <c r="L15" s="2428"/>
      <c r="M15" s="2409"/>
      <c r="N15" s="2409"/>
      <c r="O15" s="2409"/>
    </row>
    <row r="16" spans="1:137" ht="16.5" thickBot="1">
      <c r="B16" s="2428"/>
      <c r="C16" s="2429"/>
      <c r="D16" s="2409"/>
      <c r="E16" s="2455" t="s">
        <v>2534</v>
      </c>
      <c r="F16" s="2119"/>
      <c r="G16" s="2421"/>
      <c r="H16" s="2429"/>
      <c r="J16" s="2409"/>
      <c r="K16" s="2409"/>
      <c r="L16" s="2428"/>
      <c r="M16" s="2409"/>
      <c r="N16" s="2409"/>
      <c r="O16" s="2409"/>
    </row>
    <row r="17" spans="2:23" ht="16.5" thickBot="1">
      <c r="B17" s="2428"/>
      <c r="C17" s="2429"/>
      <c r="D17" s="2409"/>
      <c r="E17" s="2456"/>
      <c r="F17" s="2457"/>
      <c r="G17" s="2421"/>
      <c r="H17" s="2429"/>
      <c r="J17" s="2409"/>
      <c r="K17" s="2409"/>
      <c r="L17" s="2428"/>
      <c r="M17" s="2409"/>
      <c r="N17" s="2409"/>
      <c r="O17" s="2409"/>
    </row>
    <row r="18" spans="2:23" ht="21.75" thickBot="1">
      <c r="B18" s="2458" t="s">
        <v>2466</v>
      </c>
      <c r="C18" s="2423"/>
      <c r="D18" s="2424"/>
      <c r="E18" s="2425"/>
      <c r="F18" s="2426"/>
      <c r="G18" s="2426"/>
      <c r="H18" s="2426"/>
      <c r="I18" s="2426"/>
      <c r="J18" s="2426"/>
      <c r="K18" s="2426"/>
      <c r="L18" s="2426"/>
      <c r="M18" s="2426"/>
      <c r="N18" s="2426"/>
      <c r="O18" s="2426"/>
      <c r="P18" s="2426"/>
      <c r="Q18" s="2426"/>
      <c r="R18" s="2426"/>
      <c r="S18" s="2426"/>
      <c r="T18" s="2426"/>
      <c r="U18" s="2426"/>
      <c r="V18" s="2426"/>
      <c r="W18" s="2427"/>
    </row>
    <row r="19" spans="2:23" ht="16.5" thickBot="1">
      <c r="B19" s="2428"/>
      <c r="C19" s="2429"/>
      <c r="D19" s="2409"/>
      <c r="E19" s="2428"/>
      <c r="F19" s="2409"/>
      <c r="G19" s="2409"/>
      <c r="H19" s="2409"/>
      <c r="I19" s="2421"/>
      <c r="J19" s="2429"/>
      <c r="K19" s="2429"/>
      <c r="M19" s="2409"/>
      <c r="N19" s="2428"/>
      <c r="O19" s="2409"/>
      <c r="P19" s="2409"/>
      <c r="Q19" s="2409"/>
    </row>
    <row r="20" spans="2:23" ht="19.5" thickBot="1">
      <c r="B20" s="2430" t="s">
        <v>2416</v>
      </c>
      <c r="C20" s="2431"/>
      <c r="D20" s="2417"/>
      <c r="E20" s="2432" t="str">
        <f>IF(ISBLANK(C21),"Other PSH Unit Commitment",(C21)&amp;" Unit Commitment")</f>
        <v>Other PSH Unit Commitment</v>
      </c>
      <c r="F20" s="2433"/>
      <c r="H20" s="2434" t="str">
        <f>IF(ISBLANK(C21), "Other PSH Service Provider", C21&amp;" Service Provider")</f>
        <v>Other PSH Service Provider</v>
      </c>
      <c r="I20" s="2435"/>
      <c r="J20" s="2436"/>
      <c r="K20" s="2436"/>
      <c r="L20" s="2436"/>
      <c r="M20" s="2437"/>
    </row>
    <row r="21" spans="2:23" ht="15.75">
      <c r="B21" s="2438" t="s">
        <v>2533</v>
      </c>
      <c r="C21" s="2120"/>
      <c r="D21" s="2417"/>
      <c r="E21" s="2440" t="s">
        <v>2218</v>
      </c>
      <c r="F21" s="2441" t="s">
        <v>1030</v>
      </c>
      <c r="H21" s="2442" t="s">
        <v>2535</v>
      </c>
      <c r="I21" s="2443"/>
      <c r="J21" s="2310"/>
      <c r="K21" s="2310"/>
      <c r="L21" s="2310"/>
      <c r="M21" s="2311"/>
    </row>
    <row r="22" spans="2:23" ht="15.75">
      <c r="B22" s="2444" t="s">
        <v>2417</v>
      </c>
      <c r="C22" s="2096"/>
      <c r="D22" s="2417" t="s">
        <v>2425</v>
      </c>
      <c r="E22" s="2445" t="s">
        <v>141</v>
      </c>
      <c r="F22" s="2459" t="str">
        <f>PSH_SRO_SUM</f>
        <v/>
      </c>
      <c r="H22" s="2442" t="s">
        <v>2468</v>
      </c>
      <c r="I22" s="2443"/>
      <c r="J22" s="2312"/>
      <c r="K22" s="2312"/>
      <c r="L22" s="2312"/>
      <c r="M22" s="2313"/>
    </row>
    <row r="23" spans="2:23" ht="16.5" thickBot="1">
      <c r="B23" s="2447" t="str">
        <f>IF(ISBLANK(C20),"Total Other Units", "Total Other "&amp;C20&amp;" Units")</f>
        <v>Total Other Units</v>
      </c>
      <c r="C23" s="2448"/>
      <c r="E23" s="2445" t="s">
        <v>168</v>
      </c>
      <c r="F23" s="2459" t="str">
        <f>PSH_EFF_SUM</f>
        <v/>
      </c>
      <c r="H23" s="2442" t="s">
        <v>2469</v>
      </c>
      <c r="I23" s="2443"/>
      <c r="J23" s="2310"/>
      <c r="K23" s="2310"/>
      <c r="L23" s="2310"/>
      <c r="M23" s="2311"/>
    </row>
    <row r="24" spans="2:23" ht="15.75">
      <c r="B24" s="2460"/>
      <c r="C24" s="2461"/>
      <c r="E24" s="2445">
        <v>1</v>
      </c>
      <c r="F24" s="2459" t="str">
        <f>PSH_1BR_SUM</f>
        <v/>
      </c>
      <c r="H24" s="2442" t="s">
        <v>2472</v>
      </c>
      <c r="I24" s="2443"/>
      <c r="J24" s="2306"/>
      <c r="K24" s="2306"/>
      <c r="L24" s="2306"/>
      <c r="M24" s="2307"/>
    </row>
    <row r="25" spans="2:23" ht="15.75">
      <c r="B25" s="2419"/>
      <c r="C25" s="2449"/>
      <c r="E25" s="2445">
        <v>2</v>
      </c>
      <c r="F25" s="2459" t="str">
        <f>PSH_2BR_SUM</f>
        <v/>
      </c>
      <c r="H25" s="2442" t="s">
        <v>2470</v>
      </c>
      <c r="I25" s="2443"/>
      <c r="J25" s="2306"/>
      <c r="K25" s="2306"/>
      <c r="L25" s="2306"/>
      <c r="M25" s="2307"/>
    </row>
    <row r="26" spans="2:23" ht="16.5" thickBot="1">
      <c r="B26" s="2419"/>
      <c r="C26" s="2450"/>
      <c r="D26" s="2451"/>
      <c r="E26" s="2445">
        <v>3</v>
      </c>
      <c r="F26" s="2459" t="str">
        <f>PSH_3BR_SUM</f>
        <v/>
      </c>
      <c r="H26" s="2452" t="s">
        <v>2471</v>
      </c>
      <c r="I26" s="2453"/>
      <c r="J26" s="2308"/>
      <c r="K26" s="2308"/>
      <c r="L26" s="2308"/>
      <c r="M26" s="2309"/>
    </row>
    <row r="27" spans="2:23" ht="15.75">
      <c r="B27" s="2428"/>
      <c r="C27" s="2429"/>
      <c r="D27" s="2451"/>
      <c r="E27" s="2445">
        <v>4</v>
      </c>
      <c r="F27" s="2459" t="str">
        <f>PSH_4BR_SUM</f>
        <v/>
      </c>
    </row>
    <row r="28" spans="2:23" ht="15.75">
      <c r="B28" s="2428"/>
      <c r="C28" s="2429"/>
      <c r="D28" s="2409"/>
      <c r="E28" s="2454">
        <v>5</v>
      </c>
      <c r="F28" s="2462" t="str">
        <f>PSH_5BR_SUM</f>
        <v/>
      </c>
      <c r="G28" s="2421"/>
      <c r="H28" s="2429"/>
      <c r="J28" s="2409"/>
      <c r="K28" s="2409"/>
      <c r="L28" s="2428"/>
      <c r="M28" s="2409"/>
      <c r="N28" s="2409"/>
      <c r="O28" s="2409"/>
    </row>
    <row r="29" spans="2:23" ht="16.5" thickBot="1">
      <c r="B29" s="2428"/>
      <c r="C29" s="2429"/>
      <c r="D29" s="2409"/>
      <c r="E29" s="2463" t="s">
        <v>2534</v>
      </c>
      <c r="F29" s="2464" t="str">
        <f>PSH_Undefined_SUM</f>
        <v/>
      </c>
      <c r="G29" s="2421"/>
      <c r="H29" s="2429"/>
      <c r="J29" s="2409"/>
      <c r="K29" s="2409"/>
      <c r="L29" s="2428"/>
      <c r="M29" s="2409"/>
      <c r="N29" s="2409"/>
      <c r="O29" s="2409"/>
    </row>
    <row r="30" spans="2:23" ht="16.5" thickBot="1">
      <c r="B30" s="2428"/>
      <c r="C30" s="2429"/>
      <c r="D30" s="2409"/>
      <c r="E30" s="2465"/>
      <c r="F30" s="2466"/>
      <c r="G30" s="2421"/>
      <c r="H30" s="2429"/>
      <c r="J30" s="2409"/>
      <c r="K30" s="2409"/>
      <c r="L30" s="2428"/>
      <c r="M30" s="2409"/>
      <c r="N30" s="2409"/>
      <c r="O30" s="2409"/>
    </row>
    <row r="31" spans="2:23" ht="15" customHeight="1" thickBot="1">
      <c r="B31" s="2416"/>
      <c r="C31" s="2467" t="str">
        <f>IF(ISBLANK(C21), "Other PSH Unit Matrix", C21&amp;" Unit Matrix")</f>
        <v>Other PSH Unit Matrix</v>
      </c>
      <c r="D31" s="2468"/>
      <c r="E31" s="2468"/>
      <c r="F31" s="2468"/>
      <c r="G31" s="2468"/>
      <c r="H31" s="2468"/>
      <c r="I31" s="2468"/>
      <c r="J31" s="2468"/>
      <c r="K31" s="2468"/>
      <c r="L31" s="2469"/>
    </row>
    <row r="32" spans="2:23" ht="15" customHeight="1">
      <c r="B32" s="2416"/>
      <c r="C32" s="2470" t="s">
        <v>2442</v>
      </c>
      <c r="D32" s="2471" t="s">
        <v>141</v>
      </c>
      <c r="E32" s="2471" t="s">
        <v>595</v>
      </c>
      <c r="F32" s="2471" t="s">
        <v>2285</v>
      </c>
      <c r="G32" s="2471" t="s">
        <v>2286</v>
      </c>
      <c r="H32" s="2471" t="s">
        <v>2287</v>
      </c>
      <c r="I32" s="2471" t="s">
        <v>2288</v>
      </c>
      <c r="J32" s="2472" t="s">
        <v>2289</v>
      </c>
      <c r="K32" s="2473" t="s">
        <v>2534</v>
      </c>
      <c r="L32" s="2474" t="s">
        <v>1030</v>
      </c>
    </row>
    <row r="33" spans="2:12" ht="15" customHeight="1">
      <c r="B33" s="2416"/>
      <c r="C33" s="2475">
        <v>0.2</v>
      </c>
      <c r="D33" s="2097"/>
      <c r="E33" s="2097"/>
      <c r="F33" s="2097"/>
      <c r="G33" s="2097"/>
      <c r="H33" s="2097"/>
      <c r="I33" s="2097"/>
      <c r="J33" s="2098"/>
      <c r="K33" s="2099"/>
      <c r="L33" s="2476">
        <f>SUM(D33:J33)</f>
        <v>0</v>
      </c>
    </row>
    <row r="34" spans="2:12" ht="15" customHeight="1">
      <c r="B34" s="2416"/>
      <c r="C34" s="2475">
        <v>0.3</v>
      </c>
      <c r="D34" s="2097"/>
      <c r="E34" s="2097"/>
      <c r="F34" s="2097"/>
      <c r="G34" s="2097"/>
      <c r="H34" s="2097"/>
      <c r="I34" s="2097"/>
      <c r="J34" s="2098"/>
      <c r="K34" s="2099"/>
      <c r="L34" s="2476">
        <f t="shared" ref="L34:L42" si="0">SUM(D34:J34)</f>
        <v>0</v>
      </c>
    </row>
    <row r="35" spans="2:12" ht="15" customHeight="1">
      <c r="B35" s="2416"/>
      <c r="C35" s="2475">
        <v>0.4</v>
      </c>
      <c r="D35" s="2100"/>
      <c r="E35" s="2097"/>
      <c r="F35" s="2097"/>
      <c r="G35" s="2100"/>
      <c r="H35" s="2100"/>
      <c r="I35" s="2097"/>
      <c r="J35" s="2098"/>
      <c r="K35" s="2099"/>
      <c r="L35" s="2476">
        <f t="shared" si="0"/>
        <v>0</v>
      </c>
    </row>
    <row r="36" spans="2:12" ht="15" customHeight="1">
      <c r="B36" s="2416"/>
      <c r="C36" s="2475">
        <v>0.5</v>
      </c>
      <c r="D36" s="2097"/>
      <c r="E36" s="2097"/>
      <c r="F36" s="2097"/>
      <c r="G36" s="2097"/>
      <c r="H36" s="2097"/>
      <c r="I36" s="2097"/>
      <c r="J36" s="2098"/>
      <c r="K36" s="2099"/>
      <c r="L36" s="2476">
        <f t="shared" si="0"/>
        <v>0</v>
      </c>
    </row>
    <row r="37" spans="2:12" ht="15" customHeight="1">
      <c r="B37" s="2416"/>
      <c r="C37" s="2475">
        <v>0.6</v>
      </c>
      <c r="D37" s="2097"/>
      <c r="E37" s="2097"/>
      <c r="F37" s="2097"/>
      <c r="G37" s="2097"/>
      <c r="H37" s="2097"/>
      <c r="I37" s="2097"/>
      <c r="J37" s="2098"/>
      <c r="K37" s="2099"/>
      <c r="L37" s="2476">
        <f t="shared" si="0"/>
        <v>0</v>
      </c>
    </row>
    <row r="38" spans="2:12" ht="15" customHeight="1">
      <c r="B38" s="2416"/>
      <c r="C38" s="2475">
        <v>0.7</v>
      </c>
      <c r="D38" s="2097"/>
      <c r="E38" s="2097"/>
      <c r="F38" s="2097"/>
      <c r="G38" s="2097"/>
      <c r="H38" s="2097"/>
      <c r="I38" s="2097"/>
      <c r="J38" s="2098"/>
      <c r="K38" s="2099"/>
      <c r="L38" s="2476">
        <f t="shared" si="0"/>
        <v>0</v>
      </c>
    </row>
    <row r="39" spans="2:12" ht="15" customHeight="1">
      <c r="B39" s="2416"/>
      <c r="C39" s="2475">
        <v>0.8</v>
      </c>
      <c r="D39" s="2097"/>
      <c r="E39" s="2100"/>
      <c r="F39" s="2100"/>
      <c r="G39" s="2097"/>
      <c r="H39" s="2097"/>
      <c r="I39" s="2097"/>
      <c r="J39" s="2098"/>
      <c r="K39" s="2099"/>
      <c r="L39" s="2476">
        <f t="shared" si="0"/>
        <v>0</v>
      </c>
    </row>
    <row r="40" spans="2:12" ht="15" customHeight="1">
      <c r="B40" s="2416"/>
      <c r="C40" s="2477">
        <v>1</v>
      </c>
      <c r="D40" s="2101"/>
      <c r="E40" s="2102"/>
      <c r="F40" s="2102"/>
      <c r="G40" s="2101"/>
      <c r="H40" s="2101"/>
      <c r="I40" s="2101"/>
      <c r="J40" s="2103"/>
      <c r="K40" s="2104"/>
      <c r="L40" s="2476">
        <f t="shared" si="0"/>
        <v>0</v>
      </c>
    </row>
    <row r="41" spans="2:12" ht="15" customHeight="1">
      <c r="B41" s="2416"/>
      <c r="C41" s="2477">
        <v>1.2</v>
      </c>
      <c r="D41" s="2101"/>
      <c r="E41" s="2102"/>
      <c r="F41" s="2102"/>
      <c r="G41" s="2101"/>
      <c r="H41" s="2101"/>
      <c r="I41" s="2101"/>
      <c r="J41" s="2103"/>
      <c r="K41" s="2104"/>
      <c r="L41" s="2476">
        <f t="shared" si="0"/>
        <v>0</v>
      </c>
    </row>
    <row r="42" spans="2:12" ht="15" customHeight="1" thickBot="1">
      <c r="C42" s="2478" t="s">
        <v>2443</v>
      </c>
      <c r="D42" s="2105"/>
      <c r="E42" s="2105"/>
      <c r="F42" s="2105"/>
      <c r="G42" s="2105"/>
      <c r="H42" s="2105"/>
      <c r="I42" s="2105"/>
      <c r="J42" s="2106"/>
      <c r="K42" s="2104"/>
      <c r="L42" s="2476">
        <f t="shared" si="0"/>
        <v>0</v>
      </c>
    </row>
    <row r="43" spans="2:12" ht="15" customHeight="1" thickBot="1">
      <c r="C43" s="2479" t="s">
        <v>1070</v>
      </c>
      <c r="D43" s="2480" t="str">
        <f>IF(SUM(D33:D42)=0,"",SUM(D33:D42))</f>
        <v/>
      </c>
      <c r="E43" s="2480" t="str">
        <f t="shared" ref="E43:K43" si="1">IF(SUM(E33:E42)=0,"",SUM(E33:E42))</f>
        <v/>
      </c>
      <c r="F43" s="2480" t="str">
        <f t="shared" si="1"/>
        <v/>
      </c>
      <c r="G43" s="2480" t="str">
        <f t="shared" si="1"/>
        <v/>
      </c>
      <c r="H43" s="2480" t="str">
        <f t="shared" si="1"/>
        <v/>
      </c>
      <c r="I43" s="2480" t="str">
        <f t="shared" si="1"/>
        <v/>
      </c>
      <c r="J43" s="2480" t="str">
        <f t="shared" si="1"/>
        <v/>
      </c>
      <c r="K43" s="2480" t="str">
        <f t="shared" si="1"/>
        <v/>
      </c>
      <c r="L43" s="2481">
        <f>SUM(L33:L42)</f>
        <v>0</v>
      </c>
    </row>
    <row r="45" spans="2:12" ht="15" hidden="1" customHeight="1"/>
    <row r="46" spans="2:12" ht="15" hidden="1" customHeight="1"/>
    <row r="47" spans="2:12" ht="15" hidden="1" customHeight="1"/>
    <row r="48" spans="2:12"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row r="10786" ht="15" hidden="1" customHeight="1"/>
    <row r="10787" ht="15" hidden="1" customHeight="1"/>
    <row r="10788" ht="15" hidden="1" customHeight="1"/>
    <row r="10789" ht="15" hidden="1" customHeight="1"/>
    <row r="10790" ht="15" hidden="1" customHeight="1"/>
    <row r="10791" ht="15" hidden="1" customHeight="1"/>
    <row r="10792" ht="15" hidden="1" customHeight="1"/>
    <row r="10793" ht="15" hidden="1" customHeight="1"/>
    <row r="10794" ht="15" hidden="1" customHeight="1"/>
    <row r="10795" ht="15" hidden="1" customHeight="1"/>
    <row r="10796" ht="15" hidden="1" customHeight="1"/>
    <row r="10797" ht="15" hidden="1" customHeight="1"/>
    <row r="10798" ht="15" hidden="1" customHeight="1"/>
    <row r="10799" ht="15" hidden="1" customHeight="1"/>
    <row r="10800" ht="15" hidden="1" customHeight="1"/>
    <row r="10801" ht="15" hidden="1" customHeight="1"/>
    <row r="10802" ht="15" hidden="1" customHeight="1"/>
    <row r="10803" ht="15" hidden="1" customHeight="1"/>
    <row r="10804" ht="15" hidden="1" customHeight="1"/>
    <row r="10805" ht="15" hidden="1" customHeight="1"/>
    <row r="10806" ht="15" hidden="1" customHeight="1"/>
    <row r="10807" ht="15" hidden="1" customHeight="1"/>
    <row r="10808" ht="15" hidden="1" customHeight="1"/>
    <row r="10809" ht="15" hidden="1" customHeight="1"/>
    <row r="10810" ht="15" hidden="1" customHeight="1"/>
    <row r="10811" ht="15" hidden="1" customHeight="1"/>
    <row r="10812" ht="15" hidden="1" customHeight="1"/>
    <row r="10813" ht="15" hidden="1" customHeight="1"/>
    <row r="10814" ht="15" hidden="1" customHeight="1"/>
    <row r="10815" ht="15" hidden="1" customHeight="1"/>
    <row r="10816" ht="15" hidden="1" customHeight="1"/>
    <row r="10817" ht="15" hidden="1" customHeight="1"/>
    <row r="10818" ht="15" hidden="1" customHeight="1"/>
    <row r="10819" ht="15" hidden="1" customHeight="1"/>
    <row r="10820" ht="15" hidden="1" customHeight="1"/>
    <row r="10821" ht="15" hidden="1" customHeight="1"/>
    <row r="10822" ht="15" hidden="1" customHeight="1"/>
    <row r="10823" ht="15" hidden="1" customHeight="1"/>
    <row r="10824" ht="15" hidden="1" customHeight="1"/>
    <row r="10825" ht="15" hidden="1" customHeight="1"/>
    <row r="10826" ht="15" hidden="1" customHeight="1"/>
    <row r="10827" ht="15" hidden="1" customHeight="1"/>
    <row r="10828" ht="15" hidden="1" customHeight="1"/>
    <row r="10829" ht="15" hidden="1" customHeight="1"/>
    <row r="10830" ht="15" hidden="1" customHeight="1"/>
    <row r="10831" ht="15" hidden="1" customHeight="1"/>
    <row r="10832" ht="15" hidden="1" customHeight="1"/>
    <row r="10833" ht="15" hidden="1" customHeight="1"/>
    <row r="10834" ht="15" hidden="1" customHeight="1"/>
    <row r="10835" ht="15" hidden="1" customHeight="1"/>
    <row r="10836" ht="15" hidden="1" customHeight="1"/>
    <row r="10837" ht="15" hidden="1" customHeight="1"/>
    <row r="10838" ht="15" hidden="1" customHeight="1"/>
    <row r="10839" ht="15" hidden="1" customHeight="1"/>
    <row r="10840" ht="15" hidden="1" customHeight="1"/>
    <row r="10841" ht="15" hidden="1" customHeight="1"/>
    <row r="10842" ht="15" hidden="1" customHeight="1"/>
    <row r="10843" ht="15" hidden="1" customHeight="1"/>
    <row r="10844" ht="15" hidden="1" customHeight="1"/>
    <row r="10845" ht="15" hidden="1" customHeight="1"/>
    <row r="10846" ht="15" hidden="1" customHeight="1"/>
    <row r="10847" ht="15" hidden="1" customHeight="1"/>
    <row r="10848" ht="15" hidden="1" customHeight="1"/>
    <row r="10849" ht="15" hidden="1" customHeight="1"/>
    <row r="10850" ht="15" hidden="1" customHeight="1"/>
    <row r="10851" ht="15" hidden="1" customHeight="1"/>
    <row r="10852" ht="15" hidden="1" customHeight="1"/>
    <row r="10853" ht="15" hidden="1" customHeight="1"/>
    <row r="10854" ht="15" hidden="1" customHeight="1"/>
    <row r="10855" ht="15" hidden="1" customHeight="1"/>
    <row r="10856" ht="15" hidden="1" customHeight="1"/>
    <row r="10857" ht="15" hidden="1" customHeight="1"/>
    <row r="10858" ht="15" hidden="1" customHeight="1"/>
    <row r="10859" ht="15" hidden="1" customHeight="1"/>
    <row r="10860" ht="15" hidden="1" customHeight="1"/>
    <row r="10861" ht="15" hidden="1" customHeight="1"/>
    <row r="10862" ht="15" hidden="1" customHeight="1"/>
    <row r="10863" ht="15" hidden="1" customHeight="1"/>
    <row r="10864" ht="15" hidden="1" customHeight="1"/>
    <row r="10865" ht="15" hidden="1" customHeight="1"/>
    <row r="10866" ht="15" hidden="1" customHeight="1"/>
    <row r="10867" ht="15" hidden="1" customHeight="1"/>
    <row r="10868" ht="15" hidden="1" customHeight="1"/>
    <row r="10869" ht="15" hidden="1" customHeight="1"/>
    <row r="10870" ht="15" hidden="1" customHeight="1"/>
    <row r="10871" ht="15" hidden="1" customHeight="1"/>
    <row r="10872" ht="15" hidden="1" customHeight="1"/>
    <row r="10873" ht="15" hidden="1" customHeight="1"/>
    <row r="10874" ht="15" hidden="1" customHeight="1"/>
    <row r="10875" ht="15" hidden="1" customHeight="1"/>
    <row r="10876" ht="15" hidden="1" customHeight="1"/>
    <row r="10877" ht="15" hidden="1" customHeight="1"/>
    <row r="10878" ht="15" hidden="1" customHeight="1"/>
    <row r="10879" ht="15" hidden="1" customHeight="1"/>
    <row r="10880" ht="15" hidden="1" customHeight="1"/>
    <row r="10881" ht="15" hidden="1" customHeight="1"/>
    <row r="10882" ht="15" hidden="1" customHeight="1"/>
    <row r="10883" ht="15" hidden="1" customHeight="1"/>
    <row r="10884" ht="15" hidden="1" customHeight="1"/>
    <row r="10885" ht="15" hidden="1" customHeight="1"/>
    <row r="10886" ht="15" hidden="1" customHeight="1"/>
    <row r="10887" ht="15" hidden="1" customHeight="1"/>
    <row r="10888" ht="15" hidden="1" customHeight="1"/>
    <row r="10889" ht="15" hidden="1" customHeight="1"/>
    <row r="10890" ht="15" hidden="1" customHeight="1"/>
    <row r="10891" ht="15" hidden="1" customHeight="1"/>
    <row r="10892" ht="15" hidden="1" customHeight="1"/>
    <row r="10893" ht="15" hidden="1" customHeight="1"/>
    <row r="10894" ht="15" hidden="1" customHeight="1"/>
    <row r="10895" ht="15" hidden="1" customHeight="1"/>
    <row r="10896" ht="15" hidden="1" customHeight="1"/>
    <row r="10897" ht="15" hidden="1" customHeight="1"/>
    <row r="10898" ht="15" hidden="1" customHeight="1"/>
    <row r="10899" ht="15" hidden="1" customHeight="1"/>
    <row r="10900" ht="15" hidden="1" customHeight="1"/>
    <row r="10901" ht="15" hidden="1" customHeight="1"/>
    <row r="10902" ht="15" hidden="1" customHeight="1"/>
    <row r="10903" ht="15" hidden="1" customHeight="1"/>
    <row r="10904" ht="15" hidden="1" customHeight="1"/>
    <row r="10905" ht="15" hidden="1" customHeight="1"/>
    <row r="10906" ht="15" hidden="1" customHeight="1"/>
    <row r="10907" ht="15" hidden="1" customHeight="1"/>
    <row r="10908" ht="15" hidden="1" customHeight="1"/>
    <row r="10909" ht="15" hidden="1" customHeight="1"/>
    <row r="10910" ht="15" hidden="1" customHeight="1"/>
    <row r="10911" ht="15" hidden="1" customHeight="1"/>
    <row r="10912" ht="15" hidden="1" customHeight="1"/>
    <row r="10913" ht="15" hidden="1" customHeight="1"/>
    <row r="10914" ht="15" hidden="1" customHeight="1"/>
    <row r="10915" ht="15" hidden="1" customHeight="1"/>
    <row r="10916" ht="15" hidden="1" customHeight="1"/>
    <row r="10917" ht="15" hidden="1" customHeight="1"/>
    <row r="10918" ht="15" hidden="1" customHeight="1"/>
    <row r="10919" ht="15" hidden="1" customHeight="1"/>
    <row r="10920" ht="15" hidden="1" customHeight="1"/>
    <row r="10921" ht="15" hidden="1" customHeight="1"/>
    <row r="10922" ht="15" hidden="1" customHeight="1"/>
    <row r="10923" ht="15" hidden="1" customHeight="1"/>
    <row r="10924" ht="15" hidden="1" customHeight="1"/>
    <row r="10925" ht="15" hidden="1" customHeight="1"/>
    <row r="10926" ht="15" hidden="1" customHeight="1"/>
    <row r="10927" ht="15" hidden="1" customHeight="1"/>
    <row r="10928" ht="15" hidden="1" customHeight="1"/>
    <row r="10929" ht="15" hidden="1" customHeight="1"/>
    <row r="10930" ht="15" hidden="1" customHeight="1"/>
    <row r="10931" ht="15" hidden="1" customHeight="1"/>
    <row r="10932" ht="15" hidden="1" customHeight="1"/>
    <row r="10933" ht="15" hidden="1" customHeight="1"/>
    <row r="10934" ht="15" hidden="1" customHeight="1"/>
    <row r="10935" ht="15" hidden="1" customHeight="1"/>
    <row r="10936" ht="15" hidden="1" customHeight="1"/>
    <row r="10937" ht="15" hidden="1" customHeight="1"/>
    <row r="10938" ht="15" hidden="1" customHeight="1"/>
    <row r="10939" ht="15" hidden="1" customHeight="1"/>
    <row r="10940" ht="15" hidden="1" customHeight="1"/>
    <row r="10941" ht="15" hidden="1" customHeight="1"/>
    <row r="10942" ht="15" hidden="1" customHeight="1"/>
    <row r="10943" ht="15" hidden="1" customHeight="1"/>
    <row r="10944" ht="15" hidden="1" customHeight="1"/>
    <row r="10945" ht="15" hidden="1" customHeight="1"/>
    <row r="10946" ht="15" hidden="1" customHeight="1"/>
    <row r="10947" ht="15" hidden="1" customHeight="1"/>
    <row r="10948" ht="15" hidden="1" customHeight="1"/>
    <row r="10949" ht="15" hidden="1" customHeight="1"/>
    <row r="10950" ht="15" hidden="1" customHeight="1"/>
    <row r="10951" ht="15" hidden="1" customHeight="1"/>
    <row r="10952" ht="15" hidden="1" customHeight="1"/>
    <row r="10953" ht="15" hidden="1" customHeight="1"/>
    <row r="10954" ht="15" hidden="1" customHeight="1"/>
    <row r="10955" ht="15" hidden="1" customHeight="1"/>
    <row r="10956" ht="15" hidden="1" customHeight="1"/>
    <row r="10957" ht="15" hidden="1" customHeight="1"/>
    <row r="10958" ht="15" hidden="1" customHeight="1"/>
    <row r="10959" ht="15" hidden="1" customHeight="1"/>
    <row r="10960" ht="15" hidden="1" customHeight="1"/>
    <row r="10961" ht="15" hidden="1" customHeight="1"/>
    <row r="10962" ht="15" hidden="1" customHeight="1"/>
    <row r="10963" ht="15" hidden="1" customHeight="1"/>
    <row r="10964" ht="15" hidden="1" customHeight="1"/>
    <row r="10965" ht="15" hidden="1" customHeight="1"/>
    <row r="10966" ht="15" hidden="1" customHeight="1"/>
    <row r="10967" ht="15" hidden="1" customHeight="1"/>
    <row r="10968" ht="15" hidden="1" customHeight="1"/>
    <row r="10969" ht="15" hidden="1" customHeight="1"/>
    <row r="10970" ht="15" hidden="1" customHeight="1"/>
    <row r="10971" ht="15" hidden="1" customHeight="1"/>
    <row r="10972" ht="15" hidden="1" customHeight="1"/>
    <row r="10973" ht="15" hidden="1" customHeight="1"/>
    <row r="10974" ht="15" hidden="1" customHeight="1"/>
    <row r="10975" ht="15" hidden="1" customHeight="1"/>
    <row r="10976" ht="15" hidden="1" customHeight="1"/>
    <row r="10977" ht="15" hidden="1" customHeight="1"/>
    <row r="10978" ht="15" hidden="1" customHeight="1"/>
    <row r="10979" ht="15" hidden="1" customHeight="1"/>
    <row r="10980" ht="15" hidden="1" customHeight="1"/>
    <row r="10981" ht="15" hidden="1" customHeight="1"/>
    <row r="10982" ht="15" hidden="1" customHeight="1"/>
    <row r="10983" ht="15" hidden="1" customHeight="1"/>
    <row r="10984" ht="15" hidden="1" customHeight="1"/>
    <row r="10985" ht="15" hidden="1" customHeight="1"/>
    <row r="10986" ht="15" hidden="1" customHeight="1"/>
    <row r="10987" ht="15" hidden="1" customHeight="1"/>
    <row r="10988" ht="15" hidden="1" customHeight="1"/>
    <row r="10989" ht="15" hidden="1" customHeight="1"/>
    <row r="10990" ht="15" hidden="1" customHeight="1"/>
    <row r="10991" ht="15" hidden="1" customHeight="1"/>
    <row r="10992" ht="15" hidden="1" customHeight="1"/>
    <row r="10993" ht="15" hidden="1" customHeight="1"/>
    <row r="10994" ht="15" hidden="1" customHeight="1"/>
    <row r="10995" ht="15" hidden="1" customHeight="1"/>
    <row r="10996" ht="15" hidden="1" customHeight="1"/>
    <row r="10997" ht="15" hidden="1" customHeight="1"/>
    <row r="10998" ht="15" hidden="1" customHeight="1"/>
    <row r="10999" ht="15" hidden="1" customHeight="1"/>
    <row r="11000" ht="15" hidden="1" customHeight="1"/>
    <row r="11001" ht="15" hidden="1" customHeight="1"/>
    <row r="11002" ht="15" hidden="1" customHeight="1"/>
    <row r="11003" ht="15" hidden="1" customHeight="1"/>
    <row r="11004" ht="15" hidden="1" customHeight="1"/>
    <row r="11005" ht="15" hidden="1" customHeight="1"/>
    <row r="11006" ht="15" hidden="1" customHeight="1"/>
    <row r="11007" ht="15" hidden="1" customHeight="1"/>
    <row r="11008" ht="15" hidden="1" customHeight="1"/>
    <row r="11009" ht="15" hidden="1" customHeight="1"/>
    <row r="11010" ht="15" hidden="1" customHeight="1"/>
    <row r="11011" ht="15" hidden="1" customHeight="1"/>
    <row r="11012" ht="15" hidden="1" customHeight="1"/>
    <row r="11013" ht="15" hidden="1" customHeight="1"/>
    <row r="11014" ht="15" hidden="1" customHeight="1"/>
    <row r="11015" ht="15" hidden="1" customHeight="1"/>
    <row r="11016" ht="15" hidden="1" customHeight="1"/>
    <row r="11017" ht="15" hidden="1" customHeight="1"/>
    <row r="11018" ht="15" hidden="1" customHeight="1"/>
    <row r="11019" ht="15" hidden="1" customHeight="1"/>
    <row r="11020" ht="15" hidden="1" customHeight="1"/>
    <row r="11021" ht="15" hidden="1" customHeight="1"/>
    <row r="11022" ht="15" hidden="1" customHeight="1"/>
    <row r="11023" ht="15" hidden="1" customHeight="1"/>
    <row r="11024" ht="15" hidden="1" customHeight="1"/>
    <row r="11025" ht="15" hidden="1" customHeight="1"/>
    <row r="11026" ht="15" hidden="1" customHeight="1"/>
    <row r="11027" ht="15" hidden="1" customHeight="1"/>
    <row r="11028" ht="15" hidden="1" customHeight="1"/>
    <row r="11029" ht="15" hidden="1" customHeight="1"/>
    <row r="11030" ht="15" hidden="1" customHeight="1"/>
    <row r="11031" ht="15" hidden="1" customHeight="1"/>
    <row r="11032" ht="15" hidden="1" customHeight="1"/>
    <row r="11033" ht="15" hidden="1" customHeight="1"/>
    <row r="11034" ht="15" hidden="1" customHeight="1"/>
    <row r="11035" ht="15" hidden="1" customHeight="1"/>
    <row r="11036" ht="15" hidden="1" customHeight="1"/>
    <row r="11037" ht="15" hidden="1" customHeight="1"/>
    <row r="11038" ht="15" hidden="1" customHeight="1"/>
    <row r="11039" ht="15" hidden="1" customHeight="1"/>
    <row r="11040" ht="15" hidden="1" customHeight="1"/>
    <row r="11041" ht="15" hidden="1" customHeight="1"/>
    <row r="11042" ht="15" hidden="1" customHeight="1"/>
    <row r="11043" ht="15" hidden="1" customHeight="1"/>
    <row r="11044" ht="15" hidden="1" customHeight="1"/>
    <row r="11045" ht="15" hidden="1" customHeight="1"/>
    <row r="11046" ht="15" hidden="1" customHeight="1"/>
    <row r="11047" ht="15" hidden="1" customHeight="1"/>
    <row r="11048" ht="15" hidden="1" customHeight="1"/>
    <row r="11049" ht="15" hidden="1" customHeight="1"/>
    <row r="11050" ht="15" hidden="1" customHeight="1"/>
    <row r="11051" ht="15" hidden="1" customHeight="1"/>
    <row r="11052" ht="15" hidden="1" customHeight="1"/>
    <row r="11053" ht="15" hidden="1" customHeight="1"/>
    <row r="11054" ht="15" hidden="1" customHeight="1"/>
    <row r="11055" ht="15" hidden="1" customHeight="1"/>
    <row r="11056" ht="15" hidden="1" customHeight="1"/>
    <row r="11057" ht="15" hidden="1" customHeight="1"/>
    <row r="11058" ht="15" hidden="1" customHeight="1"/>
    <row r="11059" ht="15" hidden="1" customHeight="1"/>
    <row r="11060" ht="15" hidden="1" customHeight="1"/>
    <row r="11061" ht="15" hidden="1" customHeight="1"/>
    <row r="11062" ht="15" hidden="1" customHeight="1"/>
    <row r="11063" ht="15" hidden="1" customHeight="1"/>
    <row r="11064" ht="15" hidden="1" customHeight="1"/>
    <row r="11065" ht="15" hidden="1" customHeight="1"/>
    <row r="11066" ht="15" hidden="1" customHeight="1"/>
    <row r="11067" ht="15" hidden="1" customHeight="1"/>
    <row r="11068" ht="15" hidden="1" customHeight="1"/>
    <row r="11069" ht="15" hidden="1" customHeight="1"/>
    <row r="11070" ht="15" hidden="1" customHeight="1"/>
    <row r="11071" ht="15" hidden="1" customHeight="1"/>
    <row r="11072" ht="15" hidden="1" customHeight="1"/>
    <row r="11073" ht="15" hidden="1" customHeight="1"/>
    <row r="11074" ht="15" hidden="1" customHeight="1"/>
    <row r="11075" ht="15" hidden="1" customHeight="1"/>
    <row r="11076" ht="15" hidden="1" customHeight="1"/>
    <row r="11077" ht="15" hidden="1" customHeight="1"/>
    <row r="11078" ht="15" hidden="1" customHeight="1"/>
    <row r="11079" ht="15" hidden="1" customHeight="1"/>
    <row r="11080" ht="15" hidden="1" customHeight="1"/>
    <row r="11081" ht="15" hidden="1" customHeight="1"/>
    <row r="11082" ht="15" hidden="1" customHeight="1"/>
    <row r="11083" ht="15" hidden="1" customHeight="1"/>
    <row r="11084" ht="15" hidden="1" customHeight="1"/>
    <row r="11085" ht="15" hidden="1" customHeight="1"/>
    <row r="11086" ht="15" hidden="1" customHeight="1"/>
    <row r="11087" ht="15" hidden="1" customHeight="1"/>
    <row r="11088" ht="15" hidden="1" customHeight="1"/>
    <row r="11089" ht="15" hidden="1" customHeight="1"/>
    <row r="11090" ht="15" hidden="1" customHeight="1"/>
    <row r="11091" ht="15" hidden="1" customHeight="1"/>
    <row r="11092" ht="15" hidden="1" customHeight="1"/>
    <row r="11093" ht="15" hidden="1" customHeight="1"/>
    <row r="11094" ht="15" hidden="1" customHeight="1"/>
    <row r="11095" ht="15" hidden="1" customHeight="1"/>
    <row r="11096" ht="15" hidden="1" customHeight="1"/>
    <row r="11097" ht="15" hidden="1" customHeight="1"/>
    <row r="11098" ht="15" hidden="1" customHeight="1"/>
    <row r="11099" ht="15" hidden="1" customHeight="1"/>
    <row r="11100" ht="15" hidden="1" customHeight="1"/>
    <row r="11101" ht="15" hidden="1" customHeight="1"/>
    <row r="11102" ht="15" hidden="1" customHeight="1"/>
    <row r="11103" ht="15" hidden="1" customHeight="1"/>
    <row r="11104" ht="15" hidden="1" customHeight="1"/>
    <row r="11105" ht="15" hidden="1" customHeight="1"/>
    <row r="11106" ht="15" hidden="1" customHeight="1"/>
    <row r="11107" ht="15" hidden="1" customHeight="1"/>
    <row r="11108" ht="15" hidden="1" customHeight="1"/>
    <row r="11109" ht="15" hidden="1" customHeight="1"/>
    <row r="11110" ht="15" hidden="1" customHeight="1"/>
    <row r="11111" ht="15" hidden="1" customHeight="1"/>
    <row r="11112" ht="15" hidden="1" customHeight="1"/>
    <row r="11113" ht="15" hidden="1" customHeight="1"/>
    <row r="11114" ht="15" hidden="1" customHeight="1"/>
    <row r="11115" ht="15" hidden="1" customHeight="1"/>
    <row r="11116" ht="15" hidden="1" customHeight="1"/>
    <row r="11117" ht="15" hidden="1" customHeight="1"/>
    <row r="11118" ht="15" hidden="1" customHeight="1"/>
    <row r="11119" ht="15" hidden="1" customHeight="1"/>
    <row r="11120" ht="15" hidden="1" customHeight="1"/>
    <row r="11121" ht="15" hidden="1" customHeight="1"/>
    <row r="11122" ht="15" hidden="1" customHeight="1"/>
    <row r="11123" ht="15" hidden="1" customHeight="1"/>
    <row r="11124" ht="15" hidden="1" customHeight="1"/>
    <row r="11125" ht="15" hidden="1" customHeight="1"/>
    <row r="11126" ht="15" hidden="1" customHeight="1"/>
    <row r="11127" ht="15" hidden="1" customHeight="1"/>
    <row r="11128" ht="15" hidden="1" customHeight="1"/>
    <row r="11129" ht="15" hidden="1" customHeight="1"/>
    <row r="11130" ht="15" hidden="1" customHeight="1"/>
    <row r="11131" ht="15" hidden="1" customHeight="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row r="11603" ht="15" hidden="1" customHeight="1"/>
    <row r="11604" ht="15" hidden="1" customHeight="1"/>
    <row r="11605" ht="15" hidden="1" customHeight="1"/>
    <row r="11606" ht="15" hidden="1" customHeight="1"/>
    <row r="11607" ht="15" hidden="1" customHeight="1"/>
    <row r="11608" ht="15" hidden="1" customHeight="1"/>
    <row r="11609" ht="15" hidden="1" customHeight="1"/>
    <row r="11610" ht="15" hidden="1" customHeight="1"/>
    <row r="11611" ht="15" hidden="1" customHeight="1"/>
    <row r="11612" ht="15" hidden="1" customHeight="1"/>
    <row r="11613" ht="15" hidden="1" customHeight="1"/>
    <row r="11614" ht="15" hidden="1" customHeight="1"/>
    <row r="11615" ht="15" hidden="1" customHeight="1"/>
    <row r="11616" ht="15" hidden="1" customHeight="1"/>
    <row r="11617" ht="15" hidden="1" customHeight="1"/>
    <row r="11618" ht="15" hidden="1" customHeight="1"/>
    <row r="11619" ht="15" hidden="1" customHeight="1"/>
    <row r="11620" ht="15" hidden="1" customHeight="1"/>
    <row r="11621" ht="15" hidden="1" customHeight="1"/>
    <row r="11622" ht="15" hidden="1" customHeight="1"/>
    <row r="11623" ht="15" hidden="1" customHeight="1"/>
    <row r="11624" ht="15" hidden="1" customHeight="1"/>
    <row r="11625" ht="15" hidden="1" customHeight="1"/>
    <row r="11626" ht="15" hidden="1" customHeight="1"/>
    <row r="11627" ht="15" hidden="1" customHeight="1"/>
    <row r="11628" ht="15" hidden="1" customHeight="1"/>
    <row r="11629" ht="15" hidden="1" customHeight="1"/>
    <row r="11630" ht="15" hidden="1" customHeight="1"/>
    <row r="11631" ht="15" hidden="1" customHeight="1"/>
    <row r="11632" ht="15" hidden="1" customHeight="1"/>
    <row r="11633" ht="15" hidden="1" customHeight="1"/>
    <row r="11634" ht="15" hidden="1" customHeight="1"/>
    <row r="11635" ht="15" hidden="1" customHeight="1"/>
    <row r="11636" ht="15" hidden="1" customHeight="1"/>
    <row r="11637" ht="15" hidden="1" customHeight="1"/>
    <row r="11638" ht="15" hidden="1" customHeight="1"/>
    <row r="11639" ht="15" hidden="1" customHeight="1"/>
    <row r="11640" ht="15" hidden="1" customHeight="1"/>
    <row r="11641" ht="15" hidden="1" customHeight="1"/>
    <row r="11642" ht="15" hidden="1" customHeight="1"/>
    <row r="11643" ht="15" hidden="1" customHeight="1"/>
    <row r="11644" ht="15" hidden="1" customHeight="1"/>
    <row r="11645" ht="15" hidden="1" customHeight="1"/>
    <row r="11646" ht="15" hidden="1" customHeight="1"/>
    <row r="11647" ht="15" hidden="1" customHeight="1"/>
    <row r="11648" ht="15" hidden="1" customHeight="1"/>
    <row r="11649" ht="15" hidden="1" customHeight="1"/>
    <row r="11650" ht="15" hidden="1" customHeight="1"/>
    <row r="11651" ht="15" hidden="1" customHeight="1"/>
    <row r="11652" ht="15" hidden="1" customHeight="1"/>
    <row r="11653" ht="15" hidden="1" customHeight="1"/>
    <row r="11654" ht="15" hidden="1" customHeight="1"/>
    <row r="11655" ht="15" hidden="1" customHeight="1"/>
    <row r="11656" ht="15" hidden="1" customHeight="1"/>
    <row r="11657" ht="15" hidden="1" customHeight="1"/>
    <row r="11658" ht="15" hidden="1" customHeight="1"/>
    <row r="11659" ht="15" hidden="1" customHeight="1"/>
    <row r="11660" ht="15" hidden="1" customHeight="1"/>
    <row r="11661" ht="15" hidden="1" customHeight="1"/>
    <row r="11662" ht="15" hidden="1" customHeight="1"/>
    <row r="11663" ht="15" hidden="1" customHeight="1"/>
    <row r="11664" ht="15" hidden="1" customHeight="1"/>
    <row r="11665" ht="15" hidden="1" customHeight="1"/>
    <row r="11666" ht="15" hidden="1" customHeight="1"/>
    <row r="11667" ht="15" hidden="1" customHeight="1"/>
    <row r="11668" ht="15" hidden="1" customHeight="1"/>
    <row r="11669" ht="15" hidden="1" customHeight="1"/>
    <row r="11670" ht="15" hidden="1" customHeight="1"/>
    <row r="11671" ht="15" hidden="1" customHeight="1"/>
    <row r="11672" ht="15" hidden="1" customHeight="1"/>
    <row r="11673" ht="15" hidden="1" customHeight="1"/>
    <row r="11674" ht="15" hidden="1" customHeight="1"/>
    <row r="11675" ht="15" hidden="1" customHeight="1"/>
    <row r="11676" ht="15" hidden="1" customHeight="1"/>
    <row r="11677" ht="15" hidden="1" customHeight="1"/>
    <row r="11678" ht="15" hidden="1" customHeight="1"/>
    <row r="11679" ht="15" hidden="1" customHeight="1"/>
    <row r="11680" ht="15" hidden="1" customHeight="1"/>
    <row r="11681" ht="15" hidden="1" customHeight="1"/>
    <row r="11682" ht="15" hidden="1" customHeight="1"/>
    <row r="11683" ht="15" hidden="1" customHeight="1"/>
    <row r="11684" ht="15" hidden="1" customHeight="1"/>
    <row r="11685" ht="15" hidden="1" customHeight="1"/>
    <row r="11686" ht="15" hidden="1" customHeight="1"/>
    <row r="11687" ht="15" hidden="1" customHeight="1"/>
    <row r="11688" ht="15" hidden="1" customHeight="1"/>
    <row r="11689" ht="15" hidden="1" customHeight="1"/>
    <row r="11690" ht="15" hidden="1" customHeight="1"/>
    <row r="11691" ht="15" hidden="1" customHeight="1"/>
    <row r="11692" ht="15" hidden="1" customHeight="1"/>
    <row r="11693" ht="15" hidden="1" customHeight="1"/>
    <row r="11694" ht="15" hidden="1" customHeight="1"/>
    <row r="11695" ht="15" hidden="1" customHeight="1"/>
    <row r="11696" ht="15" hidden="1" customHeight="1"/>
    <row r="11697" ht="15" hidden="1" customHeight="1"/>
    <row r="11698" ht="15" hidden="1" customHeight="1"/>
    <row r="11699" ht="15" hidden="1" customHeight="1"/>
    <row r="11700" ht="15" hidden="1" customHeight="1"/>
    <row r="11701" ht="15" hidden="1" customHeight="1"/>
    <row r="11702" ht="15" hidden="1" customHeight="1"/>
    <row r="11703" ht="15" hidden="1" customHeight="1"/>
    <row r="11704" ht="15" hidden="1" customHeight="1"/>
    <row r="11705" ht="15" hidden="1" customHeight="1"/>
    <row r="11706" ht="15" hidden="1" customHeight="1"/>
    <row r="11707" ht="15" hidden="1" customHeight="1"/>
    <row r="11708" ht="15" hidden="1" customHeight="1"/>
    <row r="11709" ht="15" hidden="1" customHeight="1"/>
    <row r="11710" ht="15" hidden="1" customHeight="1"/>
    <row r="11711" ht="15" hidden="1" customHeight="1"/>
    <row r="11712" ht="15" hidden="1" customHeight="1"/>
    <row r="11713" ht="15" hidden="1" customHeight="1"/>
    <row r="11714" ht="15" hidden="1" customHeight="1"/>
    <row r="11715" ht="15" hidden="1" customHeight="1"/>
    <row r="11716" ht="15" hidden="1" customHeight="1"/>
    <row r="11717" ht="15" hidden="1" customHeight="1"/>
    <row r="11718" ht="15" hidden="1" customHeight="1"/>
    <row r="11719" ht="15" hidden="1" customHeight="1"/>
    <row r="11720" ht="15" hidden="1" customHeight="1"/>
    <row r="11721" ht="15" hidden="1" customHeight="1"/>
    <row r="11722" ht="15" hidden="1" customHeight="1"/>
    <row r="11723" ht="15" hidden="1" customHeight="1"/>
    <row r="11724" ht="15" hidden="1" customHeight="1"/>
    <row r="11725" ht="15" hidden="1" customHeight="1"/>
    <row r="11726" ht="15" hidden="1" customHeight="1"/>
    <row r="11727" ht="15" hidden="1" customHeight="1"/>
    <row r="11728" ht="15" hidden="1" customHeight="1"/>
    <row r="11729" ht="15" hidden="1" customHeight="1"/>
    <row r="11730" ht="15" hidden="1" customHeight="1"/>
    <row r="11731" ht="15" hidden="1" customHeight="1"/>
    <row r="11732" ht="15" hidden="1" customHeight="1"/>
    <row r="11733" ht="15" hidden="1" customHeight="1"/>
    <row r="11734" ht="15" hidden="1" customHeight="1"/>
    <row r="11735" ht="15" hidden="1" customHeight="1"/>
    <row r="11736" ht="15" hidden="1" customHeight="1"/>
    <row r="11737" ht="15" hidden="1" customHeight="1"/>
    <row r="11738" ht="15" hidden="1" customHeight="1"/>
    <row r="11739" ht="15" hidden="1" customHeight="1"/>
    <row r="11740" ht="15" hidden="1" customHeight="1"/>
    <row r="11741" ht="15" hidden="1" customHeight="1"/>
    <row r="11742" ht="15" hidden="1" customHeight="1"/>
    <row r="11743" ht="15" hidden="1" customHeight="1"/>
    <row r="11744" ht="15" hidden="1" customHeight="1"/>
    <row r="11745" ht="15" hidden="1" customHeight="1"/>
    <row r="11746" ht="15" hidden="1" customHeight="1"/>
    <row r="11747" ht="15" hidden="1" customHeight="1"/>
    <row r="11748" ht="15" hidden="1" customHeight="1"/>
    <row r="11749" ht="15" hidden="1" customHeight="1"/>
    <row r="11750" ht="15" hidden="1" customHeight="1"/>
    <row r="11751" ht="15" hidden="1" customHeight="1"/>
    <row r="11752" ht="15" hidden="1" customHeight="1"/>
    <row r="11753" ht="15" hidden="1" customHeight="1"/>
    <row r="11754" ht="15" hidden="1" customHeight="1"/>
    <row r="11755" ht="15" hidden="1" customHeight="1"/>
    <row r="11756" ht="15" hidden="1" customHeight="1"/>
    <row r="11757" ht="15" hidden="1" customHeight="1"/>
    <row r="11758" ht="15" hidden="1" customHeight="1"/>
    <row r="11759" ht="15" hidden="1" customHeight="1"/>
    <row r="11760" ht="15" hidden="1" customHeight="1"/>
    <row r="11761" ht="15" hidden="1" customHeight="1"/>
    <row r="11762" ht="15" hidden="1" customHeight="1"/>
    <row r="11763" ht="15" hidden="1" customHeight="1"/>
    <row r="11764" ht="15" hidden="1" customHeight="1"/>
    <row r="11765" ht="15" hidden="1" customHeight="1"/>
    <row r="11766" ht="15" hidden="1" customHeight="1"/>
    <row r="11767" ht="15" hidden="1" customHeight="1"/>
    <row r="11768" ht="15" hidden="1" customHeight="1"/>
    <row r="11769" ht="15" hidden="1" customHeight="1"/>
    <row r="11770" ht="15" hidden="1" customHeight="1"/>
    <row r="11771" ht="15" hidden="1" customHeight="1"/>
    <row r="11772" ht="15" hidden="1" customHeight="1"/>
    <row r="11773" ht="15" hidden="1" customHeight="1"/>
    <row r="11774" ht="15" hidden="1" customHeight="1"/>
    <row r="11775" ht="15" hidden="1" customHeight="1"/>
    <row r="11776" ht="15" hidden="1" customHeight="1"/>
    <row r="11777" ht="15" hidden="1" customHeight="1"/>
    <row r="11778" ht="15" hidden="1" customHeight="1"/>
    <row r="11779" ht="15" hidden="1" customHeight="1"/>
    <row r="11780" ht="15" hidden="1" customHeight="1"/>
    <row r="11781" ht="15" hidden="1" customHeight="1"/>
    <row r="11782" ht="15" hidden="1" customHeight="1"/>
    <row r="11783" ht="15" hidden="1" customHeight="1"/>
    <row r="11784" ht="15" hidden="1" customHeight="1"/>
    <row r="11785" ht="15" hidden="1" customHeight="1"/>
    <row r="11786" ht="15" hidden="1" customHeight="1"/>
    <row r="11787" ht="15" hidden="1" customHeight="1"/>
    <row r="11788" ht="15" hidden="1" customHeight="1"/>
    <row r="11789" ht="15" hidden="1" customHeight="1"/>
    <row r="11790" ht="15" hidden="1" customHeight="1"/>
    <row r="11791" ht="15" hidden="1" customHeight="1"/>
    <row r="11792" ht="15" hidden="1" customHeight="1"/>
    <row r="11793" ht="15" hidden="1" customHeight="1"/>
    <row r="11794" ht="15" hidden="1" customHeight="1"/>
    <row r="11795" ht="15" hidden="1" customHeight="1"/>
    <row r="11796" ht="15" hidden="1" customHeight="1"/>
    <row r="11797" ht="15" hidden="1" customHeight="1"/>
    <row r="11798" ht="15" hidden="1" customHeight="1"/>
    <row r="11799" ht="15" hidden="1" customHeight="1"/>
    <row r="11800" ht="15" hidden="1" customHeight="1"/>
    <row r="11801" ht="15" hidden="1" customHeight="1"/>
    <row r="11802" ht="15" hidden="1" customHeight="1"/>
    <row r="11803" ht="15" hidden="1" customHeight="1"/>
    <row r="11804" ht="15" hidden="1" customHeight="1"/>
    <row r="11805" ht="15" hidden="1" customHeight="1"/>
    <row r="11806" ht="15" hidden="1" customHeight="1"/>
    <row r="11807" ht="15" hidden="1" customHeight="1"/>
    <row r="11808" ht="15" hidden="1" customHeight="1"/>
    <row r="11809" ht="15" hidden="1" customHeight="1"/>
    <row r="11810" ht="15" hidden="1" customHeight="1"/>
    <row r="11811" ht="15" hidden="1" customHeight="1"/>
    <row r="11812" ht="15" hidden="1" customHeight="1"/>
    <row r="11813" ht="15" hidden="1" customHeight="1"/>
    <row r="11814" ht="15" hidden="1" customHeight="1"/>
    <row r="11815" ht="15" hidden="1" customHeight="1"/>
    <row r="11816" ht="15" hidden="1" customHeight="1"/>
    <row r="11817" ht="15" hidden="1" customHeight="1"/>
    <row r="11818" ht="15" hidden="1" customHeight="1"/>
    <row r="11819" ht="15" hidden="1" customHeight="1"/>
    <row r="11820" ht="15" hidden="1" customHeight="1"/>
    <row r="11821" ht="15" hidden="1" customHeight="1"/>
    <row r="11822" ht="15" hidden="1" customHeight="1"/>
    <row r="11823" ht="15" hidden="1" customHeight="1"/>
    <row r="11824" ht="15" hidden="1" customHeight="1"/>
    <row r="11825" ht="15" hidden="1" customHeight="1"/>
    <row r="11826" ht="15" hidden="1" customHeight="1"/>
    <row r="11827" ht="15" hidden="1" customHeight="1"/>
    <row r="11828" ht="15" hidden="1" customHeight="1"/>
    <row r="11829" ht="15" hidden="1" customHeight="1"/>
    <row r="11830" ht="15" hidden="1" customHeight="1"/>
    <row r="11831" ht="15" hidden="1" customHeight="1"/>
    <row r="11832" ht="15" hidden="1" customHeight="1"/>
    <row r="11833" ht="15" hidden="1" customHeight="1"/>
    <row r="11834" ht="15" hidden="1" customHeight="1"/>
    <row r="11835" ht="15" hidden="1" customHeight="1"/>
    <row r="11836" ht="15" hidden="1" customHeight="1"/>
    <row r="11837" ht="15" hidden="1" customHeight="1"/>
    <row r="11838" ht="15" hidden="1" customHeight="1"/>
    <row r="11839" ht="15" hidden="1" customHeight="1"/>
    <row r="11840" ht="15" hidden="1" customHeight="1"/>
    <row r="11841" ht="15" hidden="1" customHeight="1"/>
    <row r="11842" ht="15" hidden="1" customHeight="1"/>
    <row r="11843" ht="15" hidden="1" customHeight="1"/>
    <row r="11844" ht="15" hidden="1" customHeight="1"/>
    <row r="11845" ht="15" hidden="1" customHeight="1"/>
    <row r="11846" ht="15" hidden="1" customHeight="1"/>
    <row r="11847" ht="15" hidden="1" customHeight="1"/>
    <row r="11848" ht="15" hidden="1" customHeight="1"/>
    <row r="11849" ht="15" hidden="1" customHeight="1"/>
    <row r="11850" ht="15" hidden="1" customHeight="1"/>
    <row r="11851" ht="15" hidden="1" customHeight="1"/>
    <row r="11852" ht="15" hidden="1" customHeight="1"/>
    <row r="11853" ht="15" hidden="1" customHeight="1"/>
    <row r="11854" ht="15" hidden="1" customHeight="1"/>
    <row r="11855" ht="15" hidden="1" customHeight="1"/>
    <row r="11856" ht="15" hidden="1" customHeight="1"/>
    <row r="11857" ht="15" hidden="1" customHeight="1"/>
    <row r="11858" ht="15" hidden="1" customHeight="1"/>
    <row r="11859" ht="15" hidden="1" customHeight="1"/>
    <row r="11860" ht="15" hidden="1" customHeight="1"/>
    <row r="11861" ht="15" hidden="1" customHeight="1"/>
    <row r="11862" ht="15" hidden="1" customHeight="1"/>
    <row r="11863" ht="15" hidden="1" customHeight="1"/>
    <row r="11864" ht="15" hidden="1" customHeight="1"/>
    <row r="11865" ht="15" hidden="1" customHeight="1"/>
    <row r="11866" ht="15" hidden="1" customHeight="1"/>
    <row r="11867" ht="15" hidden="1" customHeight="1"/>
    <row r="11868" ht="15" hidden="1" customHeight="1"/>
    <row r="11869" ht="15" hidden="1" customHeight="1"/>
    <row r="11870" ht="15" hidden="1" customHeight="1"/>
    <row r="11871" ht="15" hidden="1" customHeight="1"/>
    <row r="11872" ht="15" hidden="1" customHeight="1"/>
    <row r="11873" ht="15" hidden="1" customHeight="1"/>
    <row r="11874" ht="15" hidden="1" customHeight="1"/>
    <row r="11875" ht="15" hidden="1" customHeight="1"/>
    <row r="11876" ht="15" hidden="1" customHeight="1"/>
    <row r="11877" ht="15" hidden="1" customHeight="1"/>
    <row r="11878" ht="15" hidden="1" customHeight="1"/>
    <row r="11879" ht="15" hidden="1" customHeight="1"/>
    <row r="11880" ht="15" hidden="1" customHeight="1"/>
    <row r="11881" ht="15" hidden="1" customHeight="1"/>
    <row r="11882" ht="15" hidden="1" customHeight="1"/>
    <row r="11883" ht="15" hidden="1" customHeight="1"/>
    <row r="11884" ht="15" hidden="1" customHeight="1"/>
    <row r="11885" ht="15" hidden="1" customHeight="1"/>
    <row r="11886" ht="15" hidden="1" customHeight="1"/>
    <row r="11887" ht="15" hidden="1" customHeight="1"/>
    <row r="11888" ht="15" hidden="1" customHeight="1"/>
    <row r="11889" ht="15" hidden="1" customHeight="1"/>
    <row r="11890" ht="15" hidden="1" customHeight="1"/>
    <row r="11891" ht="15" hidden="1" customHeight="1"/>
    <row r="11892" ht="15" hidden="1" customHeight="1"/>
    <row r="11893" ht="15" hidden="1" customHeight="1"/>
    <row r="11894" ht="15" hidden="1" customHeight="1"/>
    <row r="11895" ht="15" hidden="1" customHeight="1"/>
    <row r="11896" ht="15" hidden="1" customHeight="1"/>
    <row r="11897" ht="15" hidden="1" customHeight="1"/>
    <row r="11898" ht="15" hidden="1" customHeight="1"/>
    <row r="11899" ht="15" hidden="1" customHeight="1"/>
    <row r="11900" ht="15" hidden="1" customHeight="1"/>
    <row r="11901" ht="15" hidden="1" customHeight="1"/>
    <row r="11902" ht="15" hidden="1" customHeight="1"/>
    <row r="11903" ht="15" hidden="1" customHeight="1"/>
    <row r="11904" ht="15" hidden="1" customHeight="1"/>
    <row r="11905" ht="15" hidden="1" customHeight="1"/>
    <row r="11906" ht="15" hidden="1" customHeight="1"/>
    <row r="11907" ht="15" hidden="1" customHeight="1"/>
    <row r="11908" ht="15" hidden="1" customHeight="1"/>
    <row r="11909" ht="15" hidden="1" customHeight="1"/>
    <row r="11910" ht="15" hidden="1" customHeight="1"/>
    <row r="11911" ht="15" hidden="1" customHeight="1"/>
    <row r="11912" ht="15" hidden="1" customHeight="1"/>
    <row r="11913" ht="15" hidden="1" customHeight="1"/>
    <row r="11914" ht="15" hidden="1" customHeight="1"/>
    <row r="11915" ht="15" hidden="1" customHeight="1"/>
    <row r="11916" ht="15" hidden="1" customHeight="1"/>
    <row r="11917" ht="15" hidden="1" customHeight="1"/>
    <row r="11918" ht="15" hidden="1" customHeight="1"/>
    <row r="11919" ht="15" hidden="1" customHeight="1"/>
    <row r="11920" ht="15" hidden="1" customHeight="1"/>
    <row r="11921" ht="15" hidden="1" customHeight="1"/>
    <row r="11922" ht="15" hidden="1" customHeight="1"/>
    <row r="11923" ht="15" hidden="1" customHeight="1"/>
    <row r="11924" ht="15" hidden="1" customHeight="1"/>
    <row r="11925" ht="15" hidden="1" customHeight="1"/>
    <row r="11926" ht="15" hidden="1" customHeight="1"/>
    <row r="11927" ht="15" hidden="1" customHeight="1"/>
    <row r="11928" ht="15" hidden="1" customHeight="1"/>
    <row r="11929" ht="15" hidden="1" customHeight="1"/>
    <row r="11930" ht="15" hidden="1" customHeight="1"/>
    <row r="11931" ht="15" hidden="1" customHeight="1"/>
    <row r="11932" ht="15" hidden="1" customHeight="1"/>
    <row r="11933" ht="15" hidden="1" customHeight="1"/>
    <row r="11934" ht="15" hidden="1" customHeight="1"/>
    <row r="11935" ht="15" hidden="1" customHeight="1"/>
    <row r="11936" ht="15" hidden="1" customHeight="1"/>
    <row r="11937" ht="15" hidden="1" customHeight="1"/>
    <row r="11938" ht="15" hidden="1" customHeight="1"/>
    <row r="11939" ht="15" hidden="1" customHeight="1"/>
    <row r="11940" ht="15" hidden="1" customHeight="1"/>
    <row r="11941" ht="15" hidden="1" customHeight="1"/>
    <row r="11942" ht="15" hidden="1" customHeight="1"/>
    <row r="11943" ht="15" hidden="1" customHeight="1"/>
    <row r="11944" ht="15" hidden="1" customHeight="1"/>
    <row r="11945" ht="15" hidden="1" customHeight="1"/>
    <row r="11946" ht="15" hidden="1" customHeight="1"/>
    <row r="11947" ht="15" hidden="1" customHeight="1"/>
    <row r="11948" ht="15" hidden="1" customHeight="1"/>
    <row r="11949" ht="15" hidden="1" customHeight="1"/>
    <row r="11950" ht="15" hidden="1" customHeight="1"/>
    <row r="11951" ht="15" hidden="1" customHeight="1"/>
    <row r="11952" ht="15" hidden="1" customHeight="1"/>
    <row r="11953" ht="15" hidden="1" customHeight="1"/>
    <row r="11954" ht="15" hidden="1" customHeight="1"/>
    <row r="11955" ht="15" hidden="1" customHeight="1"/>
    <row r="11956" ht="15" hidden="1" customHeight="1"/>
    <row r="11957" ht="15" hidden="1" customHeight="1"/>
    <row r="11958" ht="15" hidden="1" customHeight="1"/>
    <row r="11959" ht="15" hidden="1" customHeight="1"/>
    <row r="11960" ht="15" hidden="1" customHeight="1"/>
    <row r="11961" ht="15" hidden="1" customHeight="1"/>
    <row r="11962" ht="15" hidden="1" customHeight="1"/>
    <row r="11963" ht="15" hidden="1" customHeight="1"/>
    <row r="11964" ht="15" hidden="1" customHeight="1"/>
    <row r="11965" ht="15" hidden="1" customHeight="1"/>
    <row r="11966" ht="15" hidden="1" customHeight="1"/>
    <row r="11967" ht="15" hidden="1" customHeight="1"/>
    <row r="11968" ht="15" hidden="1" customHeight="1"/>
    <row r="11969" ht="15" hidden="1" customHeight="1"/>
    <row r="11970" ht="15" hidden="1" customHeight="1"/>
    <row r="11971" ht="15" hidden="1" customHeight="1"/>
    <row r="11972" ht="15" hidden="1" customHeight="1"/>
    <row r="11973" ht="15" hidden="1" customHeight="1"/>
    <row r="11974" ht="15" hidden="1" customHeight="1"/>
    <row r="11975" ht="15" hidden="1" customHeight="1"/>
    <row r="11976" ht="15" hidden="1" customHeight="1"/>
    <row r="11977" ht="15" hidden="1" customHeight="1"/>
    <row r="11978" ht="15" hidden="1" customHeight="1"/>
    <row r="11979" ht="15" hidden="1" customHeight="1"/>
    <row r="11980" ht="15" hidden="1" customHeight="1"/>
    <row r="11981" ht="15" hidden="1" customHeight="1"/>
    <row r="11982" ht="15" hidden="1" customHeight="1"/>
    <row r="11983" ht="15" hidden="1" customHeight="1"/>
    <row r="11984" ht="15" hidden="1" customHeight="1"/>
    <row r="11985" ht="15" hidden="1" customHeight="1"/>
    <row r="11986" ht="15" hidden="1" customHeight="1"/>
    <row r="11987" ht="15" hidden="1" customHeight="1"/>
    <row r="11988" ht="15" hidden="1" customHeight="1"/>
    <row r="11989" ht="15" hidden="1" customHeight="1"/>
    <row r="11990" ht="15" hidden="1" customHeight="1"/>
    <row r="11991" ht="15" hidden="1" customHeight="1"/>
    <row r="11992" ht="15" hidden="1" customHeight="1"/>
    <row r="11993" ht="15" hidden="1" customHeight="1"/>
    <row r="11994" ht="15" hidden="1" customHeight="1"/>
    <row r="11995" ht="15" hidden="1" customHeight="1"/>
    <row r="11996" ht="15" hidden="1" customHeight="1"/>
    <row r="11997" ht="15" hidden="1" customHeight="1"/>
    <row r="11998" ht="15" hidden="1" customHeight="1"/>
    <row r="11999" ht="15" hidden="1" customHeight="1"/>
    <row r="12000" ht="15" hidden="1" customHeight="1"/>
    <row r="12001" ht="15" hidden="1" customHeight="1"/>
    <row r="12002" ht="15" hidden="1" customHeight="1"/>
    <row r="12003" ht="15" hidden="1" customHeight="1"/>
    <row r="12004" ht="15" hidden="1" customHeight="1"/>
    <row r="12005" ht="15" hidden="1" customHeight="1"/>
    <row r="12006" ht="15" hidden="1" customHeight="1"/>
    <row r="12007" ht="15" hidden="1" customHeight="1"/>
    <row r="12008" ht="15" hidden="1" customHeight="1"/>
    <row r="12009" ht="15" hidden="1" customHeight="1"/>
    <row r="12010" ht="15" hidden="1" customHeight="1"/>
    <row r="12011" ht="15" hidden="1" customHeight="1"/>
    <row r="12012" ht="15" hidden="1" customHeight="1"/>
    <row r="12013" ht="15" hidden="1" customHeight="1"/>
    <row r="12014" ht="15" hidden="1" customHeight="1"/>
    <row r="12015" ht="15" hidden="1" customHeight="1"/>
    <row r="12016" ht="15" hidden="1" customHeight="1"/>
    <row r="12017" ht="15" hidden="1" customHeight="1"/>
    <row r="12018" ht="15" hidden="1" customHeight="1"/>
    <row r="12019" ht="15" hidden="1" customHeight="1"/>
    <row r="12020" ht="15" hidden="1" customHeight="1"/>
    <row r="12021" ht="15" hidden="1" customHeight="1"/>
    <row r="12022" ht="15" hidden="1" customHeight="1"/>
    <row r="12023" ht="15" hidden="1" customHeight="1"/>
    <row r="12024" ht="15" hidden="1" customHeight="1"/>
    <row r="12025" ht="15" hidden="1" customHeight="1"/>
    <row r="12026" ht="15" hidden="1" customHeight="1"/>
    <row r="12027" ht="15" hidden="1" customHeight="1"/>
    <row r="12028" ht="15" hidden="1" customHeight="1"/>
    <row r="12029" ht="15" hidden="1" customHeight="1"/>
    <row r="12030" ht="15" hidden="1" customHeight="1"/>
    <row r="12031" ht="15" hidden="1" customHeight="1"/>
    <row r="12032" ht="15" hidden="1" customHeight="1"/>
    <row r="12033" ht="15" hidden="1" customHeight="1"/>
    <row r="12034" ht="15" hidden="1" customHeight="1"/>
    <row r="12035" ht="15" hidden="1" customHeight="1"/>
    <row r="12036" ht="15" hidden="1" customHeight="1"/>
    <row r="12037" ht="15" hidden="1" customHeight="1"/>
    <row r="12038" ht="15" hidden="1" customHeight="1"/>
    <row r="12039" ht="15" hidden="1" customHeight="1"/>
    <row r="12040" ht="15" hidden="1" customHeight="1"/>
    <row r="12041" ht="15" hidden="1" customHeight="1"/>
    <row r="12042" ht="15" hidden="1" customHeight="1"/>
    <row r="12043" ht="15" hidden="1" customHeight="1"/>
    <row r="12044" ht="15" hidden="1" customHeight="1"/>
    <row r="12045" ht="15" hidden="1" customHeight="1"/>
    <row r="12046" ht="15" hidden="1" customHeight="1"/>
    <row r="12047" ht="15" hidden="1" customHeight="1"/>
    <row r="12048" ht="15" hidden="1" customHeight="1"/>
    <row r="12049" ht="15" hidden="1" customHeight="1"/>
    <row r="12050" ht="15" hidden="1" customHeight="1"/>
    <row r="12051" ht="15" hidden="1" customHeight="1"/>
    <row r="12052" ht="15" hidden="1" customHeight="1"/>
    <row r="12053" ht="15" hidden="1" customHeight="1"/>
    <row r="12054" ht="15" hidden="1" customHeight="1"/>
    <row r="12055" ht="15" hidden="1" customHeight="1"/>
    <row r="12056" ht="15" hidden="1" customHeight="1"/>
    <row r="12057" ht="15" hidden="1" customHeight="1"/>
    <row r="12058" ht="15" hidden="1" customHeight="1"/>
    <row r="12059" ht="15" hidden="1" customHeight="1"/>
    <row r="12060" ht="15" hidden="1" customHeight="1"/>
    <row r="12061" ht="15" hidden="1" customHeight="1"/>
    <row r="12062" ht="15" hidden="1" customHeight="1"/>
    <row r="12063" ht="15" hidden="1" customHeight="1"/>
    <row r="12064" ht="15" hidden="1" customHeight="1"/>
    <row r="12065" ht="15" hidden="1" customHeight="1"/>
    <row r="12066" ht="15" hidden="1" customHeight="1"/>
    <row r="12067" ht="15" hidden="1" customHeight="1"/>
    <row r="12068" ht="15" hidden="1" customHeight="1"/>
    <row r="12069" ht="15" hidden="1" customHeight="1"/>
    <row r="12070" ht="15" hidden="1" customHeight="1"/>
    <row r="12071" ht="15" hidden="1" customHeight="1"/>
    <row r="12072" ht="15" hidden="1" customHeight="1"/>
    <row r="12073" ht="15" hidden="1" customHeight="1"/>
    <row r="12074" ht="15" hidden="1" customHeight="1"/>
    <row r="12075" ht="15" hidden="1" customHeight="1"/>
    <row r="12076" ht="15" hidden="1" customHeight="1"/>
    <row r="12077" ht="15" hidden="1" customHeight="1"/>
    <row r="12078" ht="15" hidden="1" customHeight="1"/>
    <row r="12079" ht="15" hidden="1" customHeight="1"/>
    <row r="12080" ht="15" hidden="1" customHeight="1"/>
    <row r="12081" ht="15" hidden="1" customHeight="1"/>
    <row r="12082" ht="15" hidden="1" customHeight="1"/>
    <row r="12083" ht="15" hidden="1" customHeight="1"/>
    <row r="12084" ht="15" hidden="1" customHeight="1"/>
    <row r="12085" ht="15" hidden="1" customHeight="1"/>
    <row r="12086" ht="15" hidden="1" customHeight="1"/>
    <row r="12087" ht="15" hidden="1" customHeight="1"/>
    <row r="12088" ht="15" hidden="1" customHeight="1"/>
    <row r="12089" ht="15" hidden="1" customHeight="1"/>
    <row r="12090" ht="15" hidden="1" customHeight="1"/>
    <row r="12091" ht="15" hidden="1" customHeight="1"/>
    <row r="12092" ht="15" hidden="1" customHeight="1"/>
    <row r="12093" ht="15" hidden="1" customHeight="1"/>
    <row r="12094" ht="15" hidden="1" customHeight="1"/>
    <row r="12095" ht="15" hidden="1" customHeight="1"/>
    <row r="12096" ht="15" hidden="1" customHeight="1"/>
    <row r="12097" ht="15" hidden="1" customHeight="1"/>
    <row r="12098" ht="15" hidden="1" customHeight="1"/>
    <row r="12099" ht="15" hidden="1" customHeight="1"/>
    <row r="12100" ht="15" hidden="1" customHeight="1"/>
    <row r="12101" ht="15" hidden="1" customHeight="1"/>
    <row r="12102" ht="15" hidden="1" customHeight="1"/>
    <row r="12103" ht="15" hidden="1" customHeight="1"/>
    <row r="12104" ht="15" hidden="1" customHeight="1"/>
    <row r="12105" ht="15" hidden="1" customHeight="1"/>
    <row r="12106" ht="15" hidden="1" customHeight="1"/>
    <row r="12107" ht="15" hidden="1" customHeight="1"/>
    <row r="12108" ht="15" hidden="1" customHeight="1"/>
    <row r="12109" ht="15" hidden="1" customHeight="1"/>
    <row r="12110" ht="15" hidden="1" customHeight="1"/>
    <row r="12111" ht="15" hidden="1" customHeight="1"/>
    <row r="12112" ht="15" hidden="1" customHeight="1"/>
    <row r="12113" ht="15" hidden="1" customHeight="1"/>
    <row r="12114" ht="15" hidden="1" customHeight="1"/>
    <row r="12115" ht="15" hidden="1" customHeight="1"/>
    <row r="12116" ht="15" hidden="1" customHeight="1"/>
    <row r="12117" ht="15" hidden="1" customHeight="1"/>
    <row r="12118" ht="15" hidden="1" customHeight="1"/>
    <row r="12119" ht="15" hidden="1" customHeight="1"/>
    <row r="12120" ht="15" hidden="1" customHeight="1"/>
    <row r="12121" ht="15" hidden="1" customHeight="1"/>
    <row r="12122" ht="15" hidden="1" customHeight="1"/>
    <row r="12123" ht="15" hidden="1" customHeight="1"/>
    <row r="12124" ht="15" hidden="1" customHeight="1"/>
    <row r="12125" ht="15" hidden="1" customHeight="1"/>
    <row r="12126" ht="15" hidden="1" customHeight="1"/>
    <row r="12127" ht="15" hidden="1" customHeight="1"/>
    <row r="12128" ht="15" hidden="1" customHeight="1"/>
    <row r="12129" ht="15" hidden="1" customHeight="1"/>
    <row r="12130" ht="15" hidden="1" customHeight="1"/>
    <row r="12131" ht="15" hidden="1" customHeight="1"/>
    <row r="12132" ht="15" hidden="1" customHeight="1"/>
    <row r="12133" ht="15" hidden="1" customHeight="1"/>
    <row r="12134" ht="15" hidden="1" customHeight="1"/>
    <row r="12135" ht="15" hidden="1" customHeight="1"/>
    <row r="12136" ht="15" hidden="1" customHeight="1"/>
    <row r="12137" ht="15" hidden="1" customHeight="1"/>
    <row r="12138" ht="15" hidden="1" customHeight="1"/>
    <row r="12139" ht="15" hidden="1" customHeight="1"/>
    <row r="12140" ht="15" hidden="1" customHeight="1"/>
    <row r="12141" ht="15" hidden="1" customHeight="1"/>
    <row r="12142" ht="15" hidden="1" customHeight="1"/>
    <row r="12143" ht="15" hidden="1" customHeight="1"/>
    <row r="12144" ht="15" hidden="1" customHeight="1"/>
    <row r="12145" ht="15" hidden="1" customHeight="1"/>
    <row r="12146" ht="15" hidden="1" customHeight="1"/>
    <row r="12147" ht="15" hidden="1" customHeight="1"/>
    <row r="12148" ht="15" hidden="1" customHeight="1"/>
    <row r="12149" ht="15" hidden="1" customHeight="1"/>
    <row r="12150" ht="15" hidden="1" customHeight="1"/>
    <row r="12151" ht="15" hidden="1" customHeight="1"/>
    <row r="12152" ht="15" hidden="1" customHeight="1"/>
    <row r="12153" ht="15" hidden="1" customHeight="1"/>
    <row r="12154" ht="15" hidden="1" customHeight="1"/>
    <row r="12155" ht="15" hidden="1" customHeight="1"/>
    <row r="12156" ht="15" hidden="1" customHeight="1"/>
    <row r="12157" ht="15" hidden="1" customHeight="1"/>
    <row r="12158" ht="15" hidden="1" customHeight="1"/>
    <row r="12159" ht="15" hidden="1" customHeight="1"/>
    <row r="12160" ht="15" hidden="1" customHeight="1"/>
    <row r="12161" ht="15" hidden="1" customHeight="1"/>
    <row r="12162" ht="15" hidden="1" customHeight="1"/>
    <row r="12163" ht="15" hidden="1" customHeight="1"/>
    <row r="12164" ht="15" hidden="1" customHeight="1"/>
    <row r="12165" ht="15" hidden="1" customHeight="1"/>
    <row r="12166" ht="15" hidden="1" customHeight="1"/>
    <row r="12167" ht="15" hidden="1" customHeight="1"/>
    <row r="12168" ht="15" hidden="1" customHeight="1"/>
    <row r="12169" ht="15" hidden="1" customHeight="1"/>
    <row r="12170" ht="15" hidden="1" customHeight="1"/>
    <row r="12171" ht="15" hidden="1" customHeight="1"/>
    <row r="12172" ht="15" hidden="1" customHeight="1"/>
    <row r="12173" ht="15" hidden="1" customHeight="1"/>
    <row r="12174" ht="15" hidden="1" customHeight="1"/>
    <row r="12175" ht="15" hidden="1" customHeight="1"/>
    <row r="12176" ht="15" hidden="1" customHeight="1"/>
    <row r="12177" ht="15" hidden="1" customHeight="1"/>
    <row r="12178" ht="15" hidden="1" customHeight="1"/>
    <row r="12179" ht="15" hidden="1" customHeight="1"/>
    <row r="12180" ht="15" hidden="1" customHeight="1"/>
    <row r="12181" ht="15" hidden="1" customHeight="1"/>
    <row r="12182" ht="15" hidden="1" customHeight="1"/>
    <row r="12183" ht="15" hidden="1" customHeight="1"/>
    <row r="12184" ht="15" hidden="1" customHeight="1"/>
    <row r="12185" ht="15" hidden="1" customHeight="1"/>
    <row r="12186" ht="15" hidden="1" customHeight="1"/>
    <row r="12187" ht="15" hidden="1" customHeight="1"/>
    <row r="12188" ht="15" hidden="1" customHeight="1"/>
    <row r="12189" ht="15" hidden="1" customHeight="1"/>
    <row r="12190" ht="15" hidden="1" customHeight="1"/>
    <row r="12191" ht="15" hidden="1" customHeight="1"/>
    <row r="12192" ht="15" hidden="1" customHeight="1"/>
    <row r="12193" ht="15" hidden="1" customHeight="1"/>
    <row r="12194" ht="15" hidden="1" customHeight="1"/>
    <row r="12195" ht="15" hidden="1" customHeight="1"/>
    <row r="12196" ht="15" hidden="1" customHeight="1"/>
    <row r="12197" ht="15" hidden="1" customHeight="1"/>
    <row r="12198" ht="15" hidden="1" customHeight="1"/>
    <row r="12199" ht="15" hidden="1" customHeight="1"/>
    <row r="12200" ht="15" hidden="1" customHeight="1"/>
    <row r="12201" ht="15" hidden="1" customHeight="1"/>
    <row r="12202" ht="15" hidden="1" customHeight="1"/>
    <row r="12203" ht="15" hidden="1" customHeight="1"/>
    <row r="12204" ht="15" hidden="1" customHeight="1"/>
    <row r="12205" ht="15" hidden="1" customHeight="1"/>
    <row r="12206" ht="15" hidden="1" customHeight="1"/>
    <row r="12207" ht="15" hidden="1" customHeight="1"/>
    <row r="12208" ht="15" hidden="1" customHeight="1"/>
    <row r="12209" ht="15" hidden="1" customHeight="1"/>
    <row r="12210" ht="15" hidden="1" customHeight="1"/>
    <row r="12211" ht="15" hidden="1" customHeight="1"/>
    <row r="12212" ht="15" hidden="1" customHeight="1"/>
    <row r="12213" ht="15" hidden="1" customHeight="1"/>
    <row r="12214" ht="15" hidden="1" customHeight="1"/>
    <row r="12215" ht="15" hidden="1" customHeight="1"/>
    <row r="12216" ht="15" hidden="1" customHeight="1"/>
    <row r="12217" ht="15" hidden="1" customHeight="1"/>
    <row r="12218" ht="15" hidden="1" customHeight="1"/>
    <row r="12219" ht="15" hidden="1" customHeight="1"/>
    <row r="12220" ht="15" hidden="1" customHeight="1"/>
    <row r="12221" ht="15" hidden="1" customHeight="1"/>
    <row r="12222" ht="15" hidden="1" customHeight="1"/>
    <row r="12223" ht="15" hidden="1" customHeight="1"/>
    <row r="12224" ht="15" hidden="1" customHeight="1"/>
    <row r="12225" ht="15" hidden="1" customHeight="1"/>
    <row r="12226" ht="15" hidden="1" customHeight="1"/>
    <row r="12227" ht="15" hidden="1" customHeight="1"/>
    <row r="12228" ht="15" hidden="1" customHeight="1"/>
    <row r="12229" ht="15" hidden="1" customHeight="1"/>
    <row r="12230" ht="15" hidden="1" customHeight="1"/>
    <row r="12231" ht="15" hidden="1" customHeight="1"/>
    <row r="12232" ht="15" hidden="1" customHeight="1"/>
    <row r="12233" ht="15" hidden="1" customHeight="1"/>
    <row r="12234" ht="15" hidden="1" customHeight="1"/>
    <row r="12235" ht="15" hidden="1" customHeight="1"/>
    <row r="12236" ht="15" hidden="1" customHeight="1"/>
    <row r="12237" ht="15" hidden="1" customHeight="1"/>
    <row r="12238" ht="15" hidden="1" customHeight="1"/>
    <row r="12239" ht="15" hidden="1" customHeight="1"/>
    <row r="12240" ht="15" hidden="1" customHeight="1"/>
    <row r="12241" ht="15" hidden="1" customHeight="1"/>
    <row r="12242" ht="15" hidden="1" customHeight="1"/>
    <row r="12243" ht="15" hidden="1" customHeight="1"/>
    <row r="12244" ht="15" hidden="1" customHeight="1"/>
    <row r="12245" ht="15" hidden="1" customHeight="1"/>
    <row r="12246" ht="15" hidden="1" customHeight="1"/>
    <row r="12247" ht="15" hidden="1" customHeight="1"/>
    <row r="12248" ht="15" hidden="1" customHeight="1"/>
    <row r="12249" ht="15" hidden="1" customHeight="1"/>
    <row r="12250" ht="15" hidden="1" customHeight="1"/>
    <row r="12251" ht="15" hidden="1" customHeight="1"/>
    <row r="12252" ht="15" hidden="1" customHeight="1"/>
    <row r="12253" ht="15" hidden="1" customHeight="1"/>
    <row r="12254" ht="15" hidden="1" customHeight="1"/>
    <row r="12255" ht="15" hidden="1" customHeight="1"/>
    <row r="12256" ht="15" hidden="1" customHeight="1"/>
    <row r="12257" ht="15" hidden="1" customHeight="1"/>
    <row r="12258" ht="15" hidden="1" customHeight="1"/>
    <row r="12259" ht="15" hidden="1" customHeight="1"/>
    <row r="12260" ht="15" hidden="1" customHeight="1"/>
    <row r="12261" ht="15" hidden="1" customHeight="1"/>
    <row r="12262" ht="15" hidden="1" customHeight="1"/>
    <row r="12263" ht="15" hidden="1" customHeight="1"/>
    <row r="12264" ht="15" hidden="1" customHeight="1"/>
    <row r="12265" ht="15" hidden="1" customHeight="1"/>
    <row r="12266" ht="15" hidden="1" customHeight="1"/>
    <row r="12267" ht="15" hidden="1" customHeight="1"/>
    <row r="12268" ht="15" hidden="1" customHeight="1"/>
    <row r="12269" ht="15" hidden="1" customHeight="1"/>
    <row r="12270" ht="15" hidden="1" customHeight="1"/>
    <row r="12271" ht="15" hidden="1" customHeight="1"/>
    <row r="12272" ht="15" hidden="1" customHeight="1"/>
    <row r="12273" ht="15" hidden="1" customHeight="1"/>
    <row r="12274" ht="15" hidden="1" customHeight="1"/>
    <row r="12275" ht="15" hidden="1" customHeight="1"/>
    <row r="12276" ht="15" hidden="1" customHeight="1"/>
    <row r="12277" ht="15" hidden="1" customHeight="1"/>
    <row r="12278" ht="15" hidden="1" customHeight="1"/>
    <row r="12279" ht="15" hidden="1" customHeight="1"/>
    <row r="12280" ht="15" hidden="1" customHeight="1"/>
    <row r="12281" ht="15" hidden="1" customHeight="1"/>
    <row r="12282" ht="15" hidden="1" customHeight="1"/>
    <row r="12283" ht="15" hidden="1" customHeight="1"/>
    <row r="12284" ht="15" hidden="1" customHeight="1"/>
    <row r="12285" ht="15" hidden="1" customHeight="1"/>
    <row r="12286" ht="15" hidden="1" customHeight="1"/>
    <row r="12287" ht="15" hidden="1" customHeight="1"/>
    <row r="12288" ht="15" hidden="1" customHeight="1"/>
    <row r="12289" ht="15" hidden="1" customHeight="1"/>
    <row r="12290" ht="15" hidden="1" customHeight="1"/>
    <row r="12291" ht="15" hidden="1" customHeight="1"/>
    <row r="12292" ht="15" hidden="1" customHeight="1"/>
    <row r="12293" ht="15" hidden="1" customHeight="1"/>
    <row r="12294" ht="15" hidden="1" customHeight="1"/>
    <row r="12295" ht="15" hidden="1" customHeight="1"/>
    <row r="12296" ht="15" hidden="1" customHeight="1"/>
    <row r="12297" ht="15" hidden="1" customHeight="1"/>
    <row r="12298" ht="15" hidden="1" customHeight="1"/>
    <row r="12299" ht="15" hidden="1" customHeight="1"/>
    <row r="12300" ht="15" hidden="1" customHeight="1"/>
    <row r="12301" ht="15" hidden="1" customHeight="1"/>
    <row r="12302" ht="15" hidden="1" customHeight="1"/>
    <row r="12303" ht="15" hidden="1" customHeight="1"/>
    <row r="12304" ht="15" hidden="1" customHeight="1"/>
    <row r="12305" ht="15" hidden="1" customHeight="1"/>
    <row r="12306" ht="15" hidden="1" customHeight="1"/>
    <row r="12307" ht="15" hidden="1" customHeight="1"/>
    <row r="12308" ht="15" hidden="1" customHeight="1"/>
    <row r="12309" ht="15" hidden="1" customHeight="1"/>
    <row r="12310" ht="15" hidden="1" customHeight="1"/>
    <row r="12311" ht="15" hidden="1" customHeight="1"/>
    <row r="12312" ht="15" hidden="1" customHeight="1"/>
    <row r="12313" ht="15" hidden="1" customHeight="1"/>
    <row r="12314" ht="15" hidden="1" customHeight="1"/>
    <row r="12315" ht="15" hidden="1" customHeight="1"/>
    <row r="12316" ht="15" hidden="1" customHeight="1"/>
    <row r="12317" ht="15" hidden="1" customHeight="1"/>
    <row r="12318" ht="15" hidden="1" customHeight="1"/>
    <row r="12319" ht="15" hidden="1" customHeight="1"/>
    <row r="12320" ht="15" hidden="1" customHeight="1"/>
    <row r="12321" ht="15" hidden="1" customHeight="1"/>
    <row r="12322" ht="15" hidden="1" customHeight="1"/>
    <row r="12323" ht="15" hidden="1" customHeight="1"/>
    <row r="12324" ht="15" hidden="1" customHeight="1"/>
    <row r="12325" ht="15" hidden="1" customHeight="1"/>
    <row r="12326" ht="15" hidden="1" customHeight="1"/>
    <row r="12327" ht="15" hidden="1" customHeight="1"/>
    <row r="12328" ht="15" hidden="1" customHeight="1"/>
    <row r="12329" ht="15" hidden="1" customHeight="1"/>
    <row r="12330" ht="15" hidden="1" customHeight="1"/>
    <row r="12331" ht="15" hidden="1" customHeight="1"/>
    <row r="12332" ht="15" hidden="1" customHeight="1"/>
    <row r="12333" ht="15" hidden="1" customHeight="1"/>
    <row r="12334" ht="15" hidden="1" customHeight="1"/>
    <row r="12335" ht="15" hidden="1" customHeight="1"/>
    <row r="12336" ht="15" hidden="1" customHeight="1"/>
    <row r="12337" ht="15" hidden="1" customHeight="1"/>
    <row r="12338" ht="15" hidden="1" customHeight="1"/>
    <row r="12339" ht="15" hidden="1" customHeight="1"/>
    <row r="12340" ht="15" hidden="1" customHeight="1"/>
    <row r="12341" ht="15" hidden="1" customHeight="1"/>
    <row r="12342" ht="15" hidden="1" customHeight="1"/>
    <row r="12343" ht="15" hidden="1" customHeight="1"/>
    <row r="12344" ht="15" hidden="1" customHeight="1"/>
    <row r="12345" ht="15" hidden="1" customHeight="1"/>
    <row r="12346" ht="15" hidden="1" customHeight="1"/>
    <row r="12347" ht="15" hidden="1" customHeight="1"/>
    <row r="12348" ht="15" hidden="1" customHeight="1"/>
    <row r="12349" ht="15" hidden="1" customHeight="1"/>
    <row r="12350" ht="15" hidden="1" customHeight="1"/>
    <row r="12351" ht="15" hidden="1" customHeight="1"/>
    <row r="12352" ht="15" hidden="1" customHeight="1"/>
    <row r="12353" ht="15" hidden="1" customHeight="1"/>
    <row r="12354" ht="15" hidden="1" customHeight="1"/>
    <row r="12355" ht="15" hidden="1" customHeight="1"/>
    <row r="12356" ht="15" hidden="1" customHeight="1"/>
    <row r="12357" ht="15" hidden="1" customHeight="1"/>
    <row r="12358" ht="15" hidden="1" customHeight="1"/>
    <row r="12359" ht="15" hidden="1" customHeight="1"/>
    <row r="12360" ht="15" hidden="1" customHeight="1"/>
    <row r="12361" ht="15" hidden="1" customHeight="1"/>
    <row r="12362" ht="15" hidden="1" customHeight="1"/>
    <row r="12363" ht="15" hidden="1" customHeight="1"/>
    <row r="12364" ht="15" hidden="1" customHeight="1"/>
    <row r="12365" ht="15" hidden="1" customHeight="1"/>
    <row r="12366" ht="15" hidden="1" customHeight="1"/>
    <row r="12367" ht="15" hidden="1" customHeight="1"/>
    <row r="12368" ht="15" hidden="1" customHeight="1"/>
    <row r="12369" ht="15" hidden="1" customHeight="1"/>
    <row r="12370" ht="15" hidden="1" customHeight="1"/>
    <row r="12371" ht="15" hidden="1" customHeight="1"/>
    <row r="12372" ht="15" hidden="1" customHeight="1"/>
    <row r="12373" ht="15" hidden="1" customHeight="1"/>
    <row r="12374" ht="15" hidden="1" customHeight="1"/>
    <row r="12375" ht="15" hidden="1" customHeight="1"/>
    <row r="12376" ht="15" hidden="1" customHeight="1"/>
    <row r="12377" ht="15" hidden="1" customHeight="1"/>
    <row r="12378" ht="15" hidden="1" customHeight="1"/>
    <row r="12379" ht="15" hidden="1" customHeight="1"/>
    <row r="12380" ht="15" hidden="1" customHeight="1"/>
    <row r="12381" ht="15" hidden="1" customHeight="1"/>
    <row r="12382" ht="15" hidden="1" customHeight="1"/>
    <row r="12383" ht="15" hidden="1" customHeight="1"/>
    <row r="12384" ht="15" hidden="1" customHeight="1"/>
    <row r="12385" ht="15" hidden="1" customHeight="1"/>
    <row r="12386" ht="15" hidden="1" customHeight="1"/>
    <row r="12387" ht="15" hidden="1" customHeight="1"/>
    <row r="12388" ht="15" hidden="1" customHeight="1"/>
    <row r="12389" ht="15" hidden="1" customHeight="1"/>
    <row r="12390" ht="15" hidden="1" customHeight="1"/>
    <row r="12391" ht="15" hidden="1" customHeight="1"/>
    <row r="12392" ht="15" hidden="1" customHeight="1"/>
    <row r="12393" ht="15" hidden="1" customHeight="1"/>
    <row r="12394" ht="15" hidden="1" customHeight="1"/>
    <row r="12395" ht="15" hidden="1" customHeight="1"/>
    <row r="12396" ht="15" hidden="1" customHeight="1"/>
    <row r="12397" ht="15" hidden="1" customHeight="1"/>
    <row r="12398" ht="15" hidden="1" customHeight="1"/>
    <row r="12399" ht="15" hidden="1" customHeight="1"/>
    <row r="12400" ht="15" hidden="1" customHeight="1"/>
    <row r="12401" ht="15" hidden="1" customHeight="1"/>
    <row r="12402" ht="15" hidden="1" customHeight="1"/>
    <row r="12403" ht="15" hidden="1" customHeight="1"/>
    <row r="12404" ht="15" hidden="1" customHeight="1"/>
    <row r="12405" ht="15" hidden="1" customHeight="1"/>
    <row r="12406" ht="15" hidden="1" customHeight="1"/>
    <row r="12407" ht="15" hidden="1" customHeight="1"/>
    <row r="12408" ht="15" hidden="1" customHeight="1"/>
    <row r="12409" ht="15" hidden="1" customHeight="1"/>
    <row r="12410" ht="15" hidden="1" customHeight="1"/>
    <row r="12411" ht="15" hidden="1" customHeight="1"/>
    <row r="12412" ht="15" hidden="1" customHeight="1"/>
    <row r="12413" ht="15" hidden="1" customHeight="1"/>
    <row r="12414" ht="15" hidden="1" customHeight="1"/>
    <row r="12415" ht="15" hidden="1" customHeight="1"/>
    <row r="12416" ht="15" hidden="1" customHeight="1"/>
    <row r="12417" ht="15" hidden="1" customHeight="1"/>
    <row r="12418" ht="15" hidden="1" customHeight="1"/>
    <row r="12419" ht="15" hidden="1" customHeight="1"/>
    <row r="12420" ht="15" hidden="1" customHeight="1"/>
    <row r="12421" ht="15" hidden="1" customHeight="1"/>
    <row r="12422" ht="15" hidden="1" customHeight="1"/>
    <row r="12423" ht="15" hidden="1" customHeight="1"/>
    <row r="12424" ht="15" hidden="1" customHeight="1"/>
    <row r="12425" ht="15" hidden="1" customHeight="1"/>
    <row r="12426" ht="15" hidden="1" customHeight="1"/>
    <row r="12427" ht="15" hidden="1" customHeight="1"/>
    <row r="12428" ht="15" hidden="1" customHeight="1"/>
    <row r="12429" ht="15" hidden="1" customHeight="1"/>
    <row r="12430" ht="15" hidden="1" customHeight="1"/>
    <row r="12431" ht="15" hidden="1" customHeight="1"/>
    <row r="12432" ht="15" hidden="1" customHeight="1"/>
    <row r="12433" ht="15" hidden="1" customHeight="1"/>
    <row r="12434" ht="15" hidden="1" customHeight="1"/>
    <row r="12435" ht="15" hidden="1" customHeight="1"/>
    <row r="12436" ht="15" hidden="1" customHeight="1"/>
    <row r="12437" ht="15" hidden="1" customHeight="1"/>
    <row r="12438" ht="15" hidden="1" customHeight="1"/>
    <row r="12439" ht="15" hidden="1" customHeight="1"/>
    <row r="12440" ht="15" hidden="1" customHeight="1"/>
    <row r="12441" ht="15" hidden="1" customHeight="1"/>
    <row r="12442" ht="15" hidden="1" customHeight="1"/>
    <row r="12443" ht="15" hidden="1" customHeight="1"/>
    <row r="12444" ht="15" hidden="1" customHeight="1"/>
    <row r="12445" ht="15" hidden="1" customHeight="1"/>
    <row r="12446" ht="15" hidden="1" customHeight="1"/>
    <row r="12447" ht="15" hidden="1" customHeight="1"/>
    <row r="12448" ht="15" hidden="1" customHeight="1"/>
    <row r="12449" ht="15" hidden="1" customHeight="1"/>
    <row r="12450" ht="15" hidden="1" customHeight="1"/>
    <row r="12451" ht="15" hidden="1" customHeight="1"/>
    <row r="12452" ht="15" hidden="1" customHeight="1"/>
    <row r="12453" ht="15" hidden="1" customHeight="1"/>
    <row r="12454" ht="15" hidden="1" customHeight="1"/>
    <row r="12455" ht="15" hidden="1" customHeight="1"/>
    <row r="12456" ht="15" hidden="1" customHeight="1"/>
    <row r="12457" ht="15" hidden="1" customHeight="1"/>
    <row r="12458" ht="15" hidden="1" customHeight="1"/>
    <row r="12459" ht="15" hidden="1" customHeight="1"/>
    <row r="12460" ht="15" hidden="1" customHeight="1"/>
    <row r="12461" ht="15" hidden="1" customHeight="1"/>
    <row r="12462" ht="15" hidden="1" customHeight="1"/>
    <row r="12463" ht="15" hidden="1" customHeight="1"/>
    <row r="12464" ht="15" hidden="1" customHeight="1"/>
    <row r="12465" ht="15" hidden="1" customHeight="1"/>
    <row r="12466" ht="15" hidden="1" customHeight="1"/>
    <row r="12467" ht="15" hidden="1" customHeight="1"/>
    <row r="12468" ht="15" hidden="1" customHeight="1"/>
    <row r="12469" ht="15" hidden="1" customHeight="1"/>
    <row r="12470" ht="15" hidden="1" customHeight="1"/>
    <row r="12471" ht="15" hidden="1" customHeight="1"/>
    <row r="12472" ht="15" hidden="1" customHeight="1"/>
    <row r="12473" ht="15" hidden="1" customHeight="1"/>
    <row r="12474" ht="15" hidden="1" customHeight="1"/>
    <row r="12475" ht="15" hidden="1" customHeight="1"/>
    <row r="12476" ht="15" hidden="1" customHeight="1"/>
    <row r="12477" ht="15" hidden="1" customHeight="1"/>
    <row r="12478" ht="15" hidden="1" customHeight="1"/>
    <row r="12479" ht="15" hidden="1" customHeight="1"/>
    <row r="12480" ht="15" hidden="1" customHeight="1"/>
    <row r="12481" ht="15" hidden="1" customHeight="1"/>
    <row r="12482" ht="15" hidden="1" customHeight="1"/>
    <row r="12483" ht="15" hidden="1" customHeight="1"/>
    <row r="12484" ht="15" hidden="1" customHeight="1"/>
    <row r="12485" ht="15" hidden="1" customHeight="1"/>
    <row r="12486" ht="15" hidden="1" customHeight="1"/>
    <row r="12487" ht="15" hidden="1" customHeight="1"/>
    <row r="12488" ht="15" hidden="1" customHeight="1"/>
    <row r="12489" ht="15" hidden="1" customHeight="1"/>
    <row r="12490" ht="15" hidden="1" customHeight="1"/>
    <row r="12491" ht="15" hidden="1" customHeight="1"/>
    <row r="12492" ht="15" hidden="1" customHeight="1"/>
    <row r="12493" ht="15" hidden="1" customHeight="1"/>
    <row r="12494" ht="15" hidden="1" customHeight="1"/>
    <row r="12495" ht="15" hidden="1" customHeight="1"/>
    <row r="12496" ht="15" hidden="1" customHeight="1"/>
    <row r="12497" ht="15" hidden="1" customHeight="1"/>
    <row r="12498" ht="15" hidden="1" customHeight="1"/>
    <row r="12499" ht="15" hidden="1" customHeight="1"/>
    <row r="12500" ht="15" hidden="1" customHeight="1"/>
    <row r="12501" ht="15" hidden="1" customHeight="1"/>
    <row r="12502" ht="15" hidden="1" customHeight="1"/>
    <row r="12503" ht="15" hidden="1" customHeight="1"/>
    <row r="12504" ht="15" hidden="1" customHeight="1"/>
    <row r="12505" ht="15" hidden="1" customHeight="1"/>
    <row r="12506" ht="15" hidden="1" customHeight="1"/>
    <row r="12507" ht="15" hidden="1" customHeight="1"/>
    <row r="12508" ht="15" hidden="1" customHeight="1"/>
    <row r="12509" ht="15" hidden="1" customHeight="1"/>
    <row r="12510" ht="15" hidden="1" customHeight="1"/>
    <row r="12511" ht="15" hidden="1" customHeight="1"/>
    <row r="12512" ht="15" hidden="1" customHeight="1"/>
    <row r="12513" ht="15" hidden="1" customHeight="1"/>
    <row r="12514" ht="15" hidden="1" customHeight="1"/>
    <row r="12515" ht="15" hidden="1" customHeight="1"/>
    <row r="12516" ht="15" hidden="1" customHeight="1"/>
    <row r="12517" ht="15" hidden="1" customHeight="1"/>
    <row r="12518" ht="15" hidden="1" customHeight="1"/>
    <row r="12519" ht="15" hidden="1" customHeight="1"/>
    <row r="12520" ht="15" hidden="1" customHeight="1"/>
    <row r="12521" ht="15" hidden="1" customHeight="1"/>
    <row r="12522" ht="15" hidden="1" customHeight="1"/>
    <row r="12523" ht="15" hidden="1" customHeight="1"/>
    <row r="12524" ht="15" hidden="1" customHeight="1"/>
    <row r="12525" ht="15" hidden="1" customHeight="1"/>
    <row r="12526" ht="15" hidden="1" customHeight="1"/>
    <row r="12527" ht="15" hidden="1" customHeight="1"/>
    <row r="12528" ht="15" hidden="1" customHeight="1"/>
    <row r="12529" ht="15" hidden="1" customHeight="1"/>
    <row r="12530" ht="15" hidden="1" customHeight="1"/>
    <row r="12531" ht="15" hidden="1" customHeight="1"/>
    <row r="12532" ht="15" hidden="1" customHeight="1"/>
    <row r="12533" ht="15" hidden="1" customHeight="1"/>
    <row r="12534" ht="15" hidden="1" customHeight="1"/>
    <row r="12535" ht="15" hidden="1" customHeight="1"/>
    <row r="12536" ht="15" hidden="1" customHeight="1"/>
    <row r="12537" ht="15" hidden="1" customHeight="1"/>
    <row r="12538" ht="15" hidden="1" customHeight="1"/>
    <row r="12539" ht="15" hidden="1" customHeight="1"/>
    <row r="12540" ht="15" hidden="1" customHeight="1"/>
    <row r="12541" ht="15" hidden="1" customHeight="1"/>
    <row r="12542" ht="15" hidden="1" customHeight="1"/>
    <row r="12543" ht="15" hidden="1" customHeight="1"/>
    <row r="12544" ht="15" hidden="1" customHeight="1"/>
    <row r="12545" ht="15" hidden="1" customHeight="1"/>
    <row r="12546" ht="15" hidden="1" customHeight="1"/>
    <row r="12547" ht="15" hidden="1" customHeight="1"/>
    <row r="12548" ht="15" hidden="1" customHeight="1"/>
    <row r="12549" ht="15" hidden="1" customHeight="1"/>
    <row r="12550" ht="15" hidden="1" customHeight="1"/>
    <row r="12551" ht="15" hidden="1" customHeight="1"/>
    <row r="12552" ht="15" hidden="1" customHeight="1"/>
    <row r="12553" ht="15" hidden="1" customHeight="1"/>
    <row r="12554" ht="15" hidden="1" customHeight="1"/>
    <row r="12555" ht="15" hidden="1" customHeight="1"/>
    <row r="12556" ht="15" hidden="1" customHeight="1"/>
    <row r="12557" ht="15" hidden="1" customHeight="1"/>
    <row r="12558" ht="15" hidden="1" customHeight="1"/>
    <row r="12559" ht="15" hidden="1" customHeight="1"/>
    <row r="12560" ht="15" hidden="1" customHeight="1"/>
    <row r="12561" ht="15" hidden="1" customHeight="1"/>
    <row r="12562" ht="15" hidden="1" customHeight="1"/>
    <row r="12563" ht="15" hidden="1" customHeight="1"/>
    <row r="12564" ht="15" hidden="1" customHeight="1"/>
    <row r="12565" ht="15" hidden="1" customHeight="1"/>
    <row r="12566" ht="15" hidden="1" customHeight="1"/>
    <row r="12567" ht="15" hidden="1" customHeight="1"/>
    <row r="12568" ht="15" hidden="1" customHeight="1"/>
    <row r="12569" ht="15" hidden="1" customHeight="1"/>
    <row r="12570" ht="15" hidden="1" customHeight="1"/>
    <row r="12571" ht="15" hidden="1" customHeight="1"/>
    <row r="12572" ht="15" hidden="1" customHeight="1"/>
    <row r="12573" ht="15" hidden="1" customHeight="1"/>
    <row r="12574" ht="15" hidden="1" customHeight="1"/>
    <row r="12575" ht="15" hidden="1" customHeight="1"/>
    <row r="12576" ht="15" hidden="1" customHeight="1"/>
    <row r="12577" ht="15" hidden="1" customHeight="1"/>
    <row r="12578" ht="15" hidden="1" customHeight="1"/>
    <row r="12579" ht="15" hidden="1" customHeight="1"/>
    <row r="12580" ht="15" hidden="1" customHeight="1"/>
    <row r="12581" ht="15" hidden="1" customHeight="1"/>
    <row r="12582" ht="15" hidden="1" customHeight="1"/>
    <row r="12583" ht="15" hidden="1" customHeight="1"/>
    <row r="12584" ht="15" hidden="1" customHeight="1"/>
    <row r="12585" ht="15" hidden="1" customHeight="1"/>
    <row r="12586" ht="15" hidden="1" customHeight="1"/>
    <row r="12587" ht="15" hidden="1" customHeight="1"/>
    <row r="12588" ht="15" hidden="1" customHeight="1"/>
    <row r="12589" ht="15" hidden="1" customHeight="1"/>
    <row r="12590" ht="15" hidden="1" customHeight="1"/>
    <row r="12591" ht="15" hidden="1" customHeight="1"/>
    <row r="12592" ht="15" hidden="1" customHeight="1"/>
    <row r="12593" ht="15" hidden="1" customHeight="1"/>
    <row r="12594" ht="15" hidden="1" customHeight="1"/>
    <row r="12595" ht="15" hidden="1" customHeight="1"/>
    <row r="12596" ht="15" hidden="1" customHeight="1"/>
    <row r="12597" ht="15" hidden="1" customHeight="1"/>
    <row r="12598" ht="15" hidden="1" customHeight="1"/>
    <row r="12599" ht="15" hidden="1" customHeight="1"/>
    <row r="12600" ht="15" hidden="1" customHeight="1"/>
    <row r="12601" ht="15" hidden="1" customHeight="1"/>
    <row r="12602" ht="15" hidden="1" customHeight="1"/>
    <row r="12603" ht="15" hidden="1" customHeight="1"/>
    <row r="12604" ht="15" hidden="1" customHeight="1"/>
    <row r="12605" ht="15" hidden="1" customHeight="1"/>
    <row r="12606" ht="15" hidden="1" customHeight="1"/>
    <row r="12607" ht="15" hidden="1" customHeight="1"/>
    <row r="12608" ht="15" hidden="1" customHeight="1"/>
    <row r="12609" ht="15" hidden="1" customHeight="1"/>
    <row r="12610" ht="15" hidden="1" customHeight="1"/>
    <row r="12611" ht="15" hidden="1" customHeight="1"/>
    <row r="12612" ht="15" hidden="1" customHeight="1"/>
    <row r="12613" ht="15" hidden="1" customHeight="1"/>
    <row r="12614" ht="15" hidden="1" customHeight="1"/>
    <row r="12615" ht="15" hidden="1" customHeight="1"/>
    <row r="12616" ht="15" hidden="1" customHeight="1"/>
    <row r="12617" ht="15" hidden="1" customHeight="1"/>
    <row r="12618" ht="15" hidden="1" customHeight="1"/>
    <row r="12619" ht="15" hidden="1" customHeight="1"/>
    <row r="12620" ht="15" hidden="1" customHeight="1"/>
    <row r="12621" ht="15" hidden="1" customHeight="1"/>
    <row r="12622" ht="15" hidden="1" customHeight="1"/>
    <row r="12623" ht="15" hidden="1" customHeight="1"/>
    <row r="12624" ht="15" hidden="1" customHeight="1"/>
    <row r="12625" ht="15" hidden="1" customHeight="1"/>
    <row r="12626" ht="15" hidden="1" customHeight="1"/>
    <row r="12627" ht="15" hidden="1" customHeight="1"/>
    <row r="12628" ht="15" hidden="1" customHeight="1"/>
    <row r="12629" ht="15" hidden="1" customHeight="1"/>
    <row r="12630" ht="15" hidden="1" customHeight="1"/>
    <row r="12631" ht="15" hidden="1" customHeight="1"/>
    <row r="12632" ht="15" hidden="1" customHeight="1"/>
    <row r="12633" ht="15" hidden="1" customHeight="1"/>
    <row r="12634" ht="15" hidden="1" customHeight="1"/>
    <row r="12635" ht="15" hidden="1" customHeight="1"/>
    <row r="12636" ht="15" hidden="1" customHeight="1"/>
    <row r="12637" ht="15" hidden="1" customHeight="1"/>
    <row r="12638" ht="15" hidden="1" customHeight="1"/>
    <row r="12639" ht="15" hidden="1" customHeight="1"/>
    <row r="12640" ht="15" hidden="1" customHeight="1"/>
    <row r="12641" ht="15" hidden="1" customHeight="1"/>
    <row r="12642" ht="15" hidden="1" customHeight="1"/>
    <row r="12643" ht="15" hidden="1" customHeight="1"/>
    <row r="12644" ht="15" hidden="1" customHeight="1"/>
    <row r="12645" ht="15" hidden="1" customHeight="1"/>
    <row r="12646" ht="15" hidden="1" customHeight="1"/>
    <row r="12647" ht="15" hidden="1" customHeight="1"/>
    <row r="12648" ht="15" hidden="1" customHeight="1"/>
    <row r="12649" ht="15" hidden="1" customHeight="1"/>
    <row r="12650" ht="15" hidden="1" customHeight="1"/>
    <row r="12651" ht="15" hidden="1" customHeight="1"/>
    <row r="12652" ht="15" hidden="1" customHeight="1"/>
    <row r="12653" ht="15" hidden="1" customHeight="1"/>
    <row r="12654" ht="15" hidden="1" customHeight="1"/>
    <row r="12655" ht="15" hidden="1" customHeight="1"/>
    <row r="12656" ht="15" hidden="1" customHeight="1"/>
    <row r="12657" ht="15" hidden="1" customHeight="1"/>
    <row r="12658" ht="15" hidden="1" customHeight="1"/>
    <row r="12659" ht="15" hidden="1" customHeight="1"/>
    <row r="12660" ht="15" hidden="1" customHeight="1"/>
    <row r="12661" ht="15" hidden="1" customHeight="1"/>
    <row r="12662" ht="15" hidden="1" customHeight="1"/>
    <row r="12663" ht="15" hidden="1" customHeight="1"/>
    <row r="12664" ht="15" hidden="1" customHeight="1"/>
    <row r="12665" ht="15" hidden="1" customHeight="1"/>
    <row r="12666" ht="15" hidden="1" customHeight="1"/>
    <row r="12667" ht="15" hidden="1" customHeight="1"/>
    <row r="12668" ht="15" hidden="1" customHeight="1"/>
    <row r="12669" ht="15" hidden="1" customHeight="1"/>
    <row r="12670" ht="15" hidden="1" customHeight="1"/>
    <row r="12671" ht="15" hidden="1" customHeight="1"/>
    <row r="12672" ht="15" hidden="1" customHeight="1"/>
    <row r="12673" ht="15" hidden="1" customHeight="1"/>
    <row r="12674" ht="15" hidden="1" customHeight="1"/>
    <row r="12675" ht="15" hidden="1" customHeight="1"/>
    <row r="12676" ht="15" hidden="1" customHeight="1"/>
    <row r="12677" ht="15" hidden="1" customHeight="1"/>
    <row r="12678" ht="15" hidden="1" customHeight="1"/>
    <row r="12679" ht="15" hidden="1" customHeight="1"/>
    <row r="12680" ht="15" hidden="1" customHeight="1"/>
    <row r="12681" ht="15" hidden="1" customHeight="1"/>
    <row r="12682" ht="15" hidden="1" customHeight="1"/>
    <row r="12683" ht="15" hidden="1" customHeight="1"/>
    <row r="12684" ht="15" hidden="1" customHeight="1"/>
    <row r="12685" ht="15" hidden="1" customHeight="1"/>
    <row r="12686" ht="15" hidden="1" customHeight="1"/>
    <row r="12687" ht="15" hidden="1" customHeight="1"/>
    <row r="12688" ht="15" hidden="1" customHeight="1"/>
    <row r="12689" ht="15" hidden="1" customHeight="1"/>
    <row r="12690" ht="15" hidden="1" customHeight="1"/>
    <row r="12691" ht="15" hidden="1" customHeight="1"/>
    <row r="12692" ht="15" hidden="1" customHeight="1"/>
    <row r="12693" ht="15" hidden="1" customHeight="1"/>
    <row r="12694" ht="15" hidden="1" customHeight="1"/>
    <row r="12695" ht="15" hidden="1" customHeight="1"/>
    <row r="12696" ht="15" hidden="1" customHeight="1"/>
    <row r="12697" ht="15" hidden="1" customHeight="1"/>
    <row r="12698" ht="15" hidden="1" customHeight="1"/>
    <row r="12699" ht="15" hidden="1" customHeight="1"/>
    <row r="12700" ht="15" hidden="1" customHeight="1"/>
    <row r="12701" ht="15" hidden="1" customHeight="1"/>
    <row r="12702" ht="15" hidden="1" customHeight="1"/>
    <row r="12703" ht="15" hidden="1" customHeight="1"/>
    <row r="12704" ht="15" hidden="1" customHeight="1"/>
    <row r="12705" ht="15" hidden="1" customHeight="1"/>
    <row r="12706" ht="15" hidden="1" customHeight="1"/>
    <row r="12707" ht="15" hidden="1" customHeight="1"/>
    <row r="12708" ht="15" hidden="1" customHeight="1"/>
    <row r="12709" ht="15" hidden="1" customHeight="1"/>
    <row r="12710" ht="15" hidden="1" customHeight="1"/>
    <row r="12711" ht="15" hidden="1" customHeight="1"/>
    <row r="12712" ht="15" hidden="1" customHeight="1"/>
    <row r="12713" ht="15" hidden="1" customHeight="1"/>
    <row r="12714" ht="15" hidden="1" customHeight="1"/>
    <row r="12715" ht="15" hidden="1" customHeight="1"/>
    <row r="12716" ht="15" hidden="1" customHeight="1"/>
    <row r="12717" ht="15" hidden="1" customHeight="1"/>
    <row r="12718" ht="15" hidden="1" customHeight="1"/>
    <row r="12719" ht="15" hidden="1" customHeight="1"/>
    <row r="12720" ht="15" hidden="1" customHeight="1"/>
    <row r="12721" ht="15" hidden="1" customHeight="1"/>
    <row r="12722" ht="15" hidden="1" customHeight="1"/>
    <row r="12723" ht="15" hidden="1" customHeight="1"/>
    <row r="12724" ht="15" hidden="1" customHeight="1"/>
    <row r="12725" ht="15" hidden="1" customHeight="1"/>
    <row r="12726" ht="15" hidden="1" customHeight="1"/>
    <row r="12727" ht="15" hidden="1" customHeight="1"/>
    <row r="12728" ht="15" hidden="1" customHeight="1"/>
    <row r="12729" ht="15" hidden="1" customHeight="1"/>
    <row r="12730" ht="15" hidden="1" customHeight="1"/>
    <row r="12731" ht="15" hidden="1" customHeight="1"/>
    <row r="12732" ht="15" hidden="1" customHeight="1"/>
    <row r="12733" ht="15" hidden="1" customHeight="1"/>
    <row r="12734" ht="15" hidden="1" customHeight="1"/>
    <row r="12735" ht="15" hidden="1" customHeight="1"/>
    <row r="12736" ht="15" hidden="1" customHeight="1"/>
    <row r="12737" ht="15" hidden="1" customHeight="1"/>
    <row r="12738" ht="15" hidden="1" customHeight="1"/>
    <row r="12739" ht="15" hidden="1" customHeight="1"/>
    <row r="12740" ht="15" hidden="1" customHeight="1"/>
    <row r="12741" ht="15" hidden="1" customHeight="1"/>
    <row r="12742" ht="15" hidden="1" customHeight="1"/>
    <row r="12743" ht="15" hidden="1" customHeight="1"/>
    <row r="12744" ht="15" hidden="1" customHeight="1"/>
    <row r="12745" ht="15" hidden="1" customHeight="1"/>
    <row r="12746" ht="15" hidden="1" customHeight="1"/>
    <row r="12747" ht="15" hidden="1" customHeight="1"/>
    <row r="12748" ht="15" hidden="1" customHeight="1"/>
    <row r="12749" ht="15" hidden="1" customHeight="1"/>
    <row r="12750" ht="15" hidden="1" customHeight="1"/>
    <row r="12751" ht="15" hidden="1" customHeight="1"/>
    <row r="12752" ht="15" hidden="1" customHeight="1"/>
    <row r="12753" ht="15" hidden="1" customHeight="1"/>
    <row r="12754" ht="15" hidden="1" customHeight="1"/>
    <row r="12755" ht="15" hidden="1" customHeight="1"/>
    <row r="12756" ht="15" hidden="1" customHeight="1"/>
    <row r="12757" ht="15" hidden="1" customHeight="1"/>
    <row r="12758" ht="15" hidden="1" customHeight="1"/>
    <row r="12759" ht="15" hidden="1" customHeight="1"/>
    <row r="12760" ht="15" hidden="1" customHeight="1"/>
    <row r="12761" ht="15" hidden="1" customHeight="1"/>
    <row r="12762" ht="15" hidden="1" customHeight="1"/>
    <row r="12763" ht="15" hidden="1" customHeight="1"/>
    <row r="12764" ht="15" hidden="1" customHeight="1"/>
    <row r="12765" ht="15" hidden="1" customHeight="1"/>
    <row r="12766" ht="15" hidden="1" customHeight="1"/>
    <row r="12767" ht="15" hidden="1" customHeight="1"/>
    <row r="12768" ht="15" hidden="1" customHeight="1"/>
    <row r="12769" ht="15" hidden="1" customHeight="1"/>
    <row r="12770" ht="15" hidden="1" customHeight="1"/>
    <row r="12771" ht="15" hidden="1" customHeight="1"/>
    <row r="12772" ht="15" hidden="1" customHeight="1"/>
    <row r="12773" ht="15" hidden="1" customHeight="1"/>
    <row r="12774" ht="15" hidden="1" customHeight="1"/>
    <row r="12775" ht="15" hidden="1" customHeight="1"/>
    <row r="12776" ht="15" hidden="1" customHeight="1"/>
    <row r="12777" ht="15" hidden="1" customHeight="1"/>
    <row r="12778" ht="15" hidden="1" customHeight="1"/>
    <row r="12779" ht="15" hidden="1" customHeight="1"/>
    <row r="12780" ht="15" hidden="1" customHeight="1"/>
    <row r="12781" ht="15" hidden="1" customHeight="1"/>
    <row r="12782" ht="15" hidden="1" customHeight="1"/>
    <row r="12783" ht="15" hidden="1" customHeight="1"/>
    <row r="12784" ht="15" hidden="1" customHeight="1"/>
    <row r="12785" ht="15" hidden="1" customHeight="1"/>
    <row r="12786" ht="15" hidden="1" customHeight="1"/>
    <row r="12787" ht="15" hidden="1" customHeight="1"/>
    <row r="12788" ht="15" hidden="1" customHeight="1"/>
    <row r="12789" ht="15" hidden="1" customHeight="1"/>
    <row r="12790" ht="15" hidden="1" customHeight="1"/>
    <row r="12791" ht="15" hidden="1" customHeight="1"/>
    <row r="12792" ht="15" hidden="1" customHeight="1"/>
    <row r="12793" ht="15" hidden="1" customHeight="1"/>
    <row r="12794" ht="15" hidden="1" customHeight="1"/>
    <row r="12795" ht="15" hidden="1" customHeight="1"/>
    <row r="12796" ht="15" hidden="1" customHeight="1"/>
    <row r="12797" ht="15" hidden="1" customHeight="1"/>
    <row r="12798" ht="15" hidden="1" customHeight="1"/>
    <row r="12799" ht="15" hidden="1" customHeight="1"/>
    <row r="12800" ht="15" hidden="1" customHeight="1"/>
    <row r="12801" ht="15" hidden="1" customHeight="1"/>
    <row r="12802" ht="15" hidden="1" customHeight="1"/>
    <row r="12803" ht="15" hidden="1" customHeight="1"/>
    <row r="12804" ht="15" hidden="1" customHeight="1"/>
    <row r="12805" ht="15" hidden="1" customHeight="1"/>
    <row r="12806" ht="15" hidden="1" customHeight="1"/>
    <row r="12807" ht="15" hidden="1" customHeight="1"/>
    <row r="12808" ht="15" hidden="1" customHeight="1"/>
    <row r="12809" ht="15" hidden="1" customHeight="1"/>
    <row r="12810" ht="15" hidden="1" customHeight="1"/>
    <row r="12811" ht="15" hidden="1" customHeight="1"/>
    <row r="12812" ht="15" hidden="1" customHeight="1"/>
    <row r="12813" ht="15" hidden="1" customHeight="1"/>
    <row r="12814" ht="15" hidden="1" customHeight="1"/>
    <row r="12815" ht="15" hidden="1" customHeight="1"/>
    <row r="12816" ht="15" hidden="1" customHeight="1"/>
    <row r="12817" ht="15" hidden="1" customHeight="1"/>
    <row r="12818" ht="15" hidden="1" customHeight="1"/>
    <row r="12819" ht="15" hidden="1" customHeight="1"/>
    <row r="12820" ht="15" hidden="1" customHeight="1"/>
    <row r="12821" ht="15" hidden="1" customHeight="1"/>
    <row r="12822" ht="15" hidden="1" customHeight="1"/>
    <row r="12823" ht="15" hidden="1" customHeight="1"/>
    <row r="12824" ht="15" hidden="1" customHeight="1"/>
    <row r="12825" ht="15" hidden="1" customHeight="1"/>
    <row r="12826" ht="15" hidden="1" customHeight="1"/>
    <row r="12827" ht="15" hidden="1" customHeight="1"/>
    <row r="12828" ht="15" hidden="1" customHeight="1"/>
    <row r="12829" ht="15" hidden="1" customHeight="1"/>
    <row r="12830" ht="15" hidden="1" customHeight="1"/>
    <row r="12831" ht="15" hidden="1" customHeight="1"/>
    <row r="12832" ht="15" hidden="1" customHeight="1"/>
    <row r="12833" ht="15" hidden="1" customHeight="1"/>
    <row r="12834" ht="15" hidden="1" customHeight="1"/>
    <row r="12835" ht="15" hidden="1" customHeight="1"/>
    <row r="12836" ht="15" hidden="1" customHeight="1"/>
    <row r="12837" ht="15" hidden="1" customHeight="1"/>
    <row r="12838" ht="15" hidden="1" customHeight="1"/>
    <row r="12839" ht="15" hidden="1" customHeight="1"/>
    <row r="12840" ht="15" hidden="1" customHeight="1"/>
    <row r="12841" ht="15" hidden="1" customHeight="1"/>
    <row r="12842" ht="15" hidden="1" customHeight="1"/>
    <row r="12843" ht="15" hidden="1" customHeight="1"/>
    <row r="12844" ht="15" hidden="1" customHeight="1"/>
    <row r="12845" ht="15" hidden="1" customHeight="1"/>
    <row r="12846" ht="15" hidden="1" customHeight="1"/>
    <row r="12847" ht="15" hidden="1" customHeight="1"/>
    <row r="12848" ht="15" hidden="1" customHeight="1"/>
    <row r="12849" ht="15" hidden="1" customHeight="1"/>
    <row r="12850" ht="15" hidden="1" customHeight="1"/>
    <row r="12851" ht="15" hidden="1" customHeight="1"/>
    <row r="12852" ht="15" hidden="1" customHeight="1"/>
    <row r="12853" ht="15" hidden="1" customHeight="1"/>
    <row r="12854" ht="15" hidden="1" customHeight="1"/>
    <row r="12855" ht="15" hidden="1" customHeight="1"/>
    <row r="12856" ht="15" hidden="1" customHeight="1"/>
    <row r="12857" ht="15" hidden="1" customHeight="1"/>
    <row r="12858" ht="15" hidden="1" customHeight="1"/>
    <row r="12859" ht="15" hidden="1" customHeight="1"/>
    <row r="12860" ht="15" hidden="1" customHeight="1"/>
    <row r="12861" ht="15" hidden="1" customHeight="1"/>
    <row r="12862" ht="15" hidden="1" customHeight="1"/>
    <row r="12863" ht="15" hidden="1" customHeight="1"/>
    <row r="12864" ht="15" hidden="1" customHeight="1"/>
    <row r="12865" ht="15" hidden="1" customHeight="1"/>
    <row r="12866" ht="15" hidden="1" customHeight="1"/>
    <row r="12867" ht="15" hidden="1" customHeight="1"/>
    <row r="12868" ht="15" hidden="1" customHeight="1"/>
    <row r="12869" ht="15" hidden="1" customHeight="1"/>
    <row r="12870" ht="15" hidden="1" customHeight="1"/>
    <row r="12871" ht="15" hidden="1" customHeight="1"/>
    <row r="12872" ht="15" hidden="1" customHeight="1"/>
    <row r="12873" ht="15" hidden="1" customHeight="1"/>
    <row r="12874" ht="15" hidden="1" customHeight="1"/>
    <row r="12875" ht="15" hidden="1" customHeight="1"/>
    <row r="12876" ht="15" hidden="1" customHeight="1"/>
    <row r="12877" ht="15" hidden="1" customHeight="1"/>
    <row r="12878" ht="15" hidden="1" customHeight="1"/>
    <row r="12879" ht="15" hidden="1" customHeight="1"/>
    <row r="12880" ht="15" hidden="1" customHeight="1"/>
    <row r="12881" ht="15" hidden="1" customHeight="1"/>
    <row r="12882" ht="15" hidden="1" customHeight="1"/>
    <row r="12883" ht="15" hidden="1" customHeight="1"/>
    <row r="12884" ht="15" hidden="1" customHeight="1"/>
    <row r="12885" ht="15" hidden="1" customHeight="1"/>
    <row r="12886" ht="15" hidden="1" customHeight="1"/>
    <row r="12887" ht="15" hidden="1" customHeight="1"/>
    <row r="12888" ht="15" hidden="1" customHeight="1"/>
    <row r="12889" ht="15" hidden="1" customHeight="1"/>
    <row r="12890" ht="15" hidden="1" customHeight="1"/>
    <row r="12891" ht="15" hidden="1" customHeight="1"/>
    <row r="12892" ht="15" hidden="1" customHeight="1"/>
    <row r="12893" ht="15" hidden="1" customHeight="1"/>
    <row r="12894" ht="15" hidden="1" customHeight="1"/>
    <row r="12895" ht="15" hidden="1" customHeight="1"/>
    <row r="12896" ht="15" hidden="1" customHeight="1"/>
    <row r="12897" ht="15" hidden="1" customHeight="1"/>
    <row r="12898" ht="15" hidden="1" customHeight="1"/>
    <row r="12899" ht="15" hidden="1" customHeight="1"/>
    <row r="12900" ht="15" hidden="1" customHeight="1"/>
    <row r="12901" ht="15" hidden="1" customHeight="1"/>
    <row r="12902" ht="15" hidden="1" customHeight="1"/>
    <row r="12903" ht="15" hidden="1" customHeight="1"/>
    <row r="12904" ht="15" hidden="1" customHeight="1"/>
    <row r="12905" ht="15" hidden="1" customHeight="1"/>
    <row r="12906" ht="15" hidden="1" customHeight="1"/>
    <row r="12907" ht="15" hidden="1" customHeight="1"/>
    <row r="12908" ht="15" hidden="1" customHeight="1"/>
    <row r="12909" ht="15" hidden="1" customHeight="1"/>
    <row r="12910" ht="15" hidden="1" customHeight="1"/>
    <row r="12911" ht="15" hidden="1" customHeight="1"/>
    <row r="12912" ht="15" hidden="1" customHeight="1"/>
    <row r="12913" ht="15" hidden="1" customHeight="1"/>
    <row r="12914" ht="15" hidden="1" customHeight="1"/>
    <row r="12915" ht="15" hidden="1" customHeight="1"/>
    <row r="12916" ht="15" hidden="1" customHeight="1"/>
    <row r="12917" ht="15" hidden="1" customHeight="1"/>
    <row r="12918" ht="15" hidden="1" customHeight="1"/>
    <row r="12919" ht="15" hidden="1" customHeight="1"/>
    <row r="12920" ht="15" hidden="1" customHeight="1"/>
    <row r="12921" ht="15" hidden="1" customHeight="1"/>
    <row r="12922" ht="15" hidden="1" customHeight="1"/>
    <row r="12923" ht="15" hidden="1" customHeight="1"/>
    <row r="12924" ht="15" hidden="1" customHeight="1"/>
    <row r="12925" ht="15" hidden="1" customHeight="1"/>
    <row r="12926" ht="15" hidden="1" customHeight="1"/>
    <row r="12927" ht="15" hidden="1" customHeight="1"/>
    <row r="12928" ht="15" hidden="1" customHeight="1"/>
    <row r="12929" ht="15" hidden="1" customHeight="1"/>
    <row r="12930" ht="15" hidden="1" customHeight="1"/>
    <row r="12931" ht="15" hidden="1" customHeight="1"/>
    <row r="12932" ht="15" hidden="1" customHeight="1"/>
    <row r="12933" ht="15" hidden="1" customHeight="1"/>
    <row r="12934" ht="15" hidden="1" customHeight="1"/>
    <row r="12935" ht="15" hidden="1" customHeight="1"/>
    <row r="12936" ht="15" hidden="1" customHeight="1"/>
    <row r="12937" ht="15" hidden="1" customHeight="1"/>
    <row r="12938" ht="15" hidden="1" customHeight="1"/>
    <row r="12939" ht="15" hidden="1" customHeight="1"/>
    <row r="12940" ht="15" hidden="1" customHeight="1"/>
    <row r="12941" ht="15" hidden="1" customHeight="1"/>
    <row r="12942" ht="15" hidden="1" customHeight="1"/>
    <row r="12943" ht="15" hidden="1" customHeight="1"/>
    <row r="12944" ht="15" hidden="1" customHeight="1"/>
    <row r="12945" ht="15" hidden="1" customHeight="1"/>
    <row r="12946" ht="15" hidden="1" customHeight="1"/>
    <row r="12947" ht="15" hidden="1" customHeight="1"/>
    <row r="12948" ht="15" hidden="1" customHeight="1"/>
    <row r="12949" ht="15" hidden="1" customHeight="1"/>
    <row r="12950" ht="15" hidden="1" customHeight="1"/>
    <row r="12951" ht="15" hidden="1" customHeight="1"/>
    <row r="12952" ht="15" hidden="1" customHeight="1"/>
    <row r="12953" ht="15" hidden="1" customHeight="1"/>
    <row r="12954" ht="15" hidden="1" customHeight="1"/>
    <row r="12955" ht="15" hidden="1" customHeight="1"/>
    <row r="12956" ht="15" hidden="1" customHeight="1"/>
    <row r="12957" ht="15" hidden="1" customHeight="1"/>
    <row r="12958" ht="15" hidden="1" customHeight="1"/>
    <row r="12959" ht="15" hidden="1" customHeight="1"/>
    <row r="12960" ht="15" hidden="1" customHeight="1"/>
    <row r="12961" ht="15" hidden="1" customHeight="1"/>
    <row r="12962" ht="15" hidden="1" customHeight="1"/>
    <row r="12963" ht="15" hidden="1" customHeight="1"/>
    <row r="12964" ht="15" hidden="1" customHeight="1"/>
    <row r="12965" ht="15" hidden="1" customHeight="1"/>
    <row r="12966" ht="15" hidden="1" customHeight="1"/>
    <row r="12967" ht="15" hidden="1" customHeight="1"/>
    <row r="12968" ht="15" hidden="1" customHeight="1"/>
    <row r="12969" ht="15" hidden="1" customHeight="1"/>
    <row r="12970" ht="15" hidden="1" customHeight="1"/>
    <row r="12971" ht="15" hidden="1" customHeight="1"/>
    <row r="12972" ht="15" hidden="1" customHeight="1"/>
    <row r="12973" ht="15" hidden="1" customHeight="1"/>
    <row r="12974" ht="15" hidden="1" customHeight="1"/>
    <row r="12975" ht="15" hidden="1" customHeight="1"/>
    <row r="12976" ht="15" hidden="1" customHeight="1"/>
    <row r="12977" ht="15" hidden="1" customHeight="1"/>
    <row r="12978" ht="15" hidden="1" customHeight="1"/>
    <row r="12979" ht="15" hidden="1" customHeight="1"/>
    <row r="12980" ht="15" hidden="1" customHeight="1"/>
    <row r="12981" ht="15" hidden="1" customHeight="1"/>
    <row r="12982" ht="15" hidden="1" customHeight="1"/>
    <row r="12983" ht="15" hidden="1" customHeight="1"/>
    <row r="12984" ht="15" hidden="1" customHeight="1"/>
    <row r="12985" ht="15" hidden="1" customHeight="1"/>
    <row r="12986" ht="15" hidden="1" customHeight="1"/>
    <row r="12987" ht="15" hidden="1" customHeight="1"/>
    <row r="12988" ht="15" hidden="1" customHeight="1"/>
    <row r="12989" ht="15" hidden="1" customHeight="1"/>
    <row r="12990" ht="15" hidden="1" customHeight="1"/>
    <row r="12991" ht="15" hidden="1" customHeight="1"/>
    <row r="12992" ht="15" hidden="1" customHeight="1"/>
    <row r="12993" ht="15" hidden="1" customHeight="1"/>
    <row r="12994" ht="15" hidden="1" customHeight="1"/>
    <row r="12995" ht="15" hidden="1" customHeight="1"/>
    <row r="12996" ht="15" hidden="1" customHeight="1"/>
    <row r="12997" ht="15" hidden="1" customHeight="1"/>
    <row r="12998" ht="15" hidden="1" customHeight="1"/>
    <row r="12999" ht="15" hidden="1" customHeight="1"/>
    <row r="13000" ht="15" hidden="1" customHeight="1"/>
    <row r="13001" ht="15" hidden="1" customHeight="1"/>
    <row r="13002" ht="15" hidden="1" customHeight="1"/>
    <row r="13003" ht="15" hidden="1" customHeight="1"/>
    <row r="13004" ht="15" hidden="1" customHeight="1"/>
    <row r="13005" ht="15" hidden="1" customHeight="1"/>
    <row r="13006" ht="15" hidden="1" customHeight="1"/>
    <row r="13007" ht="15" hidden="1" customHeight="1"/>
    <row r="13008" ht="15" hidden="1" customHeight="1"/>
    <row r="13009" ht="15" hidden="1" customHeight="1"/>
    <row r="13010" ht="15" hidden="1" customHeight="1"/>
    <row r="13011" ht="15" hidden="1" customHeight="1"/>
    <row r="13012" ht="15" hidden="1" customHeight="1"/>
    <row r="13013" ht="15" hidden="1" customHeight="1"/>
    <row r="13014" ht="15" hidden="1" customHeight="1"/>
    <row r="13015" ht="15" hidden="1" customHeight="1"/>
    <row r="13016" ht="15" hidden="1" customHeight="1"/>
    <row r="13017" ht="15" hidden="1" customHeight="1"/>
    <row r="13018" ht="15" hidden="1" customHeight="1"/>
    <row r="13019" ht="15" hidden="1" customHeight="1"/>
    <row r="13020" ht="15" hidden="1" customHeight="1"/>
    <row r="13021" ht="15" hidden="1" customHeight="1"/>
    <row r="13022" ht="15" hidden="1" customHeight="1"/>
    <row r="13023" ht="15" hidden="1" customHeight="1"/>
    <row r="13024" ht="15" hidden="1" customHeight="1"/>
    <row r="13025" ht="15" hidden="1" customHeight="1"/>
    <row r="13026" ht="15" hidden="1" customHeight="1"/>
    <row r="13027" ht="15" hidden="1" customHeight="1"/>
    <row r="13028" ht="15" hidden="1" customHeight="1"/>
    <row r="13029" ht="15" hidden="1" customHeight="1"/>
    <row r="13030" ht="15" hidden="1" customHeight="1"/>
    <row r="13031" ht="15" hidden="1" customHeight="1"/>
    <row r="13032" ht="15" hidden="1" customHeight="1"/>
    <row r="13033" ht="15" hidden="1" customHeight="1"/>
    <row r="13034" ht="15" hidden="1" customHeight="1"/>
    <row r="13035" ht="15" hidden="1" customHeight="1"/>
    <row r="13036" ht="15" hidden="1" customHeight="1"/>
    <row r="13037" ht="15" hidden="1" customHeight="1"/>
    <row r="13038" ht="15" hidden="1" customHeight="1"/>
    <row r="13039" ht="15" hidden="1" customHeight="1"/>
    <row r="13040" ht="15" hidden="1" customHeight="1"/>
    <row r="13041" ht="15" hidden="1" customHeight="1"/>
    <row r="13042" ht="15" hidden="1" customHeight="1"/>
    <row r="13043" ht="15" hidden="1" customHeight="1"/>
    <row r="13044" ht="15" hidden="1" customHeight="1"/>
    <row r="13045" ht="15" hidden="1" customHeight="1"/>
    <row r="13046" ht="15" hidden="1" customHeight="1"/>
    <row r="13047" ht="15" hidden="1" customHeight="1"/>
    <row r="13048" ht="15" hidden="1" customHeight="1"/>
    <row r="13049" ht="15" hidden="1" customHeight="1"/>
    <row r="13050" ht="15" hidden="1" customHeight="1"/>
    <row r="13051" ht="15" hidden="1" customHeight="1"/>
    <row r="13052" ht="15" hidden="1" customHeight="1"/>
    <row r="13053" ht="15" hidden="1" customHeight="1"/>
    <row r="13054" ht="15" hidden="1" customHeight="1"/>
    <row r="13055" ht="15" hidden="1" customHeight="1"/>
    <row r="13056" ht="15" hidden="1" customHeight="1"/>
    <row r="13057" ht="15" hidden="1" customHeight="1"/>
    <row r="13058" ht="15" hidden="1" customHeight="1"/>
    <row r="13059" ht="15" hidden="1" customHeight="1"/>
    <row r="13060" ht="15" hidden="1" customHeight="1"/>
    <row r="13061" ht="15" hidden="1" customHeight="1"/>
    <row r="13062" ht="15" hidden="1" customHeight="1"/>
    <row r="13063" ht="15" hidden="1" customHeight="1"/>
    <row r="13064" ht="15" hidden="1" customHeight="1"/>
    <row r="13065" ht="15" hidden="1" customHeight="1"/>
    <row r="13066" ht="15" hidden="1" customHeight="1"/>
    <row r="13067" ht="15" hidden="1" customHeight="1"/>
    <row r="13068" ht="15" hidden="1" customHeight="1"/>
    <row r="13069" ht="15" hidden="1" customHeight="1"/>
    <row r="13070" ht="15" hidden="1" customHeight="1"/>
    <row r="13071" ht="15" hidden="1" customHeight="1"/>
    <row r="13072" ht="15" hidden="1" customHeight="1"/>
    <row r="13073" ht="15" hidden="1" customHeight="1"/>
    <row r="13074" ht="15" hidden="1" customHeight="1"/>
    <row r="13075" ht="15" hidden="1" customHeight="1"/>
    <row r="13076" ht="15" hidden="1" customHeight="1"/>
    <row r="13077" ht="15" hidden="1" customHeight="1"/>
    <row r="13078" ht="15" hidden="1" customHeight="1"/>
    <row r="13079" ht="15" hidden="1" customHeight="1"/>
    <row r="13080" ht="15" hidden="1" customHeight="1"/>
    <row r="13081" ht="15" hidden="1" customHeight="1"/>
    <row r="13082" ht="15" hidden="1" customHeight="1"/>
    <row r="13083" ht="15" hidden="1" customHeight="1"/>
    <row r="13084" ht="15" hidden="1" customHeight="1"/>
    <row r="13085" ht="15" hidden="1" customHeight="1"/>
    <row r="13086" ht="15" hidden="1" customHeight="1"/>
    <row r="13087" ht="15" hidden="1" customHeight="1"/>
    <row r="13088" ht="15" hidden="1" customHeight="1"/>
    <row r="13089" ht="15" hidden="1" customHeight="1"/>
    <row r="13090" ht="15" hidden="1" customHeight="1"/>
    <row r="13091" ht="15" hidden="1" customHeight="1"/>
    <row r="13092" ht="15" hidden="1" customHeight="1"/>
    <row r="13093" ht="15" hidden="1" customHeight="1"/>
    <row r="13094" ht="15" hidden="1" customHeight="1"/>
    <row r="13095" ht="15" hidden="1" customHeight="1"/>
    <row r="13096" ht="15" hidden="1" customHeight="1"/>
    <row r="13097" ht="15" hidden="1" customHeight="1"/>
    <row r="13098" ht="15" hidden="1" customHeight="1"/>
    <row r="13099" ht="15" hidden="1" customHeight="1"/>
    <row r="13100" ht="15" hidden="1" customHeight="1"/>
    <row r="13101" ht="15" hidden="1" customHeight="1"/>
    <row r="13102" ht="15" hidden="1" customHeight="1"/>
    <row r="13103" ht="15" hidden="1" customHeight="1"/>
    <row r="13104" ht="15" hidden="1" customHeight="1"/>
    <row r="13105" ht="15" hidden="1" customHeight="1"/>
    <row r="13106" ht="15" hidden="1" customHeight="1"/>
    <row r="13107" ht="15" hidden="1" customHeight="1"/>
    <row r="13108" ht="15" hidden="1" customHeight="1"/>
    <row r="13109" ht="15" hidden="1" customHeight="1"/>
    <row r="13110" ht="15" hidden="1" customHeight="1"/>
    <row r="13111" ht="15" hidden="1" customHeight="1"/>
    <row r="13112" ht="15" hidden="1" customHeight="1"/>
    <row r="13113" ht="15" hidden="1" customHeight="1"/>
    <row r="13114" ht="15" hidden="1" customHeight="1"/>
    <row r="13115" ht="15" hidden="1" customHeight="1"/>
    <row r="13116" ht="15" hidden="1" customHeight="1"/>
    <row r="13117" ht="15" hidden="1" customHeight="1"/>
    <row r="13118" ht="15" hidden="1" customHeight="1"/>
    <row r="13119" ht="15" hidden="1" customHeight="1"/>
    <row r="13120" ht="15" hidden="1" customHeight="1"/>
    <row r="13121" ht="15" hidden="1" customHeight="1"/>
    <row r="13122" ht="15" hidden="1" customHeight="1"/>
    <row r="13123" ht="15" hidden="1" customHeight="1"/>
    <row r="13124" ht="15" hidden="1" customHeight="1"/>
    <row r="13125" ht="15" hidden="1" customHeight="1"/>
    <row r="13126" ht="15" hidden="1" customHeight="1"/>
    <row r="13127" ht="15" hidden="1" customHeight="1"/>
    <row r="13128" ht="15" hidden="1" customHeight="1"/>
    <row r="13129" ht="15" hidden="1" customHeight="1"/>
    <row r="13130" ht="15" hidden="1" customHeight="1"/>
    <row r="13131" ht="15" hidden="1" customHeight="1"/>
    <row r="13132" ht="15" hidden="1" customHeight="1"/>
    <row r="13133" ht="15" hidden="1" customHeight="1"/>
    <row r="13134" ht="15" hidden="1" customHeight="1"/>
    <row r="13135" ht="15" hidden="1" customHeight="1"/>
    <row r="13136" ht="15" hidden="1" customHeight="1"/>
    <row r="13137" ht="15" hidden="1" customHeight="1"/>
    <row r="13138" ht="15" hidden="1" customHeight="1"/>
    <row r="13139" ht="15" hidden="1" customHeight="1"/>
    <row r="13140" ht="15" hidden="1" customHeight="1"/>
    <row r="13141" ht="15" hidden="1" customHeight="1"/>
    <row r="13142" ht="15" hidden="1" customHeight="1"/>
    <row r="13143" ht="15" hidden="1" customHeight="1"/>
    <row r="13144" ht="15" hidden="1" customHeight="1"/>
    <row r="13145" ht="15" hidden="1" customHeight="1"/>
    <row r="13146" ht="15" hidden="1" customHeight="1"/>
    <row r="13147" ht="15" hidden="1" customHeight="1"/>
    <row r="13148" ht="15" hidden="1" customHeight="1"/>
    <row r="13149" ht="15" hidden="1" customHeight="1"/>
    <row r="13150" ht="15" hidden="1" customHeight="1"/>
    <row r="13151" ht="15" hidden="1" customHeight="1"/>
    <row r="13152" ht="15" hidden="1" customHeight="1"/>
    <row r="13153" ht="15" hidden="1" customHeight="1"/>
    <row r="13154" ht="15" hidden="1" customHeight="1"/>
    <row r="13155" ht="15" hidden="1" customHeight="1"/>
    <row r="13156" ht="15" hidden="1" customHeight="1"/>
    <row r="13157" ht="15" hidden="1" customHeight="1"/>
    <row r="13158" ht="15" hidden="1" customHeight="1"/>
    <row r="13159" ht="15" hidden="1" customHeight="1"/>
    <row r="13160" ht="15" hidden="1" customHeight="1"/>
    <row r="13161" ht="15" hidden="1" customHeight="1"/>
    <row r="13162" ht="15" hidden="1" customHeight="1"/>
    <row r="13163" ht="15" hidden="1" customHeight="1"/>
    <row r="13164" ht="15" hidden="1" customHeight="1"/>
    <row r="13165" ht="15" hidden="1" customHeight="1"/>
    <row r="13166" ht="15" hidden="1" customHeight="1"/>
    <row r="13167" ht="15" hidden="1" customHeight="1"/>
    <row r="13168" ht="15" hidden="1" customHeight="1"/>
    <row r="13169" ht="15" hidden="1" customHeight="1"/>
    <row r="13170" ht="15" hidden="1" customHeight="1"/>
    <row r="13171" ht="15" hidden="1" customHeight="1"/>
    <row r="13172" ht="15" hidden="1" customHeight="1"/>
    <row r="13173" ht="15" hidden="1" customHeight="1"/>
    <row r="13174" ht="15" hidden="1" customHeight="1"/>
    <row r="13175" ht="15" hidden="1" customHeight="1"/>
    <row r="13176" ht="15" hidden="1" customHeight="1"/>
    <row r="13177" ht="15" hidden="1" customHeight="1"/>
    <row r="13178" ht="15" hidden="1" customHeight="1"/>
    <row r="13179" ht="15" hidden="1" customHeight="1"/>
    <row r="13180" ht="15" hidden="1" customHeight="1"/>
    <row r="13181" ht="15" hidden="1" customHeight="1"/>
    <row r="13182" ht="15" hidden="1" customHeight="1"/>
    <row r="13183" ht="15" hidden="1" customHeight="1"/>
    <row r="13184" ht="15" hidden="1" customHeight="1"/>
    <row r="13185" ht="15" hidden="1" customHeight="1"/>
    <row r="13186" ht="15" hidden="1" customHeight="1"/>
    <row r="13187" ht="15" hidden="1" customHeight="1"/>
    <row r="13188" ht="15" hidden="1" customHeight="1"/>
    <row r="13189" ht="15" hidden="1" customHeight="1"/>
    <row r="13190" ht="15" hidden="1" customHeight="1"/>
    <row r="13191" ht="15" hidden="1" customHeight="1"/>
    <row r="13192" ht="15" hidden="1" customHeight="1"/>
    <row r="13193" ht="15" hidden="1" customHeight="1"/>
    <row r="13194" ht="15" hidden="1" customHeight="1"/>
    <row r="13195" ht="15" hidden="1" customHeight="1"/>
    <row r="13196" ht="15" hidden="1" customHeight="1"/>
    <row r="13197" ht="15" hidden="1" customHeight="1"/>
    <row r="13198" ht="15" hidden="1" customHeight="1"/>
    <row r="13199" ht="15" hidden="1" customHeight="1"/>
    <row r="13200" ht="15" hidden="1" customHeight="1"/>
    <row r="13201" ht="15" hidden="1" customHeight="1"/>
    <row r="13202" ht="15" hidden="1" customHeight="1"/>
    <row r="13203" ht="15" hidden="1" customHeight="1"/>
    <row r="13204" ht="15" hidden="1" customHeight="1"/>
    <row r="13205" ht="15" hidden="1" customHeight="1"/>
    <row r="13206" ht="15" hidden="1" customHeight="1"/>
    <row r="13207" ht="15" hidden="1" customHeight="1"/>
    <row r="13208" ht="15" hidden="1" customHeight="1"/>
    <row r="13209" ht="15" hidden="1" customHeight="1"/>
    <row r="13210" ht="15" hidden="1" customHeight="1"/>
    <row r="13211" ht="15" hidden="1" customHeight="1"/>
    <row r="13212" ht="15" hidden="1" customHeight="1"/>
    <row r="13213" ht="15" hidden="1" customHeight="1"/>
    <row r="13214" ht="15" hidden="1" customHeight="1"/>
    <row r="13215" ht="15" hidden="1" customHeight="1"/>
    <row r="13216" ht="15" hidden="1" customHeight="1"/>
    <row r="13217" ht="15" hidden="1" customHeight="1"/>
    <row r="13218" ht="15" hidden="1" customHeight="1"/>
    <row r="13219" ht="15" hidden="1" customHeight="1"/>
    <row r="13220" ht="15" hidden="1" customHeight="1"/>
    <row r="13221" ht="15" hidden="1" customHeight="1"/>
    <row r="13222" ht="15" hidden="1" customHeight="1"/>
    <row r="13223" ht="15" hidden="1" customHeight="1"/>
    <row r="13224" ht="15" hidden="1" customHeight="1"/>
    <row r="13225" ht="15" hidden="1" customHeight="1"/>
    <row r="13226" ht="15" hidden="1" customHeight="1"/>
    <row r="13227" ht="15" hidden="1" customHeight="1"/>
    <row r="13228" ht="15" hidden="1" customHeight="1"/>
    <row r="13229" ht="15" hidden="1" customHeight="1"/>
    <row r="13230" ht="15" hidden="1" customHeight="1"/>
    <row r="13231" ht="15" hidden="1" customHeight="1"/>
    <row r="13232" ht="15" hidden="1" customHeight="1"/>
    <row r="13233" ht="15" hidden="1" customHeight="1"/>
    <row r="13234" ht="15" hidden="1" customHeight="1"/>
    <row r="13235" ht="15" hidden="1" customHeight="1"/>
    <row r="13236" ht="15" hidden="1" customHeight="1"/>
    <row r="13237" ht="15" hidden="1" customHeight="1"/>
    <row r="13238" ht="15" hidden="1" customHeight="1"/>
    <row r="13239" ht="15" hidden="1" customHeight="1"/>
    <row r="13240" ht="15" hidden="1" customHeight="1"/>
    <row r="13241" ht="15" hidden="1" customHeight="1"/>
    <row r="13242" ht="15" hidden="1" customHeight="1"/>
    <row r="13243" ht="15" hidden="1" customHeight="1"/>
    <row r="13244" ht="15" hidden="1" customHeight="1"/>
    <row r="13245" ht="15" hidden="1" customHeight="1"/>
    <row r="13246" ht="15" hidden="1" customHeight="1"/>
    <row r="13247" ht="15" hidden="1" customHeight="1"/>
    <row r="13248" ht="15" hidden="1" customHeight="1"/>
    <row r="13249" ht="15" hidden="1" customHeight="1"/>
    <row r="13250" ht="15" hidden="1" customHeight="1"/>
    <row r="13251" ht="15" hidden="1" customHeight="1"/>
    <row r="13252" ht="15" hidden="1" customHeight="1"/>
    <row r="13253" ht="15" hidden="1" customHeight="1"/>
    <row r="13254" ht="15" hidden="1" customHeight="1"/>
    <row r="13255" ht="15" hidden="1" customHeight="1"/>
    <row r="13256" ht="15" hidden="1" customHeight="1"/>
    <row r="13257" ht="15" hidden="1" customHeight="1"/>
    <row r="13258" ht="15" hidden="1" customHeight="1"/>
    <row r="13259" ht="15" hidden="1" customHeight="1"/>
    <row r="13260" ht="15" hidden="1" customHeight="1"/>
    <row r="13261" ht="15" hidden="1" customHeight="1"/>
    <row r="13262" ht="15" hidden="1" customHeight="1"/>
    <row r="13263" ht="15" hidden="1" customHeight="1"/>
    <row r="13264" ht="15" hidden="1" customHeight="1"/>
    <row r="13265" ht="15" hidden="1" customHeight="1"/>
    <row r="13266" ht="15" hidden="1" customHeight="1"/>
    <row r="13267" ht="15" hidden="1" customHeight="1"/>
    <row r="13268" ht="15" hidden="1" customHeight="1"/>
    <row r="13269" ht="15" hidden="1" customHeight="1"/>
    <row r="13270" ht="15" hidden="1" customHeight="1"/>
    <row r="13271" ht="15" hidden="1" customHeight="1"/>
    <row r="13272" ht="15" hidden="1" customHeight="1"/>
    <row r="13273" ht="15" hidden="1" customHeight="1"/>
    <row r="13274" ht="15" hidden="1" customHeight="1"/>
    <row r="13275" ht="15" hidden="1" customHeight="1"/>
    <row r="13276" ht="15" hidden="1" customHeight="1"/>
    <row r="13277" ht="15" hidden="1" customHeight="1"/>
    <row r="13278" ht="15" hidden="1" customHeight="1"/>
    <row r="13279" ht="15" hidden="1" customHeight="1"/>
    <row r="13280" ht="15" hidden="1" customHeight="1"/>
    <row r="13281" ht="15" hidden="1" customHeight="1"/>
    <row r="13282" ht="15" hidden="1" customHeight="1"/>
    <row r="13283" ht="15" hidden="1" customHeight="1"/>
    <row r="13284" ht="15" hidden="1" customHeight="1"/>
    <row r="13285" ht="15" hidden="1" customHeight="1"/>
    <row r="13286" ht="15" hidden="1" customHeight="1"/>
    <row r="13287" ht="15" hidden="1" customHeight="1"/>
    <row r="13288" ht="15" hidden="1" customHeight="1"/>
    <row r="13289" ht="15" hidden="1" customHeight="1"/>
    <row r="13290" ht="15" hidden="1" customHeight="1"/>
    <row r="13291" ht="15" hidden="1" customHeight="1"/>
    <row r="13292" ht="15" hidden="1" customHeight="1"/>
    <row r="13293" ht="15" hidden="1" customHeight="1"/>
    <row r="13294" ht="15" hidden="1" customHeight="1"/>
    <row r="13295" ht="15" hidden="1" customHeight="1"/>
    <row r="13296" ht="15" hidden="1" customHeight="1"/>
    <row r="13297" ht="15" hidden="1" customHeight="1"/>
    <row r="13298" ht="15" hidden="1" customHeight="1"/>
    <row r="13299" ht="15" hidden="1" customHeight="1"/>
    <row r="13300" ht="15" hidden="1" customHeight="1"/>
    <row r="13301" ht="15" hidden="1" customHeight="1"/>
    <row r="13302" ht="15" hidden="1" customHeight="1"/>
    <row r="13303" ht="15" hidden="1" customHeight="1"/>
    <row r="13304" ht="15" hidden="1" customHeight="1"/>
    <row r="13305" ht="15" hidden="1" customHeight="1"/>
    <row r="13306" ht="15" hidden="1" customHeight="1"/>
    <row r="13307" ht="15" hidden="1" customHeight="1"/>
    <row r="13308" ht="15" hidden="1" customHeight="1"/>
    <row r="13309" ht="15" hidden="1" customHeight="1"/>
    <row r="13310" ht="15" hidden="1" customHeight="1"/>
    <row r="13311" ht="15" hidden="1" customHeight="1"/>
    <row r="13312" ht="15" hidden="1" customHeight="1"/>
    <row r="13313" ht="15" hidden="1" customHeight="1"/>
    <row r="13314" ht="15" hidden="1" customHeight="1"/>
    <row r="13315" ht="15" hidden="1" customHeight="1"/>
    <row r="13316" ht="15" hidden="1" customHeight="1"/>
    <row r="13317" ht="15" hidden="1" customHeight="1"/>
    <row r="13318" ht="15" hidden="1" customHeight="1"/>
    <row r="13319" ht="15" hidden="1" customHeight="1"/>
    <row r="13320" ht="15" hidden="1" customHeight="1"/>
    <row r="13321" ht="15" hidden="1" customHeight="1"/>
    <row r="13322" ht="15" hidden="1" customHeight="1"/>
    <row r="13323" ht="15" hidden="1" customHeight="1"/>
    <row r="13324" ht="15" hidden="1" customHeight="1"/>
    <row r="13325" ht="15" hidden="1" customHeight="1"/>
    <row r="13326" ht="15" hidden="1" customHeight="1"/>
    <row r="13327" ht="15" hidden="1" customHeight="1"/>
    <row r="13328" ht="15" hidden="1" customHeight="1"/>
    <row r="13329" ht="15" hidden="1" customHeight="1"/>
    <row r="13330" ht="15" hidden="1" customHeight="1"/>
    <row r="13331" ht="15" hidden="1" customHeight="1"/>
    <row r="13332" ht="15" hidden="1" customHeight="1"/>
    <row r="13333" ht="15" hidden="1" customHeight="1"/>
    <row r="13334" ht="15" hidden="1" customHeight="1"/>
    <row r="13335" ht="15" hidden="1" customHeight="1"/>
    <row r="13336" ht="15" hidden="1" customHeight="1"/>
    <row r="13337" ht="15" hidden="1" customHeight="1"/>
    <row r="13338" ht="15" hidden="1" customHeight="1"/>
    <row r="13339" ht="15" hidden="1" customHeight="1"/>
    <row r="13340" ht="15" hidden="1" customHeight="1"/>
    <row r="13341" ht="15" hidden="1" customHeight="1"/>
    <row r="13342" ht="15" hidden="1" customHeight="1"/>
    <row r="13343" ht="15" hidden="1" customHeight="1"/>
    <row r="13344" ht="15" hidden="1" customHeight="1"/>
    <row r="13345" ht="15" hidden="1" customHeight="1"/>
    <row r="13346" ht="15" hidden="1" customHeight="1"/>
    <row r="13347" ht="15" hidden="1" customHeight="1"/>
    <row r="13348" ht="15" hidden="1" customHeight="1"/>
    <row r="13349" ht="15" hidden="1" customHeight="1"/>
    <row r="13350" ht="15" hidden="1" customHeight="1"/>
    <row r="13351" ht="15" hidden="1" customHeight="1"/>
    <row r="13352" ht="15" hidden="1" customHeight="1"/>
    <row r="13353" ht="15" hidden="1" customHeight="1"/>
    <row r="13354" ht="15" hidden="1" customHeight="1"/>
    <row r="13355" ht="15" hidden="1" customHeight="1"/>
    <row r="13356" ht="15" hidden="1" customHeight="1"/>
    <row r="13357" ht="15" hidden="1" customHeight="1"/>
    <row r="13358" ht="15" hidden="1" customHeight="1"/>
    <row r="13359" ht="15" hidden="1" customHeight="1"/>
    <row r="13360" ht="15" hidden="1" customHeight="1"/>
    <row r="13361" ht="15" hidden="1" customHeight="1"/>
    <row r="13362" ht="15" hidden="1" customHeight="1"/>
    <row r="13363" ht="15" hidden="1" customHeight="1"/>
    <row r="13364" ht="15" hidden="1" customHeight="1"/>
    <row r="13365" ht="15" hidden="1" customHeight="1"/>
    <row r="13366" ht="15" hidden="1" customHeight="1"/>
    <row r="13367" ht="15" hidden="1" customHeight="1"/>
    <row r="13368" ht="15" hidden="1" customHeight="1"/>
    <row r="13369" ht="15" hidden="1" customHeight="1"/>
    <row r="13370" ht="15" hidden="1" customHeight="1"/>
    <row r="13371" ht="15" hidden="1" customHeight="1"/>
    <row r="13372" ht="15" hidden="1" customHeight="1"/>
    <row r="13373" ht="15" hidden="1" customHeight="1"/>
    <row r="13374" ht="15" hidden="1" customHeight="1"/>
    <row r="13375" ht="15" hidden="1" customHeight="1"/>
    <row r="13376" ht="15" hidden="1" customHeight="1"/>
    <row r="13377" ht="15" hidden="1" customHeight="1"/>
    <row r="13378" ht="15" hidden="1" customHeight="1"/>
    <row r="13379" ht="15" hidden="1" customHeight="1"/>
    <row r="13380" ht="15" hidden="1" customHeight="1"/>
    <row r="13381" ht="15" hidden="1" customHeight="1"/>
    <row r="13382" ht="15" hidden="1" customHeight="1"/>
    <row r="13383" ht="15" hidden="1" customHeight="1"/>
    <row r="13384" ht="15" hidden="1" customHeight="1"/>
    <row r="13385" ht="15" hidden="1" customHeight="1"/>
    <row r="13386" ht="15" hidden="1" customHeight="1"/>
    <row r="13387" ht="15" hidden="1" customHeight="1"/>
    <row r="13388" ht="15" hidden="1" customHeight="1"/>
    <row r="13389" ht="15" hidden="1" customHeight="1"/>
    <row r="13390" ht="15" hidden="1" customHeight="1"/>
    <row r="13391" ht="15" hidden="1" customHeight="1"/>
    <row r="13392" ht="15" hidden="1" customHeight="1"/>
    <row r="13393" ht="15" hidden="1" customHeight="1"/>
    <row r="13394" ht="15" hidden="1" customHeight="1"/>
    <row r="13395" ht="15" hidden="1" customHeight="1"/>
    <row r="13396" ht="15" hidden="1" customHeight="1"/>
    <row r="13397" ht="15" hidden="1" customHeight="1"/>
    <row r="13398" ht="15" hidden="1" customHeight="1"/>
    <row r="13399" ht="15" hidden="1" customHeight="1"/>
    <row r="13400" ht="15" hidden="1" customHeight="1"/>
    <row r="13401" ht="15" hidden="1" customHeight="1"/>
    <row r="13402" ht="15" hidden="1" customHeight="1"/>
    <row r="13403" ht="15" hidden="1" customHeight="1"/>
    <row r="13404" ht="15" hidden="1" customHeight="1"/>
    <row r="13405" ht="15" hidden="1" customHeight="1"/>
    <row r="13406" ht="15" hidden="1" customHeight="1"/>
    <row r="13407" ht="15" hidden="1" customHeight="1"/>
    <row r="13408" ht="15" hidden="1" customHeight="1"/>
    <row r="13409" ht="15" hidden="1" customHeight="1"/>
    <row r="13410" ht="15" hidden="1" customHeight="1"/>
    <row r="13411" ht="15" hidden="1" customHeight="1"/>
    <row r="13412" ht="15" hidden="1" customHeight="1"/>
    <row r="13413" ht="15" hidden="1" customHeight="1"/>
    <row r="13414" ht="15" hidden="1" customHeight="1"/>
    <row r="13415" ht="15" hidden="1" customHeight="1"/>
    <row r="13416" ht="15" hidden="1" customHeight="1"/>
    <row r="13417" ht="15" hidden="1" customHeight="1"/>
    <row r="13418" ht="15" hidden="1" customHeight="1"/>
    <row r="13419" ht="15" hidden="1" customHeight="1"/>
    <row r="13420" ht="15" hidden="1" customHeight="1"/>
    <row r="13421" ht="15" hidden="1" customHeight="1"/>
    <row r="13422" ht="15" hidden="1" customHeight="1"/>
    <row r="13423" ht="15" hidden="1" customHeight="1"/>
    <row r="13424" ht="15" hidden="1" customHeight="1"/>
    <row r="13425" ht="15" hidden="1" customHeight="1"/>
    <row r="13426" ht="15" hidden="1" customHeight="1"/>
    <row r="13427" ht="15" hidden="1" customHeight="1"/>
    <row r="13428" ht="15" hidden="1" customHeight="1"/>
    <row r="13429" ht="15" hidden="1" customHeight="1"/>
    <row r="13430" ht="15" hidden="1" customHeight="1"/>
    <row r="13431" ht="15" hidden="1" customHeight="1"/>
    <row r="13432" ht="15" hidden="1" customHeight="1"/>
    <row r="13433" ht="15" hidden="1" customHeight="1"/>
    <row r="13434" ht="15" hidden="1" customHeight="1"/>
    <row r="13435" ht="15" hidden="1" customHeight="1"/>
    <row r="13436" ht="15" hidden="1" customHeight="1"/>
    <row r="13437" ht="15" hidden="1" customHeight="1"/>
    <row r="13438" ht="15" hidden="1" customHeight="1"/>
    <row r="13439" ht="15" hidden="1" customHeight="1"/>
    <row r="13440" ht="15" hidden="1" customHeight="1"/>
    <row r="13441" ht="15" hidden="1" customHeight="1"/>
    <row r="13442" ht="15" hidden="1" customHeight="1"/>
    <row r="13443" ht="15" hidden="1" customHeight="1"/>
    <row r="13444" ht="15" hidden="1" customHeight="1"/>
    <row r="13445" ht="15" hidden="1" customHeight="1"/>
    <row r="13446" ht="15" hidden="1" customHeight="1"/>
    <row r="13447" ht="15" hidden="1" customHeight="1"/>
    <row r="13448" ht="15" hidden="1" customHeight="1"/>
    <row r="13449" ht="15" hidden="1" customHeight="1"/>
    <row r="13450" ht="15" hidden="1" customHeight="1"/>
    <row r="13451" ht="15" hidden="1" customHeight="1"/>
    <row r="13452" ht="15" hidden="1" customHeight="1"/>
    <row r="13453" ht="15" hidden="1" customHeight="1"/>
    <row r="13454" ht="15" hidden="1" customHeight="1"/>
    <row r="13455" ht="15" hidden="1" customHeight="1"/>
    <row r="13456" ht="15" hidden="1" customHeight="1"/>
    <row r="13457" ht="15" hidden="1" customHeight="1"/>
    <row r="13458" ht="15" hidden="1" customHeight="1"/>
    <row r="13459" ht="15" hidden="1" customHeight="1"/>
    <row r="13460" ht="15" hidden="1" customHeight="1"/>
    <row r="13461" ht="15" hidden="1" customHeight="1"/>
    <row r="13462" ht="15" hidden="1" customHeight="1"/>
    <row r="13463" ht="15" hidden="1" customHeight="1"/>
    <row r="13464" ht="15" hidden="1" customHeight="1"/>
    <row r="13465" ht="15" hidden="1" customHeight="1"/>
    <row r="13466" ht="15" hidden="1" customHeight="1"/>
    <row r="13467" ht="15" hidden="1" customHeight="1"/>
    <row r="13468" ht="15" hidden="1" customHeight="1"/>
    <row r="13469" ht="15" hidden="1" customHeight="1"/>
    <row r="13470" ht="15" hidden="1" customHeight="1"/>
    <row r="13471" ht="15" hidden="1" customHeight="1"/>
    <row r="13472" ht="15" hidden="1" customHeight="1"/>
    <row r="13473" ht="15" hidden="1" customHeight="1"/>
    <row r="13474" ht="15" hidden="1" customHeight="1"/>
    <row r="13475" ht="15" hidden="1" customHeight="1"/>
    <row r="13476" ht="15" hidden="1" customHeight="1"/>
    <row r="13477" ht="15" hidden="1" customHeight="1"/>
    <row r="13478" ht="15" hidden="1" customHeight="1"/>
    <row r="13479" ht="15" hidden="1" customHeight="1"/>
    <row r="13480" ht="15" hidden="1" customHeight="1"/>
    <row r="13481" ht="15" hidden="1" customHeight="1"/>
    <row r="13482" ht="15" hidden="1" customHeight="1"/>
    <row r="13483" ht="15" hidden="1" customHeight="1"/>
    <row r="13484" ht="15" hidden="1" customHeight="1"/>
    <row r="13485" ht="15" hidden="1" customHeight="1"/>
    <row r="13486" ht="15" hidden="1" customHeight="1"/>
    <row r="13487" ht="15" hidden="1" customHeight="1"/>
    <row r="13488" ht="15" hidden="1" customHeight="1"/>
    <row r="13489" ht="15" hidden="1" customHeight="1"/>
    <row r="13490" ht="15" hidden="1" customHeight="1"/>
    <row r="13491" ht="15" hidden="1" customHeight="1"/>
    <row r="13492" ht="15" hidden="1" customHeight="1"/>
    <row r="13493" ht="15" hidden="1" customHeight="1"/>
    <row r="13494" ht="15" hidden="1" customHeight="1"/>
    <row r="13495" ht="15" hidden="1" customHeight="1"/>
    <row r="13496" ht="15" hidden="1" customHeight="1"/>
    <row r="13497" ht="15" hidden="1" customHeight="1"/>
    <row r="13498" ht="15" hidden="1" customHeight="1"/>
    <row r="13499" ht="15" hidden="1" customHeight="1"/>
    <row r="13500" ht="15" hidden="1" customHeight="1"/>
    <row r="13501" ht="15" hidden="1" customHeight="1"/>
    <row r="13502" ht="15" hidden="1" customHeight="1"/>
    <row r="13503" ht="15" hidden="1" customHeight="1"/>
    <row r="13504" ht="15" hidden="1" customHeight="1"/>
    <row r="13505" ht="15" hidden="1" customHeight="1"/>
    <row r="13506" ht="15" hidden="1" customHeight="1"/>
    <row r="13507" ht="15" hidden="1" customHeight="1"/>
    <row r="13508" ht="15" hidden="1" customHeight="1"/>
    <row r="13509" ht="15" hidden="1" customHeight="1"/>
    <row r="13510" ht="15" hidden="1" customHeight="1"/>
    <row r="13511" ht="15" hidden="1" customHeight="1"/>
    <row r="13512" ht="15" hidden="1" customHeight="1"/>
    <row r="13513" ht="15" hidden="1" customHeight="1"/>
    <row r="13514" ht="15" hidden="1" customHeight="1"/>
    <row r="13515" ht="15" hidden="1" customHeight="1"/>
    <row r="13516" ht="15" hidden="1" customHeight="1"/>
    <row r="13517" ht="15" hidden="1" customHeight="1"/>
    <row r="13518" ht="15" hidden="1" customHeight="1"/>
    <row r="13519" ht="15" hidden="1" customHeight="1"/>
    <row r="13520" ht="15" hidden="1" customHeight="1"/>
    <row r="13521" ht="15" hidden="1" customHeight="1"/>
    <row r="13522" ht="15" hidden="1" customHeight="1"/>
    <row r="13523" ht="15" hidden="1" customHeight="1"/>
    <row r="13524" ht="15" hidden="1" customHeight="1"/>
    <row r="13525" ht="15" hidden="1" customHeight="1"/>
    <row r="13526" ht="15" hidden="1" customHeight="1"/>
    <row r="13527" ht="15" hidden="1" customHeight="1"/>
    <row r="13528" ht="15" hidden="1" customHeight="1"/>
    <row r="13529" ht="15" hidden="1" customHeight="1"/>
    <row r="13530" ht="15" hidden="1" customHeight="1"/>
    <row r="13531" ht="15" hidden="1" customHeight="1"/>
    <row r="13532" ht="15" hidden="1" customHeight="1"/>
    <row r="13533" ht="15" hidden="1" customHeight="1"/>
    <row r="13534" ht="15" hidden="1" customHeight="1"/>
    <row r="13535" ht="15" hidden="1" customHeight="1"/>
    <row r="13536" ht="15" hidden="1" customHeight="1"/>
    <row r="13537" ht="15" hidden="1" customHeight="1"/>
    <row r="13538" ht="15" hidden="1" customHeight="1"/>
    <row r="13539" ht="15" hidden="1" customHeight="1"/>
    <row r="13540" ht="15" hidden="1" customHeight="1"/>
    <row r="13541" ht="15" hidden="1" customHeight="1"/>
    <row r="13542" ht="15" hidden="1" customHeight="1"/>
    <row r="13543" ht="15" hidden="1" customHeight="1"/>
    <row r="13544" ht="15" hidden="1" customHeight="1"/>
    <row r="13545" ht="15" hidden="1" customHeight="1"/>
    <row r="13546" ht="15" hidden="1" customHeight="1"/>
    <row r="13547" ht="15" hidden="1" customHeight="1"/>
    <row r="13548" ht="15" hidden="1" customHeight="1"/>
    <row r="13549" ht="15" hidden="1" customHeight="1"/>
    <row r="13550" ht="15" hidden="1" customHeight="1"/>
    <row r="13551" ht="15" hidden="1" customHeight="1"/>
    <row r="13552" ht="15" hidden="1" customHeight="1"/>
    <row r="13553" ht="15" hidden="1" customHeight="1"/>
    <row r="13554" ht="15" hidden="1" customHeight="1"/>
    <row r="13555" ht="15" hidden="1" customHeight="1"/>
    <row r="13556" ht="15" hidden="1" customHeight="1"/>
    <row r="13557" ht="15" hidden="1" customHeight="1"/>
    <row r="13558" ht="15" hidden="1" customHeight="1"/>
    <row r="13559" ht="15" hidden="1" customHeight="1"/>
    <row r="13560" ht="15" hidden="1" customHeight="1"/>
    <row r="13561" ht="15" hidden="1" customHeight="1"/>
    <row r="13562" ht="15" hidden="1" customHeight="1"/>
    <row r="13563" ht="15" hidden="1" customHeight="1"/>
    <row r="13564" ht="15" hidden="1" customHeight="1"/>
    <row r="13565" ht="15" hidden="1" customHeight="1"/>
    <row r="13566" ht="15" hidden="1" customHeight="1"/>
    <row r="13567" ht="15" hidden="1" customHeight="1"/>
    <row r="13568" ht="15" hidden="1" customHeight="1"/>
    <row r="13569" ht="15" hidden="1" customHeight="1"/>
    <row r="13570" ht="15" hidden="1" customHeight="1"/>
    <row r="13571" ht="15" hidden="1" customHeight="1"/>
    <row r="13572" ht="15" hidden="1" customHeight="1"/>
    <row r="13573" ht="15" hidden="1" customHeight="1"/>
    <row r="13574" ht="15" hidden="1" customHeight="1"/>
    <row r="13575" ht="15" hidden="1" customHeight="1"/>
    <row r="13576" ht="15" hidden="1" customHeight="1"/>
    <row r="13577" ht="15" hidden="1" customHeight="1"/>
    <row r="13578" ht="15" hidden="1" customHeight="1"/>
    <row r="13579" ht="15" hidden="1" customHeight="1"/>
    <row r="13580" ht="15" hidden="1" customHeight="1"/>
    <row r="13581" ht="15" hidden="1" customHeight="1"/>
    <row r="13582" ht="15" hidden="1" customHeight="1"/>
    <row r="13583" ht="15" hidden="1" customHeight="1"/>
    <row r="13584" ht="15" hidden="1" customHeight="1"/>
    <row r="13585" ht="15" hidden="1" customHeight="1"/>
    <row r="13586" ht="15" hidden="1" customHeight="1"/>
    <row r="13587" ht="15" hidden="1" customHeight="1"/>
    <row r="13588" ht="15" hidden="1" customHeight="1"/>
    <row r="13589" ht="15" hidden="1" customHeight="1"/>
    <row r="13590" ht="15" hidden="1" customHeight="1"/>
    <row r="13591" ht="15" hidden="1" customHeight="1"/>
    <row r="13592" ht="15" hidden="1" customHeight="1"/>
    <row r="13593" ht="15" hidden="1" customHeight="1"/>
    <row r="13594" ht="15" hidden="1" customHeight="1"/>
    <row r="13595" ht="15" hidden="1" customHeight="1"/>
    <row r="13596" ht="15" hidden="1" customHeight="1"/>
    <row r="13597" ht="15" hidden="1" customHeight="1"/>
    <row r="13598" ht="15" hidden="1" customHeight="1"/>
    <row r="13599" ht="15" hidden="1" customHeight="1"/>
    <row r="13600" ht="15" hidden="1" customHeight="1"/>
    <row r="13601" ht="15" hidden="1" customHeight="1"/>
    <row r="13602" ht="15" hidden="1" customHeight="1"/>
    <row r="13603" ht="15" hidden="1" customHeight="1"/>
    <row r="13604" ht="15" hidden="1" customHeight="1"/>
    <row r="13605" ht="15" hidden="1" customHeight="1"/>
    <row r="13606" ht="15" hidden="1" customHeight="1"/>
    <row r="13607" ht="15" hidden="1" customHeight="1"/>
    <row r="13608" ht="15" hidden="1" customHeight="1"/>
    <row r="13609" ht="15" hidden="1" customHeight="1"/>
    <row r="13610" ht="15" hidden="1" customHeight="1"/>
    <row r="13611" ht="15" hidden="1" customHeight="1"/>
    <row r="13612" ht="15" hidden="1" customHeight="1"/>
    <row r="13613" ht="15" hidden="1" customHeight="1"/>
    <row r="13614" ht="15" hidden="1" customHeight="1"/>
    <row r="13615" ht="15" hidden="1" customHeight="1"/>
    <row r="13616" ht="15" hidden="1" customHeight="1"/>
    <row r="13617" ht="15" hidden="1" customHeight="1"/>
    <row r="13618" ht="15" hidden="1" customHeight="1"/>
    <row r="13619" ht="15" hidden="1" customHeight="1"/>
    <row r="13620" ht="15" hidden="1" customHeight="1"/>
    <row r="13621" ht="15" hidden="1" customHeight="1"/>
    <row r="13622" ht="15" hidden="1" customHeight="1"/>
    <row r="13623" ht="15" hidden="1" customHeight="1"/>
    <row r="13624" ht="15" hidden="1" customHeight="1"/>
    <row r="13625" ht="15" hidden="1" customHeight="1"/>
    <row r="13626" ht="15" hidden="1" customHeight="1"/>
    <row r="13627" ht="15" hidden="1" customHeight="1"/>
    <row r="13628" ht="15" hidden="1" customHeight="1"/>
    <row r="13629" ht="15" hidden="1" customHeight="1"/>
    <row r="13630" ht="15" hidden="1" customHeight="1"/>
    <row r="13631" ht="15" hidden="1" customHeight="1"/>
    <row r="13632" ht="15" hidden="1" customHeight="1"/>
    <row r="13633" ht="15" hidden="1" customHeight="1"/>
    <row r="13634" ht="15" hidden="1" customHeight="1"/>
    <row r="13635" ht="15" hidden="1" customHeight="1"/>
    <row r="13636" ht="15" hidden="1" customHeight="1"/>
    <row r="13637" ht="15" hidden="1" customHeight="1"/>
    <row r="13638" ht="15" hidden="1" customHeight="1"/>
    <row r="13639" ht="15" hidden="1" customHeight="1"/>
    <row r="13640" ht="15" hidden="1" customHeight="1"/>
    <row r="13641" ht="15" hidden="1" customHeight="1"/>
    <row r="13642" ht="15" hidden="1" customHeight="1"/>
    <row r="13643" ht="15" hidden="1" customHeight="1"/>
    <row r="13644" ht="15" hidden="1" customHeight="1"/>
    <row r="13645" ht="15" hidden="1" customHeight="1"/>
    <row r="13646" ht="15" hidden="1" customHeight="1"/>
    <row r="13647" ht="15" hidden="1" customHeight="1"/>
    <row r="13648" ht="15" hidden="1" customHeight="1"/>
    <row r="13649" ht="15" hidden="1" customHeight="1"/>
    <row r="13650" ht="15" hidden="1" customHeight="1"/>
    <row r="13651" ht="15" hidden="1" customHeight="1"/>
    <row r="13652" ht="15" hidden="1" customHeight="1"/>
    <row r="13653" ht="15" hidden="1" customHeight="1"/>
    <row r="13654" ht="15" hidden="1" customHeight="1"/>
    <row r="13655" ht="15" hidden="1" customHeight="1"/>
    <row r="13656" ht="15" hidden="1" customHeight="1"/>
    <row r="13657" ht="15" hidden="1" customHeight="1"/>
    <row r="13658" ht="15" hidden="1" customHeight="1"/>
    <row r="13659" ht="15" hidden="1" customHeight="1"/>
    <row r="13660" ht="15" hidden="1" customHeight="1"/>
    <row r="13661" ht="15" hidden="1" customHeight="1"/>
    <row r="13662" ht="15" hidden="1" customHeight="1"/>
    <row r="13663" ht="15" hidden="1" customHeight="1"/>
    <row r="13664" ht="15" hidden="1" customHeight="1"/>
    <row r="13665" ht="15" hidden="1" customHeight="1"/>
    <row r="13666" ht="15" hidden="1" customHeight="1"/>
    <row r="13667" ht="15" hidden="1" customHeight="1"/>
    <row r="13668" ht="15" hidden="1" customHeight="1"/>
    <row r="13669" ht="15" hidden="1" customHeight="1"/>
    <row r="13670" ht="15" hidden="1" customHeight="1"/>
    <row r="13671" ht="15" hidden="1" customHeight="1"/>
    <row r="13672" ht="15" hidden="1" customHeight="1"/>
    <row r="13673" ht="15" hidden="1" customHeight="1"/>
    <row r="13674" ht="15" hidden="1" customHeight="1"/>
    <row r="13675" ht="15" hidden="1" customHeight="1"/>
    <row r="13676" ht="15" hidden="1" customHeight="1"/>
    <row r="13677" ht="15" hidden="1" customHeight="1"/>
    <row r="13678" ht="15" hidden="1" customHeight="1"/>
    <row r="13679" ht="15" hidden="1" customHeight="1"/>
    <row r="13680" ht="15" hidden="1" customHeight="1"/>
    <row r="13681" ht="15" hidden="1" customHeight="1"/>
    <row r="13682" ht="15" hidden="1" customHeight="1"/>
    <row r="13683" ht="15" hidden="1" customHeight="1"/>
    <row r="13684" ht="15" hidden="1" customHeight="1"/>
    <row r="13685" ht="15" hidden="1" customHeight="1"/>
    <row r="13686" ht="15" hidden="1" customHeight="1"/>
    <row r="13687" ht="15" hidden="1" customHeight="1"/>
    <row r="13688" ht="15" hidden="1" customHeight="1"/>
    <row r="13689" ht="15" hidden="1" customHeight="1"/>
    <row r="13690" ht="15" hidden="1" customHeight="1"/>
    <row r="13691" ht="15" hidden="1" customHeight="1"/>
    <row r="13692" ht="15" hidden="1" customHeight="1"/>
    <row r="13693" ht="15" hidden="1" customHeight="1"/>
    <row r="13694" ht="15" hidden="1" customHeight="1"/>
    <row r="13695" ht="15" hidden="1" customHeight="1"/>
    <row r="13696" ht="15" hidden="1" customHeight="1"/>
    <row r="13697" ht="15" hidden="1" customHeight="1"/>
    <row r="13698" ht="15" hidden="1" customHeight="1"/>
    <row r="13699" ht="15" hidden="1" customHeight="1"/>
    <row r="13700" ht="15" hidden="1" customHeight="1"/>
    <row r="13701" ht="15" hidden="1" customHeight="1"/>
    <row r="13702" ht="15" hidden="1" customHeight="1"/>
    <row r="13703" ht="15" hidden="1" customHeight="1"/>
    <row r="13704" ht="15" hidden="1" customHeight="1"/>
    <row r="13705" ht="15" hidden="1" customHeight="1"/>
    <row r="13706" ht="15" hidden="1" customHeight="1"/>
    <row r="13707" ht="15" hidden="1" customHeight="1"/>
    <row r="13708" ht="15" hidden="1" customHeight="1"/>
    <row r="13709" ht="15" hidden="1" customHeight="1"/>
    <row r="13710" ht="15" hidden="1" customHeight="1"/>
    <row r="13711" ht="15" hidden="1" customHeight="1"/>
    <row r="13712" ht="15" hidden="1" customHeight="1"/>
    <row r="13713" ht="15" hidden="1" customHeight="1"/>
    <row r="13714" ht="15" hidden="1" customHeight="1"/>
    <row r="13715" ht="15" hidden="1" customHeight="1"/>
    <row r="13716" ht="15" hidden="1" customHeight="1"/>
    <row r="13717" ht="15" hidden="1" customHeight="1"/>
    <row r="13718" ht="15" hidden="1" customHeight="1"/>
    <row r="13719" ht="15" hidden="1" customHeight="1"/>
    <row r="13720" ht="15" hidden="1" customHeight="1"/>
    <row r="13721" ht="15" hidden="1" customHeight="1"/>
    <row r="13722" ht="15" hidden="1" customHeight="1"/>
    <row r="13723" ht="15" hidden="1" customHeight="1"/>
    <row r="13724" ht="15" hidden="1" customHeight="1"/>
    <row r="13725" ht="15" hidden="1" customHeight="1"/>
    <row r="13726" ht="15" hidden="1" customHeight="1"/>
    <row r="13727" ht="15" hidden="1" customHeight="1"/>
    <row r="13728" ht="15" hidden="1" customHeight="1"/>
    <row r="13729" ht="15" hidden="1" customHeight="1"/>
    <row r="13730" ht="15" hidden="1" customHeight="1"/>
    <row r="13731" ht="15" hidden="1" customHeight="1"/>
    <row r="13732" ht="15" hidden="1" customHeight="1"/>
    <row r="13733" ht="15" hidden="1" customHeight="1"/>
    <row r="13734" ht="15" hidden="1" customHeight="1"/>
    <row r="13735" ht="15" hidden="1" customHeight="1"/>
    <row r="13736" ht="15" hidden="1" customHeight="1"/>
    <row r="13737" ht="15" hidden="1" customHeight="1"/>
    <row r="13738" ht="15" hidden="1" customHeight="1"/>
    <row r="13739" ht="15" hidden="1" customHeight="1"/>
    <row r="13740" ht="15" hidden="1" customHeight="1"/>
    <row r="13741" ht="15" hidden="1" customHeight="1"/>
    <row r="13742" ht="15" hidden="1" customHeight="1"/>
    <row r="13743" ht="15" hidden="1" customHeight="1"/>
    <row r="13744" ht="15" hidden="1" customHeight="1"/>
    <row r="13745" ht="15" hidden="1" customHeight="1"/>
    <row r="13746" ht="15" hidden="1" customHeight="1"/>
    <row r="13747" ht="15" hidden="1" customHeight="1"/>
    <row r="13748" ht="15" hidden="1" customHeight="1"/>
    <row r="13749" ht="15" hidden="1" customHeight="1"/>
    <row r="13750" ht="15" hidden="1" customHeight="1"/>
    <row r="13751" ht="15" hidden="1" customHeight="1"/>
    <row r="13752" ht="15" hidden="1" customHeight="1"/>
    <row r="13753" ht="15" hidden="1" customHeight="1"/>
    <row r="13754" ht="15" hidden="1" customHeight="1"/>
    <row r="13755" ht="15" hidden="1" customHeight="1"/>
    <row r="13756" ht="15" hidden="1" customHeight="1"/>
    <row r="13757" ht="15" hidden="1" customHeight="1"/>
    <row r="13758" ht="15" hidden="1" customHeight="1"/>
    <row r="13759" ht="15" hidden="1" customHeight="1"/>
    <row r="13760" ht="15" hidden="1" customHeight="1"/>
    <row r="13761" ht="15" hidden="1" customHeight="1"/>
    <row r="13762" ht="15" hidden="1" customHeight="1"/>
    <row r="13763" ht="15" hidden="1" customHeight="1"/>
    <row r="13764" ht="15" hidden="1" customHeight="1"/>
    <row r="13765" ht="15" hidden="1" customHeight="1"/>
    <row r="13766" ht="15" hidden="1" customHeight="1"/>
    <row r="13767" ht="15" hidden="1" customHeight="1"/>
    <row r="13768" ht="15" hidden="1" customHeight="1"/>
    <row r="13769" ht="15" hidden="1" customHeight="1"/>
    <row r="13770" ht="15" hidden="1" customHeight="1"/>
    <row r="13771" ht="15" hidden="1" customHeight="1"/>
    <row r="13772" ht="15" hidden="1" customHeight="1"/>
    <row r="13773" ht="15" hidden="1" customHeight="1"/>
    <row r="13774" ht="15" hidden="1" customHeight="1"/>
    <row r="13775" ht="15" hidden="1" customHeight="1"/>
    <row r="13776" ht="15" hidden="1" customHeight="1"/>
    <row r="13777" ht="15" hidden="1" customHeight="1"/>
    <row r="13778" ht="15" hidden="1" customHeight="1"/>
    <row r="13779" ht="15" hidden="1" customHeight="1"/>
    <row r="13780" ht="15" hidden="1" customHeight="1"/>
    <row r="13781" ht="15" hidden="1" customHeight="1"/>
    <row r="13782" ht="15" hidden="1" customHeight="1"/>
    <row r="13783" ht="15" hidden="1" customHeight="1"/>
    <row r="13784" ht="15" hidden="1" customHeight="1"/>
    <row r="13785" ht="15" hidden="1" customHeight="1"/>
    <row r="13786" ht="15" hidden="1" customHeight="1"/>
    <row r="13787" ht="15" hidden="1" customHeight="1"/>
    <row r="13788" ht="15" hidden="1" customHeight="1"/>
    <row r="13789" ht="15" hidden="1" customHeight="1"/>
    <row r="13790" ht="15" hidden="1" customHeight="1"/>
    <row r="13791" ht="15" hidden="1" customHeight="1"/>
    <row r="13792" ht="15" hidden="1" customHeight="1"/>
    <row r="13793" ht="15" hidden="1" customHeight="1"/>
    <row r="13794" ht="15" hidden="1" customHeight="1"/>
    <row r="13795" ht="15" hidden="1" customHeight="1"/>
    <row r="13796" ht="15" hidden="1" customHeight="1"/>
    <row r="13797" ht="15" hidden="1" customHeight="1"/>
    <row r="13798" ht="15" hidden="1" customHeight="1"/>
    <row r="13799" ht="15" hidden="1" customHeight="1"/>
    <row r="13800" ht="15" hidden="1" customHeight="1"/>
    <row r="13801" ht="15" hidden="1" customHeight="1"/>
    <row r="13802" ht="15" hidden="1" customHeight="1"/>
    <row r="13803" ht="15" hidden="1" customHeight="1"/>
    <row r="13804" ht="15" hidden="1" customHeight="1"/>
    <row r="13805" ht="15" hidden="1" customHeight="1"/>
    <row r="13806" ht="15" hidden="1" customHeight="1"/>
    <row r="13807" ht="15" hidden="1" customHeight="1"/>
    <row r="13808" ht="15" hidden="1" customHeight="1"/>
    <row r="13809" ht="15" hidden="1" customHeight="1"/>
    <row r="13810" ht="15" hidden="1" customHeight="1"/>
    <row r="13811" ht="15" hidden="1" customHeight="1"/>
    <row r="13812" ht="15" hidden="1" customHeight="1"/>
    <row r="13813" ht="15" hidden="1" customHeight="1"/>
    <row r="13814" ht="15" hidden="1" customHeight="1"/>
    <row r="13815" ht="15" hidden="1" customHeight="1"/>
    <row r="13816" ht="15" hidden="1" customHeight="1"/>
    <row r="13817" ht="15" hidden="1" customHeight="1"/>
    <row r="13818" ht="15" hidden="1" customHeight="1"/>
    <row r="13819" ht="15" hidden="1" customHeight="1"/>
    <row r="13820" ht="15" hidden="1" customHeight="1"/>
    <row r="13821" ht="15" hidden="1" customHeight="1"/>
    <row r="13822" ht="15" hidden="1" customHeight="1"/>
    <row r="13823" ht="15" hidden="1" customHeight="1"/>
    <row r="13824" ht="15" hidden="1" customHeight="1"/>
    <row r="13825" ht="15" hidden="1" customHeight="1"/>
    <row r="13826" ht="15" hidden="1" customHeight="1"/>
    <row r="13827" ht="15" hidden="1" customHeight="1"/>
    <row r="13828" ht="15" hidden="1" customHeight="1"/>
    <row r="13829" ht="15" hidden="1" customHeight="1"/>
    <row r="13830" ht="15" hidden="1" customHeight="1"/>
    <row r="13831" ht="15" hidden="1" customHeight="1"/>
    <row r="13832" ht="15" hidden="1" customHeight="1"/>
    <row r="13833" ht="15" hidden="1" customHeight="1"/>
    <row r="13834" ht="15" hidden="1" customHeight="1"/>
    <row r="13835" ht="15" hidden="1" customHeight="1"/>
    <row r="13836" ht="15" hidden="1" customHeight="1"/>
    <row r="13837" ht="15" hidden="1" customHeight="1"/>
    <row r="13838" ht="15" hidden="1" customHeight="1"/>
    <row r="13839" ht="15" hidden="1" customHeight="1"/>
    <row r="13840" ht="15" hidden="1" customHeight="1"/>
    <row r="13841" ht="15" hidden="1" customHeight="1"/>
    <row r="13842" ht="15" hidden="1" customHeight="1"/>
    <row r="13843" ht="15" hidden="1" customHeight="1"/>
    <row r="13844" ht="15" hidden="1" customHeight="1"/>
    <row r="13845" ht="15" hidden="1" customHeight="1"/>
    <row r="13846" ht="15" hidden="1" customHeight="1"/>
    <row r="13847" ht="15" hidden="1" customHeight="1"/>
    <row r="13848" ht="15" hidden="1" customHeight="1"/>
    <row r="13849" ht="15" hidden="1" customHeight="1"/>
    <row r="13850" ht="15" hidden="1" customHeight="1"/>
    <row r="13851" ht="15" hidden="1" customHeight="1"/>
    <row r="13852" ht="15" hidden="1" customHeight="1"/>
    <row r="13853" ht="15" hidden="1" customHeight="1"/>
    <row r="13854" ht="15" hidden="1" customHeight="1"/>
    <row r="13855" ht="15" hidden="1" customHeight="1"/>
    <row r="13856" ht="15" hidden="1" customHeight="1"/>
    <row r="13857" ht="15" hidden="1" customHeight="1"/>
    <row r="13858" ht="15" hidden="1" customHeight="1"/>
    <row r="13859" ht="15" hidden="1" customHeight="1"/>
    <row r="13860" ht="15" hidden="1" customHeight="1"/>
    <row r="13861" ht="15" hidden="1" customHeight="1"/>
    <row r="13862" ht="15" hidden="1" customHeight="1"/>
    <row r="13863" ht="15" hidden="1" customHeight="1"/>
    <row r="13864" ht="15" hidden="1" customHeight="1"/>
    <row r="13865" ht="15" hidden="1" customHeight="1"/>
    <row r="13866" ht="15" hidden="1" customHeight="1"/>
    <row r="13867" ht="15" hidden="1" customHeight="1"/>
    <row r="13868" ht="15" hidden="1" customHeight="1"/>
    <row r="13869" ht="15" hidden="1" customHeight="1"/>
    <row r="13870" ht="15" hidden="1" customHeight="1"/>
    <row r="13871" ht="15" hidden="1" customHeight="1"/>
    <row r="13872" ht="15" hidden="1" customHeight="1"/>
    <row r="13873" ht="15" hidden="1" customHeight="1"/>
    <row r="13874" ht="15" hidden="1" customHeight="1"/>
    <row r="13875" ht="15" hidden="1" customHeight="1"/>
    <row r="13876" ht="15" hidden="1" customHeight="1"/>
    <row r="13877" ht="15" hidden="1" customHeight="1"/>
    <row r="13878" ht="15" hidden="1" customHeight="1"/>
    <row r="13879" ht="15" hidden="1" customHeight="1"/>
    <row r="13880" ht="15" hidden="1" customHeight="1"/>
    <row r="13881" ht="15" hidden="1" customHeight="1"/>
    <row r="13882" ht="15" hidden="1" customHeight="1"/>
    <row r="13883" ht="15" hidden="1" customHeight="1"/>
    <row r="13884" ht="15" hidden="1" customHeight="1"/>
    <row r="13885" ht="15" hidden="1" customHeight="1"/>
    <row r="13886" ht="15" hidden="1" customHeight="1"/>
    <row r="13887" ht="15" hidden="1" customHeight="1"/>
    <row r="13888" ht="15" hidden="1" customHeight="1"/>
    <row r="13889" ht="15" hidden="1" customHeight="1"/>
    <row r="13890" ht="15" hidden="1" customHeight="1"/>
    <row r="13891" ht="15" hidden="1" customHeight="1"/>
    <row r="13892" ht="15" hidden="1" customHeight="1"/>
    <row r="13893" ht="15" hidden="1" customHeight="1"/>
    <row r="13894" ht="15" hidden="1" customHeight="1"/>
    <row r="13895" ht="15" hidden="1" customHeight="1"/>
    <row r="13896" ht="15" hidden="1" customHeight="1"/>
    <row r="13897" ht="15" hidden="1" customHeight="1"/>
    <row r="13898" ht="15" hidden="1" customHeight="1"/>
    <row r="13899" ht="15" hidden="1" customHeight="1"/>
    <row r="13900" ht="15" hidden="1" customHeight="1"/>
    <row r="13901" ht="15" hidden="1" customHeight="1"/>
    <row r="13902" ht="15" hidden="1" customHeight="1"/>
    <row r="13903" ht="15" hidden="1" customHeight="1"/>
    <row r="13904" ht="15" hidden="1" customHeight="1"/>
    <row r="13905" ht="15" hidden="1" customHeight="1"/>
    <row r="13906" ht="15" hidden="1" customHeight="1"/>
    <row r="13907" ht="15" hidden="1" customHeight="1"/>
    <row r="13908" ht="15" hidden="1" customHeight="1"/>
    <row r="13909" ht="15" hidden="1" customHeight="1"/>
    <row r="13910" ht="15" hidden="1" customHeight="1"/>
    <row r="13911" ht="15" hidden="1" customHeight="1"/>
    <row r="13912" ht="15" hidden="1" customHeight="1"/>
    <row r="13913" ht="15" hidden="1" customHeight="1"/>
    <row r="13914" ht="15" hidden="1" customHeight="1"/>
    <row r="13915" ht="15" hidden="1" customHeight="1"/>
    <row r="13916" ht="15" hidden="1" customHeight="1"/>
    <row r="13917" ht="15" hidden="1" customHeight="1"/>
    <row r="13918" ht="15" hidden="1" customHeight="1"/>
    <row r="13919" ht="15" hidden="1" customHeight="1"/>
    <row r="13920" ht="15" hidden="1" customHeight="1"/>
    <row r="13921" ht="15" hidden="1" customHeight="1"/>
    <row r="13922" ht="15" hidden="1" customHeight="1"/>
    <row r="13923" ht="15" hidden="1" customHeight="1"/>
    <row r="13924" ht="15" hidden="1" customHeight="1"/>
    <row r="13925" ht="15" hidden="1" customHeight="1"/>
    <row r="13926" ht="15" hidden="1" customHeight="1"/>
    <row r="13927" ht="15" hidden="1" customHeight="1"/>
    <row r="13928" ht="15" hidden="1" customHeight="1"/>
    <row r="13929" ht="15" hidden="1" customHeight="1"/>
    <row r="13930" ht="15" hidden="1" customHeight="1"/>
    <row r="13931" ht="15" hidden="1" customHeight="1"/>
    <row r="13932" ht="15" hidden="1" customHeight="1"/>
    <row r="13933" ht="15" hidden="1" customHeight="1"/>
    <row r="13934" ht="15" hidden="1" customHeight="1"/>
    <row r="13935" ht="15" hidden="1" customHeight="1"/>
    <row r="13936" ht="15" hidden="1" customHeight="1"/>
    <row r="13937" ht="15" hidden="1" customHeight="1"/>
    <row r="13938" ht="15" hidden="1" customHeight="1"/>
    <row r="13939" ht="15" hidden="1" customHeight="1"/>
    <row r="13940" ht="15" hidden="1" customHeight="1"/>
    <row r="13941" ht="15" hidden="1" customHeight="1"/>
    <row r="13942" ht="15" hidden="1" customHeight="1"/>
    <row r="13943" ht="15" hidden="1" customHeight="1"/>
    <row r="13944" ht="15" hidden="1" customHeight="1"/>
    <row r="13945" ht="15" hidden="1" customHeight="1"/>
    <row r="13946" ht="15" hidden="1" customHeight="1"/>
    <row r="13947" ht="15" hidden="1" customHeight="1"/>
    <row r="13948" ht="15" hidden="1" customHeight="1"/>
    <row r="13949" ht="15" hidden="1" customHeight="1"/>
    <row r="13950" ht="15" hidden="1" customHeight="1"/>
    <row r="13951" ht="15" hidden="1" customHeight="1"/>
    <row r="13952" ht="15" hidden="1" customHeight="1"/>
    <row r="13953" ht="15" hidden="1" customHeight="1"/>
    <row r="13954" ht="15" hidden="1" customHeight="1"/>
    <row r="13955" ht="15" hidden="1" customHeight="1"/>
    <row r="13956" ht="15" hidden="1" customHeight="1"/>
    <row r="13957" ht="15" hidden="1" customHeight="1"/>
    <row r="13958" ht="15" hidden="1" customHeight="1"/>
    <row r="13959" ht="15" hidden="1" customHeight="1"/>
    <row r="13960" ht="15" hidden="1" customHeight="1"/>
    <row r="13961" ht="15" hidden="1" customHeight="1"/>
    <row r="13962" ht="15" hidden="1" customHeight="1"/>
    <row r="13963" ht="15" hidden="1" customHeight="1"/>
    <row r="13964" ht="15" hidden="1" customHeight="1"/>
    <row r="13965" ht="15" hidden="1" customHeight="1"/>
    <row r="13966" ht="15" hidden="1" customHeight="1"/>
    <row r="13967" ht="15" hidden="1" customHeight="1"/>
    <row r="13968" ht="15" hidden="1" customHeight="1"/>
    <row r="13969" ht="15" hidden="1" customHeight="1"/>
    <row r="13970" ht="15" hidden="1" customHeight="1"/>
    <row r="13971" ht="15" hidden="1" customHeight="1"/>
    <row r="13972" ht="15" hidden="1" customHeight="1"/>
    <row r="13973" ht="15" hidden="1" customHeight="1"/>
    <row r="13974" ht="15" hidden="1" customHeight="1"/>
    <row r="13975" ht="15" hidden="1" customHeight="1"/>
    <row r="13976" ht="15" hidden="1" customHeight="1"/>
    <row r="13977" ht="15" hidden="1" customHeight="1"/>
    <row r="13978" ht="15" hidden="1" customHeight="1"/>
    <row r="13979" ht="15" hidden="1" customHeight="1"/>
    <row r="13980" ht="15" hidden="1" customHeight="1"/>
    <row r="13981" ht="15" hidden="1" customHeight="1"/>
    <row r="13982" ht="15" hidden="1" customHeight="1"/>
    <row r="13983" ht="15" hidden="1" customHeight="1"/>
    <row r="13984" ht="15" hidden="1" customHeight="1"/>
    <row r="13985" ht="15" hidden="1" customHeight="1"/>
    <row r="13986" ht="15" hidden="1" customHeight="1"/>
    <row r="13987" ht="15" hidden="1" customHeight="1"/>
    <row r="13988" ht="15" hidden="1" customHeight="1"/>
    <row r="13989" ht="15" hidden="1" customHeight="1"/>
    <row r="13990" ht="15" hidden="1" customHeight="1"/>
    <row r="13991" ht="15" hidden="1" customHeight="1"/>
    <row r="13992" ht="15" hidden="1" customHeight="1"/>
    <row r="13993" ht="15" hidden="1" customHeight="1"/>
    <row r="13994" ht="15" hidden="1" customHeight="1"/>
    <row r="13995" ht="15" hidden="1" customHeight="1"/>
    <row r="13996" ht="15" hidden="1" customHeight="1"/>
    <row r="13997" ht="15" hidden="1" customHeight="1"/>
    <row r="13998" ht="15" hidden="1" customHeight="1"/>
    <row r="13999" ht="15" hidden="1" customHeight="1"/>
    <row r="14000" ht="15" hidden="1" customHeight="1"/>
    <row r="14001" ht="15" hidden="1" customHeight="1"/>
    <row r="14002" ht="15" hidden="1" customHeight="1"/>
    <row r="14003" ht="15" hidden="1" customHeight="1"/>
    <row r="14004" ht="15" hidden="1" customHeight="1"/>
    <row r="14005" ht="15" hidden="1" customHeight="1"/>
    <row r="14006" ht="15" hidden="1" customHeight="1"/>
    <row r="14007" ht="15" hidden="1" customHeight="1"/>
    <row r="14008" ht="15" hidden="1" customHeight="1"/>
    <row r="14009" ht="15" hidden="1" customHeight="1"/>
    <row r="14010" ht="15" hidden="1" customHeight="1"/>
    <row r="14011" ht="15" hidden="1" customHeight="1"/>
    <row r="14012" ht="15" hidden="1" customHeight="1"/>
    <row r="14013" ht="15" hidden="1" customHeight="1"/>
    <row r="14014" ht="15" hidden="1" customHeight="1"/>
    <row r="14015" ht="15" hidden="1" customHeight="1"/>
    <row r="14016" ht="15" hidden="1" customHeight="1"/>
    <row r="14017" ht="15" hidden="1" customHeight="1"/>
    <row r="14018" ht="15" hidden="1" customHeight="1"/>
    <row r="14019" ht="15" hidden="1" customHeight="1"/>
    <row r="14020" ht="15" hidden="1" customHeight="1"/>
    <row r="14021" ht="15" hidden="1" customHeight="1"/>
    <row r="14022" ht="15" hidden="1" customHeight="1"/>
    <row r="14023" ht="15" hidden="1" customHeight="1"/>
    <row r="14024" ht="15" hidden="1" customHeight="1"/>
    <row r="14025" ht="15" hidden="1" customHeight="1"/>
    <row r="14026" ht="15" hidden="1" customHeight="1"/>
    <row r="14027" ht="15" hidden="1" customHeight="1"/>
    <row r="14028" ht="15" hidden="1" customHeight="1"/>
    <row r="14029" ht="15" hidden="1" customHeight="1"/>
    <row r="14030" ht="15" hidden="1" customHeight="1"/>
    <row r="14031" ht="15" hidden="1" customHeight="1"/>
    <row r="14032" ht="15" hidden="1" customHeight="1"/>
    <row r="14033" ht="15" hidden="1" customHeight="1"/>
    <row r="14034" ht="15" hidden="1" customHeight="1"/>
    <row r="14035" ht="15" hidden="1" customHeight="1"/>
    <row r="14036" ht="15" hidden="1" customHeight="1"/>
    <row r="14037" ht="15" hidden="1" customHeight="1"/>
    <row r="14038" ht="15" hidden="1" customHeight="1"/>
    <row r="14039" ht="15" hidden="1" customHeight="1"/>
    <row r="14040" ht="15" hidden="1" customHeight="1"/>
    <row r="14041" ht="15" hidden="1" customHeight="1"/>
    <row r="14042" ht="15" hidden="1" customHeight="1"/>
    <row r="14043" ht="15" hidden="1" customHeight="1"/>
    <row r="14044" ht="15" hidden="1" customHeight="1"/>
    <row r="14045" ht="15" hidden="1" customHeight="1"/>
    <row r="14046" ht="15" hidden="1" customHeight="1"/>
    <row r="14047" ht="15" hidden="1" customHeight="1"/>
    <row r="14048" ht="15" hidden="1" customHeight="1"/>
    <row r="14049" ht="15" hidden="1" customHeight="1"/>
    <row r="14050" ht="15" hidden="1" customHeight="1"/>
    <row r="14051" ht="15" hidden="1" customHeight="1"/>
    <row r="14052" ht="15" hidden="1" customHeight="1"/>
    <row r="14053" ht="15" hidden="1" customHeight="1"/>
    <row r="14054" ht="15" hidden="1" customHeight="1"/>
    <row r="14055" ht="15" hidden="1" customHeight="1"/>
    <row r="14056" ht="15" hidden="1" customHeight="1"/>
    <row r="14057" ht="15" hidden="1" customHeight="1"/>
    <row r="14058" ht="15" hidden="1" customHeight="1"/>
    <row r="14059" ht="15" hidden="1" customHeight="1"/>
    <row r="14060" ht="15" hidden="1" customHeight="1"/>
    <row r="14061" ht="15" hidden="1" customHeight="1"/>
    <row r="14062" ht="15" hidden="1" customHeight="1"/>
    <row r="14063" ht="15" hidden="1" customHeight="1"/>
    <row r="14064" ht="15" hidden="1" customHeight="1"/>
    <row r="14065" ht="15" hidden="1" customHeight="1"/>
    <row r="14066" ht="15" hidden="1" customHeight="1"/>
    <row r="14067" ht="15" hidden="1" customHeight="1"/>
    <row r="14068" ht="15" hidden="1" customHeight="1"/>
    <row r="14069" ht="15" hidden="1" customHeight="1"/>
    <row r="14070" ht="15" hidden="1" customHeight="1"/>
    <row r="14071" ht="15" hidden="1" customHeight="1"/>
    <row r="14072" ht="15" hidden="1" customHeight="1"/>
    <row r="14073" ht="15" hidden="1" customHeight="1"/>
    <row r="14074" ht="15" hidden="1" customHeight="1"/>
    <row r="14075" ht="15" hidden="1" customHeight="1"/>
    <row r="14076" ht="15" hidden="1" customHeight="1"/>
    <row r="14077" ht="15" hidden="1" customHeight="1"/>
    <row r="14078" ht="15" hidden="1" customHeight="1"/>
    <row r="14079" ht="15" hidden="1" customHeight="1"/>
    <row r="14080" ht="15" hidden="1" customHeight="1"/>
    <row r="14081" ht="15" hidden="1" customHeight="1"/>
    <row r="14082" ht="15" hidden="1" customHeight="1"/>
    <row r="14083" ht="15" hidden="1" customHeight="1"/>
    <row r="14084" ht="15" hidden="1" customHeight="1"/>
    <row r="14085" ht="15" hidden="1" customHeight="1"/>
    <row r="14086" ht="15" hidden="1" customHeight="1"/>
    <row r="14087" ht="15" hidden="1" customHeight="1"/>
    <row r="14088" ht="15" hidden="1" customHeight="1"/>
    <row r="14089" ht="15" hidden="1" customHeight="1"/>
    <row r="14090" ht="15" hidden="1" customHeight="1"/>
    <row r="14091" ht="15" hidden="1" customHeight="1"/>
    <row r="14092" ht="15" hidden="1" customHeight="1"/>
    <row r="14093" ht="15" hidden="1" customHeight="1"/>
    <row r="14094" ht="15" hidden="1" customHeight="1"/>
    <row r="14095" ht="15" hidden="1" customHeight="1"/>
    <row r="14096" ht="15" hidden="1" customHeight="1"/>
    <row r="14097" ht="15" hidden="1" customHeight="1"/>
    <row r="14098" ht="15" hidden="1" customHeight="1"/>
    <row r="14099" ht="15" hidden="1" customHeight="1"/>
    <row r="14100" ht="15" hidden="1" customHeight="1"/>
    <row r="14101" ht="15" hidden="1" customHeight="1"/>
    <row r="14102" ht="15" hidden="1" customHeight="1"/>
    <row r="14103" ht="15" hidden="1" customHeight="1"/>
    <row r="14104" ht="15" hidden="1" customHeight="1"/>
    <row r="14105" ht="15" hidden="1" customHeight="1"/>
    <row r="14106" ht="15" hidden="1" customHeight="1"/>
    <row r="14107" ht="15" hidden="1" customHeight="1"/>
    <row r="14108" ht="15" hidden="1" customHeight="1"/>
    <row r="14109" ht="15" hidden="1" customHeight="1"/>
    <row r="14110" ht="15" hidden="1" customHeight="1"/>
    <row r="14111" ht="15" hidden="1" customHeight="1"/>
    <row r="14112" ht="15" hidden="1" customHeight="1"/>
    <row r="14113" ht="15" hidden="1" customHeight="1"/>
    <row r="14114" ht="15" hidden="1" customHeight="1"/>
    <row r="14115" ht="15" hidden="1" customHeight="1"/>
    <row r="14116" ht="15" hidden="1" customHeight="1"/>
    <row r="14117" ht="15" hidden="1" customHeight="1"/>
    <row r="14118" ht="15" hidden="1" customHeight="1"/>
    <row r="14119" ht="15" hidden="1" customHeight="1"/>
    <row r="14120" ht="15" hidden="1" customHeight="1"/>
    <row r="14121" ht="15" hidden="1" customHeight="1"/>
    <row r="14122" ht="15" hidden="1" customHeight="1"/>
    <row r="14123" ht="15" hidden="1" customHeight="1"/>
    <row r="14124" ht="15" hidden="1" customHeight="1"/>
    <row r="14125" ht="15" hidden="1" customHeight="1"/>
    <row r="14126" ht="15" hidden="1" customHeight="1"/>
    <row r="14127" ht="15" hidden="1" customHeight="1"/>
    <row r="14128" ht="15" hidden="1" customHeight="1"/>
    <row r="14129" ht="15" hidden="1" customHeight="1"/>
    <row r="14130" ht="15" hidden="1" customHeight="1"/>
    <row r="14131" ht="15" hidden="1" customHeight="1"/>
    <row r="14132" ht="15" hidden="1" customHeight="1"/>
    <row r="14133" ht="15" hidden="1" customHeight="1"/>
    <row r="14134" ht="15" hidden="1" customHeight="1"/>
    <row r="14135" ht="15" hidden="1" customHeight="1"/>
    <row r="14136" ht="15" hidden="1" customHeight="1"/>
    <row r="14137" ht="15" hidden="1" customHeight="1"/>
    <row r="14138" ht="15" hidden="1" customHeight="1"/>
    <row r="14139" ht="15" hidden="1" customHeight="1"/>
    <row r="14140" ht="15" hidden="1" customHeight="1"/>
    <row r="14141" ht="15" hidden="1" customHeight="1"/>
    <row r="14142" ht="15" hidden="1" customHeight="1"/>
    <row r="14143" ht="15" hidden="1" customHeight="1"/>
    <row r="14144" ht="15" hidden="1" customHeight="1"/>
    <row r="14145" ht="15" hidden="1" customHeight="1"/>
    <row r="14146" ht="15" hidden="1" customHeight="1"/>
    <row r="14147" ht="15" hidden="1" customHeight="1"/>
    <row r="14148" ht="15" hidden="1" customHeight="1"/>
    <row r="14149" ht="15" hidden="1" customHeight="1"/>
    <row r="14150" ht="15" hidden="1" customHeight="1"/>
    <row r="14151" ht="15" hidden="1" customHeight="1"/>
    <row r="14152" ht="15" hidden="1" customHeight="1"/>
    <row r="14153" ht="15" hidden="1" customHeight="1"/>
    <row r="14154" ht="15" hidden="1" customHeight="1"/>
    <row r="14155" ht="15" hidden="1" customHeight="1"/>
    <row r="14156" ht="15" hidden="1" customHeight="1"/>
    <row r="14157" ht="15" hidden="1" customHeight="1"/>
    <row r="14158" ht="15" hidden="1" customHeight="1"/>
    <row r="14159" ht="15" hidden="1" customHeight="1"/>
    <row r="14160" ht="15" hidden="1" customHeight="1"/>
    <row r="14161" ht="15" hidden="1" customHeight="1"/>
    <row r="14162" ht="15" hidden="1" customHeight="1"/>
    <row r="14163" ht="15" hidden="1" customHeight="1"/>
    <row r="14164" ht="15" hidden="1" customHeight="1"/>
    <row r="14165" ht="15" hidden="1" customHeight="1"/>
    <row r="14166" ht="15" hidden="1" customHeight="1"/>
    <row r="14167" ht="15" hidden="1" customHeight="1"/>
    <row r="14168" ht="15" hidden="1" customHeight="1"/>
    <row r="14169" ht="15" hidden="1" customHeight="1"/>
    <row r="14170" ht="15" hidden="1" customHeight="1"/>
    <row r="14171" ht="15" hidden="1" customHeight="1"/>
    <row r="14172" ht="15" hidden="1" customHeight="1"/>
    <row r="14173" ht="15" hidden="1" customHeight="1"/>
    <row r="14174" ht="15" hidden="1" customHeight="1"/>
    <row r="14175" ht="15" hidden="1" customHeight="1"/>
    <row r="14176" ht="15" hidden="1" customHeight="1"/>
    <row r="14177" ht="15" hidden="1" customHeight="1"/>
    <row r="14178" ht="15" hidden="1" customHeight="1"/>
    <row r="14179" ht="15" hidden="1" customHeight="1"/>
    <row r="14180" ht="15" hidden="1" customHeight="1"/>
    <row r="14181" ht="15" hidden="1" customHeight="1"/>
    <row r="14182" ht="15" hidden="1" customHeight="1"/>
    <row r="14183" ht="15" hidden="1" customHeight="1"/>
    <row r="14184" ht="15" hidden="1" customHeight="1"/>
    <row r="14185" ht="15" hidden="1" customHeight="1"/>
    <row r="14186" ht="15" hidden="1" customHeight="1"/>
    <row r="14187" ht="15" hidden="1" customHeight="1"/>
    <row r="14188" ht="15" hidden="1" customHeight="1"/>
    <row r="14189" ht="15" hidden="1" customHeight="1"/>
    <row r="14190" ht="15" hidden="1" customHeight="1"/>
    <row r="14191" ht="15" hidden="1" customHeight="1"/>
    <row r="14192" ht="15" hidden="1" customHeight="1"/>
    <row r="14193" ht="15" hidden="1" customHeight="1"/>
    <row r="14194" ht="15" hidden="1" customHeight="1"/>
    <row r="14195" ht="15" hidden="1" customHeight="1"/>
    <row r="14196" ht="15" hidden="1" customHeight="1"/>
    <row r="14197" ht="15" hidden="1" customHeight="1"/>
    <row r="14198" ht="15" hidden="1" customHeight="1"/>
    <row r="14199" ht="15" hidden="1" customHeight="1"/>
    <row r="14200" ht="15" hidden="1" customHeight="1"/>
    <row r="14201" ht="15" hidden="1" customHeight="1"/>
    <row r="14202" ht="15" hidden="1" customHeight="1"/>
    <row r="14203" ht="15" hidden="1" customHeight="1"/>
    <row r="14204" ht="15" hidden="1" customHeight="1"/>
    <row r="14205" ht="15" hidden="1" customHeight="1"/>
    <row r="14206" ht="15" hidden="1" customHeight="1"/>
    <row r="14207" ht="15" hidden="1" customHeight="1"/>
    <row r="14208" ht="15" hidden="1" customHeight="1"/>
    <row r="14209" ht="15" hidden="1" customHeight="1"/>
    <row r="14210" ht="15" hidden="1" customHeight="1"/>
    <row r="14211" ht="15" hidden="1" customHeight="1"/>
    <row r="14212" ht="15" hidden="1" customHeight="1"/>
    <row r="14213" ht="15" hidden="1" customHeight="1"/>
    <row r="14214" ht="15" hidden="1" customHeight="1"/>
    <row r="14215" ht="15" hidden="1" customHeight="1"/>
    <row r="14216" ht="15" hidden="1" customHeight="1"/>
    <row r="14217" ht="15" hidden="1" customHeight="1"/>
    <row r="14218" ht="15" hidden="1" customHeight="1"/>
    <row r="14219" ht="15" hidden="1" customHeight="1"/>
    <row r="14220" ht="15" hidden="1" customHeight="1"/>
    <row r="14221" ht="15" hidden="1" customHeight="1"/>
    <row r="14222" ht="15" hidden="1" customHeight="1"/>
    <row r="14223" ht="15" hidden="1" customHeight="1"/>
    <row r="14224" ht="15" hidden="1" customHeight="1"/>
    <row r="14225" ht="15" hidden="1" customHeight="1"/>
    <row r="14226" ht="15" hidden="1" customHeight="1"/>
    <row r="14227" ht="15" hidden="1" customHeight="1"/>
    <row r="14228" ht="15" hidden="1" customHeight="1"/>
    <row r="14229" ht="15" hidden="1" customHeight="1"/>
    <row r="14230" ht="15" hidden="1" customHeight="1"/>
    <row r="14231" ht="15" hidden="1" customHeight="1"/>
    <row r="14232" ht="15" hidden="1" customHeight="1"/>
    <row r="14233" ht="15" hidden="1" customHeight="1"/>
    <row r="14234" ht="15" hidden="1" customHeight="1"/>
    <row r="14235" ht="15" hidden="1" customHeight="1"/>
    <row r="14236" ht="15" hidden="1" customHeight="1"/>
    <row r="14237" ht="15" hidden="1" customHeight="1"/>
    <row r="14238" ht="15" hidden="1" customHeight="1"/>
    <row r="14239" ht="15" hidden="1" customHeight="1"/>
    <row r="14240" ht="15" hidden="1" customHeight="1"/>
    <row r="14241" ht="15" hidden="1" customHeight="1"/>
    <row r="14242" ht="15" hidden="1" customHeight="1"/>
    <row r="14243" ht="15" hidden="1" customHeight="1"/>
    <row r="14244" ht="15" hidden="1" customHeight="1"/>
    <row r="14245" ht="15" hidden="1" customHeight="1"/>
    <row r="14246" ht="15" hidden="1" customHeight="1"/>
    <row r="14247" ht="15" hidden="1" customHeight="1"/>
    <row r="14248" ht="15" hidden="1" customHeight="1"/>
    <row r="14249" ht="15" hidden="1" customHeight="1"/>
    <row r="14250" ht="15" hidden="1" customHeight="1"/>
    <row r="14251" ht="15" hidden="1" customHeight="1"/>
    <row r="14252" ht="15" hidden="1" customHeight="1"/>
    <row r="14253" ht="15" hidden="1" customHeight="1"/>
    <row r="14254" ht="15" hidden="1" customHeight="1"/>
    <row r="14255" ht="15" hidden="1" customHeight="1"/>
    <row r="14256" ht="15" hidden="1" customHeight="1"/>
    <row r="14257" ht="15" hidden="1" customHeight="1"/>
    <row r="14258" ht="15" hidden="1" customHeight="1"/>
    <row r="14259" ht="15" hidden="1" customHeight="1"/>
    <row r="14260" ht="15" hidden="1" customHeight="1"/>
    <row r="14261" ht="15" hidden="1" customHeight="1"/>
    <row r="14262" ht="15" hidden="1" customHeight="1"/>
    <row r="14263" ht="15" hidden="1" customHeight="1"/>
    <row r="14264" ht="15" hidden="1" customHeight="1"/>
    <row r="14265" ht="15" hidden="1" customHeight="1"/>
    <row r="14266" ht="15" hidden="1" customHeight="1"/>
    <row r="14267" ht="15" hidden="1" customHeight="1"/>
    <row r="14268" ht="15" hidden="1" customHeight="1"/>
    <row r="14269" ht="15" hidden="1" customHeight="1"/>
    <row r="14270" ht="15" hidden="1" customHeight="1"/>
    <row r="14271" ht="15" hidden="1" customHeight="1"/>
    <row r="14272" ht="15" hidden="1" customHeight="1"/>
    <row r="14273" ht="15" hidden="1" customHeight="1"/>
    <row r="14274" ht="15" hidden="1" customHeight="1"/>
    <row r="14275" ht="15" hidden="1" customHeight="1"/>
    <row r="14276" ht="15" hidden="1" customHeight="1"/>
    <row r="14277" ht="15" hidden="1" customHeight="1"/>
    <row r="14278" ht="15" hidden="1" customHeight="1"/>
    <row r="14279" ht="15" hidden="1" customHeight="1"/>
    <row r="14280" ht="15" hidden="1" customHeight="1"/>
    <row r="14281" ht="15" hidden="1" customHeight="1"/>
    <row r="14282" ht="15" hidden="1" customHeight="1"/>
    <row r="14283" ht="15" hidden="1" customHeight="1"/>
    <row r="14284" ht="15" hidden="1" customHeight="1"/>
    <row r="14285" ht="15" hidden="1" customHeight="1"/>
    <row r="14286" ht="15" hidden="1" customHeight="1"/>
    <row r="14287" ht="15" hidden="1" customHeight="1"/>
    <row r="14288" ht="15" hidden="1" customHeight="1"/>
    <row r="14289" ht="15" hidden="1" customHeight="1"/>
    <row r="14290" ht="15" hidden="1" customHeight="1"/>
    <row r="14291" ht="15" hidden="1" customHeight="1"/>
    <row r="14292" ht="15" hidden="1" customHeight="1"/>
    <row r="14293" ht="15" hidden="1" customHeight="1"/>
    <row r="14294" ht="15" hidden="1" customHeight="1"/>
    <row r="14295" ht="15" hidden="1" customHeight="1"/>
    <row r="14296" ht="15" hidden="1" customHeight="1"/>
    <row r="14297" ht="15" hidden="1" customHeight="1"/>
    <row r="14298" ht="15" hidden="1" customHeight="1"/>
    <row r="14299" ht="15" hidden="1" customHeight="1"/>
    <row r="14300" ht="15" hidden="1" customHeight="1"/>
    <row r="14301" ht="15" hidden="1" customHeight="1"/>
    <row r="14302" ht="15" hidden="1" customHeight="1"/>
    <row r="14303" ht="15" hidden="1" customHeight="1"/>
    <row r="14304" ht="15" hidden="1" customHeight="1"/>
    <row r="14305" ht="15" hidden="1" customHeight="1"/>
    <row r="14306" ht="15" hidden="1" customHeight="1"/>
    <row r="14307" ht="15" hidden="1" customHeight="1"/>
    <row r="14308" ht="15" hidden="1" customHeight="1"/>
    <row r="14309" ht="15" hidden="1" customHeight="1"/>
    <row r="14310" ht="15" hidden="1" customHeight="1"/>
    <row r="14311" ht="15" hidden="1" customHeight="1"/>
    <row r="14312" ht="15" hidden="1" customHeight="1"/>
    <row r="14313" ht="15" hidden="1" customHeight="1"/>
    <row r="14314" ht="15" hidden="1" customHeight="1"/>
    <row r="14315" ht="15" hidden="1" customHeight="1"/>
    <row r="14316" ht="15" hidden="1" customHeight="1"/>
    <row r="14317" ht="15" hidden="1" customHeight="1"/>
    <row r="14318" ht="15" hidden="1" customHeight="1"/>
    <row r="14319" ht="15" hidden="1" customHeight="1"/>
    <row r="14320" ht="15" hidden="1" customHeight="1"/>
    <row r="14321" ht="15" hidden="1" customHeight="1"/>
    <row r="14322" ht="15" hidden="1" customHeight="1"/>
    <row r="14323" ht="15" hidden="1" customHeight="1"/>
    <row r="14324" ht="15" hidden="1" customHeight="1"/>
    <row r="14325" ht="15" hidden="1" customHeight="1"/>
    <row r="14326" ht="15" hidden="1" customHeight="1"/>
    <row r="14327" ht="15" hidden="1" customHeight="1"/>
    <row r="14328" ht="15" hidden="1" customHeight="1"/>
    <row r="14329" ht="15" hidden="1" customHeight="1"/>
    <row r="14330" ht="15" hidden="1" customHeight="1"/>
    <row r="14331" ht="15" hidden="1" customHeight="1"/>
    <row r="14332" ht="15" hidden="1" customHeight="1"/>
    <row r="14333" ht="15" hidden="1" customHeight="1"/>
    <row r="14334" ht="15" hidden="1" customHeight="1"/>
    <row r="14335" ht="15" hidden="1" customHeight="1"/>
    <row r="14336" ht="15" hidden="1" customHeight="1"/>
    <row r="14337" ht="15" hidden="1" customHeight="1"/>
    <row r="14338" ht="15" hidden="1" customHeight="1"/>
    <row r="14339" ht="15" hidden="1" customHeight="1"/>
    <row r="14340" ht="15" hidden="1" customHeight="1"/>
    <row r="14341" ht="15" hidden="1" customHeight="1"/>
    <row r="14342" ht="15" hidden="1" customHeight="1"/>
    <row r="14343" ht="15" hidden="1" customHeight="1"/>
    <row r="14344" ht="15" hidden="1" customHeight="1"/>
    <row r="14345" ht="15" hidden="1" customHeight="1"/>
    <row r="14346" ht="15" hidden="1" customHeight="1"/>
    <row r="14347" ht="15" hidden="1" customHeight="1"/>
    <row r="14348" ht="15" hidden="1" customHeight="1"/>
    <row r="14349" ht="15" hidden="1" customHeight="1"/>
    <row r="14350" ht="15" hidden="1" customHeight="1"/>
    <row r="14351" ht="15" hidden="1" customHeight="1"/>
    <row r="14352" ht="15" hidden="1" customHeight="1"/>
    <row r="14353" ht="15" hidden="1" customHeight="1"/>
    <row r="14354" ht="15" hidden="1" customHeight="1"/>
    <row r="14355" ht="15" hidden="1" customHeight="1"/>
    <row r="14356" ht="15" hidden="1" customHeight="1"/>
    <row r="14357" ht="15" hidden="1" customHeight="1"/>
    <row r="14358" ht="15" hidden="1" customHeight="1"/>
    <row r="14359" ht="15" hidden="1" customHeight="1"/>
    <row r="14360" ht="15" hidden="1" customHeight="1"/>
    <row r="14361" ht="15" hidden="1" customHeight="1"/>
    <row r="14362" ht="15" hidden="1" customHeight="1"/>
    <row r="14363" ht="15" hidden="1" customHeight="1"/>
    <row r="14364" ht="15" hidden="1" customHeight="1"/>
    <row r="14365" ht="15" hidden="1" customHeight="1"/>
    <row r="14366" ht="15" hidden="1" customHeight="1"/>
    <row r="14367" ht="15" hidden="1" customHeight="1"/>
    <row r="14368" ht="15" hidden="1" customHeight="1"/>
    <row r="14369" ht="15" hidden="1" customHeight="1"/>
    <row r="14370" ht="15" hidden="1" customHeight="1"/>
    <row r="14371" ht="15" hidden="1" customHeight="1"/>
    <row r="14372" ht="15" hidden="1" customHeight="1"/>
    <row r="14373" ht="15" hidden="1" customHeight="1"/>
    <row r="14374" ht="15" hidden="1" customHeight="1"/>
    <row r="14375" ht="15" hidden="1" customHeight="1"/>
    <row r="14376" ht="15" hidden="1" customHeight="1"/>
    <row r="14377" ht="15" hidden="1" customHeight="1"/>
    <row r="14378" ht="15" hidden="1" customHeight="1"/>
    <row r="14379" ht="15" hidden="1" customHeight="1"/>
    <row r="14380" ht="15" hidden="1" customHeight="1"/>
    <row r="14381" ht="15" hidden="1" customHeight="1"/>
    <row r="14382" ht="15" hidden="1" customHeight="1"/>
    <row r="14383" ht="15" hidden="1" customHeight="1"/>
    <row r="14384" ht="15" hidden="1" customHeight="1"/>
    <row r="14385" ht="15" hidden="1" customHeight="1"/>
    <row r="14386" ht="15" hidden="1" customHeight="1"/>
    <row r="14387" ht="15" hidden="1" customHeight="1"/>
    <row r="14388" ht="15" hidden="1" customHeight="1"/>
    <row r="14389" ht="15" hidden="1" customHeight="1"/>
    <row r="14390" ht="15" hidden="1" customHeight="1"/>
    <row r="14391" ht="15" hidden="1" customHeight="1"/>
    <row r="14392" ht="15" hidden="1" customHeight="1"/>
    <row r="14393" ht="15" hidden="1" customHeight="1"/>
    <row r="14394" ht="15" hidden="1" customHeight="1"/>
    <row r="14395" ht="15" hidden="1" customHeight="1"/>
    <row r="14396" ht="15" hidden="1" customHeight="1"/>
    <row r="14397" ht="15" hidden="1" customHeight="1"/>
    <row r="14398" ht="15" hidden="1" customHeight="1"/>
    <row r="14399" ht="15" hidden="1" customHeight="1"/>
    <row r="14400" ht="15" hidden="1" customHeight="1"/>
    <row r="14401" ht="15" hidden="1" customHeight="1"/>
    <row r="14402" ht="15" hidden="1" customHeight="1"/>
    <row r="14403" ht="15" hidden="1" customHeight="1"/>
    <row r="14404" ht="15" hidden="1" customHeight="1"/>
    <row r="14405" ht="15" hidden="1" customHeight="1"/>
    <row r="14406" ht="15" hidden="1" customHeight="1"/>
    <row r="14407" ht="15" hidden="1" customHeight="1"/>
    <row r="14408" ht="15" hidden="1" customHeight="1"/>
    <row r="14409" ht="15" hidden="1" customHeight="1"/>
    <row r="14410" ht="15" hidden="1" customHeight="1"/>
    <row r="14411" ht="15" hidden="1" customHeight="1"/>
    <row r="14412" ht="15" hidden="1" customHeight="1"/>
    <row r="14413" ht="15" hidden="1" customHeight="1"/>
    <row r="14414" ht="15" hidden="1" customHeight="1"/>
    <row r="14415" ht="15" hidden="1" customHeight="1"/>
    <row r="14416" ht="15" hidden="1" customHeight="1"/>
    <row r="14417" ht="15" hidden="1" customHeight="1"/>
    <row r="14418" ht="15" hidden="1" customHeight="1"/>
    <row r="14419" ht="15" hidden="1" customHeight="1"/>
    <row r="14420" ht="15" hidden="1" customHeight="1"/>
    <row r="14421" ht="15" hidden="1" customHeight="1"/>
    <row r="14422" ht="15" hidden="1" customHeight="1"/>
    <row r="14423" ht="15" hidden="1" customHeight="1"/>
    <row r="14424" ht="15" hidden="1" customHeight="1"/>
    <row r="14425" ht="15" hidden="1" customHeight="1"/>
    <row r="14426" ht="15" hidden="1" customHeight="1"/>
    <row r="14427" ht="15" hidden="1" customHeight="1"/>
    <row r="14428" ht="15" hidden="1" customHeight="1"/>
    <row r="14429" ht="15" hidden="1" customHeight="1"/>
    <row r="14430" ht="15" hidden="1" customHeight="1"/>
    <row r="14431" ht="15" hidden="1" customHeight="1"/>
    <row r="14432" ht="15" hidden="1" customHeight="1"/>
    <row r="14433" ht="15" hidden="1" customHeight="1"/>
    <row r="14434" ht="15" hidden="1" customHeight="1"/>
    <row r="14435" ht="15" hidden="1" customHeight="1"/>
    <row r="14436" ht="15" hidden="1" customHeight="1"/>
    <row r="14437" ht="15" hidden="1" customHeight="1"/>
    <row r="14438" ht="15" hidden="1" customHeight="1"/>
    <row r="14439" ht="15" hidden="1" customHeight="1"/>
    <row r="14440" ht="15" hidden="1" customHeight="1"/>
    <row r="14441" ht="15" hidden="1" customHeight="1"/>
    <row r="14442" ht="15" hidden="1" customHeight="1"/>
    <row r="14443" ht="15" hidden="1" customHeight="1"/>
    <row r="14444" ht="15" hidden="1" customHeight="1"/>
    <row r="14445" ht="15" hidden="1" customHeight="1"/>
    <row r="14446" ht="15" hidden="1" customHeight="1"/>
    <row r="14447" ht="15" hidden="1" customHeight="1"/>
    <row r="14448" ht="15" hidden="1" customHeight="1"/>
    <row r="14449" ht="15" hidden="1" customHeight="1"/>
    <row r="14450" ht="15" hidden="1" customHeight="1"/>
    <row r="14451" ht="15" hidden="1" customHeight="1"/>
    <row r="14452" ht="15" hidden="1" customHeight="1"/>
    <row r="14453" ht="15" hidden="1" customHeight="1"/>
    <row r="14454" ht="15" hidden="1" customHeight="1"/>
    <row r="14455" ht="15" hidden="1" customHeight="1"/>
    <row r="14456" ht="15" hidden="1" customHeight="1"/>
    <row r="14457" ht="15" hidden="1" customHeight="1"/>
    <row r="14458" ht="15" hidden="1" customHeight="1"/>
    <row r="14459" ht="15" hidden="1" customHeight="1"/>
    <row r="14460" ht="15" hidden="1" customHeight="1"/>
    <row r="14461" ht="15" hidden="1" customHeight="1"/>
    <row r="14462" ht="15" hidden="1" customHeight="1"/>
    <row r="14463" ht="15" hidden="1" customHeight="1"/>
    <row r="14464" ht="15" hidden="1" customHeight="1"/>
    <row r="14465" ht="15" hidden="1" customHeight="1"/>
    <row r="14466" ht="15" hidden="1" customHeight="1"/>
    <row r="14467" ht="15" hidden="1" customHeight="1"/>
    <row r="14468" ht="15" hidden="1" customHeight="1"/>
    <row r="14469" ht="15" hidden="1" customHeight="1"/>
    <row r="14470" ht="15" hidden="1" customHeight="1"/>
    <row r="14471" ht="15" hidden="1" customHeight="1"/>
    <row r="14472" ht="15" hidden="1" customHeight="1"/>
    <row r="14473" ht="15" hidden="1" customHeight="1"/>
    <row r="14474" ht="15" hidden="1" customHeight="1"/>
    <row r="14475" ht="15" hidden="1" customHeight="1"/>
    <row r="14476" ht="15" hidden="1" customHeight="1"/>
    <row r="14477" ht="15" hidden="1" customHeight="1"/>
    <row r="14478" ht="15" hidden="1" customHeight="1"/>
    <row r="14479" ht="15" hidden="1" customHeight="1"/>
    <row r="14480" ht="15" hidden="1" customHeight="1"/>
    <row r="14481" ht="15" hidden="1" customHeight="1"/>
    <row r="14482" ht="15" hidden="1" customHeight="1"/>
    <row r="14483" ht="15" hidden="1" customHeight="1"/>
    <row r="14484" ht="15" hidden="1" customHeight="1"/>
    <row r="14485" ht="15" hidden="1" customHeight="1"/>
    <row r="14486" ht="15" hidden="1" customHeight="1"/>
    <row r="14487" ht="15" hidden="1" customHeight="1"/>
    <row r="14488" ht="15" hidden="1" customHeight="1"/>
    <row r="14489" ht="15" hidden="1" customHeight="1"/>
    <row r="14490" ht="15" hidden="1" customHeight="1"/>
    <row r="14491" ht="15" hidden="1" customHeight="1"/>
    <row r="14492" ht="15" hidden="1" customHeight="1"/>
    <row r="14493" ht="15" hidden="1" customHeight="1"/>
    <row r="14494" ht="15" hidden="1" customHeight="1"/>
    <row r="14495" ht="15" hidden="1" customHeight="1"/>
    <row r="14496" ht="15" hidden="1" customHeight="1"/>
    <row r="14497" ht="15" hidden="1" customHeight="1"/>
    <row r="14498" ht="15" hidden="1" customHeight="1"/>
    <row r="14499" ht="15" hidden="1" customHeight="1"/>
    <row r="14500" ht="15" hidden="1" customHeight="1"/>
    <row r="14501" ht="15" hidden="1" customHeight="1"/>
    <row r="14502" ht="15" hidden="1" customHeight="1"/>
    <row r="14503" ht="15" hidden="1" customHeight="1"/>
    <row r="14504" ht="15" hidden="1" customHeight="1"/>
    <row r="14505" ht="15" hidden="1" customHeight="1"/>
    <row r="14506" ht="15" hidden="1" customHeight="1"/>
    <row r="14507" ht="15" hidden="1" customHeight="1"/>
    <row r="14508" ht="15" hidden="1" customHeight="1"/>
    <row r="14509" ht="15" hidden="1" customHeight="1"/>
    <row r="14510" ht="15" hidden="1" customHeight="1"/>
    <row r="14511" ht="15" hidden="1" customHeight="1"/>
    <row r="14512" ht="15" hidden="1" customHeight="1"/>
    <row r="14513" ht="15" hidden="1" customHeight="1"/>
    <row r="14514" ht="15" hidden="1" customHeight="1"/>
    <row r="14515" ht="15" hidden="1" customHeight="1"/>
    <row r="14516" ht="15" hidden="1" customHeight="1"/>
    <row r="14517" ht="15" hidden="1" customHeight="1"/>
    <row r="14518" ht="15" hidden="1" customHeight="1"/>
    <row r="14519" ht="15" hidden="1" customHeight="1"/>
    <row r="14520" ht="15" hidden="1" customHeight="1"/>
    <row r="14521" ht="15" hidden="1" customHeight="1"/>
    <row r="14522" ht="15" hidden="1" customHeight="1"/>
    <row r="14523" ht="15" hidden="1" customHeight="1"/>
    <row r="14524" ht="15" hidden="1" customHeight="1"/>
    <row r="14525" ht="15" hidden="1" customHeight="1"/>
    <row r="14526" ht="15" hidden="1" customHeight="1"/>
    <row r="14527" ht="15" hidden="1" customHeight="1"/>
    <row r="14528" ht="15" hidden="1" customHeight="1"/>
    <row r="14529" ht="15" hidden="1" customHeight="1"/>
    <row r="14530" ht="15" hidden="1" customHeight="1"/>
    <row r="14531" ht="15" hidden="1" customHeight="1"/>
    <row r="14532" ht="15" hidden="1" customHeight="1"/>
    <row r="14533" ht="15" hidden="1" customHeight="1"/>
    <row r="14534" ht="15" hidden="1" customHeight="1"/>
    <row r="14535" ht="15" hidden="1" customHeight="1"/>
    <row r="14536" ht="15" hidden="1" customHeight="1"/>
    <row r="14537" ht="15" hidden="1" customHeight="1"/>
    <row r="14538" ht="15" hidden="1" customHeight="1"/>
    <row r="14539" ht="15" hidden="1" customHeight="1"/>
    <row r="14540" ht="15" hidden="1" customHeight="1"/>
    <row r="14541" ht="15" hidden="1" customHeight="1"/>
    <row r="14542" ht="15" hidden="1" customHeight="1"/>
    <row r="14543" ht="15" hidden="1" customHeight="1"/>
    <row r="14544" ht="15" hidden="1" customHeight="1"/>
    <row r="14545" ht="15" hidden="1" customHeight="1"/>
    <row r="14546" ht="15" hidden="1" customHeight="1"/>
    <row r="14547" ht="15" hidden="1" customHeight="1"/>
    <row r="14548" ht="15" hidden="1" customHeight="1"/>
    <row r="14549" ht="15" hidden="1" customHeight="1"/>
    <row r="14550" ht="15" hidden="1" customHeight="1"/>
    <row r="14551" ht="15" hidden="1" customHeight="1"/>
    <row r="14552" ht="15" hidden="1" customHeight="1"/>
    <row r="14553" ht="15" hidden="1" customHeight="1"/>
    <row r="14554" ht="15" hidden="1" customHeight="1"/>
    <row r="14555" ht="15" hidden="1" customHeight="1"/>
    <row r="14556" ht="15" hidden="1" customHeight="1"/>
    <row r="14557" ht="15" hidden="1" customHeight="1"/>
    <row r="14558" ht="15" hidden="1" customHeight="1"/>
    <row r="14559" ht="15" hidden="1" customHeight="1"/>
    <row r="14560" ht="15" hidden="1" customHeight="1"/>
    <row r="14561" ht="15" hidden="1" customHeight="1"/>
    <row r="14562" ht="15" hidden="1" customHeight="1"/>
    <row r="14563" ht="15" hidden="1" customHeight="1"/>
    <row r="14564" ht="15" hidden="1" customHeight="1"/>
    <row r="14565" ht="15" hidden="1" customHeight="1"/>
    <row r="14566" ht="15" hidden="1" customHeight="1"/>
    <row r="14567" ht="15" hidden="1" customHeight="1"/>
    <row r="14568" ht="15" hidden="1" customHeight="1"/>
    <row r="14569" ht="15" hidden="1" customHeight="1"/>
    <row r="14570" ht="15" hidden="1" customHeight="1"/>
    <row r="14571" ht="15" hidden="1" customHeight="1"/>
    <row r="14572" ht="15" hidden="1" customHeight="1"/>
    <row r="14573" ht="15" hidden="1" customHeight="1"/>
    <row r="14574" ht="15" hidden="1" customHeight="1"/>
    <row r="14575" ht="15" hidden="1" customHeight="1"/>
    <row r="14576" ht="15" hidden="1" customHeight="1"/>
    <row r="14577" ht="15" hidden="1" customHeight="1"/>
    <row r="14578" ht="15" hidden="1" customHeight="1"/>
    <row r="14579" ht="15" hidden="1" customHeight="1"/>
    <row r="14580" ht="15" hidden="1" customHeight="1"/>
    <row r="14581" ht="15" hidden="1" customHeight="1"/>
    <row r="14582" ht="15" hidden="1" customHeight="1"/>
    <row r="14583" ht="15" hidden="1" customHeight="1"/>
    <row r="14584" ht="15" hidden="1" customHeight="1"/>
    <row r="14585" ht="15" hidden="1" customHeight="1"/>
    <row r="14586" ht="15" hidden="1" customHeight="1"/>
    <row r="14587" ht="15" hidden="1" customHeight="1"/>
    <row r="14588" ht="15" hidden="1" customHeight="1"/>
    <row r="14589" ht="15" hidden="1" customHeight="1"/>
    <row r="14590" ht="15" hidden="1" customHeight="1"/>
    <row r="14591" ht="15" hidden="1" customHeight="1"/>
    <row r="14592" ht="15" hidden="1" customHeight="1"/>
    <row r="14593" ht="15" hidden="1" customHeight="1"/>
    <row r="14594" ht="15" hidden="1" customHeight="1"/>
    <row r="14595" ht="15" hidden="1" customHeight="1"/>
    <row r="14596" ht="15" hidden="1" customHeight="1"/>
    <row r="14597" ht="15" hidden="1" customHeight="1"/>
    <row r="14598" ht="15" hidden="1" customHeight="1"/>
    <row r="14599" ht="15" hidden="1" customHeight="1"/>
    <row r="14600" ht="15" hidden="1" customHeight="1"/>
    <row r="14601" ht="15" hidden="1" customHeight="1"/>
    <row r="14602" ht="15" hidden="1" customHeight="1"/>
    <row r="14603" ht="15" hidden="1" customHeight="1"/>
    <row r="14604" ht="15" hidden="1" customHeight="1"/>
    <row r="14605" ht="15" hidden="1" customHeight="1"/>
    <row r="14606" ht="15" hidden="1" customHeight="1"/>
    <row r="14607" ht="15" hidden="1" customHeight="1"/>
    <row r="14608" ht="15" hidden="1" customHeight="1"/>
    <row r="14609" ht="15" hidden="1" customHeight="1"/>
    <row r="14610" ht="15" hidden="1" customHeight="1"/>
    <row r="14611" ht="15" hidden="1" customHeight="1"/>
    <row r="14612" ht="15" hidden="1" customHeight="1"/>
    <row r="14613" ht="15" hidden="1" customHeight="1"/>
    <row r="14614" ht="15" hidden="1" customHeight="1"/>
    <row r="14615" ht="15" hidden="1" customHeight="1"/>
    <row r="14616" ht="15" hidden="1" customHeight="1"/>
    <row r="14617" ht="15" hidden="1" customHeight="1"/>
    <row r="14618" ht="15" hidden="1" customHeight="1"/>
    <row r="14619" ht="15" hidden="1" customHeight="1"/>
    <row r="14620" ht="15" hidden="1" customHeight="1"/>
    <row r="14621" ht="15" hidden="1" customHeight="1"/>
    <row r="14622" ht="15" hidden="1" customHeight="1"/>
    <row r="14623" ht="15" hidden="1" customHeight="1"/>
    <row r="14624" ht="15" hidden="1" customHeight="1"/>
    <row r="14625" ht="15" hidden="1" customHeight="1"/>
    <row r="14626" ht="15" hidden="1" customHeight="1"/>
    <row r="14627" ht="15" hidden="1" customHeight="1"/>
    <row r="14628" ht="15" hidden="1" customHeight="1"/>
    <row r="14629" ht="15" hidden="1" customHeight="1"/>
    <row r="14630" ht="15" hidden="1" customHeight="1"/>
    <row r="14631" ht="15" hidden="1" customHeight="1"/>
    <row r="14632" ht="15" hidden="1" customHeight="1"/>
    <row r="14633" ht="15" hidden="1" customHeight="1"/>
    <row r="14634" ht="15" hidden="1" customHeight="1"/>
    <row r="14635" ht="15" hidden="1" customHeight="1"/>
    <row r="14636" ht="15" hidden="1" customHeight="1"/>
    <row r="14637" ht="15" hidden="1" customHeight="1"/>
    <row r="14638" ht="15" hidden="1" customHeight="1"/>
    <row r="14639" ht="15" hidden="1" customHeight="1"/>
    <row r="14640" ht="15" hidden="1" customHeight="1"/>
    <row r="14641" ht="15" hidden="1" customHeight="1"/>
    <row r="14642" ht="15" hidden="1" customHeight="1"/>
    <row r="14643" ht="15" hidden="1" customHeight="1"/>
    <row r="14644" ht="15" hidden="1" customHeight="1"/>
    <row r="14645" ht="15" hidden="1" customHeight="1"/>
    <row r="14646" ht="15" hidden="1" customHeight="1"/>
    <row r="14647" ht="15" hidden="1" customHeight="1"/>
    <row r="14648" ht="15" hidden="1" customHeight="1"/>
    <row r="14649" ht="15" hidden="1" customHeight="1"/>
    <row r="14650" ht="15" hidden="1" customHeight="1"/>
    <row r="14651" ht="15" hidden="1" customHeight="1"/>
    <row r="14652" ht="15" hidden="1" customHeight="1"/>
    <row r="14653" ht="15" hidden="1" customHeight="1"/>
    <row r="14654" ht="15" hidden="1" customHeight="1"/>
    <row r="14655" ht="15" hidden="1" customHeight="1"/>
    <row r="14656" ht="15" hidden="1" customHeight="1"/>
    <row r="14657" ht="15" hidden="1" customHeight="1"/>
    <row r="14658" ht="15" hidden="1" customHeight="1"/>
    <row r="14659" ht="15" hidden="1" customHeight="1"/>
    <row r="14660" ht="15" hidden="1" customHeight="1"/>
    <row r="14661" ht="15" hidden="1" customHeight="1"/>
    <row r="14662" ht="15" hidden="1" customHeight="1"/>
    <row r="14663" ht="15" hidden="1" customHeight="1"/>
    <row r="14664" ht="15" hidden="1" customHeight="1"/>
    <row r="14665" ht="15" hidden="1" customHeight="1"/>
    <row r="14666" ht="15" hidden="1" customHeight="1"/>
    <row r="14667" ht="15" hidden="1" customHeight="1"/>
    <row r="14668" ht="15" hidden="1" customHeight="1"/>
    <row r="14669" ht="15" hidden="1" customHeight="1"/>
    <row r="14670" ht="15" hidden="1" customHeight="1"/>
    <row r="14671" ht="15" hidden="1" customHeight="1"/>
    <row r="14672" ht="15" hidden="1" customHeight="1"/>
    <row r="14673" ht="15" hidden="1" customHeight="1"/>
    <row r="14674" ht="15" hidden="1" customHeight="1"/>
    <row r="14675" ht="15" hidden="1" customHeight="1"/>
    <row r="14676" ht="15" hidden="1" customHeight="1"/>
    <row r="14677" ht="15" hidden="1" customHeight="1"/>
    <row r="14678" ht="15" hidden="1" customHeight="1"/>
    <row r="14679" ht="15" hidden="1" customHeight="1"/>
    <row r="14680" ht="15" hidden="1" customHeight="1"/>
    <row r="14681" ht="15" hidden="1" customHeight="1"/>
    <row r="14682" ht="15" hidden="1" customHeight="1"/>
    <row r="14683" ht="15" hidden="1" customHeight="1"/>
    <row r="14684" ht="15" hidden="1" customHeight="1"/>
    <row r="14685" ht="15" hidden="1" customHeight="1"/>
    <row r="14686" ht="15" hidden="1" customHeight="1"/>
    <row r="14687" ht="15" hidden="1" customHeight="1"/>
    <row r="14688" ht="15" hidden="1" customHeight="1"/>
    <row r="14689" ht="15" hidden="1" customHeight="1"/>
    <row r="14690" ht="15" hidden="1" customHeight="1"/>
    <row r="14691" ht="15" hidden="1" customHeight="1"/>
    <row r="14692" ht="15" hidden="1" customHeight="1"/>
    <row r="14693" ht="15" hidden="1" customHeight="1"/>
    <row r="14694" ht="15" hidden="1" customHeight="1"/>
    <row r="14695" ht="15" hidden="1" customHeight="1"/>
    <row r="14696" ht="15" hidden="1" customHeight="1"/>
    <row r="14697" ht="15" hidden="1" customHeight="1"/>
    <row r="14698" ht="15" hidden="1" customHeight="1"/>
    <row r="14699" ht="15" hidden="1" customHeight="1"/>
    <row r="14700" ht="15" hidden="1" customHeight="1"/>
    <row r="14701" ht="15" hidden="1" customHeight="1"/>
    <row r="14702" ht="15" hidden="1" customHeight="1"/>
    <row r="14703" ht="15" hidden="1" customHeight="1"/>
    <row r="14704" ht="15" hidden="1" customHeight="1"/>
    <row r="14705" ht="15" hidden="1" customHeight="1"/>
    <row r="14706" ht="15" hidden="1" customHeight="1"/>
    <row r="14707" ht="15" hidden="1" customHeight="1"/>
    <row r="14708" ht="15" hidden="1" customHeight="1"/>
    <row r="14709" ht="15" hidden="1" customHeight="1"/>
    <row r="14710" ht="15" hidden="1" customHeight="1"/>
    <row r="14711" ht="15" hidden="1" customHeight="1"/>
    <row r="14712" ht="15" hidden="1" customHeight="1"/>
    <row r="14713" ht="15" hidden="1" customHeight="1"/>
    <row r="14714" ht="15" hidden="1" customHeight="1"/>
    <row r="14715" ht="15" hidden="1" customHeight="1"/>
    <row r="14716" ht="15" hidden="1" customHeight="1"/>
    <row r="14717" ht="15" hidden="1" customHeight="1"/>
    <row r="14718" ht="15" hidden="1" customHeight="1"/>
    <row r="14719" ht="15" hidden="1" customHeight="1"/>
    <row r="14720" ht="15" hidden="1" customHeight="1"/>
    <row r="14721" ht="15" hidden="1" customHeight="1"/>
    <row r="14722" ht="15" hidden="1" customHeight="1"/>
    <row r="14723" ht="15" hidden="1" customHeight="1"/>
    <row r="14724" ht="15" hidden="1" customHeight="1"/>
    <row r="14725" ht="15" hidden="1" customHeight="1"/>
    <row r="14726" ht="15" hidden="1" customHeight="1"/>
    <row r="14727" ht="15" hidden="1" customHeight="1"/>
    <row r="14728" ht="15" hidden="1" customHeight="1"/>
    <row r="14729" ht="15" hidden="1" customHeight="1"/>
    <row r="14730" ht="15" hidden="1" customHeight="1"/>
    <row r="14731" ht="15" hidden="1" customHeight="1"/>
    <row r="14732" ht="15" hidden="1" customHeight="1"/>
    <row r="14733" ht="15" hidden="1" customHeight="1"/>
    <row r="14734" ht="15" hidden="1" customHeight="1"/>
    <row r="14735" ht="15" hidden="1" customHeight="1"/>
    <row r="14736" ht="15" hidden="1" customHeight="1"/>
    <row r="14737" ht="15" hidden="1" customHeight="1"/>
    <row r="14738" ht="15" hidden="1" customHeight="1"/>
    <row r="14739" ht="15" hidden="1" customHeight="1"/>
    <row r="14740" ht="15" hidden="1" customHeight="1"/>
    <row r="14741" ht="15" hidden="1" customHeight="1"/>
    <row r="14742" ht="15" hidden="1" customHeight="1"/>
    <row r="14743" ht="15" hidden="1" customHeight="1"/>
    <row r="14744" ht="15" hidden="1" customHeight="1"/>
    <row r="14745" ht="15" hidden="1" customHeight="1"/>
    <row r="14746" ht="15" hidden="1" customHeight="1"/>
    <row r="14747" ht="15" hidden="1" customHeight="1"/>
    <row r="14748" ht="15" hidden="1" customHeight="1"/>
    <row r="14749" ht="15" hidden="1" customHeight="1"/>
    <row r="14750" ht="15" hidden="1" customHeight="1"/>
    <row r="14751" ht="15" hidden="1" customHeight="1"/>
    <row r="14752" ht="15" hidden="1" customHeight="1"/>
    <row r="14753" ht="15" hidden="1" customHeight="1"/>
    <row r="14754" ht="15" hidden="1" customHeight="1"/>
    <row r="14755" ht="15" hidden="1" customHeight="1"/>
    <row r="14756" ht="15" hidden="1" customHeight="1"/>
    <row r="14757" ht="15" hidden="1" customHeight="1"/>
    <row r="14758" ht="15" hidden="1" customHeight="1"/>
    <row r="14759" ht="15" hidden="1" customHeight="1"/>
    <row r="14760" ht="15" hidden="1" customHeight="1"/>
    <row r="14761" ht="15" hidden="1" customHeight="1"/>
    <row r="14762" ht="15" hidden="1" customHeight="1"/>
    <row r="14763" ht="15" hidden="1" customHeight="1"/>
    <row r="14764" ht="15" hidden="1" customHeight="1"/>
    <row r="14765" ht="15" hidden="1" customHeight="1"/>
    <row r="14766" ht="15" hidden="1" customHeight="1"/>
    <row r="14767" ht="15" hidden="1" customHeight="1"/>
    <row r="14768" ht="15" hidden="1" customHeight="1"/>
    <row r="14769" ht="15" hidden="1" customHeight="1"/>
    <row r="14770" ht="15" hidden="1" customHeight="1"/>
    <row r="14771" ht="15" hidden="1" customHeight="1"/>
    <row r="14772" ht="15" hidden="1" customHeight="1"/>
    <row r="14773" ht="15" hidden="1" customHeight="1"/>
    <row r="14774" ht="15" hidden="1" customHeight="1"/>
    <row r="14775" ht="15" hidden="1" customHeight="1"/>
    <row r="14776" ht="15" hidden="1" customHeight="1"/>
    <row r="14777" ht="15" hidden="1" customHeight="1"/>
    <row r="14778" ht="15" hidden="1" customHeight="1"/>
    <row r="14779" ht="15" hidden="1" customHeight="1"/>
    <row r="14780" ht="15" hidden="1" customHeight="1"/>
    <row r="14781" ht="15" hidden="1" customHeight="1"/>
    <row r="14782" ht="15" hidden="1" customHeight="1"/>
    <row r="14783" ht="15" hidden="1" customHeight="1"/>
    <row r="14784" ht="15" hidden="1" customHeight="1"/>
    <row r="14785" ht="15" hidden="1" customHeight="1"/>
    <row r="14786" ht="15" hidden="1" customHeight="1"/>
    <row r="14787" ht="15" hidden="1" customHeight="1"/>
    <row r="14788" ht="15" hidden="1" customHeight="1"/>
    <row r="14789" ht="15" hidden="1" customHeight="1"/>
    <row r="14790" ht="15" hidden="1" customHeight="1"/>
    <row r="14791" ht="15" hidden="1" customHeight="1"/>
    <row r="14792" ht="15" hidden="1" customHeight="1"/>
    <row r="14793" ht="15" hidden="1" customHeight="1"/>
    <row r="14794" ht="15" hidden="1" customHeight="1"/>
    <row r="14795" ht="15" hidden="1" customHeight="1"/>
    <row r="14796" ht="15" hidden="1" customHeight="1"/>
    <row r="14797" ht="15" hidden="1" customHeight="1"/>
    <row r="14798" ht="15" hidden="1" customHeight="1"/>
    <row r="14799" ht="15" hidden="1" customHeight="1"/>
    <row r="14800" ht="15" hidden="1" customHeight="1"/>
    <row r="14801" ht="15" hidden="1" customHeight="1"/>
    <row r="14802" ht="15" hidden="1" customHeight="1"/>
    <row r="14803" ht="15" hidden="1" customHeight="1"/>
    <row r="14804" ht="15" hidden="1" customHeight="1"/>
    <row r="14805" ht="15" hidden="1" customHeight="1"/>
    <row r="14806" ht="15" hidden="1" customHeight="1"/>
    <row r="14807" ht="15" hidden="1" customHeight="1"/>
    <row r="14808" ht="15" hidden="1" customHeight="1"/>
    <row r="14809" ht="15" hidden="1" customHeight="1"/>
    <row r="14810" ht="15" hidden="1" customHeight="1"/>
    <row r="14811" ht="15" hidden="1" customHeight="1"/>
    <row r="14812" ht="15" hidden="1" customHeight="1"/>
    <row r="14813" ht="15" hidden="1" customHeight="1"/>
    <row r="14814" ht="15" hidden="1" customHeight="1"/>
    <row r="14815" ht="15" hidden="1" customHeight="1"/>
    <row r="14816" ht="15" hidden="1" customHeight="1"/>
    <row r="14817" ht="15" hidden="1" customHeight="1"/>
    <row r="14818" ht="15" hidden="1" customHeight="1"/>
    <row r="14819" ht="15" hidden="1" customHeight="1"/>
    <row r="14820" ht="15" hidden="1" customHeight="1"/>
    <row r="14821" ht="15" hidden="1" customHeight="1"/>
    <row r="14822" ht="15" hidden="1" customHeight="1"/>
    <row r="14823" ht="15" hidden="1" customHeight="1"/>
    <row r="14824" ht="15" hidden="1" customHeight="1"/>
    <row r="14825" ht="15" hidden="1" customHeight="1"/>
    <row r="14826" ht="15" hidden="1" customHeight="1"/>
    <row r="14827" ht="15" hidden="1" customHeight="1"/>
    <row r="14828" ht="15" hidden="1" customHeight="1"/>
    <row r="14829" ht="15" hidden="1" customHeight="1"/>
    <row r="14830" ht="15" hidden="1" customHeight="1"/>
    <row r="14831" ht="15" hidden="1" customHeight="1"/>
    <row r="14832" ht="15" hidden="1" customHeight="1"/>
    <row r="14833" ht="15" hidden="1" customHeight="1"/>
    <row r="14834" ht="15" hidden="1" customHeight="1"/>
    <row r="14835" ht="15" hidden="1" customHeight="1"/>
    <row r="14836" ht="15" hidden="1" customHeight="1"/>
    <row r="14837" ht="15" hidden="1" customHeight="1"/>
    <row r="14838" ht="15" hidden="1" customHeight="1"/>
    <row r="14839" ht="15" hidden="1" customHeight="1"/>
    <row r="14840" ht="15" hidden="1" customHeight="1"/>
    <row r="14841" ht="15" hidden="1" customHeight="1"/>
    <row r="14842" ht="15" hidden="1" customHeight="1"/>
    <row r="14843" ht="15" hidden="1" customHeight="1"/>
    <row r="14844" ht="15" hidden="1" customHeight="1"/>
    <row r="14845" ht="15" hidden="1" customHeight="1"/>
    <row r="14846" ht="15" hidden="1" customHeight="1"/>
    <row r="14847" ht="15" hidden="1" customHeight="1"/>
    <row r="14848" ht="15" hidden="1" customHeight="1"/>
    <row r="14849" ht="15" hidden="1" customHeight="1"/>
    <row r="14850" ht="15" hidden="1" customHeight="1"/>
    <row r="14851" ht="15" hidden="1" customHeight="1"/>
    <row r="14852" ht="15" hidden="1" customHeight="1"/>
    <row r="14853" ht="15" hidden="1" customHeight="1"/>
    <row r="14854" ht="15" hidden="1" customHeight="1"/>
    <row r="14855" ht="15" hidden="1" customHeight="1"/>
    <row r="14856" ht="15" hidden="1" customHeight="1"/>
    <row r="14857" ht="15" hidden="1" customHeight="1"/>
    <row r="14858" ht="15" hidden="1" customHeight="1"/>
    <row r="14859" ht="15" hidden="1" customHeight="1"/>
    <row r="14860" ht="15" hidden="1" customHeight="1"/>
    <row r="14861" ht="15" hidden="1" customHeight="1"/>
    <row r="14862" ht="15" hidden="1" customHeight="1"/>
    <row r="14863" ht="15" hidden="1" customHeight="1"/>
    <row r="14864" ht="15" hidden="1" customHeight="1"/>
    <row r="14865" ht="15" hidden="1" customHeight="1"/>
    <row r="14866" ht="15" hidden="1" customHeight="1"/>
    <row r="14867" ht="15" hidden="1" customHeight="1"/>
    <row r="14868" ht="15" hidden="1" customHeight="1"/>
    <row r="14869" ht="15" hidden="1" customHeight="1"/>
    <row r="14870" ht="15" hidden="1" customHeight="1"/>
    <row r="14871" ht="15" hidden="1" customHeight="1"/>
    <row r="14872" ht="15" hidden="1" customHeight="1"/>
    <row r="14873" ht="15" hidden="1" customHeight="1"/>
    <row r="14874" ht="15" hidden="1" customHeight="1"/>
    <row r="14875" ht="15" hidden="1" customHeight="1"/>
    <row r="14876" ht="15" hidden="1" customHeight="1"/>
    <row r="14877" ht="15" hidden="1" customHeight="1"/>
    <row r="14878" ht="15" hidden="1" customHeight="1"/>
    <row r="14879" ht="15" hidden="1" customHeight="1"/>
    <row r="14880" ht="15" hidden="1" customHeight="1"/>
    <row r="14881" ht="15" hidden="1" customHeight="1"/>
    <row r="14882" ht="15" hidden="1" customHeight="1"/>
    <row r="14883" ht="15" hidden="1" customHeight="1"/>
    <row r="14884" ht="15" hidden="1" customHeight="1"/>
    <row r="14885" ht="15" hidden="1" customHeight="1"/>
    <row r="14886" ht="15" hidden="1" customHeight="1"/>
    <row r="14887" ht="15" hidden="1" customHeight="1"/>
    <row r="14888" ht="15" hidden="1" customHeight="1"/>
    <row r="14889" ht="15" hidden="1" customHeight="1"/>
    <row r="14890" ht="15" hidden="1" customHeight="1"/>
    <row r="14891" ht="15" hidden="1" customHeight="1"/>
    <row r="14892" ht="15" hidden="1" customHeight="1"/>
    <row r="14893" ht="15" hidden="1" customHeight="1"/>
    <row r="14894" ht="15" hidden="1" customHeight="1"/>
    <row r="14895" ht="15" hidden="1" customHeight="1"/>
    <row r="14896" ht="15" hidden="1" customHeight="1"/>
    <row r="14897" ht="15" hidden="1" customHeight="1"/>
    <row r="14898" ht="15" hidden="1" customHeight="1"/>
    <row r="14899" ht="15" hidden="1" customHeight="1"/>
    <row r="14900" ht="15" hidden="1" customHeight="1"/>
    <row r="14901" ht="15" hidden="1" customHeight="1"/>
    <row r="14902" ht="15" hidden="1" customHeight="1"/>
    <row r="14903" ht="15" hidden="1" customHeight="1"/>
    <row r="14904" ht="15" hidden="1" customHeight="1"/>
    <row r="14905" ht="15" hidden="1" customHeight="1"/>
    <row r="14906" ht="15" hidden="1" customHeight="1"/>
    <row r="14907" ht="15" hidden="1" customHeight="1"/>
    <row r="14908" ht="15" hidden="1" customHeight="1"/>
    <row r="14909" ht="15" hidden="1" customHeight="1"/>
    <row r="14910" ht="15" hidden="1" customHeight="1"/>
    <row r="14911" ht="15" hidden="1" customHeight="1"/>
    <row r="14912" ht="15" hidden="1" customHeight="1"/>
    <row r="14913" ht="15" hidden="1" customHeight="1"/>
    <row r="14914" ht="15" hidden="1" customHeight="1"/>
    <row r="14915" ht="15" hidden="1" customHeight="1"/>
    <row r="14916" ht="15" hidden="1" customHeight="1"/>
    <row r="14917" ht="15" hidden="1" customHeight="1"/>
    <row r="14918" ht="15" hidden="1" customHeight="1"/>
    <row r="14919" ht="15" hidden="1" customHeight="1"/>
    <row r="14920" ht="15" hidden="1" customHeight="1"/>
    <row r="14921" ht="15" hidden="1" customHeight="1"/>
    <row r="14922" ht="15" hidden="1" customHeight="1"/>
    <row r="14923" ht="15" hidden="1" customHeight="1"/>
    <row r="14924" ht="15" hidden="1" customHeight="1"/>
    <row r="14925" ht="15" hidden="1" customHeight="1"/>
    <row r="14926" ht="15" hidden="1" customHeight="1"/>
    <row r="14927" ht="15" hidden="1" customHeight="1"/>
    <row r="14928" ht="15" hidden="1" customHeight="1"/>
    <row r="14929" ht="15" hidden="1" customHeight="1"/>
    <row r="14930" ht="15" hidden="1" customHeight="1"/>
    <row r="14931" ht="15" hidden="1" customHeight="1"/>
    <row r="14932" ht="15" hidden="1" customHeight="1"/>
    <row r="14933" ht="15" hidden="1" customHeight="1"/>
    <row r="14934" ht="15" hidden="1" customHeight="1"/>
    <row r="14935" ht="15" hidden="1" customHeight="1"/>
    <row r="14936" ht="15" hidden="1" customHeight="1"/>
    <row r="14937" ht="15" hidden="1" customHeight="1"/>
    <row r="14938" ht="15" hidden="1" customHeight="1"/>
    <row r="14939" ht="15" hidden="1" customHeight="1"/>
    <row r="14940" ht="15" hidden="1" customHeight="1"/>
    <row r="14941" ht="15" hidden="1" customHeight="1"/>
    <row r="14942" ht="15" hidden="1" customHeight="1"/>
    <row r="14943" ht="15" hidden="1" customHeight="1"/>
    <row r="14944" ht="15" hidden="1" customHeight="1"/>
    <row r="14945" ht="15" hidden="1" customHeight="1"/>
    <row r="14946" ht="15" hidden="1" customHeight="1"/>
    <row r="14947" ht="15" hidden="1" customHeight="1"/>
    <row r="14948" ht="15" hidden="1" customHeight="1"/>
    <row r="14949" ht="15" hidden="1" customHeight="1"/>
    <row r="14950" ht="15" hidden="1" customHeight="1"/>
    <row r="14951" ht="15" hidden="1" customHeight="1"/>
    <row r="14952" ht="15" hidden="1" customHeight="1"/>
    <row r="14953" ht="15" hidden="1" customHeight="1"/>
    <row r="14954" ht="15" hidden="1" customHeight="1"/>
    <row r="14955" ht="15" hidden="1" customHeight="1"/>
    <row r="14956" ht="15" hidden="1" customHeight="1"/>
    <row r="14957" ht="15" hidden="1" customHeight="1"/>
    <row r="14958" ht="15" hidden="1" customHeight="1"/>
    <row r="14959" ht="15" hidden="1" customHeight="1"/>
    <row r="14960" ht="15" hidden="1" customHeight="1"/>
    <row r="14961" ht="15" hidden="1" customHeight="1"/>
    <row r="14962" ht="15" hidden="1" customHeight="1"/>
    <row r="14963" ht="15" hidden="1" customHeight="1"/>
    <row r="14964" ht="15" hidden="1" customHeight="1"/>
    <row r="14965" ht="15" hidden="1" customHeight="1"/>
    <row r="14966" ht="15" hidden="1" customHeight="1"/>
    <row r="14967" ht="15" hidden="1" customHeight="1"/>
    <row r="14968" ht="15" hidden="1" customHeight="1"/>
    <row r="14969" ht="15" hidden="1" customHeight="1"/>
    <row r="14970" ht="15" hidden="1" customHeight="1"/>
    <row r="14971" ht="15" hidden="1" customHeight="1"/>
    <row r="14972" ht="15" hidden="1" customHeight="1"/>
    <row r="14973" ht="15" hidden="1" customHeight="1"/>
    <row r="14974" ht="15" hidden="1" customHeight="1"/>
    <row r="14975" ht="15" hidden="1" customHeight="1"/>
    <row r="14976" ht="15" hidden="1" customHeight="1"/>
    <row r="14977" ht="15" hidden="1" customHeight="1"/>
    <row r="14978" ht="15" hidden="1" customHeight="1"/>
    <row r="14979" ht="15" hidden="1" customHeight="1"/>
    <row r="14980" ht="15" hidden="1" customHeight="1"/>
    <row r="14981" ht="15" hidden="1" customHeight="1"/>
    <row r="14982" ht="15" hidden="1" customHeight="1"/>
    <row r="14983" ht="15" hidden="1" customHeight="1"/>
    <row r="14984" ht="15" hidden="1" customHeight="1"/>
    <row r="14985" ht="15" hidden="1" customHeight="1"/>
    <row r="14986" ht="15" hidden="1" customHeight="1"/>
    <row r="14987" ht="15" hidden="1" customHeight="1"/>
    <row r="14988" ht="15" hidden="1" customHeight="1"/>
    <row r="14989" ht="15" hidden="1" customHeight="1"/>
    <row r="14990" ht="15" hidden="1" customHeight="1"/>
    <row r="14991" ht="15" hidden="1" customHeight="1"/>
    <row r="14992" ht="15" hidden="1" customHeight="1"/>
    <row r="14993" ht="15" hidden="1" customHeight="1"/>
    <row r="14994" ht="15" hidden="1" customHeight="1"/>
    <row r="14995" ht="15" hidden="1" customHeight="1"/>
    <row r="14996" ht="15" hidden="1" customHeight="1"/>
    <row r="14997" ht="15" hidden="1" customHeight="1"/>
    <row r="14998" ht="15" hidden="1" customHeight="1"/>
    <row r="14999" ht="15" hidden="1" customHeight="1"/>
    <row r="15000" ht="15" hidden="1" customHeight="1"/>
    <row r="15001" ht="15" hidden="1" customHeight="1"/>
    <row r="15002" ht="15" hidden="1" customHeight="1"/>
    <row r="15003" ht="15" hidden="1" customHeight="1"/>
    <row r="15004" ht="15" hidden="1" customHeight="1"/>
    <row r="15005" ht="15" hidden="1" customHeight="1"/>
    <row r="15006" ht="15" hidden="1" customHeight="1"/>
    <row r="15007" ht="15" hidden="1" customHeight="1"/>
    <row r="15008" ht="15" hidden="1" customHeight="1"/>
    <row r="15009" ht="15" hidden="1" customHeight="1"/>
    <row r="15010" ht="15" hidden="1" customHeight="1"/>
    <row r="15011" ht="15" hidden="1" customHeight="1"/>
    <row r="15012" ht="15" hidden="1" customHeight="1"/>
    <row r="15013" ht="15" hidden="1" customHeight="1"/>
    <row r="15014" ht="15" hidden="1" customHeight="1"/>
    <row r="15015" ht="15" hidden="1" customHeight="1"/>
    <row r="15016" ht="15" hidden="1" customHeight="1"/>
    <row r="15017" ht="15" hidden="1" customHeight="1"/>
    <row r="15018" ht="15" hidden="1" customHeight="1"/>
    <row r="15019" ht="15" hidden="1" customHeight="1"/>
    <row r="15020" ht="15" hidden="1" customHeight="1"/>
    <row r="15021" ht="15" hidden="1" customHeight="1"/>
    <row r="15022" ht="15" hidden="1" customHeight="1"/>
    <row r="15023" ht="15" hidden="1" customHeight="1"/>
    <row r="15024" ht="15" hidden="1" customHeight="1"/>
    <row r="15025" ht="15" hidden="1" customHeight="1"/>
    <row r="15026" ht="15" hidden="1" customHeight="1"/>
    <row r="15027" ht="15" hidden="1" customHeight="1"/>
    <row r="15028" ht="15" hidden="1" customHeight="1"/>
    <row r="15029" ht="15" hidden="1" customHeight="1"/>
    <row r="15030" ht="15" hidden="1" customHeight="1"/>
    <row r="15031" ht="15" hidden="1" customHeight="1"/>
    <row r="15032" ht="15" hidden="1" customHeight="1"/>
    <row r="15033" ht="15" hidden="1" customHeight="1"/>
    <row r="15034" ht="15" hidden="1" customHeight="1"/>
    <row r="15035" ht="15" hidden="1" customHeight="1"/>
    <row r="15036" ht="15" hidden="1" customHeight="1"/>
    <row r="15037" ht="15" hidden="1" customHeight="1"/>
    <row r="15038" ht="15" hidden="1" customHeight="1"/>
    <row r="15039" ht="15" hidden="1" customHeight="1"/>
    <row r="15040" ht="15" hidden="1" customHeight="1"/>
    <row r="15041" ht="15" hidden="1" customHeight="1"/>
    <row r="15042" ht="15" hidden="1" customHeight="1"/>
    <row r="15043" ht="15" hidden="1" customHeight="1"/>
    <row r="15044" ht="15" hidden="1" customHeight="1"/>
    <row r="15045" ht="15" hidden="1" customHeight="1"/>
    <row r="15046" ht="15" hidden="1" customHeight="1"/>
    <row r="15047" ht="15" hidden="1" customHeight="1"/>
    <row r="15048" ht="15" hidden="1" customHeight="1"/>
    <row r="15049" ht="15" hidden="1" customHeight="1"/>
    <row r="15050" ht="15" hidden="1" customHeight="1"/>
    <row r="15051" ht="15" hidden="1" customHeight="1"/>
    <row r="15052" ht="15" hidden="1" customHeight="1"/>
    <row r="15053" ht="15" hidden="1" customHeight="1"/>
    <row r="15054" ht="15" hidden="1" customHeight="1"/>
    <row r="15055" ht="15" hidden="1" customHeight="1"/>
    <row r="15056" ht="15" hidden="1" customHeight="1"/>
    <row r="15057" ht="15" hidden="1" customHeight="1"/>
    <row r="15058" ht="15" hidden="1" customHeight="1"/>
    <row r="15059" ht="15" hidden="1" customHeight="1"/>
    <row r="15060" ht="15" hidden="1" customHeight="1"/>
    <row r="15061" ht="15" hidden="1" customHeight="1"/>
    <row r="15062" ht="15" hidden="1" customHeight="1"/>
    <row r="15063" ht="15" hidden="1" customHeight="1"/>
    <row r="15064" ht="15" hidden="1" customHeight="1"/>
    <row r="15065" ht="15" hidden="1" customHeight="1"/>
    <row r="15066" ht="15" hidden="1" customHeight="1"/>
    <row r="15067" ht="15" hidden="1" customHeight="1"/>
    <row r="15068" ht="15" hidden="1" customHeight="1"/>
    <row r="15069" ht="15" hidden="1" customHeight="1"/>
    <row r="15070" ht="15" hidden="1" customHeight="1"/>
    <row r="15071" ht="15" hidden="1" customHeight="1"/>
    <row r="15072" ht="15" hidden="1" customHeight="1"/>
    <row r="15073" ht="15" hidden="1" customHeight="1"/>
    <row r="15074" ht="15" hidden="1" customHeight="1"/>
    <row r="15075" ht="15" hidden="1" customHeight="1"/>
    <row r="15076" ht="15" hidden="1" customHeight="1"/>
    <row r="15077" ht="15" hidden="1" customHeight="1"/>
    <row r="15078" ht="15" hidden="1" customHeight="1"/>
    <row r="15079" ht="15" hidden="1" customHeight="1"/>
    <row r="15080" ht="15" hidden="1" customHeight="1"/>
    <row r="15081" ht="15" hidden="1" customHeight="1"/>
    <row r="15082" ht="15" hidden="1" customHeight="1"/>
    <row r="15083" ht="15" hidden="1" customHeight="1"/>
    <row r="15084" ht="15" hidden="1" customHeight="1"/>
    <row r="15085" ht="15" hidden="1" customHeight="1"/>
    <row r="15086" ht="15" hidden="1" customHeight="1"/>
    <row r="15087" ht="15" hidden="1" customHeight="1"/>
    <row r="15088" ht="15" hidden="1" customHeight="1"/>
    <row r="15089" ht="15" hidden="1" customHeight="1"/>
    <row r="15090" ht="15" hidden="1" customHeight="1"/>
    <row r="15091" ht="15" hidden="1" customHeight="1"/>
    <row r="15092" ht="15" hidden="1" customHeight="1"/>
    <row r="15093" ht="15" hidden="1" customHeight="1"/>
    <row r="15094" ht="15" hidden="1" customHeight="1"/>
    <row r="15095" ht="15" hidden="1" customHeight="1"/>
    <row r="15096" ht="15" hidden="1" customHeight="1"/>
    <row r="15097" ht="15" hidden="1" customHeight="1"/>
    <row r="15098" ht="15" hidden="1" customHeight="1"/>
    <row r="15099" ht="15" hidden="1" customHeight="1"/>
    <row r="15100" ht="15" hidden="1" customHeight="1"/>
    <row r="15101" ht="15" hidden="1" customHeight="1"/>
    <row r="15102" ht="15" hidden="1" customHeight="1"/>
    <row r="15103" ht="15" hidden="1" customHeight="1"/>
    <row r="15104" ht="15" hidden="1" customHeight="1"/>
    <row r="15105" ht="15" hidden="1" customHeight="1"/>
    <row r="15106" ht="15" hidden="1" customHeight="1"/>
    <row r="15107" ht="15" hidden="1" customHeight="1"/>
    <row r="15108" ht="15" hidden="1" customHeight="1"/>
    <row r="15109" ht="15" hidden="1" customHeight="1"/>
    <row r="15110" ht="15" hidden="1" customHeight="1"/>
    <row r="15111" ht="15" hidden="1" customHeight="1"/>
    <row r="15112" ht="15" hidden="1" customHeight="1"/>
    <row r="15113" ht="15" hidden="1" customHeight="1"/>
    <row r="15114" ht="15" hidden="1" customHeight="1"/>
    <row r="15115" ht="15" hidden="1" customHeight="1"/>
    <row r="15116" ht="15" hidden="1" customHeight="1"/>
    <row r="15117" ht="15" hidden="1" customHeight="1"/>
    <row r="15118" ht="15" hidden="1" customHeight="1"/>
    <row r="15119" ht="15" hidden="1" customHeight="1"/>
    <row r="15120" ht="15" hidden="1" customHeight="1"/>
    <row r="15121" ht="15" hidden="1" customHeight="1"/>
    <row r="15122" ht="15" hidden="1" customHeight="1"/>
    <row r="15123" ht="15" hidden="1" customHeight="1"/>
    <row r="15124" ht="15" hidden="1" customHeight="1"/>
    <row r="15125" ht="15" hidden="1" customHeight="1"/>
    <row r="15126" ht="15" hidden="1" customHeight="1"/>
    <row r="15127" ht="15" hidden="1" customHeight="1"/>
    <row r="15128" ht="15" hidden="1" customHeight="1"/>
    <row r="15129" ht="15" hidden="1" customHeight="1"/>
    <row r="15130" ht="15" hidden="1" customHeight="1"/>
    <row r="15131" ht="15" hidden="1" customHeight="1"/>
    <row r="15132" ht="15" hidden="1" customHeight="1"/>
    <row r="15133" ht="15" hidden="1" customHeight="1"/>
    <row r="15134" ht="15" hidden="1" customHeight="1"/>
    <row r="15135" ht="15" hidden="1" customHeight="1"/>
    <row r="15136" ht="15" hidden="1" customHeight="1"/>
    <row r="15137" ht="15" hidden="1" customHeight="1"/>
    <row r="15138" ht="15" hidden="1" customHeight="1"/>
    <row r="15139" ht="15" hidden="1" customHeight="1"/>
    <row r="15140" ht="15" hidden="1" customHeight="1"/>
    <row r="15141" ht="15" hidden="1" customHeight="1"/>
    <row r="15142" ht="15" hidden="1" customHeight="1"/>
    <row r="15143" ht="15" hidden="1" customHeight="1"/>
    <row r="15144" ht="15" hidden="1" customHeight="1"/>
    <row r="15145" ht="15" hidden="1" customHeight="1"/>
    <row r="15146" ht="15" hidden="1" customHeight="1"/>
    <row r="15147" ht="15" hidden="1" customHeight="1"/>
    <row r="15148" ht="15" hidden="1" customHeight="1"/>
    <row r="15149" ht="15" hidden="1" customHeight="1"/>
    <row r="15150" ht="15" hidden="1" customHeight="1"/>
    <row r="15151" ht="15" hidden="1" customHeight="1"/>
    <row r="15152" ht="15" hidden="1" customHeight="1"/>
    <row r="15153" ht="15" hidden="1" customHeight="1"/>
    <row r="15154" ht="15" hidden="1" customHeight="1"/>
    <row r="15155" ht="15" hidden="1" customHeight="1"/>
    <row r="15156" ht="15" hidden="1" customHeight="1"/>
    <row r="15157" ht="15" hidden="1" customHeight="1"/>
    <row r="15158" ht="15" hidden="1" customHeight="1"/>
    <row r="15159" ht="15" hidden="1" customHeight="1"/>
    <row r="15160" ht="15" hidden="1" customHeight="1"/>
    <row r="15161" ht="15" hidden="1" customHeight="1"/>
    <row r="15162" ht="15" hidden="1" customHeight="1"/>
    <row r="15163" ht="15" hidden="1" customHeight="1"/>
    <row r="15164" ht="15" hidden="1" customHeight="1"/>
    <row r="15165" ht="15" hidden="1" customHeight="1"/>
    <row r="15166" ht="15" hidden="1" customHeight="1"/>
    <row r="15167" ht="15" hidden="1" customHeight="1"/>
    <row r="15168" ht="15" hidden="1" customHeight="1"/>
    <row r="15169" ht="15" hidden="1" customHeight="1"/>
    <row r="15170" ht="15" hidden="1" customHeight="1"/>
    <row r="15171" ht="15" hidden="1" customHeight="1"/>
    <row r="15172" ht="15" hidden="1" customHeight="1"/>
    <row r="15173" ht="15" hidden="1" customHeight="1"/>
    <row r="15174" ht="15" hidden="1" customHeight="1"/>
    <row r="15175" ht="15" hidden="1" customHeight="1"/>
    <row r="15176" ht="15" hidden="1" customHeight="1"/>
    <row r="15177" ht="15" hidden="1" customHeight="1"/>
    <row r="15178" ht="15" hidden="1" customHeight="1"/>
    <row r="15179" ht="15" hidden="1" customHeight="1"/>
    <row r="15180" ht="15" hidden="1" customHeight="1"/>
    <row r="15181" ht="15" hidden="1" customHeight="1"/>
    <row r="15182" ht="15" hidden="1" customHeight="1"/>
    <row r="15183" ht="15" hidden="1" customHeight="1"/>
    <row r="15184" ht="15" hidden="1" customHeight="1"/>
    <row r="15185" ht="15" hidden="1" customHeight="1"/>
    <row r="15186" ht="15" hidden="1" customHeight="1"/>
    <row r="15187" ht="15" hidden="1" customHeight="1"/>
    <row r="15188" ht="15" hidden="1" customHeight="1"/>
    <row r="15189" ht="15" hidden="1" customHeight="1"/>
    <row r="15190" ht="15" hidden="1" customHeight="1"/>
    <row r="15191" ht="15" hidden="1" customHeight="1"/>
    <row r="15192" ht="15" hidden="1" customHeight="1"/>
    <row r="15193" ht="15" hidden="1" customHeight="1"/>
    <row r="15194" ht="15" hidden="1" customHeight="1"/>
    <row r="15195" ht="15" hidden="1" customHeight="1"/>
    <row r="15196" ht="15" hidden="1" customHeight="1"/>
    <row r="15197" ht="15" hidden="1" customHeight="1"/>
    <row r="15198" ht="15" hidden="1" customHeight="1"/>
    <row r="15199" ht="15" hidden="1" customHeight="1"/>
    <row r="15200" ht="15" hidden="1" customHeight="1"/>
    <row r="15201" ht="15" hidden="1" customHeight="1"/>
    <row r="15202" ht="15" hidden="1" customHeight="1"/>
    <row r="15203" ht="15" hidden="1" customHeight="1"/>
    <row r="15204" ht="15" hidden="1" customHeight="1"/>
    <row r="15205" ht="15" hidden="1" customHeight="1"/>
    <row r="15206" ht="15" hidden="1" customHeight="1"/>
    <row r="15207" ht="15" hidden="1" customHeight="1"/>
    <row r="15208" ht="15" hidden="1" customHeight="1"/>
    <row r="15209" ht="15" hidden="1" customHeight="1"/>
    <row r="15210" ht="15" hidden="1" customHeight="1"/>
    <row r="15211" ht="15" hidden="1" customHeight="1"/>
    <row r="15212" ht="15" hidden="1" customHeight="1"/>
    <row r="15213" ht="15" hidden="1" customHeight="1"/>
    <row r="15214" ht="15" hidden="1" customHeight="1"/>
    <row r="15215" ht="15" hidden="1" customHeight="1"/>
    <row r="15216" ht="15" hidden="1" customHeight="1"/>
    <row r="15217" ht="15" hidden="1" customHeight="1"/>
    <row r="15218" ht="15" hidden="1" customHeight="1"/>
    <row r="15219" ht="15" hidden="1" customHeight="1"/>
    <row r="15220" ht="15" hidden="1" customHeight="1"/>
    <row r="15221" ht="15" hidden="1" customHeight="1"/>
    <row r="15222" ht="15" hidden="1" customHeight="1"/>
    <row r="15223" ht="15" hidden="1" customHeight="1"/>
    <row r="15224" ht="15" hidden="1" customHeight="1"/>
    <row r="15225" ht="15" hidden="1" customHeight="1"/>
    <row r="15226" ht="15" hidden="1" customHeight="1"/>
    <row r="15227" ht="15" hidden="1" customHeight="1"/>
    <row r="15228" ht="15" hidden="1" customHeight="1"/>
    <row r="15229" ht="15" hidden="1" customHeight="1"/>
    <row r="15230" ht="15" hidden="1" customHeight="1"/>
    <row r="15231" ht="15" hidden="1" customHeight="1"/>
    <row r="15232" ht="15" hidden="1" customHeight="1"/>
    <row r="15233" ht="15" hidden="1" customHeight="1"/>
    <row r="15234" ht="15" hidden="1" customHeight="1"/>
    <row r="15235" ht="15" hidden="1" customHeight="1"/>
    <row r="15236" ht="15" hidden="1" customHeight="1"/>
    <row r="15237" ht="15" hidden="1" customHeight="1"/>
    <row r="15238" ht="15" hidden="1" customHeight="1"/>
    <row r="15239" ht="15" hidden="1" customHeight="1"/>
    <row r="15240" ht="15" hidden="1" customHeight="1"/>
    <row r="15241" ht="15" hidden="1" customHeight="1"/>
    <row r="15242" ht="15" hidden="1" customHeight="1"/>
    <row r="15243" ht="15" hidden="1" customHeight="1"/>
    <row r="15244" ht="15" hidden="1" customHeight="1"/>
    <row r="15245" ht="15" hidden="1" customHeight="1"/>
    <row r="15246" ht="15" hidden="1" customHeight="1"/>
    <row r="15247" ht="15" hidden="1" customHeight="1"/>
    <row r="15248" ht="15" hidden="1" customHeight="1"/>
    <row r="15249" ht="15" hidden="1" customHeight="1"/>
    <row r="15250" ht="15" hidden="1" customHeight="1"/>
    <row r="15251" ht="15" hidden="1" customHeight="1"/>
    <row r="15252" ht="15" hidden="1" customHeight="1"/>
    <row r="15253" ht="15" hidden="1" customHeight="1"/>
    <row r="15254" ht="15" hidden="1" customHeight="1"/>
    <row r="15255" ht="15" hidden="1" customHeight="1"/>
    <row r="15256" ht="15" hidden="1" customHeight="1"/>
    <row r="15257" ht="15" hidden="1" customHeight="1"/>
    <row r="15258" ht="15" hidden="1" customHeight="1"/>
    <row r="15259" ht="15" hidden="1" customHeight="1"/>
    <row r="15260" ht="15" hidden="1" customHeight="1"/>
    <row r="15261" ht="15" hidden="1" customHeight="1"/>
    <row r="15262" ht="15" hidden="1" customHeight="1"/>
    <row r="15263" ht="15" hidden="1" customHeight="1"/>
    <row r="15264" ht="15" hidden="1" customHeight="1"/>
    <row r="15265" ht="15" hidden="1" customHeight="1"/>
    <row r="15266" ht="15" hidden="1" customHeight="1"/>
    <row r="15267" ht="15" hidden="1" customHeight="1"/>
    <row r="15268" ht="15" hidden="1" customHeight="1"/>
    <row r="15269" ht="15" hidden="1" customHeight="1"/>
    <row r="15270" ht="15" hidden="1" customHeight="1"/>
    <row r="15271" ht="15" hidden="1" customHeight="1"/>
    <row r="15272" ht="15" hidden="1" customHeight="1"/>
    <row r="15273" ht="15" hidden="1" customHeight="1"/>
    <row r="15274" ht="15" hidden="1" customHeight="1"/>
    <row r="15275" ht="15" hidden="1" customHeight="1"/>
    <row r="15276" ht="15" hidden="1" customHeight="1"/>
    <row r="15277" ht="15" hidden="1" customHeight="1"/>
    <row r="15278" ht="15" hidden="1" customHeight="1"/>
    <row r="15279" ht="15" hidden="1" customHeight="1"/>
    <row r="15280" ht="15" hidden="1" customHeight="1"/>
    <row r="15281" ht="15" hidden="1" customHeight="1"/>
    <row r="15282" ht="15" hidden="1" customHeight="1"/>
    <row r="15283" ht="15" hidden="1" customHeight="1"/>
    <row r="15284" ht="15" hidden="1" customHeight="1"/>
    <row r="15285" ht="15" hidden="1" customHeight="1"/>
    <row r="15286" ht="15" hidden="1" customHeight="1"/>
    <row r="15287" ht="15" hidden="1" customHeight="1"/>
    <row r="15288" ht="15" hidden="1" customHeight="1"/>
    <row r="15289" ht="15" hidden="1" customHeight="1"/>
    <row r="15290" ht="15" hidden="1" customHeight="1"/>
    <row r="15291" ht="15" hidden="1" customHeight="1"/>
    <row r="15292" ht="15" hidden="1" customHeight="1"/>
    <row r="15293" ht="15" hidden="1" customHeight="1"/>
    <row r="15294" ht="15" hidden="1" customHeight="1"/>
    <row r="15295" ht="15" hidden="1" customHeight="1"/>
    <row r="15296" ht="15" hidden="1" customHeight="1"/>
    <row r="15297" ht="15" hidden="1" customHeight="1"/>
    <row r="15298" ht="15" hidden="1" customHeight="1"/>
    <row r="15299" ht="15" hidden="1" customHeight="1"/>
    <row r="15300" ht="15" hidden="1" customHeight="1"/>
    <row r="15301" ht="15" hidden="1" customHeight="1"/>
    <row r="15302" ht="15" hidden="1" customHeight="1"/>
    <row r="15303" ht="15" hidden="1" customHeight="1"/>
    <row r="15304" ht="15" hidden="1" customHeight="1"/>
    <row r="15305" ht="15" hidden="1" customHeight="1"/>
    <row r="15306" ht="15" hidden="1" customHeight="1"/>
    <row r="15307" ht="15" hidden="1" customHeight="1"/>
    <row r="15308" ht="15" hidden="1" customHeight="1"/>
    <row r="15309" ht="15" hidden="1" customHeight="1"/>
    <row r="15310" ht="15" hidden="1" customHeight="1"/>
    <row r="15311" ht="15" hidden="1" customHeight="1"/>
    <row r="15312" ht="15" hidden="1" customHeight="1"/>
    <row r="15313" ht="15" hidden="1" customHeight="1"/>
    <row r="15314" ht="15" hidden="1" customHeight="1"/>
    <row r="15315" ht="15" hidden="1" customHeight="1"/>
    <row r="15316" ht="15" hidden="1" customHeight="1"/>
    <row r="15317" ht="15" hidden="1" customHeight="1"/>
    <row r="15318" ht="15" hidden="1" customHeight="1"/>
    <row r="15319" ht="15" hidden="1" customHeight="1"/>
    <row r="15320" ht="15" hidden="1" customHeight="1"/>
    <row r="15321" ht="15" hidden="1" customHeight="1"/>
    <row r="15322" ht="15" hidden="1" customHeight="1"/>
    <row r="15323" ht="15" hidden="1" customHeight="1"/>
    <row r="15324" ht="15" hidden="1" customHeight="1"/>
    <row r="15325" ht="15" hidden="1" customHeight="1"/>
    <row r="15326" ht="15" hidden="1" customHeight="1"/>
    <row r="15327" ht="15" hidden="1" customHeight="1"/>
    <row r="15328" ht="15" hidden="1" customHeight="1"/>
    <row r="15329" ht="15" hidden="1" customHeight="1"/>
    <row r="15330" ht="15" hidden="1" customHeight="1"/>
    <row r="15331" ht="15" hidden="1" customHeight="1"/>
    <row r="15332" ht="15" hidden="1" customHeight="1"/>
    <row r="15333" ht="15" hidden="1" customHeight="1"/>
    <row r="15334" ht="15" hidden="1" customHeight="1"/>
    <row r="15335" ht="15" hidden="1" customHeight="1"/>
    <row r="15336" ht="15" hidden="1" customHeight="1"/>
    <row r="15337" ht="15" hidden="1" customHeight="1"/>
    <row r="15338" ht="15" hidden="1" customHeight="1"/>
    <row r="15339" ht="15" hidden="1" customHeight="1"/>
    <row r="15340" ht="15" hidden="1" customHeight="1"/>
    <row r="15341" ht="15" hidden="1" customHeight="1"/>
    <row r="15342" ht="15" hidden="1" customHeight="1"/>
    <row r="15343" ht="15" hidden="1" customHeight="1"/>
    <row r="15344" ht="15" hidden="1" customHeight="1"/>
    <row r="15345" ht="15" hidden="1" customHeight="1"/>
    <row r="15346" ht="15" hidden="1" customHeight="1"/>
    <row r="15347" ht="15" hidden="1" customHeight="1"/>
    <row r="15348" ht="15" hidden="1" customHeight="1"/>
    <row r="15349" ht="15" hidden="1" customHeight="1"/>
    <row r="15350" ht="15" hidden="1" customHeight="1"/>
    <row r="15351" ht="15" hidden="1" customHeight="1"/>
    <row r="15352" ht="15" hidden="1" customHeight="1"/>
    <row r="15353" ht="15" hidden="1" customHeight="1"/>
    <row r="15354" ht="15" hidden="1" customHeight="1"/>
    <row r="15355" ht="15" hidden="1" customHeight="1"/>
    <row r="15356" ht="15" hidden="1" customHeight="1"/>
    <row r="15357" ht="15" hidden="1" customHeight="1"/>
    <row r="15358" ht="15" hidden="1" customHeight="1"/>
    <row r="15359" ht="15" hidden="1" customHeight="1"/>
    <row r="15360" ht="15" hidden="1" customHeight="1"/>
    <row r="15361" ht="15" hidden="1" customHeight="1"/>
    <row r="15362" ht="15" hidden="1" customHeight="1"/>
    <row r="15363" ht="15" hidden="1" customHeight="1"/>
    <row r="15364" ht="15" hidden="1" customHeight="1"/>
    <row r="15365" ht="15" hidden="1" customHeight="1"/>
    <row r="15366" ht="15" hidden="1" customHeight="1"/>
    <row r="15367" ht="15" hidden="1" customHeight="1"/>
    <row r="15368" ht="15" hidden="1" customHeight="1"/>
    <row r="15369" ht="15" hidden="1" customHeight="1"/>
    <row r="15370" ht="15" hidden="1" customHeight="1"/>
    <row r="15371" ht="15" hidden="1" customHeight="1"/>
    <row r="15372" ht="15" hidden="1" customHeight="1"/>
    <row r="15373" ht="15" hidden="1" customHeight="1"/>
    <row r="15374" ht="15" hidden="1" customHeight="1"/>
    <row r="15375" ht="15" hidden="1" customHeight="1"/>
    <row r="15376" ht="15" hidden="1" customHeight="1"/>
    <row r="15377" ht="15" hidden="1" customHeight="1"/>
    <row r="15378" ht="15" hidden="1" customHeight="1"/>
    <row r="15379" ht="15" hidden="1" customHeight="1"/>
    <row r="15380" ht="15" hidden="1" customHeight="1"/>
    <row r="15381" ht="15" hidden="1" customHeight="1"/>
    <row r="15382" ht="15" hidden="1" customHeight="1"/>
    <row r="15383" ht="15" hidden="1" customHeight="1"/>
    <row r="15384" ht="15" hidden="1" customHeight="1"/>
    <row r="15385" ht="15" hidden="1" customHeight="1"/>
    <row r="15386" ht="15" hidden="1" customHeight="1"/>
    <row r="15387" ht="15" hidden="1" customHeight="1"/>
    <row r="15388" ht="15" hidden="1" customHeight="1"/>
    <row r="15389" ht="15" hidden="1" customHeight="1"/>
    <row r="15390" ht="15" hidden="1" customHeight="1"/>
    <row r="15391" ht="15" hidden="1" customHeight="1"/>
    <row r="15392" ht="15" hidden="1" customHeight="1"/>
    <row r="15393" ht="15" hidden="1" customHeight="1"/>
    <row r="15394" ht="15" hidden="1" customHeight="1"/>
    <row r="15395" ht="15" hidden="1" customHeight="1"/>
    <row r="15396" ht="15" hidden="1" customHeight="1"/>
    <row r="15397" ht="15" hidden="1" customHeight="1"/>
    <row r="15398" ht="15" hidden="1" customHeight="1"/>
    <row r="15399" ht="15" hidden="1" customHeight="1"/>
    <row r="15400" ht="15" hidden="1" customHeight="1"/>
    <row r="15401" ht="15" hidden="1" customHeight="1"/>
    <row r="15402" ht="15" hidden="1" customHeight="1"/>
    <row r="15403" ht="15" hidden="1" customHeight="1"/>
    <row r="15404" ht="15" hidden="1" customHeight="1"/>
    <row r="15405" ht="15" hidden="1" customHeight="1"/>
    <row r="15406" ht="15" hidden="1" customHeight="1"/>
    <row r="15407" ht="15" hidden="1" customHeight="1"/>
    <row r="15408" ht="15" hidden="1" customHeight="1"/>
    <row r="15409" ht="15" hidden="1" customHeight="1"/>
    <row r="15410" ht="15" hidden="1" customHeight="1"/>
    <row r="15411" ht="15" hidden="1" customHeight="1"/>
    <row r="15412" ht="15" hidden="1" customHeight="1"/>
    <row r="15413" ht="15" hidden="1" customHeight="1"/>
    <row r="15414" ht="15" hidden="1" customHeight="1"/>
    <row r="15415" ht="15" hidden="1" customHeight="1"/>
    <row r="15416" ht="15" hidden="1" customHeight="1"/>
    <row r="15417" ht="15" hidden="1" customHeight="1"/>
    <row r="15418" ht="15" hidden="1" customHeight="1"/>
    <row r="15419" ht="15" hidden="1" customHeight="1"/>
    <row r="15420" ht="15" hidden="1" customHeight="1"/>
    <row r="15421" ht="15" hidden="1" customHeight="1"/>
    <row r="15422" ht="15" hidden="1" customHeight="1"/>
    <row r="15423" ht="15" hidden="1" customHeight="1"/>
    <row r="15424" ht="15" hidden="1" customHeight="1"/>
    <row r="15425" ht="15" hidden="1" customHeight="1"/>
    <row r="15426" ht="15" hidden="1" customHeight="1"/>
    <row r="15427" ht="15" hidden="1" customHeight="1"/>
    <row r="15428" ht="15" hidden="1" customHeight="1"/>
    <row r="15429" ht="15" hidden="1" customHeight="1"/>
    <row r="15430" ht="15" hidden="1" customHeight="1"/>
    <row r="15431" ht="15" hidden="1" customHeight="1"/>
    <row r="15432" ht="15" hidden="1" customHeight="1"/>
    <row r="15433" ht="15" hidden="1" customHeight="1"/>
    <row r="15434" ht="15" hidden="1" customHeight="1"/>
    <row r="15435" ht="15" hidden="1" customHeight="1"/>
    <row r="15436" ht="15" hidden="1" customHeight="1"/>
    <row r="15437" ht="15" hidden="1" customHeight="1"/>
    <row r="15438" ht="15" hidden="1" customHeight="1"/>
    <row r="15439" ht="15" hidden="1" customHeight="1"/>
    <row r="15440" ht="15" hidden="1" customHeight="1"/>
    <row r="15441" ht="15" hidden="1" customHeight="1"/>
    <row r="15442" ht="15" hidden="1" customHeight="1"/>
    <row r="15443" ht="15" hidden="1" customHeight="1"/>
    <row r="15444" ht="15" hidden="1" customHeight="1"/>
    <row r="15445" ht="15" hidden="1" customHeight="1"/>
    <row r="15446" ht="15" hidden="1" customHeight="1"/>
    <row r="15447" ht="15" hidden="1" customHeight="1"/>
    <row r="15448" ht="15" hidden="1" customHeight="1"/>
    <row r="15449" ht="15" hidden="1" customHeight="1"/>
    <row r="15450" ht="15" hidden="1" customHeight="1"/>
    <row r="15451" ht="15" hidden="1" customHeight="1"/>
    <row r="15452" ht="15" hidden="1" customHeight="1"/>
    <row r="15453" ht="15" hidden="1" customHeight="1"/>
    <row r="15454" ht="15" hidden="1" customHeight="1"/>
    <row r="15455" ht="15" hidden="1" customHeight="1"/>
    <row r="15456" ht="15" hidden="1" customHeight="1"/>
    <row r="15457" ht="15" hidden="1" customHeight="1"/>
    <row r="15458" ht="15" hidden="1" customHeight="1"/>
    <row r="15459" ht="15" hidden="1" customHeight="1"/>
    <row r="15460" ht="15" hidden="1" customHeight="1"/>
    <row r="15461" ht="15" hidden="1" customHeight="1"/>
    <row r="15462" ht="15" hidden="1" customHeight="1"/>
    <row r="15463" ht="15" hidden="1" customHeight="1"/>
    <row r="15464" ht="15" hidden="1" customHeight="1"/>
    <row r="15465" ht="15" hidden="1" customHeight="1"/>
    <row r="15466" ht="15" hidden="1" customHeight="1"/>
    <row r="15467" ht="15" hidden="1" customHeight="1"/>
    <row r="15468" ht="15" hidden="1" customHeight="1"/>
    <row r="15469" ht="15" hidden="1" customHeight="1"/>
    <row r="15470" ht="15" hidden="1" customHeight="1"/>
    <row r="15471" ht="15" hidden="1" customHeight="1"/>
    <row r="15472" ht="15" hidden="1" customHeight="1"/>
    <row r="15473" ht="15" hidden="1" customHeight="1"/>
    <row r="15474" ht="15" hidden="1" customHeight="1"/>
    <row r="15475" ht="15" hidden="1" customHeight="1"/>
    <row r="15476" ht="15" hidden="1" customHeight="1"/>
    <row r="15477" ht="15" hidden="1" customHeight="1"/>
    <row r="15478" ht="15" hidden="1" customHeight="1"/>
    <row r="15479" ht="15" hidden="1" customHeight="1"/>
    <row r="15480" ht="15" hidden="1" customHeight="1"/>
    <row r="15481" ht="15" hidden="1" customHeight="1"/>
    <row r="15482" ht="15" hidden="1" customHeight="1"/>
    <row r="15483" ht="15" hidden="1" customHeight="1"/>
    <row r="15484" ht="15" hidden="1" customHeight="1"/>
    <row r="15485" ht="15" hidden="1" customHeight="1"/>
    <row r="15486" ht="15" hidden="1" customHeight="1"/>
    <row r="15487" ht="15" hidden="1" customHeight="1"/>
    <row r="15488" ht="15" hidden="1" customHeight="1"/>
    <row r="15489" ht="15" hidden="1" customHeight="1"/>
    <row r="15490" ht="15" hidden="1" customHeight="1"/>
    <row r="15491" ht="15" hidden="1" customHeight="1"/>
    <row r="15492" ht="15" hidden="1" customHeight="1"/>
    <row r="15493" ht="15" hidden="1" customHeight="1"/>
    <row r="15494" ht="15" hidden="1" customHeight="1"/>
    <row r="15495" ht="15" hidden="1" customHeight="1"/>
    <row r="15496" ht="15" hidden="1" customHeight="1"/>
    <row r="15497" ht="15" hidden="1" customHeight="1"/>
    <row r="15498" ht="15" hidden="1" customHeight="1"/>
    <row r="15499" ht="15" hidden="1" customHeight="1"/>
    <row r="15500" ht="15" hidden="1" customHeight="1"/>
    <row r="15501" ht="15" hidden="1" customHeight="1"/>
    <row r="15502" ht="15" hidden="1" customHeight="1"/>
    <row r="15503" ht="15" hidden="1" customHeight="1"/>
    <row r="15504" ht="15" hidden="1" customHeight="1"/>
    <row r="15505" ht="15" hidden="1" customHeight="1"/>
    <row r="15506" ht="15" hidden="1" customHeight="1"/>
    <row r="15507" ht="15" hidden="1" customHeight="1"/>
    <row r="15508" ht="15" hidden="1" customHeight="1"/>
    <row r="15509" ht="15" hidden="1" customHeight="1"/>
    <row r="15510" ht="15" hidden="1" customHeight="1"/>
    <row r="15511" ht="15" hidden="1" customHeight="1"/>
    <row r="15512" ht="15" hidden="1" customHeight="1"/>
    <row r="15513" ht="15" hidden="1" customHeight="1"/>
    <row r="15514" ht="15" hidden="1" customHeight="1"/>
    <row r="15515" ht="15" hidden="1" customHeight="1"/>
    <row r="15516" ht="15" hidden="1" customHeight="1"/>
    <row r="15517" ht="15" hidden="1" customHeight="1"/>
    <row r="15518" ht="15" hidden="1" customHeight="1"/>
    <row r="15519" ht="15" hidden="1" customHeight="1"/>
    <row r="15520" ht="15" hidden="1" customHeight="1"/>
    <row r="15521" ht="15" hidden="1" customHeight="1"/>
    <row r="15522" ht="15" hidden="1" customHeight="1"/>
    <row r="15523" ht="15" hidden="1" customHeight="1"/>
    <row r="15524" ht="15" hidden="1" customHeight="1"/>
    <row r="15525" ht="15" hidden="1" customHeight="1"/>
    <row r="15526" ht="15" hidden="1" customHeight="1"/>
    <row r="15527" ht="15" hidden="1" customHeight="1"/>
    <row r="15528" ht="15" hidden="1" customHeight="1"/>
    <row r="15529" ht="15" hidden="1" customHeight="1"/>
    <row r="15530" ht="15" hidden="1" customHeight="1"/>
    <row r="15531" ht="15" hidden="1" customHeight="1"/>
    <row r="15532" ht="15" hidden="1" customHeight="1"/>
    <row r="15533" ht="15" hidden="1" customHeight="1"/>
    <row r="15534" ht="15" hidden="1" customHeight="1"/>
    <row r="15535" ht="15" hidden="1" customHeight="1"/>
    <row r="15536" ht="15" hidden="1" customHeight="1"/>
    <row r="15537" ht="15" hidden="1" customHeight="1"/>
    <row r="15538" ht="15" hidden="1" customHeight="1"/>
    <row r="15539" ht="15" hidden="1" customHeight="1"/>
    <row r="15540" ht="15" hidden="1" customHeight="1"/>
    <row r="15541" ht="15" hidden="1" customHeight="1"/>
    <row r="15542" ht="15" hidden="1" customHeight="1"/>
    <row r="15543" ht="15" hidden="1" customHeight="1"/>
    <row r="15544" ht="15" hidden="1" customHeight="1"/>
    <row r="15545" ht="15" hidden="1" customHeight="1"/>
    <row r="15546" ht="15" hidden="1" customHeight="1"/>
    <row r="15547" ht="15" hidden="1" customHeight="1"/>
    <row r="15548" ht="15" hidden="1" customHeight="1"/>
    <row r="15549" ht="15" hidden="1" customHeight="1"/>
    <row r="15550" ht="15" hidden="1" customHeight="1"/>
    <row r="15551" ht="15" hidden="1" customHeight="1"/>
    <row r="15552" ht="15" hidden="1" customHeight="1"/>
    <row r="15553" ht="15" hidden="1" customHeight="1"/>
    <row r="15554" ht="15" hidden="1" customHeight="1"/>
    <row r="15555" ht="15" hidden="1" customHeight="1"/>
    <row r="15556" ht="15" hidden="1" customHeight="1"/>
    <row r="15557" ht="15" hidden="1" customHeight="1"/>
    <row r="15558" ht="15" hidden="1" customHeight="1"/>
    <row r="15559" ht="15" hidden="1" customHeight="1"/>
    <row r="15560" ht="15" hidden="1" customHeight="1"/>
    <row r="15561" ht="15" hidden="1" customHeight="1"/>
    <row r="15562" ht="15" hidden="1" customHeight="1"/>
    <row r="15563" ht="15" hidden="1" customHeight="1"/>
    <row r="15564" ht="15" hidden="1" customHeight="1"/>
    <row r="15565" ht="15" hidden="1" customHeight="1"/>
    <row r="15566" ht="15" hidden="1" customHeight="1"/>
    <row r="15567" ht="15" hidden="1" customHeight="1"/>
    <row r="15568" ht="15" hidden="1" customHeight="1"/>
    <row r="15569" ht="15" hidden="1" customHeight="1"/>
    <row r="15570" ht="15" hidden="1" customHeight="1"/>
    <row r="15571" ht="15" hidden="1" customHeight="1"/>
    <row r="15572" ht="15" hidden="1" customHeight="1"/>
    <row r="15573" ht="15" hidden="1" customHeight="1"/>
    <row r="15574" ht="15" hidden="1" customHeight="1"/>
    <row r="15575" ht="15" hidden="1" customHeight="1"/>
    <row r="15576" ht="15" hidden="1" customHeight="1"/>
    <row r="15577" ht="15" hidden="1" customHeight="1"/>
    <row r="15578" ht="15" hidden="1" customHeight="1"/>
    <row r="15579" ht="15" hidden="1" customHeight="1"/>
    <row r="15580" ht="15" hidden="1" customHeight="1"/>
    <row r="15581" ht="15" hidden="1" customHeight="1"/>
    <row r="15582" ht="15" hidden="1" customHeight="1"/>
    <row r="15583" ht="15" hidden="1" customHeight="1"/>
    <row r="15584" ht="15" hidden="1" customHeight="1"/>
    <row r="15585" ht="15" hidden="1" customHeight="1"/>
    <row r="15586" ht="15" hidden="1" customHeight="1"/>
    <row r="15587" ht="15" hidden="1" customHeight="1"/>
    <row r="15588" ht="15" hidden="1" customHeight="1"/>
    <row r="15589" ht="15" hidden="1" customHeight="1"/>
    <row r="15590" ht="15" hidden="1" customHeight="1"/>
    <row r="15591" ht="15" hidden="1" customHeight="1"/>
    <row r="15592" ht="15" hidden="1" customHeight="1"/>
    <row r="15593" ht="15" hidden="1" customHeight="1"/>
    <row r="15594" ht="15" hidden="1" customHeight="1"/>
    <row r="15595" ht="15" hidden="1" customHeight="1"/>
    <row r="15596" ht="15" hidden="1" customHeight="1"/>
    <row r="15597" ht="15" hidden="1" customHeight="1"/>
    <row r="15598" ht="15" hidden="1" customHeight="1"/>
    <row r="15599" ht="15" hidden="1" customHeight="1"/>
    <row r="15600" ht="15" hidden="1" customHeight="1"/>
    <row r="15601" ht="15" hidden="1" customHeight="1"/>
    <row r="15602" ht="15" hidden="1" customHeight="1"/>
    <row r="15603" ht="15" hidden="1" customHeight="1"/>
    <row r="15604" ht="15" hidden="1" customHeight="1"/>
    <row r="15605" ht="15" hidden="1" customHeight="1"/>
    <row r="15606" ht="15" hidden="1" customHeight="1"/>
    <row r="15607" ht="15" hidden="1" customHeight="1"/>
    <row r="15608" ht="15" hidden="1" customHeight="1"/>
    <row r="15609" ht="15" hidden="1" customHeight="1"/>
    <row r="15610" ht="15" hidden="1" customHeight="1"/>
    <row r="15611" ht="15" hidden="1" customHeight="1"/>
    <row r="15612" ht="15" hidden="1" customHeight="1"/>
    <row r="15613" ht="15" hidden="1" customHeight="1"/>
    <row r="15614" ht="15" hidden="1" customHeight="1"/>
    <row r="15615" ht="15" hidden="1" customHeight="1"/>
    <row r="15616" ht="15" hidden="1" customHeight="1"/>
    <row r="15617" ht="15" hidden="1" customHeight="1"/>
    <row r="15618" ht="15" hidden="1" customHeight="1"/>
    <row r="15619" ht="15" hidden="1" customHeight="1"/>
    <row r="15620" ht="15" hidden="1" customHeight="1"/>
    <row r="15621" ht="15" hidden="1" customHeight="1"/>
    <row r="15622" ht="15" hidden="1" customHeight="1"/>
    <row r="15623" ht="15" hidden="1" customHeight="1"/>
    <row r="15624" ht="15" hidden="1" customHeight="1"/>
    <row r="15625" ht="15" hidden="1" customHeight="1"/>
    <row r="15626" ht="15" hidden="1" customHeight="1"/>
    <row r="15627" ht="15" hidden="1" customHeight="1"/>
    <row r="15628" ht="15" hidden="1" customHeight="1"/>
    <row r="15629" ht="15" hidden="1" customHeight="1"/>
    <row r="15630" ht="15" hidden="1" customHeight="1"/>
    <row r="15631" ht="15" hidden="1" customHeight="1"/>
    <row r="15632" ht="15" hidden="1" customHeight="1"/>
    <row r="15633" ht="15" hidden="1" customHeight="1"/>
    <row r="15634" ht="15" hidden="1" customHeight="1"/>
    <row r="15635" ht="15" hidden="1" customHeight="1"/>
    <row r="15636" ht="15" hidden="1" customHeight="1"/>
    <row r="15637" ht="15" hidden="1" customHeight="1"/>
    <row r="15638" ht="15" hidden="1" customHeight="1"/>
    <row r="15639" ht="15" hidden="1" customHeight="1"/>
    <row r="15640" ht="15" hidden="1" customHeight="1"/>
    <row r="15641" ht="15" hidden="1" customHeight="1"/>
    <row r="15642" ht="15" hidden="1" customHeight="1"/>
    <row r="15643" ht="15" hidden="1" customHeight="1"/>
    <row r="15644" ht="15" hidden="1" customHeight="1"/>
    <row r="15645" ht="15" hidden="1" customHeight="1"/>
    <row r="15646" ht="15" hidden="1" customHeight="1"/>
    <row r="15647" ht="15" hidden="1" customHeight="1"/>
    <row r="15648" ht="15" hidden="1" customHeight="1"/>
    <row r="15649" ht="15" hidden="1" customHeight="1"/>
    <row r="15650" ht="15" hidden="1" customHeight="1"/>
    <row r="15651" ht="15" hidden="1" customHeight="1"/>
    <row r="15652" ht="15" hidden="1" customHeight="1"/>
    <row r="15653" ht="15" hidden="1" customHeight="1"/>
    <row r="15654" ht="15" hidden="1" customHeight="1"/>
    <row r="15655" ht="15" hidden="1" customHeight="1"/>
    <row r="15656" ht="15" hidden="1" customHeight="1"/>
    <row r="15657" ht="15" hidden="1" customHeight="1"/>
    <row r="15658" ht="15" hidden="1" customHeight="1"/>
    <row r="15659" ht="15" hidden="1" customHeight="1"/>
    <row r="15660" ht="15" hidden="1" customHeight="1"/>
    <row r="15661" ht="15" hidden="1" customHeight="1"/>
    <row r="15662" ht="15" hidden="1" customHeight="1"/>
    <row r="15663" ht="15" hidden="1" customHeight="1"/>
    <row r="15664" ht="15" hidden="1" customHeight="1"/>
    <row r="15665" ht="15" hidden="1" customHeight="1"/>
    <row r="15666" ht="15" hidden="1" customHeight="1"/>
    <row r="15667" ht="15" hidden="1" customHeight="1"/>
    <row r="15668" ht="15" hidden="1" customHeight="1"/>
    <row r="15669" ht="15" hidden="1" customHeight="1"/>
    <row r="15670" ht="15" hidden="1" customHeight="1"/>
    <row r="15671" ht="15" hidden="1" customHeight="1"/>
    <row r="15672" ht="15" hidden="1" customHeight="1"/>
    <row r="15673" ht="15" hidden="1" customHeight="1"/>
    <row r="15674" ht="15" hidden="1" customHeight="1"/>
    <row r="15675" ht="15" hidden="1" customHeight="1"/>
    <row r="15676" ht="15" hidden="1" customHeight="1"/>
    <row r="15677" ht="15" hidden="1" customHeight="1"/>
    <row r="15678" ht="15" hidden="1" customHeight="1"/>
    <row r="15679" ht="15" hidden="1" customHeight="1"/>
    <row r="15680" ht="15" hidden="1" customHeight="1"/>
    <row r="15681" ht="15" hidden="1" customHeight="1"/>
    <row r="15682" ht="15" hidden="1" customHeight="1"/>
    <row r="15683" ht="15" hidden="1" customHeight="1"/>
    <row r="15684" ht="15" hidden="1" customHeight="1"/>
    <row r="15685" ht="15" hidden="1" customHeight="1"/>
    <row r="15686" ht="15" hidden="1" customHeight="1"/>
    <row r="15687" ht="15" hidden="1" customHeight="1"/>
    <row r="15688" ht="15" hidden="1" customHeight="1"/>
    <row r="15689" ht="15" hidden="1" customHeight="1"/>
    <row r="15690" ht="15" hidden="1" customHeight="1"/>
    <row r="15691" ht="15" hidden="1" customHeight="1"/>
    <row r="15692" ht="15" hidden="1" customHeight="1"/>
    <row r="15693" ht="15" hidden="1" customHeight="1"/>
    <row r="15694" ht="15" hidden="1" customHeight="1"/>
    <row r="15695" ht="15" hidden="1" customHeight="1"/>
    <row r="15696" ht="15" hidden="1" customHeight="1"/>
    <row r="15697" ht="15" hidden="1" customHeight="1"/>
    <row r="15698" ht="15" hidden="1" customHeight="1"/>
    <row r="15699" ht="15" hidden="1" customHeight="1"/>
    <row r="15700" ht="15" hidden="1" customHeight="1"/>
    <row r="15701" ht="15" hidden="1" customHeight="1"/>
    <row r="15702" ht="15" hidden="1" customHeight="1"/>
    <row r="15703" ht="15" hidden="1" customHeight="1"/>
    <row r="15704" ht="15" hidden="1" customHeight="1"/>
    <row r="15705" ht="15" hidden="1" customHeight="1"/>
    <row r="15706" ht="15" hidden="1" customHeight="1"/>
    <row r="15707" ht="15" hidden="1" customHeight="1"/>
    <row r="15708" ht="15" hidden="1" customHeight="1"/>
    <row r="15709" ht="15" hidden="1" customHeight="1"/>
    <row r="15710" ht="15" hidden="1" customHeight="1"/>
    <row r="15711" ht="15" hidden="1" customHeight="1"/>
    <row r="15712" ht="15" hidden="1" customHeight="1"/>
    <row r="15713" ht="15" hidden="1" customHeight="1"/>
    <row r="15714" ht="15" hidden="1" customHeight="1"/>
    <row r="15715" ht="15" hidden="1" customHeight="1"/>
    <row r="15716" ht="15" hidden="1" customHeight="1"/>
    <row r="15717" ht="15" hidden="1" customHeight="1"/>
    <row r="15718" ht="15" hidden="1" customHeight="1"/>
    <row r="15719" ht="15" hidden="1" customHeight="1"/>
    <row r="15720" ht="15" hidden="1" customHeight="1"/>
    <row r="15721" ht="15" hidden="1" customHeight="1"/>
    <row r="15722" ht="15" hidden="1" customHeight="1"/>
    <row r="15723" ht="15" hidden="1" customHeight="1"/>
    <row r="15724" ht="15" hidden="1" customHeight="1"/>
    <row r="15725" ht="15" hidden="1" customHeight="1"/>
    <row r="15726" ht="15" hidden="1" customHeight="1"/>
    <row r="15727" ht="15" hidden="1" customHeight="1"/>
    <row r="15728" ht="15" hidden="1" customHeight="1"/>
    <row r="15729" ht="15" hidden="1" customHeight="1"/>
    <row r="15730" ht="15" hidden="1" customHeight="1"/>
    <row r="15731" ht="15" hidden="1" customHeight="1"/>
    <row r="15732" ht="15" hidden="1" customHeight="1"/>
    <row r="15733" ht="15" hidden="1" customHeight="1"/>
    <row r="15734" ht="15" hidden="1" customHeight="1"/>
    <row r="15735" ht="15" hidden="1" customHeight="1"/>
    <row r="15736" ht="15" hidden="1" customHeight="1"/>
    <row r="15737" ht="15" hidden="1" customHeight="1"/>
    <row r="15738" ht="15" hidden="1" customHeight="1"/>
    <row r="15739" ht="15" hidden="1" customHeight="1"/>
    <row r="15740" ht="15" hidden="1" customHeight="1"/>
    <row r="15741" ht="15" hidden="1" customHeight="1"/>
    <row r="15742" ht="15" hidden="1" customHeight="1"/>
    <row r="15743" ht="15" hidden="1" customHeight="1"/>
    <row r="15744" ht="15" hidden="1" customHeight="1"/>
    <row r="15745" ht="15" hidden="1" customHeight="1"/>
    <row r="15746" ht="15" hidden="1" customHeight="1"/>
    <row r="15747" ht="15" hidden="1" customHeight="1"/>
    <row r="15748" ht="15" hidden="1" customHeight="1"/>
    <row r="15749" ht="15" hidden="1" customHeight="1"/>
    <row r="15750" ht="15" hidden="1" customHeight="1"/>
    <row r="15751" ht="15" hidden="1" customHeight="1"/>
    <row r="15752" ht="15" hidden="1" customHeight="1"/>
    <row r="15753" ht="15" hidden="1" customHeight="1"/>
    <row r="15754" ht="15" hidden="1" customHeight="1"/>
    <row r="15755" ht="15" hidden="1" customHeight="1"/>
    <row r="15756" ht="15" hidden="1" customHeight="1"/>
    <row r="15757" ht="15" hidden="1" customHeight="1"/>
    <row r="15758" ht="15" hidden="1" customHeight="1"/>
    <row r="15759" ht="15" hidden="1" customHeight="1"/>
    <row r="15760" ht="15" hidden="1" customHeight="1"/>
    <row r="15761" ht="15" hidden="1" customHeight="1"/>
    <row r="15762" ht="15" hidden="1" customHeight="1"/>
    <row r="15763" ht="15" hidden="1" customHeight="1"/>
    <row r="15764" ht="15" hidden="1" customHeight="1"/>
    <row r="15765" ht="15" hidden="1" customHeight="1"/>
    <row r="15766" ht="15" hidden="1" customHeight="1"/>
    <row r="15767" ht="15" hidden="1" customHeight="1"/>
    <row r="15768" ht="15" hidden="1" customHeight="1"/>
    <row r="15769" ht="15" hidden="1" customHeight="1"/>
    <row r="15770" ht="15" hidden="1" customHeight="1"/>
    <row r="15771" ht="15" hidden="1" customHeight="1"/>
    <row r="15772" ht="15" hidden="1" customHeight="1"/>
    <row r="15773" ht="15" hidden="1" customHeight="1"/>
    <row r="15774" ht="15" hidden="1" customHeight="1"/>
    <row r="15775" ht="15" hidden="1" customHeight="1"/>
    <row r="15776" ht="15" hidden="1" customHeight="1"/>
    <row r="15777" ht="15" hidden="1" customHeight="1"/>
    <row r="15778" ht="15" hidden="1" customHeight="1"/>
    <row r="15779" ht="15" hidden="1" customHeight="1"/>
    <row r="15780" ht="15" hidden="1" customHeight="1"/>
    <row r="15781" ht="15" hidden="1" customHeight="1"/>
    <row r="15782" ht="15" hidden="1" customHeight="1"/>
    <row r="15783" ht="15" hidden="1" customHeight="1"/>
    <row r="15784" ht="15" hidden="1" customHeight="1"/>
    <row r="15785" ht="15" hidden="1" customHeight="1"/>
    <row r="15786" ht="15" hidden="1" customHeight="1"/>
    <row r="15787" ht="15" hidden="1" customHeight="1"/>
    <row r="15788" ht="15" hidden="1" customHeight="1"/>
    <row r="15789" ht="15" hidden="1" customHeight="1"/>
    <row r="15790" ht="15" hidden="1" customHeight="1"/>
    <row r="15791" ht="15" hidden="1" customHeight="1"/>
    <row r="15792" ht="15" hidden="1" customHeight="1"/>
    <row r="15793" ht="15" hidden="1" customHeight="1"/>
    <row r="15794" ht="15" hidden="1" customHeight="1"/>
    <row r="15795" ht="15" hidden="1" customHeight="1"/>
    <row r="15796" ht="15" hidden="1" customHeight="1"/>
    <row r="15797" ht="15" hidden="1" customHeight="1"/>
    <row r="15798" ht="15" hidden="1" customHeight="1"/>
    <row r="15799" ht="15" hidden="1" customHeight="1"/>
    <row r="15800" ht="15" hidden="1" customHeight="1"/>
    <row r="15801" ht="15" hidden="1" customHeight="1"/>
    <row r="15802" ht="15" hidden="1" customHeight="1"/>
    <row r="15803" ht="15" hidden="1" customHeight="1"/>
    <row r="15804" ht="15" hidden="1" customHeight="1"/>
    <row r="15805" ht="15" hidden="1" customHeight="1"/>
    <row r="15806" ht="15" hidden="1" customHeight="1"/>
    <row r="15807" ht="15" hidden="1" customHeight="1"/>
    <row r="15808" ht="15" hidden="1" customHeight="1"/>
    <row r="15809" ht="15" hidden="1" customHeight="1"/>
    <row r="15810" ht="15" hidden="1" customHeight="1"/>
    <row r="15811" ht="15" hidden="1" customHeight="1"/>
    <row r="15812" ht="15" hidden="1" customHeight="1"/>
    <row r="15813" ht="15" hidden="1" customHeight="1"/>
    <row r="15814" ht="15" hidden="1" customHeight="1"/>
    <row r="15815" ht="15" hidden="1" customHeight="1"/>
    <row r="15816" ht="15" hidden="1" customHeight="1"/>
    <row r="15817" ht="15" hidden="1" customHeight="1"/>
    <row r="15818" ht="15" hidden="1" customHeight="1"/>
    <row r="15819" ht="15" hidden="1" customHeight="1"/>
    <row r="15820" ht="15" hidden="1" customHeight="1"/>
    <row r="15821" ht="15" hidden="1" customHeight="1"/>
    <row r="15822" ht="15" hidden="1" customHeight="1"/>
    <row r="15823" ht="15" hidden="1" customHeight="1"/>
    <row r="15824" ht="15" hidden="1" customHeight="1"/>
    <row r="15825" ht="15" hidden="1" customHeight="1"/>
    <row r="15826" ht="15" hidden="1" customHeight="1"/>
    <row r="15827" ht="15" hidden="1" customHeight="1"/>
    <row r="15828" ht="15" hidden="1" customHeight="1"/>
    <row r="15829" ht="15" hidden="1" customHeight="1"/>
    <row r="15830" ht="15" hidden="1" customHeight="1"/>
    <row r="15831" ht="15" hidden="1" customHeight="1"/>
    <row r="15832" ht="15" hidden="1" customHeight="1"/>
    <row r="15833" ht="15" hidden="1" customHeight="1"/>
    <row r="15834" ht="15" hidden="1" customHeight="1"/>
    <row r="15835" ht="15" hidden="1" customHeight="1"/>
    <row r="15836" ht="15" hidden="1" customHeight="1"/>
    <row r="15837" ht="15" hidden="1" customHeight="1"/>
    <row r="15838" ht="15" hidden="1" customHeight="1"/>
    <row r="15839" ht="15" hidden="1" customHeight="1"/>
    <row r="15840" ht="15" hidden="1" customHeight="1"/>
    <row r="15841" ht="15" hidden="1" customHeight="1"/>
    <row r="15842" ht="15" hidden="1" customHeight="1"/>
    <row r="15843" ht="15" hidden="1" customHeight="1"/>
    <row r="15844" ht="15" hidden="1" customHeight="1"/>
    <row r="15845" ht="15" hidden="1" customHeight="1"/>
    <row r="15846" ht="15" hidden="1" customHeight="1"/>
    <row r="15847" ht="15" hidden="1" customHeight="1"/>
    <row r="15848" ht="15" hidden="1" customHeight="1"/>
    <row r="15849" ht="15" hidden="1" customHeight="1"/>
    <row r="15850" ht="15" hidden="1" customHeight="1"/>
    <row r="15851" ht="15" hidden="1" customHeight="1"/>
    <row r="15852" ht="15" hidden="1" customHeight="1"/>
    <row r="15853" ht="15" hidden="1" customHeight="1"/>
    <row r="15854" ht="15" hidden="1" customHeight="1"/>
    <row r="15855" ht="15" hidden="1" customHeight="1"/>
    <row r="15856" ht="15" hidden="1" customHeight="1"/>
    <row r="15857" ht="15" hidden="1" customHeight="1"/>
    <row r="15858" ht="15" hidden="1" customHeight="1"/>
    <row r="15859" ht="15" hidden="1" customHeight="1"/>
    <row r="15860" ht="15" hidden="1" customHeight="1"/>
    <row r="15861" ht="15" hidden="1" customHeight="1"/>
    <row r="15862" ht="15" hidden="1" customHeight="1"/>
    <row r="15863" ht="15" hidden="1" customHeight="1"/>
    <row r="15864" ht="15" hidden="1" customHeight="1"/>
    <row r="15865" ht="15" hidden="1" customHeight="1"/>
    <row r="15866" ht="15" hidden="1" customHeight="1"/>
    <row r="15867" ht="15" hidden="1" customHeight="1"/>
    <row r="15868" ht="15" hidden="1" customHeight="1"/>
    <row r="15869" ht="15" hidden="1" customHeight="1"/>
    <row r="15870" ht="15" hidden="1" customHeight="1"/>
    <row r="15871" ht="15" hidden="1" customHeight="1"/>
    <row r="15872" ht="15" hidden="1" customHeight="1"/>
    <row r="15873" ht="15" hidden="1" customHeight="1"/>
    <row r="15874" ht="15" hidden="1" customHeight="1"/>
    <row r="15875" ht="15" hidden="1" customHeight="1"/>
    <row r="15876" ht="15" hidden="1" customHeight="1"/>
    <row r="15877" ht="15" hidden="1" customHeight="1"/>
    <row r="15878" ht="15" hidden="1" customHeight="1"/>
    <row r="15879" ht="15" hidden="1" customHeight="1"/>
    <row r="15880" ht="15" hidden="1" customHeight="1"/>
    <row r="15881" ht="15" hidden="1" customHeight="1"/>
    <row r="15882" ht="15" hidden="1" customHeight="1"/>
    <row r="15883" ht="15" hidden="1" customHeight="1"/>
    <row r="15884" ht="15" hidden="1" customHeight="1"/>
    <row r="15885" ht="15" hidden="1" customHeight="1"/>
    <row r="15886" ht="15" hidden="1" customHeight="1"/>
    <row r="15887" ht="15" hidden="1" customHeight="1"/>
    <row r="15888" ht="15" hidden="1" customHeight="1"/>
    <row r="15889" ht="15" hidden="1" customHeight="1"/>
    <row r="15890" ht="15" hidden="1" customHeight="1"/>
    <row r="15891" ht="15" hidden="1" customHeight="1"/>
    <row r="15892" ht="15" hidden="1" customHeight="1"/>
    <row r="15893" ht="15" hidden="1" customHeight="1"/>
    <row r="15894" ht="15" hidden="1" customHeight="1"/>
    <row r="15895" ht="15" hidden="1" customHeight="1"/>
    <row r="15896" ht="15" hidden="1" customHeight="1"/>
    <row r="15897" ht="15" hidden="1" customHeight="1"/>
    <row r="15898" ht="15" hidden="1" customHeight="1"/>
    <row r="15899" ht="15" hidden="1" customHeight="1"/>
    <row r="15900" ht="15" hidden="1" customHeight="1"/>
    <row r="15901" ht="15" hidden="1" customHeight="1"/>
    <row r="15902" ht="15" hidden="1" customHeight="1"/>
    <row r="15903" ht="15" hidden="1" customHeight="1"/>
    <row r="15904" ht="15" hidden="1" customHeight="1"/>
    <row r="15905" ht="15" hidden="1" customHeight="1"/>
    <row r="15906" ht="15" hidden="1" customHeight="1"/>
    <row r="15907" ht="15" hidden="1" customHeight="1"/>
    <row r="15908" ht="15" hidden="1" customHeight="1"/>
    <row r="15909" ht="15" hidden="1" customHeight="1"/>
    <row r="15910" ht="15" hidden="1" customHeight="1"/>
    <row r="15911" ht="15" hidden="1" customHeight="1"/>
    <row r="15912" ht="15" hidden="1" customHeight="1"/>
    <row r="15913" ht="15" hidden="1" customHeight="1"/>
    <row r="15914" ht="15" hidden="1" customHeight="1"/>
    <row r="15915" ht="15" hidden="1" customHeight="1"/>
    <row r="15916" ht="15" hidden="1" customHeight="1"/>
    <row r="15917" ht="15" hidden="1" customHeight="1"/>
    <row r="15918" ht="15" hidden="1" customHeight="1"/>
    <row r="15919" ht="15" hidden="1" customHeight="1"/>
    <row r="15920" ht="15" hidden="1" customHeight="1"/>
    <row r="15921" ht="15" hidden="1" customHeight="1"/>
    <row r="15922" ht="15" hidden="1" customHeight="1"/>
    <row r="15923" ht="15" hidden="1" customHeight="1"/>
    <row r="15924" ht="15" hidden="1" customHeight="1"/>
    <row r="15925" ht="15" hidden="1" customHeight="1"/>
    <row r="15926" ht="15" hidden="1" customHeight="1"/>
    <row r="15927" ht="15" hidden="1" customHeight="1"/>
    <row r="15928" ht="15" hidden="1" customHeight="1"/>
    <row r="15929" ht="15" hidden="1" customHeight="1"/>
    <row r="15930" ht="15" hidden="1" customHeight="1"/>
    <row r="15931" ht="15" hidden="1" customHeight="1"/>
    <row r="15932" ht="15" hidden="1" customHeight="1"/>
    <row r="15933" ht="15" hidden="1" customHeight="1"/>
    <row r="15934" ht="15" hidden="1" customHeight="1"/>
    <row r="15935" ht="15" hidden="1" customHeight="1"/>
    <row r="15936" ht="15" hidden="1" customHeight="1"/>
    <row r="15937" ht="15" hidden="1" customHeight="1"/>
    <row r="15938" ht="15" hidden="1" customHeight="1"/>
    <row r="15939" ht="15" hidden="1" customHeight="1"/>
    <row r="15940" ht="15" hidden="1" customHeight="1"/>
    <row r="15941" ht="15" hidden="1" customHeight="1"/>
    <row r="15942" ht="15" hidden="1" customHeight="1"/>
    <row r="15943" ht="15" hidden="1" customHeight="1"/>
    <row r="15944" ht="15" hidden="1" customHeight="1"/>
    <row r="15945" ht="15" hidden="1" customHeight="1"/>
    <row r="15946" ht="15" hidden="1" customHeight="1"/>
    <row r="15947" ht="15" hidden="1" customHeight="1"/>
    <row r="15948" ht="15" hidden="1" customHeight="1"/>
    <row r="15949" ht="15" hidden="1" customHeight="1"/>
    <row r="15950" ht="15" hidden="1" customHeight="1"/>
    <row r="15951" ht="15" hidden="1" customHeight="1"/>
    <row r="15952" ht="15" hidden="1" customHeight="1"/>
    <row r="15953" ht="15" hidden="1" customHeight="1"/>
    <row r="15954" ht="15" hidden="1" customHeight="1"/>
    <row r="15955" ht="15" hidden="1" customHeight="1"/>
    <row r="15956" ht="15" hidden="1" customHeight="1"/>
    <row r="15957" ht="15" hidden="1" customHeight="1"/>
    <row r="15958" ht="15" hidden="1" customHeight="1"/>
    <row r="15959" ht="15" hidden="1" customHeight="1"/>
    <row r="15960" ht="15" hidden="1" customHeight="1"/>
    <row r="15961" ht="15" hidden="1" customHeight="1"/>
    <row r="15962" ht="15" hidden="1" customHeight="1"/>
    <row r="15963" ht="15" hidden="1" customHeight="1"/>
    <row r="15964" ht="15" hidden="1" customHeight="1"/>
    <row r="15965" ht="15" hidden="1" customHeight="1"/>
    <row r="15966" ht="15" hidden="1" customHeight="1"/>
    <row r="15967" ht="15" hidden="1" customHeight="1"/>
    <row r="15968" ht="15" hidden="1" customHeight="1"/>
    <row r="15969" ht="15" hidden="1" customHeight="1"/>
    <row r="15970" ht="15" hidden="1" customHeight="1"/>
    <row r="15971" ht="15" hidden="1" customHeight="1"/>
    <row r="15972" ht="15" hidden="1" customHeight="1"/>
    <row r="15973" ht="15" hidden="1" customHeight="1"/>
    <row r="15974" ht="15" hidden="1" customHeight="1"/>
    <row r="15975" ht="15" hidden="1" customHeight="1"/>
    <row r="15976" ht="15" hidden="1" customHeight="1"/>
    <row r="15977" ht="15" hidden="1" customHeight="1"/>
    <row r="15978" ht="15" hidden="1" customHeight="1"/>
    <row r="15979" ht="15" hidden="1" customHeight="1"/>
    <row r="15980" ht="15" hidden="1" customHeight="1"/>
    <row r="15981" ht="15" hidden="1" customHeight="1"/>
    <row r="15982" ht="15" hidden="1" customHeight="1"/>
    <row r="15983" ht="15" hidden="1" customHeight="1"/>
    <row r="15984" ht="15" hidden="1" customHeight="1"/>
    <row r="15985" ht="15" hidden="1" customHeight="1"/>
    <row r="15986" ht="15" hidden="1" customHeight="1"/>
    <row r="15987" ht="15" hidden="1" customHeight="1"/>
    <row r="15988" ht="15" hidden="1" customHeight="1"/>
    <row r="15989" ht="15" hidden="1" customHeight="1"/>
    <row r="15990" ht="15" hidden="1" customHeight="1"/>
    <row r="15991" ht="15" hidden="1" customHeight="1"/>
    <row r="15992" ht="15" hidden="1" customHeight="1"/>
    <row r="15993" ht="15" hidden="1" customHeight="1"/>
    <row r="15994" ht="15" hidden="1" customHeight="1"/>
    <row r="15995" ht="15" hidden="1" customHeight="1"/>
    <row r="15996" ht="15" hidden="1" customHeight="1"/>
    <row r="15997" ht="15" hidden="1" customHeight="1"/>
    <row r="15998" ht="15" hidden="1" customHeight="1"/>
    <row r="15999" ht="15" hidden="1" customHeight="1"/>
    <row r="16000" ht="15" hidden="1" customHeight="1"/>
    <row r="16001" ht="15" hidden="1" customHeight="1"/>
    <row r="16002" ht="15" hidden="1" customHeight="1"/>
    <row r="16003" ht="15" hidden="1" customHeight="1"/>
    <row r="16004" ht="15" hidden="1" customHeight="1"/>
    <row r="16005" ht="15" hidden="1" customHeight="1"/>
    <row r="16006" ht="15" hidden="1" customHeight="1"/>
    <row r="16007" ht="15" hidden="1" customHeight="1"/>
    <row r="16008" ht="15" hidden="1" customHeight="1"/>
    <row r="16009" ht="15" hidden="1" customHeight="1"/>
    <row r="16010" ht="15" hidden="1" customHeight="1"/>
    <row r="16011" ht="15" hidden="1" customHeight="1"/>
    <row r="16012" ht="15" hidden="1" customHeight="1"/>
    <row r="16013" ht="15" hidden="1" customHeight="1"/>
    <row r="16014" ht="15" hidden="1" customHeight="1"/>
    <row r="16015" ht="15" hidden="1" customHeight="1"/>
    <row r="16016" ht="15" hidden="1" customHeight="1"/>
    <row r="16017" ht="15" hidden="1" customHeight="1"/>
    <row r="16018" ht="15" hidden="1" customHeight="1"/>
    <row r="16019" ht="15" hidden="1" customHeight="1"/>
    <row r="16020" ht="15" hidden="1" customHeight="1"/>
    <row r="16021" ht="15" hidden="1" customHeight="1"/>
    <row r="16022" ht="15" hidden="1" customHeight="1"/>
    <row r="16023" ht="15" hidden="1" customHeight="1"/>
    <row r="16024" ht="15" hidden="1" customHeight="1"/>
    <row r="16025" ht="15" hidden="1" customHeight="1"/>
    <row r="16026" ht="15" hidden="1" customHeight="1"/>
    <row r="16027" ht="15" hidden="1" customHeight="1"/>
    <row r="16028" ht="15" hidden="1" customHeight="1"/>
    <row r="16029" ht="15" hidden="1" customHeight="1"/>
    <row r="16030" ht="15" hidden="1" customHeight="1"/>
    <row r="16031" ht="15" hidden="1" customHeight="1"/>
    <row r="16032" ht="15" hidden="1" customHeight="1"/>
    <row r="16033" ht="15" hidden="1" customHeight="1"/>
    <row r="16034" ht="15" hidden="1" customHeight="1"/>
    <row r="16035" ht="15" hidden="1" customHeight="1"/>
    <row r="16036" ht="15" hidden="1" customHeight="1"/>
    <row r="16037" ht="15" hidden="1" customHeight="1"/>
    <row r="16038" ht="15" hidden="1" customHeight="1"/>
    <row r="16039" ht="15" hidden="1" customHeight="1"/>
    <row r="16040" ht="15" hidden="1" customHeight="1"/>
    <row r="16041" ht="15" hidden="1" customHeight="1"/>
    <row r="16042" ht="15" hidden="1" customHeight="1"/>
    <row r="16043" ht="15" hidden="1" customHeight="1"/>
    <row r="16044" ht="15" hidden="1" customHeight="1"/>
    <row r="16045" ht="15" hidden="1" customHeight="1"/>
    <row r="16046" ht="15" hidden="1" customHeight="1"/>
    <row r="16047" ht="15" hidden="1" customHeight="1"/>
    <row r="16048" ht="15" hidden="1" customHeight="1"/>
    <row r="16049" ht="15" hidden="1" customHeight="1"/>
    <row r="16050" ht="15" hidden="1" customHeight="1"/>
    <row r="16051" ht="15" hidden="1" customHeight="1"/>
    <row r="16052" ht="15" hidden="1" customHeight="1"/>
    <row r="16053" ht="15" hidden="1" customHeight="1"/>
    <row r="16054" ht="15" hidden="1" customHeight="1"/>
    <row r="16055" ht="15" hidden="1" customHeight="1"/>
    <row r="16056" ht="15" hidden="1" customHeight="1"/>
    <row r="16057" ht="15" hidden="1" customHeight="1"/>
    <row r="16058" ht="15" hidden="1" customHeight="1"/>
    <row r="16059" ht="15" hidden="1" customHeight="1"/>
    <row r="16060" ht="15" hidden="1" customHeight="1"/>
    <row r="16061" ht="15" hidden="1" customHeight="1"/>
    <row r="16062" ht="15" hidden="1" customHeight="1"/>
    <row r="16063" ht="15" hidden="1" customHeight="1"/>
    <row r="16064" ht="15" hidden="1" customHeight="1"/>
    <row r="16065" ht="15" hidden="1" customHeight="1"/>
    <row r="16066" ht="15" hidden="1" customHeight="1"/>
    <row r="16067" ht="15" hidden="1" customHeight="1"/>
    <row r="16068" ht="15" hidden="1" customHeight="1"/>
    <row r="16069" ht="15" hidden="1" customHeight="1"/>
    <row r="16070" ht="15" hidden="1" customHeight="1"/>
    <row r="16071" ht="15" hidden="1" customHeight="1"/>
    <row r="16072" ht="15" hidden="1" customHeight="1"/>
    <row r="16073" ht="15" hidden="1" customHeight="1"/>
    <row r="16074" ht="15" hidden="1" customHeight="1"/>
    <row r="16075" ht="15" hidden="1" customHeight="1"/>
    <row r="16076" ht="15" hidden="1" customHeight="1"/>
    <row r="16077" ht="15" hidden="1" customHeight="1"/>
    <row r="16078" ht="15" hidden="1" customHeight="1"/>
    <row r="16079" ht="15" hidden="1" customHeight="1"/>
    <row r="16080" ht="15" hidden="1" customHeight="1"/>
    <row r="16081" ht="15" hidden="1" customHeight="1"/>
    <row r="16082" ht="15" hidden="1" customHeight="1"/>
    <row r="16083" ht="15" hidden="1" customHeight="1"/>
    <row r="16084" ht="15" hidden="1" customHeight="1"/>
    <row r="16085" ht="15" hidden="1" customHeight="1"/>
    <row r="16086" ht="15" hidden="1" customHeight="1"/>
    <row r="16087" ht="15" hidden="1" customHeight="1"/>
    <row r="16088" ht="15" hidden="1" customHeight="1"/>
    <row r="16089" ht="15" hidden="1" customHeight="1"/>
    <row r="16090" ht="15" hidden="1" customHeight="1"/>
    <row r="16091" ht="15" hidden="1" customHeight="1"/>
    <row r="16092" ht="15" hidden="1" customHeight="1"/>
    <row r="16093" ht="15" hidden="1" customHeight="1"/>
    <row r="16094" ht="15" hidden="1" customHeight="1"/>
    <row r="16095" ht="15" hidden="1" customHeight="1"/>
    <row r="16096" ht="15" hidden="1" customHeight="1"/>
    <row r="16097" ht="15" hidden="1" customHeight="1"/>
    <row r="16098" ht="15" hidden="1" customHeight="1"/>
    <row r="16099" ht="15" hidden="1" customHeight="1"/>
    <row r="16100" ht="15" hidden="1" customHeight="1"/>
    <row r="16101" ht="15" hidden="1" customHeight="1"/>
    <row r="16102" ht="15" hidden="1" customHeight="1"/>
    <row r="16103" ht="15" hidden="1" customHeight="1"/>
    <row r="16104" ht="15" hidden="1" customHeight="1"/>
    <row r="16105" ht="15" hidden="1" customHeight="1"/>
    <row r="16106" ht="15" hidden="1" customHeight="1"/>
    <row r="16107" ht="15" hidden="1" customHeight="1"/>
    <row r="16108" ht="15" hidden="1" customHeight="1"/>
    <row r="16109" ht="15" hidden="1" customHeight="1"/>
    <row r="16110" ht="15" hidden="1" customHeight="1"/>
    <row r="16111" ht="15" hidden="1" customHeight="1"/>
    <row r="16112" ht="15" hidden="1" customHeight="1"/>
    <row r="16113" ht="15" hidden="1" customHeight="1"/>
    <row r="16114" ht="15" hidden="1" customHeight="1"/>
    <row r="16115" ht="15" hidden="1" customHeight="1"/>
    <row r="16116" ht="15" hidden="1" customHeight="1"/>
    <row r="16117" ht="15" hidden="1" customHeight="1"/>
    <row r="16118" ht="15" hidden="1" customHeight="1"/>
    <row r="16119" ht="15" hidden="1" customHeight="1"/>
    <row r="16120" ht="15" hidden="1" customHeight="1"/>
    <row r="16121" ht="15" hidden="1" customHeight="1"/>
    <row r="16122" ht="15" hidden="1" customHeight="1"/>
    <row r="16123" ht="15" hidden="1" customHeight="1"/>
    <row r="16124" ht="15" hidden="1" customHeight="1"/>
    <row r="16125" ht="15" hidden="1" customHeight="1"/>
    <row r="16126" ht="15" hidden="1" customHeight="1"/>
    <row r="16127" ht="15" hidden="1" customHeight="1"/>
    <row r="16128" ht="15" hidden="1" customHeight="1"/>
    <row r="16129" ht="15" hidden="1" customHeight="1"/>
    <row r="16130" ht="15" hidden="1" customHeight="1"/>
    <row r="16131" ht="15" hidden="1" customHeight="1"/>
    <row r="16132" ht="15" hidden="1" customHeight="1"/>
    <row r="16133" ht="15" hidden="1" customHeight="1"/>
    <row r="16134" ht="15" hidden="1" customHeight="1"/>
    <row r="16135" ht="15" hidden="1" customHeight="1"/>
    <row r="16136" ht="15" hidden="1" customHeight="1"/>
    <row r="16137" ht="15" hidden="1" customHeight="1"/>
    <row r="16138" ht="15" hidden="1" customHeight="1"/>
    <row r="16139" ht="15" hidden="1" customHeight="1"/>
    <row r="16140" ht="15" hidden="1" customHeight="1"/>
    <row r="16141" ht="15" hidden="1" customHeight="1"/>
    <row r="16142" ht="15" hidden="1" customHeight="1"/>
    <row r="16143" ht="15" hidden="1" customHeight="1"/>
    <row r="16144" ht="15" hidden="1" customHeight="1"/>
    <row r="16145" ht="15" hidden="1" customHeight="1"/>
    <row r="16146" ht="15" hidden="1" customHeight="1"/>
    <row r="16147" ht="15" hidden="1" customHeight="1"/>
    <row r="16148" ht="15" hidden="1" customHeight="1"/>
    <row r="16149" ht="15" hidden="1" customHeight="1"/>
    <row r="16150" ht="15" hidden="1" customHeight="1"/>
    <row r="16151" ht="15" hidden="1" customHeight="1"/>
    <row r="16152" ht="15" hidden="1" customHeight="1"/>
    <row r="16153" ht="15" hidden="1" customHeight="1"/>
    <row r="16154" ht="15" hidden="1" customHeight="1"/>
    <row r="16155" ht="15" hidden="1" customHeight="1"/>
    <row r="16156" ht="15" hidden="1" customHeight="1"/>
    <row r="16157" ht="15" hidden="1" customHeight="1"/>
    <row r="16158" ht="15" hidden="1" customHeight="1"/>
    <row r="16159" ht="15" hidden="1" customHeight="1"/>
    <row r="16160" ht="15" hidden="1" customHeight="1"/>
    <row r="16161" ht="15" hidden="1" customHeight="1"/>
    <row r="16162" ht="15" hidden="1" customHeight="1"/>
    <row r="16163" ht="15" hidden="1" customHeight="1"/>
    <row r="16164" ht="15" hidden="1" customHeight="1"/>
    <row r="16165" ht="15" hidden="1" customHeight="1"/>
    <row r="16166" ht="15" hidden="1" customHeight="1"/>
    <row r="16167" ht="15" hidden="1" customHeight="1"/>
    <row r="16168" ht="15" hidden="1" customHeight="1"/>
    <row r="16169" ht="15" hidden="1" customHeight="1"/>
    <row r="16170" ht="15" hidden="1" customHeight="1"/>
    <row r="16171" ht="15" hidden="1" customHeight="1"/>
    <row r="16172" ht="15" hidden="1" customHeight="1"/>
    <row r="16173" ht="15" hidden="1" customHeight="1"/>
    <row r="16174" ht="15" hidden="1" customHeight="1"/>
    <row r="16175" ht="15" hidden="1" customHeight="1"/>
    <row r="16176" ht="15" hidden="1" customHeight="1"/>
    <row r="16177" ht="15" hidden="1" customHeight="1"/>
    <row r="16178" ht="15" hidden="1" customHeight="1"/>
    <row r="16179" ht="15" hidden="1" customHeight="1"/>
    <row r="16180" ht="15" hidden="1" customHeight="1"/>
    <row r="16181" ht="15" hidden="1" customHeight="1"/>
    <row r="16182" ht="15" hidden="1" customHeight="1"/>
    <row r="16183" ht="15" hidden="1" customHeight="1"/>
    <row r="16184" ht="15" hidden="1" customHeight="1"/>
    <row r="16185" ht="15" hidden="1" customHeight="1"/>
    <row r="16186" ht="15" hidden="1" customHeight="1"/>
    <row r="16187" ht="15" hidden="1" customHeight="1"/>
    <row r="16188" ht="15" hidden="1" customHeight="1"/>
    <row r="16189" ht="15" hidden="1" customHeight="1"/>
    <row r="16190" ht="15" hidden="1" customHeight="1"/>
    <row r="16191" ht="15" hidden="1" customHeight="1"/>
    <row r="16192" ht="15" hidden="1" customHeight="1"/>
    <row r="16193" ht="15" hidden="1" customHeight="1"/>
    <row r="16194" ht="15" hidden="1" customHeight="1"/>
    <row r="16195" ht="15" hidden="1" customHeight="1"/>
    <row r="16196" ht="15" hidden="1" customHeight="1"/>
    <row r="16197" ht="15" hidden="1" customHeight="1"/>
    <row r="16198" ht="15" hidden="1" customHeight="1"/>
    <row r="16199" ht="15" hidden="1" customHeight="1"/>
    <row r="16200" ht="15" hidden="1" customHeight="1"/>
    <row r="16201" ht="15" hidden="1" customHeight="1"/>
    <row r="16202" ht="15" hidden="1" customHeight="1"/>
    <row r="16203" ht="15" hidden="1" customHeight="1"/>
    <row r="16204" ht="15" hidden="1" customHeight="1"/>
    <row r="16205" ht="15" hidden="1" customHeight="1"/>
    <row r="16206" ht="15" hidden="1" customHeight="1"/>
    <row r="16207" ht="15" hidden="1" customHeight="1"/>
    <row r="16208" ht="15" hidden="1" customHeight="1"/>
    <row r="16209" ht="15" hidden="1" customHeight="1"/>
    <row r="16210" ht="15" hidden="1" customHeight="1"/>
    <row r="16211" ht="15" hidden="1" customHeight="1"/>
    <row r="16212" ht="15" hidden="1" customHeight="1"/>
    <row r="16213" ht="15" hidden="1" customHeight="1"/>
    <row r="16214" ht="15" hidden="1" customHeight="1"/>
    <row r="16215" ht="15" hidden="1" customHeight="1"/>
    <row r="16216" ht="15" hidden="1" customHeight="1"/>
    <row r="16217" ht="15" hidden="1" customHeight="1"/>
    <row r="16218" ht="15" hidden="1" customHeight="1"/>
    <row r="16219" ht="15" hidden="1" customHeight="1"/>
    <row r="16220" ht="15" hidden="1" customHeight="1"/>
    <row r="16221" ht="15" hidden="1" customHeight="1"/>
    <row r="16222" ht="15" hidden="1" customHeight="1"/>
    <row r="16223" ht="15" hidden="1" customHeight="1"/>
    <row r="16224" ht="15" hidden="1" customHeight="1"/>
    <row r="16225" ht="15" hidden="1" customHeight="1"/>
    <row r="16226" ht="15" hidden="1" customHeight="1"/>
    <row r="16227" ht="15" hidden="1" customHeight="1"/>
    <row r="16228" ht="15" hidden="1" customHeight="1"/>
    <row r="16229" ht="15" hidden="1" customHeight="1"/>
    <row r="16230" ht="15" hidden="1" customHeight="1"/>
    <row r="16231" ht="15" hidden="1" customHeight="1"/>
    <row r="16232" ht="15" hidden="1" customHeight="1"/>
    <row r="16233" ht="15" hidden="1" customHeight="1"/>
    <row r="16234" ht="15" hidden="1" customHeight="1"/>
    <row r="16235" ht="15" hidden="1" customHeight="1"/>
    <row r="16236" ht="15" hidden="1" customHeight="1"/>
    <row r="16237" ht="15" hidden="1" customHeight="1"/>
    <row r="16238" ht="15" hidden="1" customHeight="1"/>
    <row r="16239" ht="15" hidden="1" customHeight="1"/>
    <row r="16240" ht="15" hidden="1" customHeight="1"/>
    <row r="16241" ht="15" hidden="1" customHeight="1"/>
    <row r="16242" ht="15" hidden="1" customHeight="1"/>
    <row r="16243" ht="15" hidden="1" customHeight="1"/>
    <row r="16244" ht="15" hidden="1" customHeight="1"/>
    <row r="16245" ht="15" hidden="1" customHeight="1"/>
    <row r="16246" ht="15" hidden="1" customHeight="1"/>
    <row r="16247" ht="15" hidden="1" customHeight="1"/>
    <row r="16248" ht="15" hidden="1" customHeight="1"/>
    <row r="16249" ht="15" hidden="1" customHeight="1"/>
    <row r="16250" ht="15" hidden="1" customHeight="1"/>
    <row r="16251" ht="15" hidden="1" customHeight="1"/>
    <row r="16252" ht="15" hidden="1" customHeight="1"/>
    <row r="16253" ht="15" hidden="1" customHeight="1"/>
    <row r="16254" ht="15" hidden="1" customHeight="1"/>
    <row r="16255" ht="15" hidden="1" customHeight="1"/>
    <row r="16256" ht="15" hidden="1" customHeight="1"/>
    <row r="16257" ht="15" hidden="1" customHeight="1"/>
    <row r="16258" ht="15" hidden="1" customHeight="1"/>
    <row r="16259" ht="15" hidden="1" customHeight="1"/>
    <row r="16260" ht="15" hidden="1" customHeight="1"/>
    <row r="16261" ht="15" hidden="1" customHeight="1"/>
    <row r="16262" ht="15" hidden="1" customHeight="1"/>
    <row r="16263" ht="15" hidden="1" customHeight="1"/>
    <row r="16264" ht="15" hidden="1" customHeight="1"/>
    <row r="16265" ht="15" hidden="1" customHeight="1"/>
    <row r="16266" ht="15" hidden="1" customHeight="1"/>
    <row r="16267" ht="15" hidden="1" customHeight="1"/>
    <row r="16268" ht="15" hidden="1" customHeight="1"/>
    <row r="16269" ht="15" hidden="1" customHeight="1"/>
    <row r="16270" ht="15" hidden="1" customHeight="1"/>
    <row r="16271" ht="15" hidden="1" customHeight="1"/>
    <row r="16272" ht="15" hidden="1" customHeight="1"/>
    <row r="16273" ht="15" hidden="1" customHeight="1"/>
    <row r="16274" ht="15" hidden="1" customHeight="1"/>
    <row r="16275" ht="15" hidden="1" customHeight="1"/>
    <row r="16276" ht="15" hidden="1" customHeight="1"/>
    <row r="16277" ht="15" hidden="1" customHeight="1"/>
    <row r="16278" ht="15" hidden="1" customHeight="1"/>
    <row r="16279" ht="15" hidden="1" customHeight="1"/>
    <row r="16280" ht="15" hidden="1" customHeight="1"/>
    <row r="16281" ht="15" hidden="1" customHeight="1"/>
    <row r="16282" ht="15" hidden="1" customHeight="1"/>
    <row r="16283" ht="15" hidden="1" customHeight="1"/>
    <row r="16284" ht="15" hidden="1" customHeight="1"/>
    <row r="16285" ht="15" hidden="1" customHeight="1"/>
    <row r="16286" ht="15" hidden="1" customHeight="1"/>
    <row r="16287" ht="15" hidden="1" customHeight="1"/>
    <row r="16288" ht="15" hidden="1" customHeight="1"/>
    <row r="16289" ht="15" hidden="1" customHeight="1"/>
    <row r="16290" ht="15" hidden="1" customHeight="1"/>
    <row r="16291" ht="15" hidden="1" customHeight="1"/>
    <row r="16292" ht="15" hidden="1" customHeight="1"/>
    <row r="16293" ht="15" hidden="1" customHeight="1"/>
    <row r="16294" ht="15" hidden="1" customHeight="1"/>
    <row r="16295" ht="15" hidden="1" customHeight="1"/>
    <row r="16296" ht="15" hidden="1" customHeight="1"/>
    <row r="16297" ht="15" hidden="1" customHeight="1"/>
    <row r="16298" ht="15" hidden="1" customHeight="1"/>
    <row r="16299" ht="15" hidden="1" customHeight="1"/>
    <row r="16300" ht="15" hidden="1" customHeight="1"/>
    <row r="16301" ht="15" hidden="1" customHeight="1"/>
    <row r="16302" ht="15" hidden="1" customHeight="1"/>
    <row r="16303" ht="15" hidden="1" customHeight="1"/>
    <row r="16304" ht="15" hidden="1" customHeight="1"/>
    <row r="16305" ht="15" hidden="1" customHeight="1"/>
    <row r="16306" ht="15" hidden="1" customHeight="1"/>
    <row r="16307" ht="15" hidden="1" customHeight="1"/>
    <row r="16308" ht="15" hidden="1" customHeight="1"/>
    <row r="16309" ht="15" hidden="1" customHeight="1"/>
    <row r="16310" ht="15" hidden="1" customHeight="1"/>
    <row r="16311" ht="15" hidden="1" customHeight="1"/>
    <row r="16312" ht="15" hidden="1" customHeight="1"/>
    <row r="16313" ht="15" hidden="1" customHeight="1"/>
    <row r="16314" ht="15" hidden="1" customHeight="1"/>
    <row r="16315" ht="15" hidden="1" customHeight="1"/>
    <row r="16316" ht="15" hidden="1" customHeight="1"/>
    <row r="16317" ht="15" hidden="1" customHeight="1"/>
    <row r="16318" ht="15" hidden="1" customHeight="1"/>
    <row r="16319" ht="15" hidden="1" customHeight="1"/>
    <row r="16320" ht="15" hidden="1" customHeight="1"/>
    <row r="16321" ht="15" hidden="1" customHeight="1"/>
    <row r="16322" ht="15" hidden="1" customHeight="1"/>
    <row r="16323" ht="15" hidden="1" customHeight="1"/>
    <row r="16324" ht="15" hidden="1" customHeight="1"/>
    <row r="16325" ht="15" hidden="1" customHeight="1"/>
    <row r="16326" ht="15" hidden="1" customHeight="1"/>
    <row r="16327" ht="15" hidden="1" customHeight="1"/>
    <row r="16328" ht="15" hidden="1" customHeight="1"/>
    <row r="16329" ht="15" hidden="1" customHeight="1"/>
    <row r="16330" ht="15" hidden="1" customHeight="1"/>
    <row r="16331" ht="15" hidden="1" customHeight="1"/>
    <row r="16332" ht="15" hidden="1" customHeight="1"/>
    <row r="16333" ht="15" hidden="1" customHeight="1"/>
    <row r="16334" ht="15" hidden="1" customHeight="1"/>
    <row r="16335" ht="15" hidden="1" customHeight="1"/>
    <row r="16336" ht="15" hidden="1" customHeight="1"/>
    <row r="16337" ht="15" hidden="1" customHeight="1"/>
    <row r="16338" ht="15" hidden="1" customHeight="1"/>
    <row r="16339" ht="15" hidden="1" customHeight="1"/>
    <row r="16340" ht="15" hidden="1" customHeight="1"/>
    <row r="16341" ht="15" hidden="1" customHeight="1"/>
    <row r="16342" ht="15" hidden="1" customHeight="1"/>
    <row r="16343" ht="15" hidden="1" customHeight="1"/>
    <row r="16344" ht="15" hidden="1" customHeight="1"/>
    <row r="16345" ht="15" hidden="1" customHeight="1"/>
    <row r="16346" ht="15" hidden="1" customHeight="1"/>
    <row r="16347" ht="15" hidden="1" customHeight="1"/>
    <row r="16348" ht="15" hidden="1" customHeight="1"/>
    <row r="16349" ht="15" hidden="1" customHeight="1"/>
    <row r="16350" ht="15" hidden="1" customHeight="1"/>
    <row r="16351" ht="15" hidden="1" customHeight="1"/>
    <row r="16352" ht="15" hidden="1" customHeight="1"/>
    <row r="16353" ht="15" hidden="1" customHeight="1"/>
    <row r="16354" ht="15" hidden="1" customHeight="1"/>
    <row r="16355" ht="15" hidden="1" customHeight="1"/>
    <row r="16356" ht="15" hidden="1" customHeight="1"/>
    <row r="16357" ht="15" hidden="1" customHeight="1"/>
    <row r="16358" ht="15" hidden="1" customHeight="1"/>
    <row r="16359" ht="15" hidden="1" customHeight="1"/>
    <row r="16360" ht="15" hidden="1" customHeight="1"/>
    <row r="16361" ht="15" hidden="1" customHeight="1"/>
    <row r="16362" ht="15" hidden="1" customHeight="1"/>
    <row r="16363" ht="15" hidden="1" customHeight="1"/>
    <row r="16364" ht="15" hidden="1" customHeight="1"/>
    <row r="16365" ht="15" hidden="1" customHeight="1"/>
    <row r="16366" ht="15" hidden="1" customHeight="1"/>
    <row r="16367" ht="15" hidden="1" customHeight="1"/>
    <row r="16368" ht="15" hidden="1" customHeight="1"/>
    <row r="16369" ht="15" hidden="1" customHeight="1"/>
    <row r="16370" ht="15" hidden="1" customHeight="1"/>
    <row r="16371" ht="15" hidden="1" customHeight="1"/>
    <row r="16372" ht="15" hidden="1" customHeight="1"/>
    <row r="16373" ht="15" hidden="1" customHeight="1"/>
    <row r="16374" ht="15" hidden="1" customHeight="1"/>
    <row r="16375" ht="15" hidden="1" customHeight="1"/>
    <row r="16376" ht="15" hidden="1" customHeight="1"/>
    <row r="16377" ht="15" hidden="1" customHeight="1"/>
    <row r="16378" ht="15" hidden="1" customHeight="1"/>
    <row r="16379" ht="15" hidden="1" customHeight="1"/>
    <row r="16380" ht="15" hidden="1" customHeight="1"/>
    <row r="16381" ht="15" hidden="1" customHeight="1"/>
    <row r="16382" ht="15" hidden="1" customHeight="1"/>
    <row r="16383" ht="15" hidden="1" customHeight="1"/>
    <row r="16384" ht="15" hidden="1" customHeight="1"/>
    <row r="16385" ht="15" hidden="1" customHeight="1"/>
    <row r="16386" ht="15" hidden="1" customHeight="1"/>
    <row r="16387" ht="15" hidden="1" customHeight="1"/>
    <row r="16388" ht="15" hidden="1" customHeight="1"/>
    <row r="16389" ht="15" hidden="1" customHeight="1"/>
    <row r="16390" ht="15" hidden="1" customHeight="1"/>
    <row r="16391" ht="15" hidden="1" customHeight="1"/>
    <row r="16392" ht="15" hidden="1" customHeight="1"/>
    <row r="16393" ht="15" hidden="1" customHeight="1"/>
    <row r="16394" ht="15" hidden="1" customHeight="1"/>
    <row r="16395" ht="15" hidden="1" customHeight="1"/>
    <row r="16396" ht="15" hidden="1" customHeight="1"/>
    <row r="16397" ht="15" hidden="1" customHeight="1"/>
    <row r="16398" ht="15" hidden="1" customHeight="1"/>
    <row r="16399" ht="15" hidden="1" customHeight="1"/>
    <row r="16400" ht="15" hidden="1" customHeight="1"/>
    <row r="16401" ht="15" hidden="1" customHeight="1"/>
    <row r="16402" ht="15" hidden="1" customHeight="1"/>
    <row r="16403" ht="15" hidden="1" customHeight="1"/>
    <row r="16404" ht="15" hidden="1" customHeight="1"/>
    <row r="16405" ht="15" hidden="1" customHeight="1"/>
    <row r="16406" ht="15" hidden="1" customHeight="1"/>
    <row r="16407" ht="15" hidden="1" customHeight="1"/>
    <row r="16408" ht="15" hidden="1" customHeight="1"/>
    <row r="16409" ht="15" hidden="1" customHeight="1"/>
    <row r="16410" ht="15" hidden="1" customHeight="1"/>
    <row r="16411" ht="15" hidden="1" customHeight="1"/>
    <row r="16412" ht="15" hidden="1" customHeight="1"/>
    <row r="16413" ht="15" hidden="1" customHeight="1"/>
    <row r="16414" ht="15" hidden="1" customHeight="1"/>
    <row r="16415" ht="15" hidden="1" customHeight="1"/>
    <row r="16416" ht="15" hidden="1" customHeight="1"/>
    <row r="16417" ht="15" hidden="1" customHeight="1"/>
    <row r="16418" ht="15" hidden="1" customHeight="1"/>
    <row r="16419" ht="15" hidden="1" customHeight="1"/>
    <row r="16420" ht="15" hidden="1" customHeight="1"/>
    <row r="16421" ht="15" hidden="1" customHeight="1"/>
    <row r="16422" ht="15" hidden="1" customHeight="1"/>
    <row r="16423" ht="15" hidden="1" customHeight="1"/>
    <row r="16424" ht="15" hidden="1" customHeight="1"/>
    <row r="16425" ht="15" hidden="1" customHeight="1"/>
    <row r="16426" ht="15" hidden="1" customHeight="1"/>
    <row r="16427" ht="15" hidden="1" customHeight="1"/>
    <row r="16428" ht="15" hidden="1" customHeight="1"/>
    <row r="16429" ht="15" hidden="1" customHeight="1"/>
    <row r="16430" ht="15" hidden="1" customHeight="1"/>
    <row r="16431" ht="15" hidden="1" customHeight="1"/>
    <row r="16432" ht="15" hidden="1" customHeight="1"/>
    <row r="16433" ht="15" hidden="1" customHeight="1"/>
    <row r="16434" ht="15" hidden="1" customHeight="1"/>
    <row r="16435" ht="15" hidden="1" customHeight="1"/>
    <row r="16436" ht="15" hidden="1" customHeight="1"/>
    <row r="16437" ht="15" hidden="1" customHeight="1"/>
    <row r="16438" ht="15" hidden="1" customHeight="1"/>
    <row r="16439" ht="15" hidden="1" customHeight="1"/>
    <row r="16440" ht="15" hidden="1" customHeight="1"/>
    <row r="16441" ht="15" hidden="1" customHeight="1"/>
    <row r="16442" ht="15" hidden="1" customHeight="1"/>
    <row r="16443" ht="15" hidden="1" customHeight="1"/>
    <row r="16444" ht="15" hidden="1" customHeight="1"/>
    <row r="16445" ht="15" hidden="1" customHeight="1"/>
    <row r="16446" ht="15" hidden="1" customHeight="1"/>
    <row r="16447" ht="15" hidden="1" customHeight="1"/>
    <row r="16448" ht="15" hidden="1" customHeight="1"/>
    <row r="16449" ht="15" hidden="1" customHeight="1"/>
    <row r="16450" ht="15" hidden="1" customHeight="1"/>
    <row r="16451" ht="15" hidden="1" customHeight="1"/>
    <row r="16452" ht="15" hidden="1" customHeight="1"/>
    <row r="16453" ht="15" hidden="1" customHeight="1"/>
    <row r="16454" ht="15" hidden="1" customHeight="1"/>
    <row r="16455" ht="15" hidden="1" customHeight="1"/>
    <row r="16456" ht="15" hidden="1" customHeight="1"/>
    <row r="16457" ht="15" hidden="1" customHeight="1"/>
    <row r="16458" ht="15" hidden="1" customHeight="1"/>
    <row r="16459" ht="15" hidden="1" customHeight="1"/>
    <row r="16460" ht="15" hidden="1" customHeight="1"/>
    <row r="16461" ht="15" hidden="1" customHeight="1"/>
    <row r="16462" ht="15" hidden="1" customHeight="1"/>
    <row r="16463" ht="15" hidden="1" customHeight="1"/>
    <row r="16464" ht="15" hidden="1" customHeight="1"/>
    <row r="16465" ht="15" hidden="1" customHeight="1"/>
    <row r="16466" ht="15" hidden="1" customHeight="1"/>
    <row r="16467" ht="15" hidden="1" customHeight="1"/>
    <row r="16468" ht="15" hidden="1" customHeight="1"/>
    <row r="16469" ht="15" hidden="1" customHeight="1"/>
    <row r="16470" ht="15" hidden="1" customHeight="1"/>
    <row r="16471" ht="15" hidden="1" customHeight="1"/>
    <row r="16472" ht="15" hidden="1" customHeight="1"/>
    <row r="16473" ht="15" hidden="1" customHeight="1"/>
    <row r="16474" ht="15" hidden="1" customHeight="1"/>
    <row r="16475" ht="15" hidden="1" customHeight="1"/>
    <row r="16476" ht="15" hidden="1" customHeight="1"/>
    <row r="16477" ht="15" hidden="1" customHeight="1"/>
    <row r="16478" ht="15" hidden="1" customHeight="1"/>
    <row r="16479" ht="15" hidden="1" customHeight="1"/>
    <row r="16480" ht="15" hidden="1" customHeight="1"/>
    <row r="16481" ht="15" hidden="1" customHeight="1"/>
    <row r="16482" ht="15" hidden="1" customHeight="1"/>
    <row r="16483" ht="15" hidden="1" customHeight="1"/>
    <row r="16484" ht="15" hidden="1" customHeight="1"/>
    <row r="16485" ht="15" hidden="1" customHeight="1"/>
    <row r="16486" ht="15" hidden="1" customHeight="1"/>
    <row r="16487" ht="15" hidden="1" customHeight="1"/>
    <row r="16488" ht="15" hidden="1" customHeight="1"/>
    <row r="16489" ht="15" hidden="1" customHeight="1"/>
    <row r="16490" ht="15" hidden="1" customHeight="1"/>
    <row r="16491" ht="15" hidden="1" customHeight="1"/>
    <row r="16492" ht="15" hidden="1" customHeight="1"/>
    <row r="16493" ht="15" hidden="1" customHeight="1"/>
    <row r="16494" ht="15" hidden="1" customHeight="1"/>
    <row r="16495" ht="15" hidden="1" customHeight="1"/>
    <row r="16496" ht="15" hidden="1" customHeight="1"/>
    <row r="16497" ht="15" hidden="1" customHeight="1"/>
    <row r="16498" ht="15" hidden="1" customHeight="1"/>
    <row r="16499" ht="15" hidden="1" customHeight="1"/>
    <row r="16500" ht="15" hidden="1" customHeight="1"/>
    <row r="16501" ht="15" hidden="1" customHeight="1"/>
    <row r="16502" ht="15" hidden="1" customHeight="1"/>
    <row r="16503" ht="15" hidden="1" customHeight="1"/>
    <row r="16504" ht="15" hidden="1" customHeight="1"/>
    <row r="16505" ht="15" hidden="1" customHeight="1"/>
    <row r="16506" ht="15" hidden="1" customHeight="1"/>
    <row r="16507" ht="15" hidden="1" customHeight="1"/>
    <row r="16508" ht="15" hidden="1" customHeight="1"/>
    <row r="16509" ht="15" hidden="1" customHeight="1"/>
    <row r="16510" ht="15" hidden="1" customHeight="1"/>
    <row r="16511" ht="15" hidden="1" customHeight="1"/>
    <row r="16512" ht="15" hidden="1" customHeight="1"/>
    <row r="16513" ht="15" hidden="1" customHeight="1"/>
    <row r="16514" ht="15" hidden="1" customHeight="1"/>
    <row r="16515" ht="15" hidden="1" customHeight="1"/>
    <row r="16516" ht="15" hidden="1" customHeight="1"/>
    <row r="16517" ht="15" hidden="1" customHeight="1"/>
    <row r="16518" ht="15" hidden="1" customHeight="1"/>
    <row r="16519" ht="15" hidden="1" customHeight="1"/>
    <row r="16520" ht="15" hidden="1" customHeight="1"/>
    <row r="16521" ht="15" hidden="1" customHeight="1"/>
    <row r="16522" ht="15" hidden="1" customHeight="1"/>
    <row r="16523" ht="15" hidden="1" customHeight="1"/>
    <row r="16524" ht="15" hidden="1" customHeight="1"/>
    <row r="16525" ht="15" hidden="1" customHeight="1"/>
    <row r="16526" ht="15" hidden="1" customHeight="1"/>
    <row r="16527" ht="15" hidden="1" customHeight="1"/>
    <row r="16528" ht="15" hidden="1" customHeight="1"/>
    <row r="16529" ht="15" hidden="1" customHeight="1"/>
    <row r="16530" ht="15" hidden="1" customHeight="1"/>
    <row r="16531" ht="15" hidden="1" customHeight="1"/>
    <row r="16532" ht="15" hidden="1" customHeight="1"/>
    <row r="16533" ht="15" hidden="1" customHeight="1"/>
    <row r="16534" ht="15" hidden="1" customHeight="1"/>
    <row r="16535" ht="15" hidden="1" customHeight="1"/>
    <row r="16536" ht="15" hidden="1" customHeight="1"/>
    <row r="16537" ht="15" hidden="1" customHeight="1"/>
    <row r="16538" ht="15" hidden="1" customHeight="1"/>
    <row r="16539" ht="15" hidden="1" customHeight="1"/>
    <row r="16540" ht="15" hidden="1" customHeight="1"/>
    <row r="16541" ht="15" hidden="1" customHeight="1"/>
    <row r="16542" ht="15" hidden="1" customHeight="1"/>
    <row r="16543" ht="15" hidden="1" customHeight="1"/>
    <row r="16544" ht="15" hidden="1" customHeight="1"/>
    <row r="16545" ht="15" hidden="1" customHeight="1"/>
    <row r="16546" ht="15" hidden="1" customHeight="1"/>
    <row r="16547" ht="15" hidden="1" customHeight="1"/>
    <row r="16548" ht="15" hidden="1" customHeight="1"/>
    <row r="16549" ht="15" hidden="1" customHeight="1"/>
    <row r="16550" ht="15" hidden="1" customHeight="1"/>
    <row r="16551" ht="15" hidden="1" customHeight="1"/>
    <row r="16552" ht="15" hidden="1" customHeight="1"/>
    <row r="16553" ht="15" hidden="1" customHeight="1"/>
    <row r="16554" ht="15" hidden="1" customHeight="1"/>
    <row r="16555" ht="15" hidden="1" customHeight="1"/>
    <row r="16556" ht="15" hidden="1" customHeight="1"/>
    <row r="16557" ht="15" hidden="1" customHeight="1"/>
    <row r="16558" ht="15" hidden="1" customHeight="1"/>
    <row r="16559" ht="15" hidden="1" customHeight="1"/>
    <row r="16560" ht="15" hidden="1" customHeight="1"/>
    <row r="16561" ht="15" hidden="1" customHeight="1"/>
    <row r="16562" ht="15" hidden="1" customHeight="1"/>
    <row r="16563" ht="15" hidden="1" customHeight="1"/>
    <row r="16564" ht="15" hidden="1" customHeight="1"/>
    <row r="16565" ht="15" hidden="1" customHeight="1"/>
    <row r="16566" ht="15" hidden="1" customHeight="1"/>
    <row r="16567" ht="15" hidden="1" customHeight="1"/>
    <row r="16568" ht="15" hidden="1" customHeight="1"/>
    <row r="16569" ht="15" hidden="1" customHeight="1"/>
    <row r="16570" ht="15" hidden="1" customHeight="1"/>
    <row r="16571" ht="15" hidden="1" customHeight="1"/>
    <row r="16572" ht="15" hidden="1" customHeight="1"/>
    <row r="16573" ht="15" hidden="1" customHeight="1"/>
    <row r="16574" ht="15" hidden="1" customHeight="1"/>
    <row r="16575" ht="15" hidden="1" customHeight="1"/>
    <row r="16576" ht="15" hidden="1" customHeight="1"/>
    <row r="16577" ht="15" hidden="1" customHeight="1"/>
    <row r="16578" ht="15" hidden="1" customHeight="1"/>
    <row r="16579" ht="15" hidden="1" customHeight="1"/>
    <row r="16580" ht="15" hidden="1" customHeight="1"/>
    <row r="16581" ht="15" hidden="1" customHeight="1"/>
    <row r="16582" ht="15" hidden="1" customHeight="1"/>
    <row r="16583" ht="15" hidden="1" customHeight="1"/>
    <row r="16584" ht="15" hidden="1" customHeight="1"/>
    <row r="16585" ht="15" hidden="1" customHeight="1"/>
    <row r="16586" ht="15" hidden="1" customHeight="1"/>
    <row r="16587" ht="15" hidden="1" customHeight="1"/>
    <row r="16588" ht="15" hidden="1" customHeight="1"/>
    <row r="16589" ht="15" hidden="1" customHeight="1"/>
    <row r="16590" ht="15" hidden="1" customHeight="1"/>
    <row r="16591" ht="15" hidden="1" customHeight="1"/>
    <row r="16592" ht="15" hidden="1" customHeight="1"/>
    <row r="16593" ht="15" hidden="1" customHeight="1"/>
    <row r="16594" ht="15" hidden="1" customHeight="1"/>
    <row r="16595" ht="15" hidden="1" customHeight="1"/>
    <row r="16596" ht="15" hidden="1" customHeight="1"/>
    <row r="16597" ht="15" hidden="1" customHeight="1"/>
    <row r="16598" ht="15" hidden="1" customHeight="1"/>
    <row r="16599" ht="15" hidden="1" customHeight="1"/>
    <row r="16600" ht="15" hidden="1" customHeight="1"/>
    <row r="16601" ht="15" hidden="1" customHeight="1"/>
    <row r="16602" ht="15" hidden="1" customHeight="1"/>
    <row r="16603" ht="15" hidden="1" customHeight="1"/>
    <row r="16604" ht="15" hidden="1" customHeight="1"/>
    <row r="16605" ht="15" hidden="1" customHeight="1"/>
    <row r="16606" ht="15" hidden="1" customHeight="1"/>
    <row r="16607" ht="15" hidden="1" customHeight="1"/>
    <row r="16608" ht="15" hidden="1" customHeight="1"/>
    <row r="16609" ht="15" hidden="1" customHeight="1"/>
    <row r="16610" ht="15" hidden="1" customHeight="1"/>
    <row r="16611" ht="15" hidden="1" customHeight="1"/>
    <row r="16612" ht="15" hidden="1" customHeight="1"/>
    <row r="16613" ht="15" hidden="1" customHeight="1"/>
    <row r="16614" ht="15" hidden="1" customHeight="1"/>
    <row r="16615" ht="15" hidden="1" customHeight="1"/>
    <row r="16616" ht="15" hidden="1" customHeight="1"/>
    <row r="16617" ht="15" hidden="1" customHeight="1"/>
    <row r="16618" ht="15" hidden="1" customHeight="1"/>
    <row r="16619" ht="15" hidden="1" customHeight="1"/>
    <row r="16620" ht="15" hidden="1" customHeight="1"/>
    <row r="16621" ht="15" hidden="1" customHeight="1"/>
    <row r="16622" ht="15" hidden="1" customHeight="1"/>
    <row r="16623" ht="15" hidden="1" customHeight="1"/>
    <row r="16624" ht="15" hidden="1" customHeight="1"/>
    <row r="16625" ht="15" hidden="1" customHeight="1"/>
    <row r="16626" ht="15" hidden="1" customHeight="1"/>
    <row r="16627" ht="15" hidden="1" customHeight="1"/>
    <row r="16628" ht="15" hidden="1" customHeight="1"/>
    <row r="16629" ht="15" hidden="1" customHeight="1"/>
    <row r="16630" ht="15" hidden="1" customHeight="1"/>
    <row r="16631" ht="15" hidden="1" customHeight="1"/>
    <row r="16632" ht="15" hidden="1" customHeight="1"/>
    <row r="16633" ht="15" hidden="1" customHeight="1"/>
    <row r="16634" ht="15" hidden="1" customHeight="1"/>
    <row r="16635" ht="15" hidden="1" customHeight="1"/>
    <row r="16636" ht="15" hidden="1" customHeight="1"/>
    <row r="16637" ht="15" hidden="1" customHeight="1"/>
    <row r="16638" ht="15" hidden="1" customHeight="1"/>
    <row r="16639" ht="15" hidden="1" customHeight="1"/>
    <row r="16640" ht="15" hidden="1" customHeight="1"/>
    <row r="16641" ht="15" hidden="1" customHeight="1"/>
    <row r="16642" ht="15" hidden="1" customHeight="1"/>
    <row r="16643" ht="15" hidden="1" customHeight="1"/>
    <row r="16644" ht="15" hidden="1" customHeight="1"/>
    <row r="16645" ht="15" hidden="1" customHeight="1"/>
    <row r="16646" ht="15" hidden="1" customHeight="1"/>
    <row r="16647" ht="15" hidden="1" customHeight="1"/>
    <row r="16648" ht="15" hidden="1" customHeight="1"/>
    <row r="16649" ht="15" hidden="1" customHeight="1"/>
    <row r="16650" ht="15" hidden="1" customHeight="1"/>
    <row r="16651" ht="15" hidden="1" customHeight="1"/>
    <row r="16652" ht="15" hidden="1" customHeight="1"/>
    <row r="16653" ht="15" hidden="1" customHeight="1"/>
    <row r="16654" ht="15" hidden="1" customHeight="1"/>
    <row r="16655" ht="15" hidden="1" customHeight="1"/>
    <row r="16656" ht="15" hidden="1" customHeight="1"/>
    <row r="16657" ht="15" hidden="1" customHeight="1"/>
    <row r="16658" ht="15" hidden="1" customHeight="1"/>
    <row r="16659" ht="15" hidden="1" customHeight="1"/>
    <row r="16660" ht="15" hidden="1" customHeight="1"/>
    <row r="16661" ht="15" hidden="1" customHeight="1"/>
    <row r="16662" ht="15" hidden="1" customHeight="1"/>
    <row r="16663" ht="15" hidden="1" customHeight="1"/>
    <row r="16664" ht="15" hidden="1" customHeight="1"/>
    <row r="16665" ht="15" hidden="1" customHeight="1"/>
    <row r="16666" ht="15" hidden="1" customHeight="1"/>
    <row r="16667" ht="15" hidden="1" customHeight="1"/>
    <row r="16668" ht="15" hidden="1" customHeight="1"/>
    <row r="16669" ht="15" hidden="1" customHeight="1"/>
    <row r="16670" ht="15" hidden="1" customHeight="1"/>
    <row r="16671" ht="15" hidden="1" customHeight="1"/>
    <row r="16672" ht="15" hidden="1" customHeight="1"/>
    <row r="16673" ht="15" hidden="1" customHeight="1"/>
    <row r="16674" ht="15" hidden="1" customHeight="1"/>
    <row r="16675" ht="15" hidden="1" customHeight="1"/>
    <row r="16676" ht="15" hidden="1" customHeight="1"/>
    <row r="16677" ht="15" hidden="1" customHeight="1"/>
    <row r="16678" ht="15" hidden="1" customHeight="1"/>
    <row r="16679" ht="15" hidden="1" customHeight="1"/>
    <row r="16680" ht="15" hidden="1" customHeight="1"/>
    <row r="16681" ht="15" hidden="1" customHeight="1"/>
    <row r="16682" ht="15" hidden="1" customHeight="1"/>
    <row r="16683" ht="15" hidden="1" customHeight="1"/>
    <row r="16684" ht="15" hidden="1" customHeight="1"/>
    <row r="16685" ht="15" hidden="1" customHeight="1"/>
    <row r="16686" ht="15" hidden="1" customHeight="1"/>
    <row r="16687" ht="15" hidden="1" customHeight="1"/>
    <row r="16688" ht="15" hidden="1" customHeight="1"/>
    <row r="16689" ht="15" hidden="1" customHeight="1"/>
    <row r="16690" ht="15" hidden="1" customHeight="1"/>
    <row r="16691" ht="15" hidden="1" customHeight="1"/>
    <row r="16692" ht="15" hidden="1" customHeight="1"/>
    <row r="16693" ht="15" hidden="1" customHeight="1"/>
    <row r="16694" ht="15" hidden="1" customHeight="1"/>
    <row r="16695" ht="15" hidden="1" customHeight="1"/>
    <row r="16696" ht="15" hidden="1" customHeight="1"/>
    <row r="16697" ht="15" hidden="1" customHeight="1"/>
    <row r="16698" ht="15" hidden="1" customHeight="1"/>
    <row r="16699" ht="15" hidden="1" customHeight="1"/>
    <row r="16700" ht="15" hidden="1" customHeight="1"/>
    <row r="16701" ht="15" hidden="1" customHeight="1"/>
    <row r="16702" ht="15" hidden="1" customHeight="1"/>
    <row r="16703" ht="15" hidden="1" customHeight="1"/>
    <row r="16704" ht="15" hidden="1" customHeight="1"/>
    <row r="16705" ht="15" hidden="1" customHeight="1"/>
    <row r="16706" ht="15" hidden="1" customHeight="1"/>
    <row r="16707" ht="15" hidden="1" customHeight="1"/>
    <row r="16708" ht="15" hidden="1" customHeight="1"/>
    <row r="16709" ht="15" hidden="1" customHeight="1"/>
    <row r="16710" ht="15" hidden="1" customHeight="1"/>
    <row r="16711" ht="15" hidden="1" customHeight="1"/>
    <row r="16712" ht="15" hidden="1" customHeight="1"/>
    <row r="16713" ht="15" hidden="1" customHeight="1"/>
    <row r="16714" ht="15" hidden="1" customHeight="1"/>
    <row r="16715" ht="15" hidden="1" customHeight="1"/>
    <row r="16716" ht="15" hidden="1" customHeight="1"/>
    <row r="16717" ht="15" hidden="1" customHeight="1"/>
    <row r="16718" ht="15" hidden="1" customHeight="1"/>
    <row r="16719" ht="15" hidden="1" customHeight="1"/>
    <row r="16720" ht="15" hidden="1" customHeight="1"/>
    <row r="16721" ht="15" hidden="1" customHeight="1"/>
    <row r="16722" ht="15" hidden="1" customHeight="1"/>
    <row r="16723" ht="15" hidden="1" customHeight="1"/>
    <row r="16724" ht="15" hidden="1" customHeight="1"/>
    <row r="16725" ht="15" hidden="1" customHeight="1"/>
    <row r="16726" ht="15" hidden="1" customHeight="1"/>
    <row r="16727" ht="15" hidden="1" customHeight="1"/>
    <row r="16728" ht="15" hidden="1" customHeight="1"/>
    <row r="16729" ht="15" hidden="1" customHeight="1"/>
    <row r="16730" ht="15" hidden="1" customHeight="1"/>
    <row r="16731" ht="15" hidden="1" customHeight="1"/>
    <row r="16732" ht="15" hidden="1" customHeight="1"/>
    <row r="16733" ht="15" hidden="1" customHeight="1"/>
    <row r="16734" ht="15" hidden="1" customHeight="1"/>
    <row r="16735" ht="15" hidden="1" customHeight="1"/>
    <row r="16736" ht="15" hidden="1" customHeight="1"/>
    <row r="16737" ht="15" hidden="1" customHeight="1"/>
    <row r="16738" ht="15" hidden="1" customHeight="1"/>
    <row r="16739" ht="15" hidden="1" customHeight="1"/>
    <row r="16740" ht="15" hidden="1" customHeight="1"/>
    <row r="16741" ht="15" hidden="1" customHeight="1"/>
    <row r="16742" ht="15" hidden="1" customHeight="1"/>
    <row r="16743" ht="15" hidden="1" customHeight="1"/>
    <row r="16744" ht="15" hidden="1" customHeight="1"/>
    <row r="16745" ht="15" hidden="1" customHeight="1"/>
    <row r="16746" ht="15" hidden="1" customHeight="1"/>
    <row r="16747" ht="15" hidden="1" customHeight="1"/>
    <row r="16748" ht="15" hidden="1" customHeight="1"/>
    <row r="16749" ht="15" hidden="1" customHeight="1"/>
    <row r="16750" ht="15" hidden="1" customHeight="1"/>
    <row r="16751" ht="15" hidden="1" customHeight="1"/>
    <row r="16752" ht="15" hidden="1" customHeight="1"/>
    <row r="16753" ht="15" hidden="1" customHeight="1"/>
    <row r="16754" ht="15" hidden="1" customHeight="1"/>
    <row r="16755" ht="15" hidden="1" customHeight="1"/>
    <row r="16756" ht="15" hidden="1" customHeight="1"/>
    <row r="16757" ht="15" hidden="1" customHeight="1"/>
    <row r="16758" ht="15" hidden="1" customHeight="1"/>
    <row r="16759" ht="15" hidden="1" customHeight="1"/>
    <row r="16760" ht="15" hidden="1" customHeight="1"/>
    <row r="16761" ht="15" hidden="1" customHeight="1"/>
    <row r="16762" ht="15" hidden="1" customHeight="1"/>
    <row r="16763" ht="15" hidden="1" customHeight="1"/>
    <row r="16764" ht="15" hidden="1" customHeight="1"/>
    <row r="16765" ht="15" hidden="1" customHeight="1"/>
    <row r="16766" ht="15" hidden="1" customHeight="1"/>
    <row r="16767" ht="15" hidden="1" customHeight="1"/>
    <row r="16768" ht="15" hidden="1" customHeight="1"/>
    <row r="16769" ht="15" hidden="1" customHeight="1"/>
    <row r="16770" ht="15" hidden="1" customHeight="1"/>
    <row r="16771" ht="15" hidden="1" customHeight="1"/>
    <row r="16772" ht="15" hidden="1" customHeight="1"/>
    <row r="16773" ht="15" hidden="1" customHeight="1"/>
    <row r="16774" ht="15" hidden="1" customHeight="1"/>
    <row r="16775" ht="15" hidden="1" customHeight="1"/>
    <row r="16776" ht="15" hidden="1" customHeight="1"/>
    <row r="16777" ht="15" hidden="1" customHeight="1"/>
    <row r="16778" ht="15" hidden="1" customHeight="1"/>
    <row r="16779" ht="15" hidden="1" customHeight="1"/>
    <row r="16780" ht="15" hidden="1" customHeight="1"/>
    <row r="16781" ht="15" hidden="1" customHeight="1"/>
    <row r="16782" ht="15" hidden="1" customHeight="1"/>
    <row r="16783" ht="15" hidden="1" customHeight="1"/>
    <row r="16784" ht="15" hidden="1" customHeight="1"/>
    <row r="16785" ht="15" hidden="1" customHeight="1"/>
    <row r="16786" ht="15" hidden="1" customHeight="1"/>
    <row r="16787" ht="15" hidden="1" customHeight="1"/>
    <row r="16788" ht="15" hidden="1" customHeight="1"/>
    <row r="16789" ht="15" hidden="1" customHeight="1"/>
    <row r="16790" ht="15" hidden="1" customHeight="1"/>
    <row r="16791" ht="15" hidden="1" customHeight="1"/>
    <row r="16792" ht="15" hidden="1" customHeight="1"/>
    <row r="16793" ht="15" hidden="1" customHeight="1"/>
    <row r="16794" ht="15" hidden="1" customHeight="1"/>
    <row r="16795" ht="15" hidden="1" customHeight="1"/>
    <row r="16796" ht="15" hidden="1" customHeight="1"/>
    <row r="16797" ht="15" hidden="1" customHeight="1"/>
    <row r="16798" ht="15" hidden="1" customHeight="1"/>
    <row r="16799" ht="15" hidden="1" customHeight="1"/>
    <row r="16800" ht="15" hidden="1" customHeight="1"/>
    <row r="16801" ht="15" hidden="1" customHeight="1"/>
    <row r="16802" ht="15" hidden="1" customHeight="1"/>
    <row r="16803" ht="15" hidden="1" customHeight="1"/>
    <row r="16804" ht="15" hidden="1" customHeight="1"/>
    <row r="16805" ht="15" hidden="1" customHeight="1"/>
    <row r="16806" ht="15" hidden="1" customHeight="1"/>
    <row r="16807" ht="15" hidden="1" customHeight="1"/>
    <row r="16808" ht="15" hidden="1" customHeight="1"/>
    <row r="16809" ht="15" hidden="1" customHeight="1"/>
    <row r="16810" ht="15" hidden="1" customHeight="1"/>
    <row r="16811" ht="15" hidden="1" customHeight="1"/>
    <row r="16812" ht="15" hidden="1" customHeight="1"/>
    <row r="16813" ht="15" hidden="1" customHeight="1"/>
    <row r="16814" ht="15" hidden="1" customHeight="1"/>
    <row r="16815" ht="15" hidden="1" customHeight="1"/>
    <row r="16816" ht="15" hidden="1" customHeight="1"/>
    <row r="16817" ht="15" hidden="1" customHeight="1"/>
    <row r="16818" ht="15" hidden="1" customHeight="1"/>
    <row r="16819" ht="15" hidden="1" customHeight="1"/>
    <row r="16820" ht="15" hidden="1" customHeight="1"/>
    <row r="16821" ht="15" hidden="1" customHeight="1"/>
    <row r="16822" ht="15" hidden="1" customHeight="1"/>
    <row r="16823" ht="15" hidden="1" customHeight="1"/>
    <row r="16824" ht="15" hidden="1" customHeight="1"/>
    <row r="16825" ht="15" hidden="1" customHeight="1"/>
    <row r="16826" ht="15" hidden="1" customHeight="1"/>
    <row r="16827" ht="15" hidden="1" customHeight="1"/>
    <row r="16828" ht="15" hidden="1" customHeight="1"/>
    <row r="16829" ht="15" hidden="1" customHeight="1"/>
    <row r="16830" ht="15" hidden="1" customHeight="1"/>
    <row r="16831" ht="15" hidden="1" customHeight="1"/>
    <row r="16832" ht="15" hidden="1" customHeight="1"/>
    <row r="16833" ht="15" hidden="1" customHeight="1"/>
    <row r="16834" ht="15" hidden="1" customHeight="1"/>
    <row r="16835" ht="15" hidden="1" customHeight="1"/>
    <row r="16836" ht="15" hidden="1" customHeight="1"/>
    <row r="16837" ht="15" hidden="1" customHeight="1"/>
    <row r="16838" ht="15" hidden="1" customHeight="1"/>
    <row r="16839" ht="15" hidden="1" customHeight="1"/>
    <row r="16840" ht="15" hidden="1" customHeight="1"/>
    <row r="16841" ht="15" hidden="1" customHeight="1"/>
    <row r="16842" ht="15" hidden="1" customHeight="1"/>
    <row r="16843" ht="15" hidden="1" customHeight="1"/>
    <row r="16844" ht="15" hidden="1" customHeight="1"/>
    <row r="16845" ht="15" hidden="1" customHeight="1"/>
    <row r="16846" ht="15" hidden="1" customHeight="1"/>
    <row r="16847" ht="15" hidden="1" customHeight="1"/>
    <row r="16848" ht="15" hidden="1" customHeight="1"/>
    <row r="16849" ht="15" hidden="1" customHeight="1"/>
    <row r="16850" ht="15" hidden="1" customHeight="1"/>
    <row r="16851" ht="15" hidden="1" customHeight="1"/>
    <row r="16852" ht="15" hidden="1" customHeight="1"/>
    <row r="16853" ht="15" hidden="1" customHeight="1"/>
    <row r="16854" ht="15" hidden="1" customHeight="1"/>
    <row r="16855" ht="15" hidden="1" customHeight="1"/>
    <row r="16856" ht="15" hidden="1" customHeight="1"/>
    <row r="16857" ht="15" hidden="1" customHeight="1"/>
    <row r="16858" ht="15" hidden="1" customHeight="1"/>
    <row r="16859" ht="15" hidden="1" customHeight="1"/>
    <row r="16860" ht="15" hidden="1" customHeight="1"/>
    <row r="16861" ht="15" hidden="1" customHeight="1"/>
    <row r="16862" ht="15" hidden="1" customHeight="1"/>
    <row r="16863" ht="15" hidden="1" customHeight="1"/>
    <row r="16864" ht="15" hidden="1" customHeight="1"/>
    <row r="16865" ht="15" hidden="1" customHeight="1"/>
    <row r="16866" ht="15" hidden="1" customHeight="1"/>
    <row r="16867" ht="15" hidden="1" customHeight="1"/>
    <row r="16868" ht="15" hidden="1" customHeight="1"/>
    <row r="16869" ht="15" hidden="1" customHeight="1"/>
    <row r="16870" ht="15" hidden="1" customHeight="1"/>
    <row r="16871" ht="15" hidden="1" customHeight="1"/>
    <row r="16872" ht="15" hidden="1" customHeight="1"/>
    <row r="16873" ht="15" hidden="1" customHeight="1"/>
    <row r="16874" ht="15" hidden="1" customHeight="1"/>
    <row r="16875" ht="15" hidden="1" customHeight="1"/>
    <row r="16876" ht="15" hidden="1" customHeight="1"/>
    <row r="16877" ht="15" hidden="1" customHeight="1"/>
    <row r="16878" ht="15" hidden="1" customHeight="1"/>
    <row r="16879" ht="15" hidden="1" customHeight="1"/>
    <row r="16880" ht="15" hidden="1" customHeight="1"/>
    <row r="16881" ht="15" hidden="1" customHeight="1"/>
    <row r="16882" ht="15" hidden="1" customHeight="1"/>
    <row r="16883" ht="15" hidden="1" customHeight="1"/>
    <row r="16884" ht="15" hidden="1" customHeight="1"/>
    <row r="16885" ht="15" hidden="1" customHeight="1"/>
    <row r="16886" ht="15" hidden="1" customHeight="1"/>
    <row r="16887" ht="15" hidden="1" customHeight="1"/>
    <row r="16888" ht="15" hidden="1" customHeight="1"/>
    <row r="16889" ht="15" hidden="1" customHeight="1"/>
    <row r="16890" ht="15" hidden="1" customHeight="1"/>
    <row r="16891" ht="15" hidden="1" customHeight="1"/>
    <row r="16892" ht="15" hidden="1" customHeight="1"/>
    <row r="16893" ht="15" hidden="1" customHeight="1"/>
    <row r="16894" ht="15" hidden="1" customHeight="1"/>
    <row r="16895" ht="15" hidden="1" customHeight="1"/>
    <row r="16896" ht="15" hidden="1" customHeight="1"/>
    <row r="16897" ht="15" hidden="1" customHeight="1"/>
    <row r="16898" ht="15" hidden="1" customHeight="1"/>
    <row r="16899" ht="15" hidden="1" customHeight="1"/>
    <row r="16900" ht="15" hidden="1" customHeight="1"/>
    <row r="16901" ht="15" hidden="1" customHeight="1"/>
    <row r="16902" ht="15" hidden="1" customHeight="1"/>
    <row r="16903" ht="15" hidden="1" customHeight="1"/>
    <row r="16904" ht="15" hidden="1" customHeight="1"/>
    <row r="16905" ht="15" hidden="1" customHeight="1"/>
    <row r="16906" ht="15" hidden="1" customHeight="1"/>
    <row r="16907" ht="15" hidden="1" customHeight="1"/>
    <row r="16908" ht="15" hidden="1" customHeight="1"/>
    <row r="16909" ht="15" hidden="1" customHeight="1"/>
    <row r="16910" ht="15" hidden="1" customHeight="1"/>
    <row r="16911" ht="15" hidden="1" customHeight="1"/>
    <row r="16912" ht="15" hidden="1" customHeight="1"/>
    <row r="16913" ht="15" hidden="1" customHeight="1"/>
    <row r="16914" ht="15" hidden="1" customHeight="1"/>
    <row r="16915" ht="15" hidden="1" customHeight="1"/>
    <row r="16916" ht="15" hidden="1" customHeight="1"/>
    <row r="16917" ht="15" hidden="1" customHeight="1"/>
    <row r="16918" ht="15" hidden="1" customHeight="1"/>
    <row r="16919" ht="15" hidden="1" customHeight="1"/>
    <row r="16920" ht="15" hidden="1" customHeight="1"/>
    <row r="16921" ht="15" hidden="1" customHeight="1"/>
    <row r="16922" ht="15" hidden="1" customHeight="1"/>
    <row r="16923" ht="15" hidden="1" customHeight="1"/>
    <row r="16924" ht="15" hidden="1" customHeight="1"/>
    <row r="16925" ht="15" hidden="1" customHeight="1"/>
    <row r="16926" ht="15" hidden="1" customHeight="1"/>
    <row r="16927" ht="15" hidden="1" customHeight="1"/>
    <row r="16928" ht="15" hidden="1" customHeight="1"/>
    <row r="16929" ht="15" hidden="1" customHeight="1"/>
    <row r="16930" ht="15" hidden="1" customHeight="1"/>
    <row r="16931" ht="15" hidden="1" customHeight="1"/>
    <row r="16932" ht="15" hidden="1" customHeight="1"/>
    <row r="16933" ht="15" hidden="1" customHeight="1"/>
    <row r="16934" ht="15" hidden="1" customHeight="1"/>
    <row r="16935" ht="15" hidden="1" customHeight="1"/>
    <row r="16936" ht="15" hidden="1" customHeight="1"/>
    <row r="16937" ht="15" hidden="1" customHeight="1"/>
    <row r="16938" ht="15" hidden="1" customHeight="1"/>
    <row r="16939" ht="15" hidden="1" customHeight="1"/>
    <row r="16940" ht="15" hidden="1" customHeight="1"/>
    <row r="16941" ht="15" hidden="1" customHeight="1"/>
    <row r="16942" ht="15" hidden="1" customHeight="1"/>
    <row r="16943" ht="15" hidden="1" customHeight="1"/>
    <row r="16944" ht="15" hidden="1" customHeight="1"/>
    <row r="16945" ht="15" hidden="1" customHeight="1"/>
    <row r="16946" ht="15" hidden="1" customHeight="1"/>
    <row r="16947" ht="15" hidden="1" customHeight="1"/>
    <row r="16948" ht="15" hidden="1" customHeight="1"/>
    <row r="16949" ht="15" hidden="1" customHeight="1"/>
    <row r="16950" ht="15" hidden="1" customHeight="1"/>
    <row r="16951" ht="15" hidden="1" customHeight="1"/>
    <row r="16952" ht="15" hidden="1" customHeight="1"/>
    <row r="16953" ht="15" hidden="1" customHeight="1"/>
    <row r="16954" ht="15" hidden="1" customHeight="1"/>
    <row r="16955" ht="15" hidden="1" customHeight="1"/>
    <row r="16956" ht="15" hidden="1" customHeight="1"/>
    <row r="16957" ht="15" hidden="1" customHeight="1"/>
    <row r="16958" ht="15" hidden="1" customHeight="1"/>
    <row r="16959" ht="15" hidden="1" customHeight="1"/>
    <row r="16960" ht="15" hidden="1" customHeight="1"/>
    <row r="16961" ht="15" hidden="1" customHeight="1"/>
    <row r="16962" ht="15" hidden="1" customHeight="1"/>
    <row r="16963" ht="15" hidden="1" customHeight="1"/>
    <row r="16964" ht="15" hidden="1" customHeight="1"/>
    <row r="16965" ht="15" hidden="1" customHeight="1"/>
    <row r="16966" ht="15" hidden="1" customHeight="1"/>
    <row r="16967" ht="15" hidden="1" customHeight="1"/>
    <row r="16968" ht="15" hidden="1" customHeight="1"/>
    <row r="16969" ht="15" hidden="1" customHeight="1"/>
    <row r="16970" ht="15" hidden="1" customHeight="1"/>
    <row r="16971" ht="15" hidden="1" customHeight="1"/>
    <row r="16972" ht="15" hidden="1" customHeight="1"/>
    <row r="16973" ht="15" hidden="1" customHeight="1"/>
    <row r="16974" ht="15" hidden="1" customHeight="1"/>
    <row r="16975" ht="15" hidden="1" customHeight="1"/>
    <row r="16976" ht="15" hidden="1" customHeight="1"/>
    <row r="16977" ht="15" hidden="1" customHeight="1"/>
    <row r="16978" ht="15" hidden="1" customHeight="1"/>
    <row r="16979" ht="15" hidden="1" customHeight="1"/>
    <row r="16980" ht="15" hidden="1" customHeight="1"/>
    <row r="16981" ht="15" hidden="1" customHeight="1"/>
    <row r="16982" ht="15" hidden="1" customHeight="1"/>
    <row r="16983" ht="15" hidden="1" customHeight="1"/>
    <row r="16984" ht="15" hidden="1" customHeight="1"/>
    <row r="16985" ht="15" hidden="1" customHeight="1"/>
    <row r="16986" ht="15" hidden="1" customHeight="1"/>
    <row r="16987" ht="15" hidden="1" customHeight="1"/>
    <row r="16988" ht="15" hidden="1" customHeight="1"/>
    <row r="16989" ht="15" hidden="1" customHeight="1"/>
    <row r="16990" ht="15" hidden="1" customHeight="1"/>
    <row r="16991" ht="15" hidden="1" customHeight="1"/>
    <row r="16992" ht="15" hidden="1" customHeight="1"/>
    <row r="16993" ht="15" hidden="1" customHeight="1"/>
    <row r="16994" ht="15" hidden="1" customHeight="1"/>
    <row r="16995" ht="15" hidden="1" customHeight="1"/>
    <row r="16996" ht="15" hidden="1" customHeight="1"/>
    <row r="16997" ht="15" hidden="1" customHeight="1"/>
    <row r="16998" ht="15" hidden="1" customHeight="1"/>
    <row r="16999" ht="15" hidden="1" customHeight="1"/>
    <row r="17000" ht="15" hidden="1" customHeight="1"/>
    <row r="17001" ht="15" hidden="1" customHeight="1"/>
    <row r="17002" ht="15" hidden="1" customHeight="1"/>
    <row r="17003" ht="15" hidden="1" customHeight="1"/>
    <row r="17004" ht="15" hidden="1" customHeight="1"/>
    <row r="17005" ht="15" hidden="1" customHeight="1"/>
    <row r="17006" ht="15" hidden="1" customHeight="1"/>
    <row r="17007" ht="15" hidden="1" customHeight="1"/>
    <row r="17008" ht="15" hidden="1" customHeight="1"/>
    <row r="17009" ht="15" hidden="1" customHeight="1"/>
    <row r="17010" ht="15" hidden="1" customHeight="1"/>
    <row r="17011" ht="15" hidden="1" customHeight="1"/>
    <row r="17012" ht="15" hidden="1" customHeight="1"/>
    <row r="17013" ht="15" hidden="1" customHeight="1"/>
    <row r="17014" ht="15" hidden="1" customHeight="1"/>
    <row r="17015" ht="15" hidden="1" customHeight="1"/>
    <row r="17016" ht="15" hidden="1" customHeight="1"/>
    <row r="17017" ht="15" hidden="1" customHeight="1"/>
    <row r="17018" ht="15" hidden="1" customHeight="1"/>
    <row r="17019" ht="15" hidden="1" customHeight="1"/>
    <row r="17020" ht="15" hidden="1" customHeight="1"/>
    <row r="17021" ht="15" hidden="1" customHeight="1"/>
    <row r="17022" ht="15" hidden="1" customHeight="1"/>
    <row r="17023" ht="15" hidden="1" customHeight="1"/>
    <row r="17024" ht="15" hidden="1" customHeight="1"/>
    <row r="17025" ht="15" hidden="1" customHeight="1"/>
    <row r="17026" ht="15" hidden="1" customHeight="1"/>
    <row r="17027" ht="15" hidden="1" customHeight="1"/>
    <row r="17028" ht="15" hidden="1" customHeight="1"/>
    <row r="17029" ht="15" hidden="1" customHeight="1"/>
    <row r="17030" ht="15" hidden="1" customHeight="1"/>
    <row r="17031" ht="15" hidden="1" customHeight="1"/>
    <row r="17032" ht="15" hidden="1" customHeight="1"/>
    <row r="17033" ht="15" hidden="1" customHeight="1"/>
    <row r="17034" ht="15" hidden="1" customHeight="1"/>
    <row r="17035" ht="15" hidden="1" customHeight="1"/>
    <row r="17036" ht="15" hidden="1" customHeight="1"/>
    <row r="17037" ht="15" hidden="1" customHeight="1"/>
    <row r="17038" ht="15" hidden="1" customHeight="1"/>
    <row r="17039" ht="15" hidden="1" customHeight="1"/>
    <row r="17040" ht="15" hidden="1" customHeight="1"/>
    <row r="17041" ht="15" hidden="1" customHeight="1"/>
    <row r="17042" ht="15" hidden="1" customHeight="1"/>
    <row r="17043" ht="15" hidden="1" customHeight="1"/>
    <row r="17044" ht="15" hidden="1" customHeight="1"/>
    <row r="17045" ht="15" hidden="1" customHeight="1"/>
    <row r="17046" ht="15" hidden="1" customHeight="1"/>
    <row r="17047" ht="15" hidden="1" customHeight="1"/>
    <row r="17048" ht="15" hidden="1" customHeight="1"/>
    <row r="17049" ht="15" hidden="1" customHeight="1"/>
    <row r="17050" ht="15" hidden="1" customHeight="1"/>
    <row r="17051" ht="15" hidden="1" customHeight="1"/>
    <row r="17052" ht="15" hidden="1" customHeight="1"/>
    <row r="17053" ht="15" hidden="1" customHeight="1"/>
    <row r="17054" ht="15" hidden="1" customHeight="1"/>
    <row r="17055" ht="15" hidden="1" customHeight="1"/>
    <row r="17056" ht="15" hidden="1" customHeight="1"/>
    <row r="17057" ht="15" hidden="1" customHeight="1"/>
    <row r="17058" ht="15" hidden="1" customHeight="1"/>
    <row r="17059" ht="15" hidden="1" customHeight="1"/>
    <row r="17060" ht="15" hidden="1" customHeight="1"/>
    <row r="17061" ht="15" hidden="1" customHeight="1"/>
    <row r="17062" ht="15" hidden="1" customHeight="1"/>
    <row r="17063" ht="15" hidden="1" customHeight="1"/>
    <row r="17064" ht="15" hidden="1" customHeight="1"/>
    <row r="17065" ht="15" hidden="1" customHeight="1"/>
    <row r="17066" ht="15" hidden="1" customHeight="1"/>
    <row r="17067" ht="15" hidden="1" customHeight="1"/>
    <row r="17068" ht="15" hidden="1" customHeight="1"/>
    <row r="17069" ht="15" hidden="1" customHeight="1"/>
    <row r="17070" ht="15" hidden="1" customHeight="1"/>
    <row r="17071" ht="15" hidden="1" customHeight="1"/>
    <row r="17072" ht="15" hidden="1" customHeight="1"/>
    <row r="17073" ht="15" hidden="1" customHeight="1"/>
    <row r="17074" ht="15" hidden="1" customHeight="1"/>
    <row r="17075" ht="15" hidden="1" customHeight="1"/>
    <row r="17076" ht="15" hidden="1" customHeight="1"/>
    <row r="17077" ht="15" hidden="1" customHeight="1"/>
    <row r="17078" ht="15" hidden="1" customHeight="1"/>
    <row r="17079" ht="15" hidden="1" customHeight="1"/>
    <row r="17080" ht="15" hidden="1" customHeight="1"/>
    <row r="17081" ht="15" hidden="1" customHeight="1"/>
    <row r="17082" ht="15" hidden="1" customHeight="1"/>
    <row r="17083" ht="15" hidden="1" customHeight="1"/>
    <row r="17084" ht="15" hidden="1" customHeight="1"/>
    <row r="17085" ht="15" hidden="1" customHeight="1"/>
    <row r="17086" ht="15" hidden="1" customHeight="1"/>
    <row r="17087" ht="15" hidden="1" customHeight="1"/>
    <row r="17088" ht="15" hidden="1" customHeight="1"/>
    <row r="17089" ht="15" hidden="1" customHeight="1"/>
    <row r="17090" ht="15" hidden="1" customHeight="1"/>
    <row r="17091" ht="15" hidden="1" customHeight="1"/>
    <row r="17092" ht="15" hidden="1" customHeight="1"/>
    <row r="17093" ht="15" hidden="1" customHeight="1"/>
    <row r="17094" ht="15" hidden="1" customHeight="1"/>
    <row r="17095" ht="15" hidden="1" customHeight="1"/>
    <row r="17096" ht="15" hidden="1" customHeight="1"/>
    <row r="17097" ht="15" hidden="1" customHeight="1"/>
    <row r="17098" ht="15" hidden="1" customHeight="1"/>
    <row r="17099" ht="15" hidden="1" customHeight="1"/>
    <row r="17100" ht="15" hidden="1" customHeight="1"/>
    <row r="17101" ht="15" hidden="1" customHeight="1"/>
    <row r="17102" ht="15" hidden="1" customHeight="1"/>
    <row r="17103" ht="15" hidden="1" customHeight="1"/>
    <row r="17104" ht="15" hidden="1" customHeight="1"/>
    <row r="17105" ht="15" hidden="1" customHeight="1"/>
    <row r="17106" ht="15" hidden="1" customHeight="1"/>
    <row r="17107" ht="15" hidden="1" customHeight="1"/>
    <row r="17108" ht="15" hidden="1" customHeight="1"/>
    <row r="17109" ht="15" hidden="1" customHeight="1"/>
    <row r="17110" ht="15" hidden="1" customHeight="1"/>
    <row r="17111" ht="15" hidden="1" customHeight="1"/>
    <row r="17112" ht="15" hidden="1" customHeight="1"/>
    <row r="17113" ht="15" hidden="1" customHeight="1"/>
    <row r="17114" ht="15" hidden="1" customHeight="1"/>
    <row r="17115" ht="15" hidden="1" customHeight="1"/>
    <row r="17116" ht="15" hidden="1" customHeight="1"/>
    <row r="17117" ht="15" hidden="1" customHeight="1"/>
    <row r="17118" ht="15" hidden="1" customHeight="1"/>
    <row r="17119" ht="15" hidden="1" customHeight="1"/>
    <row r="17120" ht="15" hidden="1" customHeight="1"/>
    <row r="17121" ht="15" hidden="1" customHeight="1"/>
    <row r="17122" ht="15" hidden="1" customHeight="1"/>
    <row r="17123" ht="15" hidden="1" customHeight="1"/>
    <row r="17124" ht="15" hidden="1" customHeight="1"/>
    <row r="17125" ht="15" hidden="1" customHeight="1"/>
    <row r="17126" ht="15" hidden="1" customHeight="1"/>
    <row r="17127" ht="15" hidden="1" customHeight="1"/>
    <row r="17128" ht="15" hidden="1" customHeight="1"/>
    <row r="17129" ht="15" hidden="1" customHeight="1"/>
    <row r="17130" ht="15" hidden="1" customHeight="1"/>
    <row r="17131" ht="15" hidden="1" customHeight="1"/>
    <row r="17132" ht="15" hidden="1" customHeight="1"/>
    <row r="17133" ht="15" hidden="1" customHeight="1"/>
    <row r="17134" ht="15" hidden="1" customHeight="1"/>
    <row r="17135" ht="15" hidden="1" customHeight="1"/>
    <row r="17136" ht="15" hidden="1" customHeight="1"/>
    <row r="17137" ht="15" hidden="1" customHeight="1"/>
    <row r="17138" ht="15" hidden="1" customHeight="1"/>
    <row r="17139" ht="15" hidden="1" customHeight="1"/>
    <row r="17140" ht="15" hidden="1" customHeight="1"/>
    <row r="17141" ht="15" hidden="1" customHeight="1"/>
    <row r="17142" ht="15" hidden="1" customHeight="1"/>
    <row r="17143" ht="15" hidden="1" customHeight="1"/>
    <row r="17144" ht="15" hidden="1" customHeight="1"/>
    <row r="17145" ht="15" hidden="1" customHeight="1"/>
    <row r="17146" ht="15" hidden="1" customHeight="1"/>
    <row r="17147" ht="15" hidden="1" customHeight="1"/>
    <row r="17148" ht="15" hidden="1" customHeight="1"/>
    <row r="17149" ht="15" hidden="1" customHeight="1"/>
    <row r="17150" ht="15" hidden="1" customHeight="1"/>
    <row r="17151" ht="15" hidden="1" customHeight="1"/>
    <row r="17152" ht="15" hidden="1" customHeight="1"/>
    <row r="17153" ht="15" hidden="1" customHeight="1"/>
    <row r="17154" ht="15" hidden="1" customHeight="1"/>
    <row r="17155" ht="15" hidden="1" customHeight="1"/>
    <row r="17156" ht="15" hidden="1" customHeight="1"/>
    <row r="17157" ht="15" hidden="1" customHeight="1"/>
    <row r="17158" ht="15" hidden="1" customHeight="1"/>
    <row r="17159" ht="15" hidden="1" customHeight="1"/>
    <row r="17160" ht="15" hidden="1" customHeight="1"/>
    <row r="17161" ht="15" hidden="1" customHeight="1"/>
    <row r="17162" ht="15" hidden="1" customHeight="1"/>
    <row r="17163" ht="15" hidden="1" customHeight="1"/>
    <row r="17164" ht="15" hidden="1" customHeight="1"/>
    <row r="17165" ht="15" hidden="1" customHeight="1"/>
    <row r="17166" ht="15" hidden="1" customHeight="1"/>
    <row r="17167" ht="15" hidden="1" customHeight="1"/>
    <row r="17168" ht="15" hidden="1" customHeight="1"/>
    <row r="17169" ht="15" hidden="1" customHeight="1"/>
    <row r="17170" ht="15" hidden="1" customHeight="1"/>
    <row r="17171" ht="15" hidden="1" customHeight="1"/>
    <row r="17172" ht="15" hidden="1" customHeight="1"/>
    <row r="17173" ht="15" hidden="1" customHeight="1"/>
    <row r="17174" ht="15" hidden="1" customHeight="1"/>
    <row r="17175" ht="15" hidden="1" customHeight="1"/>
    <row r="17176" ht="15" hidden="1" customHeight="1"/>
    <row r="17177" ht="15" hidden="1" customHeight="1"/>
    <row r="17178" ht="15" hidden="1" customHeight="1"/>
    <row r="17179" ht="15" hidden="1" customHeight="1"/>
    <row r="17180" ht="15" hidden="1" customHeight="1"/>
    <row r="17181" ht="15" hidden="1" customHeight="1"/>
    <row r="17182" ht="15" hidden="1" customHeight="1"/>
    <row r="17183" ht="15" hidden="1" customHeight="1"/>
    <row r="17184" ht="15" hidden="1" customHeight="1"/>
    <row r="17185" ht="15" hidden="1" customHeight="1"/>
    <row r="17186" ht="15" hidden="1" customHeight="1"/>
    <row r="17187" ht="15" hidden="1" customHeight="1"/>
    <row r="17188" ht="15" hidden="1" customHeight="1"/>
    <row r="17189" ht="15" hidden="1" customHeight="1"/>
    <row r="17190" ht="15" hidden="1" customHeight="1"/>
    <row r="17191" ht="15" hidden="1" customHeight="1"/>
    <row r="17192" ht="15" hidden="1" customHeight="1"/>
    <row r="17193" ht="15" hidden="1" customHeight="1"/>
    <row r="17194" ht="15" hidden="1" customHeight="1"/>
    <row r="17195" ht="15" hidden="1" customHeight="1"/>
    <row r="17196" ht="15" hidden="1" customHeight="1"/>
    <row r="17197" ht="15" hidden="1" customHeight="1"/>
    <row r="17198" ht="15" hidden="1" customHeight="1"/>
    <row r="17199" ht="15" hidden="1" customHeight="1"/>
    <row r="17200" ht="15" hidden="1" customHeight="1"/>
    <row r="17201" ht="15" hidden="1" customHeight="1"/>
    <row r="17202" ht="15" hidden="1" customHeight="1"/>
    <row r="17203" ht="15" hidden="1" customHeight="1"/>
    <row r="17204" ht="15" hidden="1" customHeight="1"/>
    <row r="17205" ht="15" hidden="1" customHeight="1"/>
    <row r="17206" ht="15" hidden="1" customHeight="1"/>
    <row r="17207" ht="15" hidden="1" customHeight="1"/>
    <row r="17208" ht="15" hidden="1" customHeight="1"/>
    <row r="17209" ht="15" hidden="1" customHeight="1"/>
    <row r="17210" ht="15" hidden="1" customHeight="1"/>
    <row r="17211" ht="15" hidden="1" customHeight="1"/>
    <row r="17212" ht="15" hidden="1" customHeight="1"/>
    <row r="17213" ht="15" hidden="1" customHeight="1"/>
    <row r="17214" ht="15" hidden="1" customHeight="1"/>
    <row r="17215" ht="15" hidden="1" customHeight="1"/>
    <row r="17216" ht="15" hidden="1" customHeight="1"/>
    <row r="17217" ht="15" hidden="1" customHeight="1"/>
    <row r="17218" ht="15" hidden="1" customHeight="1"/>
    <row r="17219" ht="15" hidden="1" customHeight="1"/>
    <row r="17220" ht="15" hidden="1" customHeight="1"/>
    <row r="17221" ht="15" hidden="1" customHeight="1"/>
    <row r="17222" ht="15" hidden="1" customHeight="1"/>
    <row r="17223" ht="15" hidden="1" customHeight="1"/>
    <row r="17224" ht="15" hidden="1" customHeight="1"/>
    <row r="17225" ht="15" hidden="1" customHeight="1"/>
    <row r="17226" ht="15" hidden="1" customHeight="1"/>
    <row r="17227" ht="15" hidden="1" customHeight="1"/>
    <row r="17228" ht="15" hidden="1" customHeight="1"/>
    <row r="17229" ht="15" hidden="1" customHeight="1"/>
    <row r="17230" ht="15" hidden="1" customHeight="1"/>
    <row r="17231" ht="15" hidden="1" customHeight="1"/>
    <row r="17232" ht="15" hidden="1" customHeight="1"/>
    <row r="17233" ht="15" hidden="1" customHeight="1"/>
    <row r="17234" ht="15" hidden="1" customHeight="1"/>
    <row r="17235" ht="15" hidden="1" customHeight="1"/>
    <row r="17236" ht="15" hidden="1" customHeight="1"/>
    <row r="17237" ht="15" hidden="1" customHeight="1"/>
    <row r="17238" ht="15" hidden="1" customHeight="1"/>
    <row r="17239" ht="15" hidden="1" customHeight="1"/>
    <row r="17240" ht="15" hidden="1" customHeight="1"/>
    <row r="17241" ht="15" hidden="1" customHeight="1"/>
    <row r="17242" ht="15" hidden="1" customHeight="1"/>
    <row r="17243" ht="15" hidden="1" customHeight="1"/>
    <row r="17244" ht="15" hidden="1" customHeight="1"/>
    <row r="17245" ht="15" hidden="1" customHeight="1"/>
    <row r="17246" ht="15" hidden="1" customHeight="1"/>
    <row r="17247" ht="15" hidden="1" customHeight="1"/>
    <row r="17248" ht="15" hidden="1" customHeight="1"/>
    <row r="17249" ht="15" hidden="1" customHeight="1"/>
    <row r="17250" ht="15" hidden="1" customHeight="1"/>
    <row r="17251" ht="15" hidden="1" customHeight="1"/>
    <row r="17252" ht="15" hidden="1" customHeight="1"/>
    <row r="17253" ht="15" hidden="1" customHeight="1"/>
    <row r="17254" ht="15" hidden="1" customHeight="1"/>
    <row r="17255" ht="15" hidden="1" customHeight="1"/>
    <row r="17256" ht="15" hidden="1" customHeight="1"/>
    <row r="17257" ht="15" hidden="1" customHeight="1"/>
    <row r="17258" ht="15" hidden="1" customHeight="1"/>
    <row r="17259" ht="15" hidden="1" customHeight="1"/>
    <row r="17260" ht="15" hidden="1" customHeight="1"/>
    <row r="17261" ht="15" hidden="1" customHeight="1"/>
    <row r="17262" ht="15" hidden="1" customHeight="1"/>
    <row r="17263" ht="15" hidden="1" customHeight="1"/>
    <row r="17264" ht="15" hidden="1" customHeight="1"/>
    <row r="17265" ht="15" hidden="1" customHeight="1"/>
    <row r="17266" ht="15" hidden="1" customHeight="1"/>
    <row r="17267" ht="15" hidden="1" customHeight="1"/>
    <row r="17268" ht="15" hidden="1" customHeight="1"/>
    <row r="17269" ht="15" hidden="1" customHeight="1"/>
    <row r="17270" ht="15" hidden="1" customHeight="1"/>
    <row r="17271" ht="15" hidden="1" customHeight="1"/>
    <row r="17272" ht="15" hidden="1" customHeight="1"/>
    <row r="17273" ht="15" hidden="1" customHeight="1"/>
    <row r="17274" ht="15" hidden="1" customHeight="1"/>
    <row r="17275" ht="15" hidden="1" customHeight="1"/>
    <row r="17276" ht="15" hidden="1" customHeight="1"/>
    <row r="17277" ht="15" hidden="1" customHeight="1"/>
    <row r="17278" ht="15" hidden="1" customHeight="1"/>
    <row r="17279" ht="15" hidden="1" customHeight="1"/>
    <row r="17280" ht="15" hidden="1" customHeight="1"/>
    <row r="17281" ht="15" hidden="1" customHeight="1"/>
    <row r="17282" ht="15" hidden="1" customHeight="1"/>
    <row r="17283" ht="15" hidden="1" customHeight="1"/>
    <row r="17284" ht="15" hidden="1" customHeight="1"/>
    <row r="17285" ht="15" hidden="1" customHeight="1"/>
    <row r="17286" ht="15" hidden="1" customHeight="1"/>
    <row r="17287" ht="15" hidden="1" customHeight="1"/>
    <row r="17288" ht="15" hidden="1" customHeight="1"/>
    <row r="17289" ht="15" hidden="1" customHeight="1"/>
    <row r="17290" ht="15" hidden="1" customHeight="1"/>
    <row r="17291" ht="15" hidden="1" customHeight="1"/>
    <row r="17292" ht="15" hidden="1" customHeight="1"/>
    <row r="17293" ht="15" hidden="1" customHeight="1"/>
    <row r="17294" ht="15" hidden="1" customHeight="1"/>
    <row r="17295" ht="15" hidden="1" customHeight="1"/>
    <row r="17296" ht="15" hidden="1" customHeight="1"/>
    <row r="17297" ht="15" hidden="1" customHeight="1"/>
    <row r="17298" ht="15" hidden="1" customHeight="1"/>
    <row r="17299" ht="15" hidden="1" customHeight="1"/>
    <row r="17300" ht="15" hidden="1" customHeight="1"/>
    <row r="17301" ht="15" hidden="1" customHeight="1"/>
    <row r="17302" ht="15" hidden="1" customHeight="1"/>
    <row r="17303" ht="15" hidden="1" customHeight="1"/>
    <row r="17304" ht="15" hidden="1" customHeight="1"/>
    <row r="17305" ht="15" hidden="1" customHeight="1"/>
    <row r="17306" ht="15" hidden="1" customHeight="1"/>
    <row r="17307" ht="15" hidden="1" customHeight="1"/>
    <row r="17308" ht="15" hidden="1" customHeight="1"/>
    <row r="17309" ht="15" hidden="1" customHeight="1"/>
    <row r="17310" ht="15" hidden="1" customHeight="1"/>
    <row r="17311" ht="15" hidden="1" customHeight="1"/>
    <row r="17312" ht="15" hidden="1" customHeight="1"/>
    <row r="17313" ht="15" hidden="1" customHeight="1"/>
    <row r="17314" ht="15" hidden="1" customHeight="1"/>
    <row r="17315" ht="15" hidden="1" customHeight="1"/>
    <row r="17316" ht="15" hidden="1" customHeight="1"/>
    <row r="17317" ht="15" hidden="1" customHeight="1"/>
    <row r="17318" ht="15" hidden="1" customHeight="1"/>
    <row r="17319" ht="15" hidden="1" customHeight="1"/>
    <row r="17320" ht="15" hidden="1" customHeight="1"/>
    <row r="17321" ht="15" hidden="1" customHeight="1"/>
    <row r="17322" ht="15" hidden="1" customHeight="1"/>
    <row r="17323" ht="15" hidden="1" customHeight="1"/>
    <row r="17324" ht="15" hidden="1" customHeight="1"/>
    <row r="17325" ht="15" hidden="1" customHeight="1"/>
    <row r="17326" ht="15" hidden="1" customHeight="1"/>
    <row r="17327" ht="15" hidden="1" customHeight="1"/>
    <row r="17328" ht="15" hidden="1" customHeight="1"/>
    <row r="17329" ht="15" hidden="1" customHeight="1"/>
    <row r="17330" ht="15" hidden="1" customHeight="1"/>
    <row r="17331" ht="15" hidden="1" customHeight="1"/>
    <row r="17332" ht="15" hidden="1" customHeight="1"/>
    <row r="17333" ht="15" hidden="1" customHeight="1"/>
    <row r="17334" ht="15" hidden="1" customHeight="1"/>
    <row r="17335" ht="15" hidden="1" customHeight="1"/>
    <row r="17336" ht="15" hidden="1" customHeight="1"/>
    <row r="17337" ht="15" hidden="1" customHeight="1"/>
    <row r="17338" ht="15" hidden="1" customHeight="1"/>
    <row r="17339" ht="15" hidden="1" customHeight="1"/>
    <row r="17340" ht="15" hidden="1" customHeight="1"/>
    <row r="17341" ht="15" hidden="1" customHeight="1"/>
    <row r="17342" ht="15" hidden="1" customHeight="1"/>
    <row r="17343" ht="15" hidden="1" customHeight="1"/>
    <row r="17344" ht="15" hidden="1" customHeight="1"/>
    <row r="17345" ht="15" hidden="1" customHeight="1"/>
    <row r="17346" ht="15" hidden="1" customHeight="1"/>
    <row r="17347" ht="15" hidden="1" customHeight="1"/>
    <row r="17348" ht="15" hidden="1" customHeight="1"/>
    <row r="17349" ht="15" hidden="1" customHeight="1"/>
    <row r="17350" ht="15" hidden="1" customHeight="1"/>
    <row r="17351" ht="15" hidden="1" customHeight="1"/>
    <row r="17352" ht="15" hidden="1" customHeight="1"/>
    <row r="17353" ht="15" hidden="1" customHeight="1"/>
    <row r="17354" ht="15" hidden="1" customHeight="1"/>
    <row r="17355" ht="15" hidden="1" customHeight="1"/>
    <row r="17356" ht="15" hidden="1" customHeight="1"/>
    <row r="17357" ht="15" hidden="1" customHeight="1"/>
    <row r="17358" ht="15" hidden="1" customHeight="1"/>
    <row r="17359" ht="15" hidden="1" customHeight="1"/>
    <row r="17360" ht="15" hidden="1" customHeight="1"/>
    <row r="17361" ht="15" hidden="1" customHeight="1"/>
    <row r="17362" ht="15" hidden="1" customHeight="1"/>
    <row r="17363" ht="15" hidden="1" customHeight="1"/>
    <row r="17364" ht="15" hidden="1" customHeight="1"/>
    <row r="17365" ht="15" hidden="1" customHeight="1"/>
    <row r="17366" ht="15" hidden="1" customHeight="1"/>
    <row r="17367" ht="15" hidden="1" customHeight="1"/>
    <row r="17368" ht="15" hidden="1" customHeight="1"/>
    <row r="17369" ht="15" hidden="1" customHeight="1"/>
    <row r="17370" ht="15" hidden="1" customHeight="1"/>
    <row r="17371" ht="15" hidden="1" customHeight="1"/>
    <row r="17372" ht="15" hidden="1" customHeight="1"/>
    <row r="17373" ht="15" hidden="1" customHeight="1"/>
    <row r="17374" ht="15" hidden="1" customHeight="1"/>
    <row r="17375" ht="15" hidden="1" customHeight="1"/>
    <row r="17376" ht="15" hidden="1" customHeight="1"/>
    <row r="17377" ht="15" hidden="1" customHeight="1"/>
    <row r="17378" ht="15" hidden="1" customHeight="1"/>
    <row r="17379" ht="15" hidden="1" customHeight="1"/>
    <row r="17380" ht="15" hidden="1" customHeight="1"/>
    <row r="17381" ht="15" hidden="1" customHeight="1"/>
    <row r="17382" ht="15" hidden="1" customHeight="1"/>
    <row r="17383" ht="15" hidden="1" customHeight="1"/>
    <row r="17384" ht="15" hidden="1" customHeight="1"/>
    <row r="17385" ht="15" hidden="1" customHeight="1"/>
    <row r="17386" ht="15" hidden="1" customHeight="1"/>
    <row r="17387" ht="15" hidden="1" customHeight="1"/>
    <row r="17388" ht="15" hidden="1" customHeight="1"/>
    <row r="17389" ht="15" hidden="1" customHeight="1"/>
    <row r="17390" ht="15" hidden="1" customHeight="1"/>
    <row r="17391" ht="15" hidden="1" customHeight="1"/>
    <row r="17392" ht="15" hidden="1" customHeight="1"/>
    <row r="17393" ht="15" hidden="1" customHeight="1"/>
    <row r="17394" ht="15" hidden="1" customHeight="1"/>
    <row r="17395" ht="15" hidden="1" customHeight="1"/>
    <row r="17396" ht="15" hidden="1" customHeight="1"/>
    <row r="17397" ht="15" hidden="1" customHeight="1"/>
    <row r="17398" ht="15" hidden="1" customHeight="1"/>
    <row r="17399" ht="15" hidden="1" customHeight="1"/>
    <row r="17400" ht="15" hidden="1" customHeight="1"/>
    <row r="17401" ht="15" hidden="1" customHeight="1"/>
    <row r="17402" ht="15" hidden="1" customHeight="1"/>
    <row r="17403" ht="15" hidden="1" customHeight="1"/>
    <row r="17404" ht="15" hidden="1" customHeight="1"/>
    <row r="17405" ht="15" hidden="1" customHeight="1"/>
    <row r="17406" ht="15" hidden="1" customHeight="1"/>
    <row r="17407" ht="15" hidden="1" customHeight="1"/>
    <row r="17408" ht="15" hidden="1" customHeight="1"/>
    <row r="17409" ht="15" hidden="1" customHeight="1"/>
    <row r="17410" ht="15" hidden="1" customHeight="1"/>
    <row r="17411" ht="15" hidden="1" customHeight="1"/>
    <row r="17412" ht="15" hidden="1" customHeight="1"/>
    <row r="17413" ht="15" hidden="1" customHeight="1"/>
    <row r="17414" ht="15" hidden="1" customHeight="1"/>
    <row r="17415" ht="15" hidden="1" customHeight="1"/>
    <row r="17416" ht="15" hidden="1" customHeight="1"/>
    <row r="17417" ht="15" hidden="1" customHeight="1"/>
    <row r="17418" ht="15" hidden="1" customHeight="1"/>
    <row r="17419" ht="15" hidden="1" customHeight="1"/>
    <row r="17420" ht="15" hidden="1" customHeight="1"/>
    <row r="17421" ht="15" hidden="1" customHeight="1"/>
    <row r="17422" ht="15" hidden="1" customHeight="1"/>
    <row r="17423" ht="15" hidden="1" customHeight="1"/>
    <row r="17424" ht="15" hidden="1" customHeight="1"/>
    <row r="17425" ht="15" hidden="1" customHeight="1"/>
    <row r="17426" ht="15" hidden="1" customHeight="1"/>
    <row r="17427" ht="15" hidden="1" customHeight="1"/>
    <row r="17428" ht="15" hidden="1" customHeight="1"/>
    <row r="17429" ht="15" hidden="1" customHeight="1"/>
    <row r="17430" ht="15" hidden="1" customHeight="1"/>
    <row r="17431" ht="15" hidden="1" customHeight="1"/>
    <row r="17432" ht="15" hidden="1" customHeight="1"/>
    <row r="17433" ht="15" hidden="1" customHeight="1"/>
    <row r="17434" ht="15" hidden="1" customHeight="1"/>
    <row r="17435" ht="15" hidden="1" customHeight="1"/>
    <row r="17436" ht="15" hidden="1" customHeight="1"/>
    <row r="17437" ht="15" hidden="1" customHeight="1"/>
    <row r="17438" ht="15" hidden="1" customHeight="1"/>
    <row r="17439" ht="15" hidden="1" customHeight="1"/>
    <row r="17440" ht="15" hidden="1" customHeight="1"/>
    <row r="17441" ht="15" hidden="1" customHeight="1"/>
    <row r="17442" ht="15" hidden="1" customHeight="1"/>
    <row r="17443" ht="15" hidden="1" customHeight="1"/>
    <row r="17444" ht="15" hidden="1" customHeight="1"/>
    <row r="17445" ht="15" hidden="1" customHeight="1"/>
    <row r="17446" ht="15" hidden="1" customHeight="1"/>
    <row r="17447" ht="15" hidden="1" customHeight="1"/>
    <row r="17448" ht="15" hidden="1" customHeight="1"/>
    <row r="17449" ht="15" hidden="1" customHeight="1"/>
    <row r="17450" ht="15" hidden="1" customHeight="1"/>
    <row r="17451" ht="15" hidden="1" customHeight="1"/>
    <row r="17452" ht="15" hidden="1" customHeight="1"/>
    <row r="17453" ht="15" hidden="1" customHeight="1"/>
    <row r="17454" ht="15" hidden="1" customHeight="1"/>
    <row r="17455" ht="15" hidden="1" customHeight="1"/>
    <row r="17456" ht="15" hidden="1" customHeight="1"/>
    <row r="17457" ht="15" hidden="1" customHeight="1"/>
    <row r="17458" ht="15" hidden="1" customHeight="1"/>
    <row r="17459" ht="15" hidden="1" customHeight="1"/>
    <row r="17460" ht="15" hidden="1" customHeight="1"/>
    <row r="17461" ht="15" hidden="1" customHeight="1"/>
    <row r="17462" ht="15" hidden="1" customHeight="1"/>
    <row r="17463" ht="15" hidden="1" customHeight="1"/>
    <row r="17464" ht="15" hidden="1" customHeight="1"/>
    <row r="17465" ht="15" hidden="1" customHeight="1"/>
    <row r="17466" ht="15" hidden="1" customHeight="1"/>
    <row r="17467" ht="15" hidden="1" customHeight="1"/>
    <row r="17468" ht="15" hidden="1" customHeight="1"/>
    <row r="17469" ht="15" hidden="1" customHeight="1"/>
    <row r="17470" ht="15" hidden="1" customHeight="1"/>
    <row r="17471" ht="15" hidden="1" customHeight="1"/>
    <row r="17472" ht="15" hidden="1" customHeight="1"/>
    <row r="17473" ht="15" hidden="1" customHeight="1"/>
    <row r="17474" ht="15" hidden="1" customHeight="1"/>
    <row r="17475" ht="15" hidden="1" customHeight="1"/>
    <row r="17476" ht="15" hidden="1" customHeight="1"/>
    <row r="17477" ht="15" hidden="1" customHeight="1"/>
    <row r="17478" ht="15" hidden="1" customHeight="1"/>
    <row r="17479" ht="15" hidden="1" customHeight="1"/>
    <row r="17480" ht="15" hidden="1" customHeight="1"/>
    <row r="17481" ht="15" hidden="1" customHeight="1"/>
    <row r="17482" ht="15" hidden="1" customHeight="1"/>
    <row r="17483" ht="15" hidden="1" customHeight="1"/>
    <row r="17484" ht="15" hidden="1" customHeight="1"/>
    <row r="17485" ht="15" hidden="1" customHeight="1"/>
    <row r="17486" ht="15" hidden="1" customHeight="1"/>
    <row r="17487" ht="15" hidden="1" customHeight="1"/>
    <row r="17488" ht="15" hidden="1" customHeight="1"/>
    <row r="17489" ht="15" hidden="1" customHeight="1"/>
    <row r="17490" ht="15" hidden="1" customHeight="1"/>
    <row r="17491" ht="15" hidden="1" customHeight="1"/>
    <row r="17492" ht="15" hidden="1" customHeight="1"/>
    <row r="17493" ht="15" hidden="1" customHeight="1"/>
    <row r="17494" ht="15" hidden="1" customHeight="1"/>
    <row r="17495" ht="15" hidden="1" customHeight="1"/>
    <row r="17496" ht="15" hidden="1" customHeight="1"/>
    <row r="17497" ht="15" hidden="1" customHeight="1"/>
    <row r="17498" ht="15" hidden="1" customHeight="1"/>
    <row r="17499" ht="15" hidden="1" customHeight="1"/>
    <row r="17500" ht="15" hidden="1" customHeight="1"/>
    <row r="17501" ht="15" hidden="1" customHeight="1"/>
    <row r="17502" ht="15" hidden="1" customHeight="1"/>
    <row r="17503" ht="15" hidden="1" customHeight="1"/>
    <row r="17504" ht="15" hidden="1" customHeight="1"/>
    <row r="17505" ht="15" hidden="1" customHeight="1"/>
    <row r="17506" ht="15" hidden="1" customHeight="1"/>
    <row r="17507" ht="15" hidden="1" customHeight="1"/>
    <row r="17508" ht="15" hidden="1" customHeight="1"/>
    <row r="17509" ht="15" hidden="1" customHeight="1"/>
    <row r="17510" ht="15" hidden="1" customHeight="1"/>
    <row r="17511" ht="15" hidden="1" customHeight="1"/>
    <row r="17512" ht="15" hidden="1" customHeight="1"/>
    <row r="17513" ht="15" hidden="1" customHeight="1"/>
    <row r="17514" ht="15" hidden="1" customHeight="1"/>
    <row r="17515" ht="15" hidden="1" customHeight="1"/>
    <row r="17516" ht="15" hidden="1" customHeight="1"/>
    <row r="17517" ht="15" hidden="1" customHeight="1"/>
    <row r="17518" ht="15" hidden="1" customHeight="1"/>
    <row r="17519" ht="15" hidden="1" customHeight="1"/>
    <row r="17520" ht="15" hidden="1" customHeight="1"/>
    <row r="17521" ht="15" hidden="1" customHeight="1"/>
    <row r="17522" ht="15" hidden="1" customHeight="1"/>
    <row r="17523" ht="15" hidden="1" customHeight="1"/>
    <row r="17524" ht="15" hidden="1" customHeight="1"/>
    <row r="17525" ht="15" hidden="1" customHeight="1"/>
    <row r="17526" ht="15" hidden="1" customHeight="1"/>
    <row r="17527" ht="15" hidden="1" customHeight="1"/>
    <row r="17528" ht="15" hidden="1" customHeight="1"/>
    <row r="17529" ht="15" hidden="1" customHeight="1"/>
    <row r="17530" ht="15" hidden="1" customHeight="1"/>
    <row r="17531" ht="15" hidden="1" customHeight="1"/>
    <row r="17532" ht="15" hidden="1" customHeight="1"/>
    <row r="17533" ht="15" hidden="1" customHeight="1"/>
    <row r="17534" ht="15" hidden="1" customHeight="1"/>
    <row r="17535" ht="15" hidden="1" customHeight="1"/>
    <row r="17536" ht="15" hidden="1" customHeight="1"/>
    <row r="17537" ht="15" hidden="1" customHeight="1"/>
    <row r="17538" ht="15" hidden="1" customHeight="1"/>
    <row r="17539" ht="15" hidden="1" customHeight="1"/>
    <row r="17540" ht="15" hidden="1" customHeight="1"/>
    <row r="17541" ht="15" hidden="1" customHeight="1"/>
    <row r="17542" ht="15" hidden="1" customHeight="1"/>
    <row r="17543" ht="15" hidden="1" customHeight="1"/>
    <row r="17544" ht="15" hidden="1" customHeight="1"/>
    <row r="17545" ht="15" hidden="1" customHeight="1"/>
    <row r="17546" ht="15" hidden="1" customHeight="1"/>
    <row r="17547" ht="15" hidden="1" customHeight="1"/>
    <row r="17548" ht="15" hidden="1" customHeight="1"/>
    <row r="17549" ht="15" hidden="1" customHeight="1"/>
    <row r="17550" ht="15" hidden="1" customHeight="1"/>
    <row r="17551" ht="15" hidden="1" customHeight="1"/>
    <row r="17552" ht="15" hidden="1" customHeight="1"/>
    <row r="17553" ht="15" hidden="1" customHeight="1"/>
    <row r="17554" ht="15" hidden="1" customHeight="1"/>
    <row r="17555" ht="15" hidden="1" customHeight="1"/>
    <row r="17556" ht="15" hidden="1" customHeight="1"/>
    <row r="17557" ht="15" hidden="1" customHeight="1"/>
    <row r="17558" ht="15" hidden="1" customHeight="1"/>
    <row r="17559" ht="15" hidden="1" customHeight="1"/>
    <row r="17560" ht="15" hidden="1" customHeight="1"/>
    <row r="17561" ht="15" hidden="1" customHeight="1"/>
    <row r="17562" ht="15" hidden="1" customHeight="1"/>
    <row r="17563" ht="15" hidden="1" customHeight="1"/>
    <row r="17564" ht="15" hidden="1" customHeight="1"/>
    <row r="17565" ht="15" hidden="1" customHeight="1"/>
    <row r="17566" ht="15" hidden="1" customHeight="1"/>
    <row r="17567" ht="15" hidden="1" customHeight="1"/>
    <row r="17568" ht="15" hidden="1" customHeight="1"/>
    <row r="17569" ht="15" hidden="1" customHeight="1"/>
    <row r="17570" ht="15" hidden="1" customHeight="1"/>
    <row r="17571" ht="15" hidden="1" customHeight="1"/>
    <row r="17572" ht="15" hidden="1" customHeight="1"/>
    <row r="17573" ht="15" hidden="1" customHeight="1"/>
    <row r="17574" ht="15" hidden="1" customHeight="1"/>
    <row r="17575" ht="15" hidden="1" customHeight="1"/>
    <row r="17576" ht="15" hidden="1" customHeight="1"/>
    <row r="17577" ht="15" hidden="1" customHeight="1"/>
    <row r="17578" ht="15" hidden="1" customHeight="1"/>
    <row r="17579" ht="15" hidden="1" customHeight="1"/>
    <row r="17580" ht="15" hidden="1" customHeight="1"/>
    <row r="17581" ht="15" hidden="1" customHeight="1"/>
    <row r="17582" ht="15" hidden="1" customHeight="1"/>
    <row r="17583" ht="15" hidden="1" customHeight="1"/>
    <row r="17584" ht="15" hidden="1" customHeight="1"/>
    <row r="17585" ht="15" hidden="1" customHeight="1"/>
    <row r="17586" ht="15" hidden="1" customHeight="1"/>
    <row r="17587" ht="15" hidden="1" customHeight="1"/>
    <row r="17588" ht="15" hidden="1" customHeight="1"/>
    <row r="17589" ht="15" hidden="1" customHeight="1"/>
    <row r="17590" ht="15" hidden="1" customHeight="1"/>
    <row r="17591" ht="15" hidden="1" customHeight="1"/>
    <row r="17592" ht="15" hidden="1" customHeight="1"/>
    <row r="17593" ht="15" hidden="1" customHeight="1"/>
    <row r="17594" ht="15" hidden="1" customHeight="1"/>
    <row r="17595" ht="15" hidden="1" customHeight="1"/>
    <row r="17596" ht="15" hidden="1" customHeight="1"/>
    <row r="17597" ht="15" hidden="1" customHeight="1"/>
    <row r="17598" ht="15" hidden="1" customHeight="1"/>
    <row r="17599" ht="15" hidden="1" customHeight="1"/>
    <row r="17600" ht="15" hidden="1" customHeight="1"/>
    <row r="17601" ht="15" hidden="1" customHeight="1"/>
    <row r="17602" ht="15" hidden="1" customHeight="1"/>
    <row r="17603" ht="15" hidden="1" customHeight="1"/>
    <row r="17604" ht="15" hidden="1" customHeight="1"/>
    <row r="17605" ht="15" hidden="1" customHeight="1"/>
    <row r="17606" ht="15" hidden="1" customHeight="1"/>
    <row r="17607" ht="15" hidden="1" customHeight="1"/>
    <row r="17608" ht="15" hidden="1" customHeight="1"/>
    <row r="17609" ht="15" hidden="1" customHeight="1"/>
    <row r="17610" ht="15" hidden="1" customHeight="1"/>
    <row r="17611" ht="15" hidden="1" customHeight="1"/>
    <row r="17612" ht="15" hidden="1" customHeight="1"/>
    <row r="17613" ht="15" hidden="1" customHeight="1"/>
    <row r="17614" ht="15" hidden="1" customHeight="1"/>
    <row r="17615" ht="15" hidden="1" customHeight="1"/>
    <row r="17616" ht="15" hidden="1" customHeight="1"/>
    <row r="17617" ht="15" hidden="1" customHeight="1"/>
    <row r="17618" ht="15" hidden="1" customHeight="1"/>
    <row r="17619" ht="15" hidden="1" customHeight="1"/>
    <row r="17620" ht="15" hidden="1" customHeight="1"/>
    <row r="17621" ht="15" hidden="1" customHeight="1"/>
    <row r="17622" ht="15" hidden="1" customHeight="1"/>
    <row r="17623" ht="15" hidden="1" customHeight="1"/>
    <row r="17624" ht="15" hidden="1" customHeight="1"/>
    <row r="17625" ht="15" hidden="1" customHeight="1"/>
    <row r="17626" ht="15" hidden="1" customHeight="1"/>
    <row r="17627" ht="15" hidden="1" customHeight="1"/>
    <row r="17628" ht="15" hidden="1" customHeight="1"/>
    <row r="17629" ht="15" hidden="1" customHeight="1"/>
    <row r="17630" ht="15" hidden="1" customHeight="1"/>
    <row r="17631" ht="15" hidden="1" customHeight="1"/>
    <row r="17632" ht="15" hidden="1" customHeight="1"/>
    <row r="17633" ht="15" hidden="1" customHeight="1"/>
    <row r="17634" ht="15" hidden="1" customHeight="1"/>
    <row r="17635" ht="15" hidden="1" customHeight="1"/>
    <row r="17636" ht="15" hidden="1" customHeight="1"/>
    <row r="17637" ht="15" hidden="1" customHeight="1"/>
    <row r="17638" ht="15" hidden="1" customHeight="1"/>
    <row r="17639" ht="15" hidden="1" customHeight="1"/>
    <row r="17640" ht="15" hidden="1" customHeight="1"/>
    <row r="17641" ht="15" hidden="1" customHeight="1"/>
    <row r="17642" ht="15" hidden="1" customHeight="1"/>
    <row r="17643" ht="15" hidden="1" customHeight="1"/>
    <row r="17644" ht="15" hidden="1" customHeight="1"/>
    <row r="17645" ht="15" hidden="1" customHeight="1"/>
    <row r="17646" ht="15" hidden="1" customHeight="1"/>
    <row r="17647" ht="15" hidden="1" customHeight="1"/>
    <row r="17648" ht="15" hidden="1" customHeight="1"/>
    <row r="17649" ht="15" hidden="1" customHeight="1"/>
    <row r="17650" ht="15" hidden="1" customHeight="1"/>
    <row r="17651" ht="15" hidden="1" customHeight="1"/>
    <row r="17652" ht="15" hidden="1" customHeight="1"/>
    <row r="17653" ht="15" hidden="1" customHeight="1"/>
    <row r="17654" ht="15" hidden="1" customHeight="1"/>
    <row r="17655" ht="15" hidden="1" customHeight="1"/>
    <row r="17656" ht="15" hidden="1" customHeight="1"/>
    <row r="17657" ht="15" hidden="1" customHeight="1"/>
    <row r="17658" ht="15" hidden="1" customHeight="1"/>
    <row r="17659" ht="15" hidden="1" customHeight="1"/>
    <row r="17660" ht="15" hidden="1" customHeight="1"/>
    <row r="17661" ht="15" hidden="1" customHeight="1"/>
    <row r="17662" ht="15" hidden="1" customHeight="1"/>
    <row r="17663" ht="15" hidden="1" customHeight="1"/>
    <row r="17664" ht="15" hidden="1" customHeight="1"/>
    <row r="17665" ht="15" hidden="1" customHeight="1"/>
    <row r="17666" ht="15" hidden="1" customHeight="1"/>
    <row r="17667" ht="15" hidden="1" customHeight="1"/>
    <row r="17668" ht="15" hidden="1" customHeight="1"/>
    <row r="17669" ht="15" hidden="1" customHeight="1"/>
    <row r="17670" ht="15" hidden="1" customHeight="1"/>
    <row r="17671" ht="15" hidden="1" customHeight="1"/>
    <row r="17672" ht="15" hidden="1" customHeight="1"/>
    <row r="17673" ht="15" hidden="1" customHeight="1"/>
    <row r="17674" ht="15" hidden="1" customHeight="1"/>
    <row r="17675" ht="15" hidden="1" customHeight="1"/>
    <row r="17676" ht="15" hidden="1" customHeight="1"/>
    <row r="17677" ht="15" hidden="1" customHeight="1"/>
    <row r="17678" ht="15" hidden="1" customHeight="1"/>
    <row r="17679" ht="15" hidden="1" customHeight="1"/>
    <row r="17680" ht="15" hidden="1" customHeight="1"/>
    <row r="17681" ht="15" hidden="1" customHeight="1"/>
    <row r="17682" ht="15" hidden="1" customHeight="1"/>
    <row r="17683" ht="15" hidden="1" customHeight="1"/>
    <row r="17684" ht="15" hidden="1" customHeight="1"/>
    <row r="17685" ht="15" hidden="1" customHeight="1"/>
    <row r="17686" ht="15" hidden="1" customHeight="1"/>
    <row r="17687" ht="15" hidden="1" customHeight="1"/>
    <row r="17688" ht="15" hidden="1" customHeight="1"/>
    <row r="17689" ht="15" hidden="1" customHeight="1"/>
    <row r="17690" ht="15" hidden="1" customHeight="1"/>
    <row r="17691" ht="15" hidden="1" customHeight="1"/>
    <row r="17692" ht="15" hidden="1" customHeight="1"/>
    <row r="17693" ht="15" hidden="1" customHeight="1"/>
    <row r="17694" ht="15" hidden="1" customHeight="1"/>
    <row r="17695" ht="15" hidden="1" customHeight="1"/>
    <row r="17696" ht="15" hidden="1" customHeight="1"/>
    <row r="17697" ht="15" hidden="1" customHeight="1"/>
    <row r="17698" ht="15" hidden="1" customHeight="1"/>
    <row r="17699" ht="15" hidden="1" customHeight="1"/>
    <row r="17700" ht="15" hidden="1" customHeight="1"/>
    <row r="17701" ht="15" hidden="1" customHeight="1"/>
    <row r="17702" ht="15" hidden="1" customHeight="1"/>
    <row r="17703" ht="15" hidden="1" customHeight="1"/>
    <row r="17704" ht="15" hidden="1" customHeight="1"/>
    <row r="17705" ht="15" hidden="1" customHeight="1"/>
    <row r="17706" ht="15" hidden="1" customHeight="1"/>
    <row r="17707" ht="15" hidden="1" customHeight="1"/>
    <row r="17708" ht="15" hidden="1" customHeight="1"/>
    <row r="17709" ht="15" hidden="1" customHeight="1"/>
    <row r="17710" ht="15" hidden="1" customHeight="1"/>
    <row r="17711" ht="15" hidden="1" customHeight="1"/>
    <row r="17712" ht="15" hidden="1" customHeight="1"/>
    <row r="17713" ht="15" hidden="1" customHeight="1"/>
    <row r="17714" ht="15" hidden="1" customHeight="1"/>
    <row r="17715" ht="15" hidden="1" customHeight="1"/>
    <row r="17716" ht="15" hidden="1" customHeight="1"/>
    <row r="17717" ht="15" hidden="1" customHeight="1"/>
    <row r="17718" ht="15" hidden="1" customHeight="1"/>
    <row r="17719" ht="15" hidden="1" customHeight="1"/>
    <row r="17720" ht="15" hidden="1" customHeight="1"/>
    <row r="17721" ht="15" hidden="1" customHeight="1"/>
    <row r="17722" ht="15" hidden="1" customHeight="1"/>
    <row r="17723" ht="15" hidden="1" customHeight="1"/>
    <row r="17724" ht="15" hidden="1" customHeight="1"/>
    <row r="17725" ht="15" hidden="1" customHeight="1"/>
    <row r="17726" ht="15" hidden="1" customHeight="1"/>
    <row r="17727" ht="15" hidden="1" customHeight="1"/>
    <row r="17728" ht="15" hidden="1" customHeight="1"/>
    <row r="17729" ht="15" hidden="1" customHeight="1"/>
    <row r="17730" ht="15" hidden="1" customHeight="1"/>
    <row r="17731" ht="15" hidden="1" customHeight="1"/>
    <row r="17732" ht="15" hidden="1" customHeight="1"/>
    <row r="17733" ht="15" hidden="1" customHeight="1"/>
    <row r="17734" ht="15" hidden="1" customHeight="1"/>
    <row r="17735" ht="15" hidden="1" customHeight="1"/>
    <row r="17736" ht="15" hidden="1" customHeight="1"/>
    <row r="17737" ht="15" hidden="1" customHeight="1"/>
    <row r="17738" ht="15" hidden="1" customHeight="1"/>
    <row r="17739" ht="15" hidden="1" customHeight="1"/>
    <row r="17740" ht="15" hidden="1" customHeight="1"/>
    <row r="17741" ht="15" hidden="1" customHeight="1"/>
    <row r="17742" ht="15" hidden="1" customHeight="1"/>
    <row r="17743" ht="15" hidden="1" customHeight="1"/>
    <row r="17744" ht="15" hidden="1" customHeight="1"/>
    <row r="17745" ht="15" hidden="1" customHeight="1"/>
    <row r="17746" ht="15" hidden="1" customHeight="1"/>
    <row r="17747" ht="15" hidden="1" customHeight="1"/>
    <row r="17748" ht="15" hidden="1" customHeight="1"/>
    <row r="17749" ht="15" hidden="1" customHeight="1"/>
    <row r="17750" ht="15" hidden="1" customHeight="1"/>
    <row r="17751" ht="15" hidden="1" customHeight="1"/>
    <row r="17752" ht="15" hidden="1" customHeight="1"/>
    <row r="17753" ht="15" hidden="1" customHeight="1"/>
    <row r="17754" ht="15" hidden="1" customHeight="1"/>
    <row r="17755" ht="15" hidden="1" customHeight="1"/>
    <row r="17756" ht="15" hidden="1" customHeight="1"/>
    <row r="17757" ht="15" hidden="1" customHeight="1"/>
    <row r="17758" ht="15" hidden="1" customHeight="1"/>
    <row r="17759" ht="15" hidden="1" customHeight="1"/>
    <row r="17760" ht="15" hidden="1" customHeight="1"/>
    <row r="17761" ht="15" hidden="1" customHeight="1"/>
    <row r="17762" ht="15" hidden="1" customHeight="1"/>
    <row r="17763" ht="15" hidden="1" customHeight="1"/>
    <row r="17764" ht="15" hidden="1" customHeight="1"/>
    <row r="17765" ht="15" hidden="1" customHeight="1"/>
    <row r="17766" ht="15" hidden="1" customHeight="1"/>
    <row r="17767" ht="15" hidden="1" customHeight="1"/>
    <row r="17768" ht="15" hidden="1" customHeight="1"/>
    <row r="17769" ht="15" hidden="1" customHeight="1"/>
    <row r="17770" ht="15" hidden="1" customHeight="1"/>
    <row r="17771" ht="15" hidden="1" customHeight="1"/>
    <row r="17772" ht="15" hidden="1" customHeight="1"/>
    <row r="17773" ht="15" hidden="1" customHeight="1"/>
    <row r="17774" ht="15" hidden="1" customHeight="1"/>
    <row r="17775" ht="15" hidden="1" customHeight="1"/>
    <row r="17776" ht="15" hidden="1" customHeight="1"/>
    <row r="17777" ht="15" hidden="1" customHeight="1"/>
    <row r="17778" ht="15" hidden="1" customHeight="1"/>
    <row r="17779" ht="15" hidden="1" customHeight="1"/>
    <row r="17780" ht="15" hidden="1" customHeight="1"/>
    <row r="17781" ht="15" hidden="1" customHeight="1"/>
    <row r="17782" ht="15" hidden="1" customHeight="1"/>
    <row r="17783" ht="15" hidden="1" customHeight="1"/>
    <row r="17784" ht="15" hidden="1" customHeight="1"/>
    <row r="17785" ht="15" hidden="1" customHeight="1"/>
    <row r="17786" ht="15" hidden="1" customHeight="1"/>
    <row r="17787" ht="15" hidden="1" customHeight="1"/>
    <row r="17788" ht="15" hidden="1" customHeight="1"/>
    <row r="17789" ht="15" hidden="1" customHeight="1"/>
    <row r="17790" ht="15" hidden="1" customHeight="1"/>
    <row r="17791" ht="15" hidden="1" customHeight="1"/>
    <row r="17792" ht="15" hidden="1" customHeight="1"/>
    <row r="17793" ht="15" hidden="1" customHeight="1"/>
    <row r="17794" ht="15" hidden="1" customHeight="1"/>
    <row r="17795" ht="15" hidden="1" customHeight="1"/>
    <row r="17796" ht="15" hidden="1" customHeight="1"/>
    <row r="17797" ht="15" hidden="1" customHeight="1"/>
    <row r="17798" ht="15" hidden="1" customHeight="1"/>
    <row r="17799" ht="15" hidden="1" customHeight="1"/>
    <row r="17800" ht="15" hidden="1" customHeight="1"/>
    <row r="17801" ht="15" hidden="1" customHeight="1"/>
    <row r="17802" ht="15" hidden="1" customHeight="1"/>
    <row r="17803" ht="15" hidden="1" customHeight="1"/>
    <row r="17804" ht="15" hidden="1" customHeight="1"/>
    <row r="17805" ht="15" hidden="1" customHeight="1"/>
    <row r="17806" ht="15" hidden="1" customHeight="1"/>
    <row r="17807" ht="15" hidden="1" customHeight="1"/>
    <row r="17808" ht="15" hidden="1" customHeight="1"/>
    <row r="17809" ht="15" hidden="1" customHeight="1"/>
    <row r="17810" ht="15" hidden="1" customHeight="1"/>
    <row r="17811" ht="15" hidden="1" customHeight="1"/>
    <row r="17812" ht="15" hidden="1" customHeight="1"/>
    <row r="17813" ht="15" hidden="1" customHeight="1"/>
    <row r="17814" ht="15" hidden="1" customHeight="1"/>
    <row r="17815" ht="15" hidden="1" customHeight="1"/>
    <row r="17816" ht="15" hidden="1" customHeight="1"/>
    <row r="17817" ht="15" hidden="1" customHeight="1"/>
    <row r="17818" ht="15" hidden="1" customHeight="1"/>
    <row r="17819" ht="15" hidden="1" customHeight="1"/>
    <row r="17820" ht="15" hidden="1" customHeight="1"/>
    <row r="17821" ht="15" hidden="1" customHeight="1"/>
    <row r="17822" ht="15" hidden="1" customHeight="1"/>
    <row r="17823" ht="15" hidden="1" customHeight="1"/>
    <row r="17824" ht="15" hidden="1" customHeight="1"/>
    <row r="17825" ht="15" hidden="1" customHeight="1"/>
    <row r="17826" ht="15" hidden="1" customHeight="1"/>
    <row r="17827" ht="15" hidden="1" customHeight="1"/>
    <row r="17828" ht="15" hidden="1" customHeight="1"/>
    <row r="17829" ht="15" hidden="1" customHeight="1"/>
    <row r="17830" ht="15" hidden="1" customHeight="1"/>
    <row r="17831" ht="15" hidden="1" customHeight="1"/>
    <row r="17832" ht="15" hidden="1" customHeight="1"/>
    <row r="17833" ht="15" hidden="1" customHeight="1"/>
    <row r="17834" ht="15" hidden="1" customHeight="1"/>
    <row r="17835" ht="15" hidden="1" customHeight="1"/>
    <row r="17836" ht="15" hidden="1" customHeight="1"/>
    <row r="17837" ht="15" hidden="1" customHeight="1"/>
    <row r="17838" ht="15" hidden="1" customHeight="1"/>
    <row r="17839" ht="15" hidden="1" customHeight="1"/>
    <row r="17840" ht="15" hidden="1" customHeight="1"/>
    <row r="17841" ht="15" hidden="1" customHeight="1"/>
    <row r="17842" ht="15" hidden="1" customHeight="1"/>
    <row r="17843" ht="15" hidden="1" customHeight="1"/>
    <row r="17844" ht="15" hidden="1" customHeight="1"/>
    <row r="17845" ht="15" hidden="1" customHeight="1"/>
    <row r="17846" ht="15" hidden="1" customHeight="1"/>
    <row r="17847" ht="15" hidden="1" customHeight="1"/>
    <row r="17848" ht="15" hidden="1" customHeight="1"/>
    <row r="17849" ht="15" hidden="1" customHeight="1"/>
    <row r="17850" ht="15" hidden="1" customHeight="1"/>
    <row r="17851" ht="15" hidden="1" customHeight="1"/>
    <row r="17852" ht="15" hidden="1" customHeight="1"/>
    <row r="17853" ht="15" hidden="1" customHeight="1"/>
    <row r="17854" ht="15" hidden="1" customHeight="1"/>
    <row r="17855" ht="15" hidden="1" customHeight="1"/>
    <row r="17856" ht="15" hidden="1" customHeight="1"/>
    <row r="17857" ht="15" hidden="1" customHeight="1"/>
    <row r="17858" ht="15" hidden="1" customHeight="1"/>
    <row r="17859" ht="15" hidden="1" customHeight="1"/>
    <row r="17860" ht="15" hidden="1" customHeight="1"/>
    <row r="17861" ht="15" hidden="1" customHeight="1"/>
    <row r="17862" ht="15" hidden="1" customHeight="1"/>
    <row r="17863" ht="15" hidden="1" customHeight="1"/>
    <row r="17864" ht="15" hidden="1" customHeight="1"/>
    <row r="17865" ht="15" hidden="1" customHeight="1"/>
    <row r="17866" ht="15" hidden="1" customHeight="1"/>
    <row r="17867" ht="15" hidden="1" customHeight="1"/>
    <row r="17868" ht="15" hidden="1" customHeight="1"/>
    <row r="17869" ht="15" hidden="1" customHeight="1"/>
    <row r="17870" ht="15" hidden="1" customHeight="1"/>
    <row r="17871" ht="15" hidden="1" customHeight="1"/>
    <row r="17872" ht="15" hidden="1" customHeight="1"/>
    <row r="17873" ht="15" hidden="1" customHeight="1"/>
    <row r="17874" ht="15" hidden="1" customHeight="1"/>
    <row r="17875" ht="15" hidden="1" customHeight="1"/>
    <row r="17876" ht="15" hidden="1" customHeight="1"/>
    <row r="17877" ht="15" hidden="1" customHeight="1"/>
    <row r="17878" ht="15" hidden="1" customHeight="1"/>
    <row r="17879" ht="15" hidden="1" customHeight="1"/>
    <row r="17880" ht="15" hidden="1" customHeight="1"/>
    <row r="17881" ht="15" hidden="1" customHeight="1"/>
    <row r="17882" ht="15" hidden="1" customHeight="1"/>
    <row r="17883" ht="15" hidden="1" customHeight="1"/>
    <row r="17884" ht="15" hidden="1" customHeight="1"/>
    <row r="17885" ht="15" hidden="1" customHeight="1"/>
    <row r="17886" ht="15" hidden="1" customHeight="1"/>
    <row r="17887" ht="15" hidden="1" customHeight="1"/>
    <row r="17888" ht="15" hidden="1" customHeight="1"/>
    <row r="17889" ht="15" hidden="1" customHeight="1"/>
    <row r="17890" ht="15" hidden="1" customHeight="1"/>
    <row r="17891" ht="15" hidden="1" customHeight="1"/>
    <row r="17892" ht="15" hidden="1" customHeight="1"/>
    <row r="17893" ht="15" hidden="1" customHeight="1"/>
    <row r="17894" ht="15" hidden="1" customHeight="1"/>
    <row r="17895" ht="15" hidden="1" customHeight="1"/>
    <row r="17896" ht="15" hidden="1" customHeight="1"/>
    <row r="17897" ht="15" hidden="1" customHeight="1"/>
    <row r="17898" ht="15" hidden="1" customHeight="1"/>
    <row r="17899" ht="15" hidden="1" customHeight="1"/>
    <row r="17900" ht="15" hidden="1" customHeight="1"/>
    <row r="17901" ht="15" hidden="1" customHeight="1"/>
    <row r="17902" ht="15" hidden="1" customHeight="1"/>
    <row r="17903" ht="15" hidden="1" customHeight="1"/>
    <row r="17904" ht="15" hidden="1" customHeight="1"/>
    <row r="17905" ht="15" hidden="1" customHeight="1"/>
    <row r="17906" ht="15" hidden="1" customHeight="1"/>
    <row r="17907" ht="15" hidden="1" customHeight="1"/>
    <row r="17908" ht="15" hidden="1" customHeight="1"/>
    <row r="17909" ht="15" hidden="1" customHeight="1"/>
    <row r="17910" ht="15" hidden="1" customHeight="1"/>
    <row r="17911" ht="15" hidden="1" customHeight="1"/>
    <row r="17912" ht="15" hidden="1" customHeight="1"/>
    <row r="17913" ht="15" hidden="1" customHeight="1"/>
    <row r="17914" ht="15" hidden="1" customHeight="1"/>
    <row r="17915" ht="15" hidden="1" customHeight="1"/>
    <row r="17916" ht="15" hidden="1" customHeight="1"/>
    <row r="17917" ht="15" hidden="1" customHeight="1"/>
    <row r="17918" ht="15" hidden="1" customHeight="1"/>
    <row r="17919" ht="15" hidden="1" customHeight="1"/>
    <row r="17920" ht="15" hidden="1" customHeight="1"/>
    <row r="17921" ht="15" hidden="1" customHeight="1"/>
    <row r="17922" ht="15" hidden="1" customHeight="1"/>
    <row r="17923" ht="15" hidden="1" customHeight="1"/>
    <row r="17924" ht="15" hidden="1" customHeight="1"/>
    <row r="17925" ht="15" hidden="1" customHeight="1"/>
    <row r="17926" ht="15" hidden="1" customHeight="1"/>
    <row r="17927" ht="15" hidden="1" customHeight="1"/>
    <row r="17928" ht="15" hidden="1" customHeight="1"/>
    <row r="17929" ht="15" hidden="1" customHeight="1"/>
    <row r="17930" ht="15" hidden="1" customHeight="1"/>
    <row r="17931" ht="15" hidden="1" customHeight="1"/>
    <row r="17932" ht="15" hidden="1" customHeight="1"/>
    <row r="17933" ht="15" hidden="1" customHeight="1"/>
    <row r="17934" ht="15" hidden="1" customHeight="1"/>
    <row r="17935" ht="15" hidden="1" customHeight="1"/>
    <row r="17936" ht="15" hidden="1" customHeight="1"/>
    <row r="17937" ht="15" hidden="1" customHeight="1"/>
    <row r="17938" ht="15" hidden="1" customHeight="1"/>
    <row r="17939" ht="15" hidden="1" customHeight="1"/>
    <row r="17940" ht="15" hidden="1" customHeight="1"/>
    <row r="17941" ht="15" hidden="1" customHeight="1"/>
    <row r="17942" ht="15" hidden="1" customHeight="1"/>
    <row r="17943" ht="15" hidden="1" customHeight="1"/>
    <row r="17944" ht="15" hidden="1" customHeight="1"/>
    <row r="17945" ht="15" hidden="1" customHeight="1"/>
    <row r="17946" ht="15" hidden="1" customHeight="1"/>
    <row r="17947" ht="15" hidden="1" customHeight="1"/>
    <row r="17948" ht="15" hidden="1" customHeight="1"/>
    <row r="17949" ht="15" hidden="1" customHeight="1"/>
    <row r="17950" ht="15" hidden="1" customHeight="1"/>
    <row r="17951" ht="15" hidden="1" customHeight="1"/>
    <row r="17952" ht="15" hidden="1" customHeight="1"/>
    <row r="17953" ht="15" hidden="1" customHeight="1"/>
    <row r="17954" ht="15" hidden="1" customHeight="1"/>
    <row r="17955" ht="15" hidden="1" customHeight="1"/>
    <row r="17956" ht="15" hidden="1" customHeight="1"/>
    <row r="17957" ht="15" hidden="1" customHeight="1"/>
    <row r="17958" ht="15" hidden="1" customHeight="1"/>
    <row r="17959" ht="15" hidden="1" customHeight="1"/>
    <row r="17960" ht="15" hidden="1" customHeight="1"/>
    <row r="17961" ht="15" hidden="1" customHeight="1"/>
    <row r="17962" ht="15" hidden="1" customHeight="1"/>
    <row r="17963" ht="15" hidden="1" customHeight="1"/>
    <row r="17964" ht="15" hidden="1" customHeight="1"/>
    <row r="17965" ht="15" hidden="1" customHeight="1"/>
    <row r="17966" ht="15" hidden="1" customHeight="1"/>
    <row r="17967" ht="15" hidden="1" customHeight="1"/>
    <row r="17968" ht="15" hidden="1" customHeight="1"/>
    <row r="17969" ht="15" hidden="1" customHeight="1"/>
    <row r="17970" ht="15" hidden="1" customHeight="1"/>
    <row r="17971" ht="15" hidden="1" customHeight="1"/>
    <row r="17972" ht="15" hidden="1" customHeight="1"/>
    <row r="17973" ht="15" hidden="1" customHeight="1"/>
    <row r="17974" ht="15" hidden="1" customHeight="1"/>
    <row r="17975" ht="15" hidden="1" customHeight="1"/>
    <row r="17976" ht="15" hidden="1" customHeight="1"/>
    <row r="17977" ht="15" hidden="1" customHeight="1"/>
    <row r="17978" ht="15" hidden="1" customHeight="1"/>
    <row r="17979" ht="15" hidden="1" customHeight="1"/>
    <row r="17980" ht="15" hidden="1" customHeight="1"/>
    <row r="17981" ht="15" hidden="1" customHeight="1"/>
    <row r="17982" ht="15" hidden="1" customHeight="1"/>
    <row r="17983" ht="15" hidden="1" customHeight="1"/>
    <row r="17984" ht="15" hidden="1" customHeight="1"/>
    <row r="17985" ht="15" hidden="1" customHeight="1"/>
    <row r="17986" ht="15" hidden="1" customHeight="1"/>
    <row r="17987" ht="15" hidden="1" customHeight="1"/>
    <row r="17988" ht="15" hidden="1" customHeight="1"/>
    <row r="17989" ht="15" hidden="1" customHeight="1"/>
    <row r="17990" ht="15" hidden="1" customHeight="1"/>
    <row r="17991" ht="15" hidden="1" customHeight="1"/>
    <row r="17992" ht="15" hidden="1" customHeight="1"/>
    <row r="17993" ht="15" hidden="1" customHeight="1"/>
    <row r="17994" ht="15" hidden="1" customHeight="1"/>
    <row r="17995" ht="15" hidden="1" customHeight="1"/>
    <row r="17996" ht="15" hidden="1" customHeight="1"/>
    <row r="17997" ht="15" hidden="1" customHeight="1"/>
    <row r="17998" ht="15" hidden="1" customHeight="1"/>
    <row r="17999" ht="15" hidden="1" customHeight="1"/>
    <row r="18000" ht="15" hidden="1" customHeight="1"/>
    <row r="18001" ht="15" hidden="1" customHeight="1"/>
    <row r="18002" ht="15" hidden="1" customHeight="1"/>
    <row r="18003" ht="15" hidden="1" customHeight="1"/>
    <row r="18004" ht="15" hidden="1" customHeight="1"/>
    <row r="18005" ht="15" hidden="1" customHeight="1"/>
    <row r="18006" ht="15" hidden="1" customHeight="1"/>
    <row r="18007" ht="15" hidden="1" customHeight="1"/>
    <row r="18008" ht="15" hidden="1" customHeight="1"/>
    <row r="18009" ht="15" hidden="1" customHeight="1"/>
    <row r="18010" ht="15" hidden="1" customHeight="1"/>
    <row r="18011" ht="15" hidden="1" customHeight="1"/>
    <row r="18012" ht="15" hidden="1" customHeight="1"/>
    <row r="18013" ht="15" hidden="1" customHeight="1"/>
    <row r="18014" ht="15" hidden="1" customHeight="1"/>
    <row r="18015" ht="15" hidden="1" customHeight="1"/>
    <row r="18016" ht="15" hidden="1" customHeight="1"/>
    <row r="18017" ht="15" hidden="1" customHeight="1"/>
    <row r="18018" ht="15" hidden="1" customHeight="1"/>
    <row r="18019" ht="15" hidden="1" customHeight="1"/>
    <row r="18020" ht="15" hidden="1" customHeight="1"/>
    <row r="18021" ht="15" hidden="1" customHeight="1"/>
    <row r="18022" ht="15" hidden="1" customHeight="1"/>
    <row r="18023" ht="15" hidden="1" customHeight="1"/>
    <row r="18024" ht="15" hidden="1" customHeight="1"/>
    <row r="18025" ht="15" hidden="1" customHeight="1"/>
    <row r="18026" ht="15" hidden="1" customHeight="1"/>
    <row r="18027" ht="15" hidden="1" customHeight="1"/>
    <row r="18028" ht="15" hidden="1" customHeight="1"/>
    <row r="18029" ht="15" hidden="1" customHeight="1"/>
    <row r="18030" ht="15" hidden="1" customHeight="1"/>
    <row r="18031" ht="15" hidden="1" customHeight="1"/>
    <row r="18032" ht="15" hidden="1" customHeight="1"/>
    <row r="18033" ht="15" hidden="1" customHeight="1"/>
    <row r="18034" ht="15" hidden="1" customHeight="1"/>
    <row r="18035" ht="15" hidden="1" customHeight="1"/>
    <row r="18036" ht="15" hidden="1" customHeight="1"/>
    <row r="18037" ht="15" hidden="1" customHeight="1"/>
    <row r="18038" ht="15" hidden="1" customHeight="1"/>
    <row r="18039" ht="15" hidden="1" customHeight="1"/>
    <row r="18040" ht="15" hidden="1" customHeight="1"/>
    <row r="18041" ht="15" hidden="1" customHeight="1"/>
    <row r="18042" ht="15" hidden="1" customHeight="1"/>
    <row r="18043" ht="15" hidden="1" customHeight="1"/>
    <row r="18044" ht="15" hidden="1" customHeight="1"/>
    <row r="18045" ht="15" hidden="1" customHeight="1"/>
    <row r="18046" ht="15" hidden="1" customHeight="1"/>
    <row r="18047" ht="15" hidden="1" customHeight="1"/>
    <row r="18048" ht="15" hidden="1" customHeight="1"/>
    <row r="18049" ht="15" hidden="1" customHeight="1"/>
    <row r="18050" ht="15" hidden="1" customHeight="1"/>
    <row r="18051" ht="15" hidden="1" customHeight="1"/>
    <row r="18052" ht="15" hidden="1" customHeight="1"/>
    <row r="18053" ht="15" hidden="1" customHeight="1"/>
    <row r="18054" ht="15" hidden="1" customHeight="1"/>
    <row r="18055" ht="15" hidden="1" customHeight="1"/>
    <row r="18056" ht="15" hidden="1" customHeight="1"/>
    <row r="18057" ht="15" hidden="1" customHeight="1"/>
    <row r="18058" ht="15" hidden="1" customHeight="1"/>
    <row r="18059" ht="15" hidden="1" customHeight="1"/>
    <row r="18060" ht="15" hidden="1" customHeight="1"/>
    <row r="18061" ht="15" hidden="1" customHeight="1"/>
    <row r="18062" ht="15" hidden="1" customHeight="1"/>
    <row r="18063" ht="15" hidden="1" customHeight="1"/>
    <row r="18064" ht="15" hidden="1" customHeight="1"/>
    <row r="18065" ht="15" hidden="1" customHeight="1"/>
    <row r="18066" ht="15" hidden="1" customHeight="1"/>
    <row r="18067" ht="15" hidden="1" customHeight="1"/>
    <row r="18068" ht="15" hidden="1" customHeight="1"/>
    <row r="18069" ht="15" hidden="1" customHeight="1"/>
    <row r="18070" ht="15" hidden="1" customHeight="1"/>
    <row r="18071" ht="15" hidden="1" customHeight="1"/>
    <row r="18072" ht="15" hidden="1" customHeight="1"/>
    <row r="18073" ht="15" hidden="1" customHeight="1"/>
    <row r="18074" ht="15" hidden="1" customHeight="1"/>
    <row r="18075" ht="15" hidden="1" customHeight="1"/>
    <row r="18076" ht="15" hidden="1" customHeight="1"/>
    <row r="18077" ht="15" hidden="1" customHeight="1"/>
    <row r="18078" ht="15" hidden="1" customHeight="1"/>
    <row r="18079" ht="15" hidden="1" customHeight="1"/>
    <row r="18080" ht="15" hidden="1" customHeight="1"/>
    <row r="18081" ht="15" hidden="1" customHeight="1"/>
    <row r="18082" ht="15" hidden="1" customHeight="1"/>
    <row r="18083" ht="15" hidden="1" customHeight="1"/>
    <row r="18084" ht="15" hidden="1" customHeight="1"/>
    <row r="18085" ht="15" hidden="1" customHeight="1"/>
    <row r="18086" ht="15" hidden="1" customHeight="1"/>
    <row r="18087" ht="15" hidden="1" customHeight="1"/>
    <row r="18088" ht="15" hidden="1" customHeight="1"/>
    <row r="18089" ht="15" hidden="1" customHeight="1"/>
    <row r="18090" ht="15" hidden="1" customHeight="1"/>
    <row r="18091" ht="15" hidden="1" customHeight="1"/>
    <row r="18092" ht="15" hidden="1" customHeight="1"/>
    <row r="18093" ht="15" hidden="1" customHeight="1"/>
    <row r="18094" ht="15" hidden="1" customHeight="1"/>
    <row r="18095" ht="15" hidden="1" customHeight="1"/>
    <row r="18096" ht="15" hidden="1" customHeight="1"/>
    <row r="18097" ht="15" hidden="1" customHeight="1"/>
    <row r="18098" ht="15" hidden="1" customHeight="1"/>
    <row r="18099" ht="15" hidden="1" customHeight="1"/>
    <row r="18100" ht="15" hidden="1" customHeight="1"/>
    <row r="18101" ht="15" hidden="1" customHeight="1"/>
    <row r="18102" ht="15" hidden="1" customHeight="1"/>
    <row r="18103" ht="15" hidden="1" customHeight="1"/>
    <row r="18104" ht="15" hidden="1" customHeight="1"/>
    <row r="18105" ht="15" hidden="1" customHeight="1"/>
    <row r="18106" ht="15" hidden="1" customHeight="1"/>
    <row r="18107" ht="15" hidden="1" customHeight="1"/>
    <row r="18108" ht="15" hidden="1" customHeight="1"/>
    <row r="18109" ht="15" hidden="1" customHeight="1"/>
    <row r="18110" ht="15" hidden="1" customHeight="1"/>
    <row r="18111" ht="15" hidden="1" customHeight="1"/>
    <row r="18112" ht="15" hidden="1" customHeight="1"/>
    <row r="18113" ht="15" hidden="1" customHeight="1"/>
    <row r="18114" ht="15" hidden="1" customHeight="1"/>
    <row r="18115" ht="15" hidden="1" customHeight="1"/>
    <row r="18116" ht="15" hidden="1" customHeight="1"/>
    <row r="18117" ht="15" hidden="1" customHeight="1"/>
    <row r="18118" ht="15" hidden="1" customHeight="1"/>
    <row r="18119" ht="15" hidden="1" customHeight="1"/>
    <row r="18120" ht="15" hidden="1" customHeight="1"/>
    <row r="18121" ht="15" hidden="1" customHeight="1"/>
    <row r="18122" ht="15" hidden="1" customHeight="1"/>
    <row r="18123" ht="15" hidden="1" customHeight="1"/>
    <row r="18124" ht="15" hidden="1" customHeight="1"/>
    <row r="18125" ht="15" hidden="1" customHeight="1"/>
    <row r="18126" ht="15" hidden="1" customHeight="1"/>
    <row r="18127" ht="15" hidden="1" customHeight="1"/>
    <row r="18128" ht="15" hidden="1" customHeight="1"/>
    <row r="18129" ht="15" hidden="1" customHeight="1"/>
    <row r="18130" ht="15" hidden="1" customHeight="1"/>
    <row r="18131" ht="15" hidden="1" customHeight="1"/>
    <row r="18132" ht="15" hidden="1" customHeight="1"/>
    <row r="18133" ht="15" hidden="1" customHeight="1"/>
    <row r="18134" ht="15" hidden="1" customHeight="1"/>
    <row r="18135" ht="15" hidden="1" customHeight="1"/>
    <row r="18136" ht="15" hidden="1" customHeight="1"/>
    <row r="18137" ht="15" hidden="1" customHeight="1"/>
    <row r="18138" ht="15" hidden="1" customHeight="1"/>
    <row r="18139" ht="15" hidden="1" customHeight="1"/>
    <row r="18140" ht="15" hidden="1" customHeight="1"/>
    <row r="18141" ht="15" hidden="1" customHeight="1"/>
    <row r="18142" ht="15" hidden="1" customHeight="1"/>
    <row r="18143" ht="15" hidden="1" customHeight="1"/>
    <row r="18144" ht="15" hidden="1" customHeight="1"/>
    <row r="18145" ht="15" hidden="1" customHeight="1"/>
    <row r="18146" ht="15" hidden="1" customHeight="1"/>
    <row r="18147" ht="15" hidden="1" customHeight="1"/>
    <row r="18148" ht="15" hidden="1" customHeight="1"/>
    <row r="18149" ht="15" hidden="1" customHeight="1"/>
    <row r="18150" ht="15" hidden="1" customHeight="1"/>
    <row r="18151" ht="15" hidden="1" customHeight="1"/>
    <row r="18152" ht="15" hidden="1" customHeight="1"/>
    <row r="18153" ht="15" hidden="1" customHeight="1"/>
    <row r="18154" ht="15" hidden="1" customHeight="1"/>
    <row r="18155" ht="15" hidden="1" customHeight="1"/>
    <row r="18156" ht="15" hidden="1" customHeight="1"/>
    <row r="18157" ht="15" hidden="1" customHeight="1"/>
    <row r="18158" ht="15" hidden="1" customHeight="1"/>
    <row r="18159" ht="15" hidden="1" customHeight="1"/>
    <row r="18160" ht="15" hidden="1" customHeight="1"/>
    <row r="18161" ht="15" hidden="1" customHeight="1"/>
    <row r="18162" ht="15" hidden="1" customHeight="1"/>
    <row r="18163" ht="15" hidden="1" customHeight="1"/>
    <row r="18164" ht="15" hidden="1" customHeight="1"/>
    <row r="18165" ht="15" hidden="1" customHeight="1"/>
    <row r="18166" ht="15" hidden="1" customHeight="1"/>
    <row r="18167" ht="15" hidden="1" customHeight="1"/>
    <row r="18168" ht="15" hidden="1" customHeight="1"/>
    <row r="18169" ht="15" hidden="1" customHeight="1"/>
    <row r="18170" ht="15" hidden="1" customHeight="1"/>
    <row r="18171" ht="15" hidden="1" customHeight="1"/>
    <row r="18172" ht="15" hidden="1" customHeight="1"/>
    <row r="18173" ht="15" hidden="1" customHeight="1"/>
    <row r="18174" ht="15" hidden="1" customHeight="1"/>
    <row r="18175" ht="15" hidden="1" customHeight="1"/>
    <row r="18176" ht="15" hidden="1" customHeight="1"/>
    <row r="18177" ht="15" hidden="1" customHeight="1"/>
    <row r="18178" ht="15" hidden="1" customHeight="1"/>
    <row r="18179" ht="15" hidden="1" customHeight="1"/>
    <row r="18180" ht="15" hidden="1" customHeight="1"/>
    <row r="18181" ht="15" hidden="1" customHeight="1"/>
    <row r="18182" ht="15" hidden="1" customHeight="1"/>
    <row r="18183" ht="15" hidden="1" customHeight="1"/>
    <row r="18184" ht="15" hidden="1" customHeight="1"/>
    <row r="18185" ht="15" hidden="1" customHeight="1"/>
    <row r="18186" ht="15" hidden="1" customHeight="1"/>
    <row r="18187" ht="15" hidden="1" customHeight="1"/>
    <row r="18188" ht="15" hidden="1" customHeight="1"/>
    <row r="18189" ht="15" hidden="1" customHeight="1"/>
    <row r="18190" ht="15" hidden="1" customHeight="1"/>
    <row r="18191" ht="15" hidden="1" customHeight="1"/>
    <row r="18192" ht="15" hidden="1" customHeight="1"/>
    <row r="18193" ht="15" hidden="1" customHeight="1"/>
    <row r="18194" ht="15" hidden="1" customHeight="1"/>
    <row r="18195" ht="15" hidden="1" customHeight="1"/>
    <row r="18196" ht="15" hidden="1" customHeight="1"/>
    <row r="18197" ht="15" hidden="1" customHeight="1"/>
    <row r="18198" ht="15" hidden="1" customHeight="1"/>
    <row r="18199" ht="15" hidden="1" customHeight="1"/>
    <row r="18200" ht="15" hidden="1" customHeight="1"/>
    <row r="18201" ht="15" hidden="1" customHeight="1"/>
    <row r="18202" ht="15" hidden="1" customHeight="1"/>
    <row r="18203" ht="15" hidden="1" customHeight="1"/>
    <row r="18204" ht="15" hidden="1" customHeight="1"/>
    <row r="18205" ht="15" hidden="1" customHeight="1"/>
    <row r="18206" ht="15" hidden="1" customHeight="1"/>
    <row r="18207" ht="15" hidden="1" customHeight="1"/>
    <row r="18208" ht="15" hidden="1" customHeight="1"/>
    <row r="18209" ht="15" hidden="1" customHeight="1"/>
    <row r="18210" ht="15" hidden="1" customHeight="1"/>
    <row r="18211" ht="15" hidden="1" customHeight="1"/>
    <row r="18212" ht="15" hidden="1" customHeight="1"/>
    <row r="18213" ht="15" hidden="1" customHeight="1"/>
    <row r="18214" ht="15" hidden="1" customHeight="1"/>
    <row r="18215" ht="15" hidden="1" customHeight="1"/>
    <row r="18216" ht="15" hidden="1" customHeight="1"/>
    <row r="18217" ht="15" hidden="1" customHeight="1"/>
    <row r="18218" ht="15" hidden="1" customHeight="1"/>
    <row r="18219" ht="15" hidden="1" customHeight="1"/>
    <row r="18220" ht="15" hidden="1" customHeight="1"/>
    <row r="18221" ht="15" hidden="1" customHeight="1"/>
    <row r="18222" ht="15" hidden="1" customHeight="1"/>
    <row r="18223" ht="15" hidden="1" customHeight="1"/>
    <row r="18224" ht="15" hidden="1" customHeight="1"/>
    <row r="18225" ht="15" hidden="1" customHeight="1"/>
    <row r="18226" ht="15" hidden="1" customHeight="1"/>
    <row r="18227" ht="15" hidden="1" customHeight="1"/>
    <row r="18228" ht="15" hidden="1" customHeight="1"/>
    <row r="18229" ht="15" hidden="1" customHeight="1"/>
    <row r="18230" ht="15" hidden="1" customHeight="1"/>
    <row r="18231" ht="15" hidden="1" customHeight="1"/>
    <row r="18232" ht="15" hidden="1" customHeight="1"/>
    <row r="18233" ht="15" hidden="1" customHeight="1"/>
    <row r="18234" ht="15" hidden="1" customHeight="1"/>
    <row r="18235" ht="15" hidden="1" customHeight="1"/>
    <row r="18236" ht="15" hidden="1" customHeight="1"/>
    <row r="18237" ht="15" hidden="1" customHeight="1"/>
    <row r="18238" ht="15" hidden="1" customHeight="1"/>
    <row r="18239" ht="15" hidden="1" customHeight="1"/>
    <row r="18240" ht="15" hidden="1" customHeight="1"/>
    <row r="18241" ht="15" hidden="1" customHeight="1"/>
    <row r="18242" ht="15" hidden="1" customHeight="1"/>
    <row r="18243" ht="15" hidden="1" customHeight="1"/>
    <row r="18244" ht="15" hidden="1" customHeight="1"/>
    <row r="18245" ht="15" hidden="1" customHeight="1"/>
    <row r="18246" ht="15" hidden="1" customHeight="1"/>
    <row r="18247" ht="15" hidden="1" customHeight="1"/>
    <row r="18248" ht="15" hidden="1" customHeight="1"/>
    <row r="18249" ht="15" hidden="1" customHeight="1"/>
    <row r="18250" ht="15" hidden="1" customHeight="1"/>
    <row r="18251" ht="15" hidden="1" customHeight="1"/>
    <row r="18252" ht="15" hidden="1" customHeight="1"/>
    <row r="18253" ht="15" hidden="1" customHeight="1"/>
    <row r="18254" ht="15" hidden="1" customHeight="1"/>
    <row r="18255" ht="15" hidden="1" customHeight="1"/>
    <row r="18256" ht="15" hidden="1" customHeight="1"/>
    <row r="18257" ht="15" hidden="1" customHeight="1"/>
    <row r="18258" ht="15" hidden="1" customHeight="1"/>
    <row r="18259" ht="15" hidden="1" customHeight="1"/>
    <row r="18260" ht="15" hidden="1" customHeight="1"/>
    <row r="18261" ht="15" hidden="1" customHeight="1"/>
    <row r="18262" ht="15" hidden="1" customHeight="1"/>
    <row r="18263" ht="15" hidden="1" customHeight="1"/>
    <row r="18264" ht="15" hidden="1" customHeight="1"/>
    <row r="18265" ht="15" hidden="1" customHeight="1"/>
    <row r="18266" ht="15" hidden="1" customHeight="1"/>
    <row r="18267" ht="15" hidden="1" customHeight="1"/>
    <row r="18268" ht="15" hidden="1" customHeight="1"/>
    <row r="18269" ht="15" hidden="1" customHeight="1"/>
    <row r="18270" ht="15" hidden="1" customHeight="1"/>
    <row r="18271" ht="15" hidden="1" customHeight="1"/>
    <row r="18272" ht="15" hidden="1" customHeight="1"/>
    <row r="18273" ht="15" hidden="1" customHeight="1"/>
    <row r="18274" ht="15" hidden="1" customHeight="1"/>
    <row r="18275" ht="15" hidden="1" customHeight="1"/>
    <row r="18276" ht="15" hidden="1" customHeight="1"/>
    <row r="18277" ht="15" hidden="1" customHeight="1"/>
    <row r="18278" ht="15" hidden="1" customHeight="1"/>
    <row r="18279" ht="15" hidden="1" customHeight="1"/>
    <row r="18280" ht="15" hidden="1" customHeight="1"/>
    <row r="18281" ht="15" hidden="1" customHeight="1"/>
    <row r="18282" ht="15" hidden="1" customHeight="1"/>
    <row r="18283" ht="15" hidden="1" customHeight="1"/>
    <row r="18284" ht="15" hidden="1" customHeight="1"/>
    <row r="18285" ht="15" hidden="1" customHeight="1"/>
    <row r="18286" ht="15" hidden="1" customHeight="1"/>
    <row r="18287" ht="15" hidden="1" customHeight="1"/>
    <row r="18288" ht="15" hidden="1" customHeight="1"/>
    <row r="18289" ht="15" hidden="1" customHeight="1"/>
    <row r="18290" ht="15" hidden="1" customHeight="1"/>
    <row r="18291" ht="15" hidden="1" customHeight="1"/>
    <row r="18292" ht="15" hidden="1" customHeight="1"/>
    <row r="18293" ht="15" hidden="1" customHeight="1"/>
    <row r="18294" ht="15" hidden="1" customHeight="1"/>
    <row r="18295" ht="15" hidden="1" customHeight="1"/>
    <row r="18296" ht="15" hidden="1" customHeight="1"/>
    <row r="18297" ht="15" hidden="1" customHeight="1"/>
    <row r="18298" ht="15" hidden="1" customHeight="1"/>
    <row r="18299" ht="15" hidden="1" customHeight="1"/>
    <row r="18300" ht="15" hidden="1" customHeight="1"/>
    <row r="18301" ht="15" hidden="1" customHeight="1"/>
    <row r="18302" ht="15" hidden="1" customHeight="1"/>
    <row r="18303" ht="15" hidden="1" customHeight="1"/>
    <row r="18304" ht="15" hidden="1" customHeight="1"/>
    <row r="18305" ht="15" hidden="1" customHeight="1"/>
    <row r="18306" ht="15" hidden="1" customHeight="1"/>
    <row r="18307" ht="15" hidden="1" customHeight="1"/>
    <row r="18308" ht="15" hidden="1" customHeight="1"/>
    <row r="18309" ht="15" hidden="1" customHeight="1"/>
    <row r="18310" ht="15" hidden="1" customHeight="1"/>
    <row r="18311" ht="15" hidden="1" customHeight="1"/>
    <row r="18312" ht="15" hidden="1" customHeight="1"/>
    <row r="18313" ht="15" hidden="1" customHeight="1"/>
    <row r="18314" ht="15" hidden="1" customHeight="1"/>
    <row r="18315" ht="15" hidden="1" customHeight="1"/>
    <row r="18316" ht="15" hidden="1" customHeight="1"/>
    <row r="18317" ht="15" hidden="1" customHeight="1"/>
    <row r="18318" ht="15" hidden="1" customHeight="1"/>
    <row r="18319" ht="15" hidden="1" customHeight="1"/>
    <row r="18320" ht="15" hidden="1" customHeight="1"/>
    <row r="18321" ht="15" hidden="1" customHeight="1"/>
    <row r="18322" ht="15" hidden="1" customHeight="1"/>
    <row r="18323" ht="15" hidden="1" customHeight="1"/>
    <row r="18324" ht="15" hidden="1" customHeight="1"/>
    <row r="18325" ht="15" hidden="1" customHeight="1"/>
    <row r="18326" ht="15" hidden="1" customHeight="1"/>
    <row r="18327" ht="15" hidden="1" customHeight="1"/>
    <row r="18328" ht="15" hidden="1" customHeight="1"/>
    <row r="18329" ht="15" hidden="1" customHeight="1"/>
    <row r="18330" ht="15" hidden="1" customHeight="1"/>
    <row r="18331" ht="15" hidden="1" customHeight="1"/>
    <row r="18332" ht="15" hidden="1" customHeight="1"/>
    <row r="18333" ht="15" hidden="1" customHeight="1"/>
    <row r="18334" ht="15" hidden="1" customHeight="1"/>
    <row r="18335" ht="15" hidden="1" customHeight="1"/>
    <row r="18336" ht="15" hidden="1" customHeight="1"/>
    <row r="18337" ht="15" hidden="1" customHeight="1"/>
    <row r="18338" ht="15" hidden="1" customHeight="1"/>
    <row r="18339" ht="15" hidden="1" customHeight="1"/>
    <row r="18340" ht="15" hidden="1" customHeight="1"/>
    <row r="18341" ht="15" hidden="1" customHeight="1"/>
    <row r="18342" ht="15" hidden="1" customHeight="1"/>
    <row r="18343" ht="15" hidden="1" customHeight="1"/>
    <row r="18344" ht="15" hidden="1" customHeight="1"/>
    <row r="18345" ht="15" hidden="1" customHeight="1"/>
    <row r="18346" ht="15" hidden="1" customHeight="1"/>
    <row r="18347" ht="15" hidden="1" customHeight="1"/>
    <row r="18348" ht="15" hidden="1" customHeight="1"/>
    <row r="18349" ht="15" hidden="1" customHeight="1"/>
    <row r="18350" ht="15" hidden="1" customHeight="1"/>
    <row r="18351" ht="15" hidden="1" customHeight="1"/>
    <row r="18352" ht="15" hidden="1" customHeight="1"/>
    <row r="18353" ht="15" hidden="1" customHeight="1"/>
    <row r="18354" ht="15" hidden="1" customHeight="1"/>
    <row r="18355" ht="15" hidden="1" customHeight="1"/>
    <row r="18356" ht="15" hidden="1" customHeight="1"/>
    <row r="18357" ht="15" hidden="1" customHeight="1"/>
    <row r="18358" ht="15" hidden="1" customHeight="1"/>
    <row r="18359" ht="15" hidden="1" customHeight="1"/>
    <row r="18360" ht="15" hidden="1" customHeight="1"/>
    <row r="18361" ht="15" hidden="1" customHeight="1"/>
    <row r="18362" ht="15" hidden="1" customHeight="1"/>
    <row r="18363" ht="15" hidden="1" customHeight="1"/>
    <row r="18364" ht="15" hidden="1" customHeight="1"/>
    <row r="18365" ht="15" hidden="1" customHeight="1"/>
    <row r="18366" ht="15" hidden="1" customHeight="1"/>
    <row r="18367" ht="15" hidden="1" customHeight="1"/>
    <row r="18368" ht="15" hidden="1" customHeight="1"/>
    <row r="18369" ht="15" hidden="1" customHeight="1"/>
    <row r="18370" ht="15" hidden="1" customHeight="1"/>
    <row r="18371" ht="15" hidden="1" customHeight="1"/>
    <row r="18372" ht="15" hidden="1" customHeight="1"/>
    <row r="18373" ht="15" hidden="1" customHeight="1"/>
    <row r="18374" ht="15" hidden="1" customHeight="1"/>
    <row r="18375" ht="15" hidden="1" customHeight="1"/>
    <row r="18376" ht="15" hidden="1" customHeight="1"/>
    <row r="18377" ht="15" hidden="1" customHeight="1"/>
    <row r="18378" ht="15" hidden="1" customHeight="1"/>
    <row r="18379" ht="15" hidden="1" customHeight="1"/>
    <row r="18380" ht="15" hidden="1" customHeight="1"/>
    <row r="18381" ht="15" hidden="1" customHeight="1"/>
    <row r="18382" ht="15" hidden="1" customHeight="1"/>
    <row r="18383" ht="15" hidden="1" customHeight="1"/>
    <row r="18384" ht="15" hidden="1" customHeight="1"/>
    <row r="18385" ht="15" hidden="1" customHeight="1"/>
    <row r="18386" ht="15" hidden="1" customHeight="1"/>
    <row r="18387" ht="15" hidden="1" customHeight="1"/>
    <row r="18388" ht="15" hidden="1" customHeight="1"/>
    <row r="18389" ht="15" hidden="1" customHeight="1"/>
    <row r="18390" ht="15" hidden="1" customHeight="1"/>
    <row r="18391" ht="15" hidden="1" customHeight="1"/>
    <row r="18392" ht="15" hidden="1" customHeight="1"/>
    <row r="18393" ht="15" hidden="1" customHeight="1"/>
    <row r="18394" ht="15" hidden="1" customHeight="1"/>
    <row r="18395" ht="15" hidden="1" customHeight="1"/>
    <row r="18396" ht="15" hidden="1" customHeight="1"/>
    <row r="18397" ht="15" hidden="1" customHeight="1"/>
    <row r="18398" ht="15" hidden="1" customHeight="1"/>
    <row r="18399" ht="15" hidden="1" customHeight="1"/>
    <row r="18400" ht="15" hidden="1" customHeight="1"/>
    <row r="18401" ht="15" hidden="1" customHeight="1"/>
    <row r="18402" ht="15" hidden="1" customHeight="1"/>
    <row r="18403" ht="15" hidden="1" customHeight="1"/>
    <row r="18404" ht="15" hidden="1" customHeight="1"/>
    <row r="18405" ht="15" hidden="1" customHeight="1"/>
    <row r="18406" ht="15" hidden="1" customHeight="1"/>
    <row r="18407" ht="15" hidden="1" customHeight="1"/>
    <row r="18408" ht="15" hidden="1" customHeight="1"/>
    <row r="18409" ht="15" hidden="1" customHeight="1"/>
    <row r="18410" ht="15" hidden="1" customHeight="1"/>
    <row r="18411" ht="15" hidden="1" customHeight="1"/>
    <row r="18412" ht="15" hidden="1" customHeight="1"/>
    <row r="18413" ht="15" hidden="1" customHeight="1"/>
    <row r="18414" ht="15" hidden="1" customHeight="1"/>
    <row r="18415" ht="15" hidden="1" customHeight="1"/>
    <row r="18416" ht="15" hidden="1" customHeight="1"/>
    <row r="18417" ht="15" hidden="1" customHeight="1"/>
    <row r="18418" ht="15" hidden="1" customHeight="1"/>
    <row r="18419" ht="15" hidden="1" customHeight="1"/>
    <row r="18420" ht="15" hidden="1" customHeight="1"/>
    <row r="18421" ht="15" hidden="1" customHeight="1"/>
    <row r="18422" ht="15" hidden="1" customHeight="1"/>
    <row r="18423" ht="15" hidden="1" customHeight="1"/>
    <row r="18424" ht="15" hidden="1" customHeight="1"/>
    <row r="18425" ht="15" hidden="1" customHeight="1"/>
    <row r="18426" ht="15" hidden="1" customHeight="1"/>
    <row r="18427" ht="15" hidden="1" customHeight="1"/>
    <row r="18428" ht="15" hidden="1" customHeight="1"/>
    <row r="18429" ht="15" hidden="1" customHeight="1"/>
    <row r="18430" ht="15" hidden="1" customHeight="1"/>
    <row r="18431" ht="15" hidden="1" customHeight="1"/>
    <row r="18432" ht="15" hidden="1" customHeight="1"/>
    <row r="18433" ht="15" hidden="1" customHeight="1"/>
    <row r="18434" ht="15" hidden="1" customHeight="1"/>
    <row r="18435" ht="15" hidden="1" customHeight="1"/>
    <row r="18436" ht="15" hidden="1" customHeight="1"/>
    <row r="18437" ht="15" hidden="1" customHeight="1"/>
    <row r="18438" ht="15" hidden="1" customHeight="1"/>
    <row r="18439" ht="15" hidden="1" customHeight="1"/>
    <row r="18440" ht="15" hidden="1" customHeight="1"/>
    <row r="18441" ht="15" hidden="1" customHeight="1"/>
    <row r="18442" ht="15" hidden="1" customHeight="1"/>
    <row r="18443" ht="15" hidden="1" customHeight="1"/>
    <row r="18444" ht="15" hidden="1" customHeight="1"/>
    <row r="18445" ht="15" hidden="1" customHeight="1"/>
    <row r="18446" ht="15" hidden="1" customHeight="1"/>
    <row r="18447" ht="15" hidden="1" customHeight="1"/>
    <row r="18448" ht="15" hidden="1" customHeight="1"/>
    <row r="18449" ht="15" hidden="1" customHeight="1"/>
    <row r="18450" ht="15" hidden="1" customHeight="1"/>
    <row r="18451" ht="15" hidden="1" customHeight="1"/>
    <row r="18452" ht="15" hidden="1" customHeight="1"/>
    <row r="18453" ht="15" hidden="1" customHeight="1"/>
    <row r="18454" ht="15" hidden="1" customHeight="1"/>
    <row r="18455" ht="15" hidden="1" customHeight="1"/>
    <row r="18456" ht="15" hidden="1" customHeight="1"/>
    <row r="18457" ht="15" hidden="1" customHeight="1"/>
    <row r="18458" ht="15" hidden="1" customHeight="1"/>
    <row r="18459" ht="15" hidden="1" customHeight="1"/>
    <row r="18460" ht="15" hidden="1" customHeight="1"/>
    <row r="18461" ht="15" hidden="1" customHeight="1"/>
    <row r="18462" ht="15" hidden="1" customHeight="1"/>
    <row r="18463" ht="15" hidden="1" customHeight="1"/>
    <row r="18464" ht="15" hidden="1" customHeight="1"/>
    <row r="18465" ht="15" hidden="1" customHeight="1"/>
    <row r="18466" ht="15" hidden="1" customHeight="1"/>
    <row r="18467" ht="15" hidden="1" customHeight="1"/>
    <row r="18468" ht="15" hidden="1" customHeight="1"/>
    <row r="18469" ht="15" hidden="1" customHeight="1"/>
    <row r="18470" ht="15" hidden="1" customHeight="1"/>
    <row r="18471" ht="15" hidden="1" customHeight="1"/>
    <row r="18472" ht="15" hidden="1" customHeight="1"/>
    <row r="18473" ht="15" hidden="1" customHeight="1"/>
    <row r="18474" ht="15" hidden="1" customHeight="1"/>
    <row r="18475" ht="15" hidden="1" customHeight="1"/>
    <row r="18476" ht="15" hidden="1" customHeight="1"/>
    <row r="18477" ht="15" hidden="1" customHeight="1"/>
    <row r="18478" ht="15" hidden="1" customHeight="1"/>
    <row r="18479" ht="15" hidden="1" customHeight="1"/>
    <row r="18480" ht="15" hidden="1" customHeight="1"/>
    <row r="18481" ht="15" hidden="1" customHeight="1"/>
    <row r="18482" ht="15" hidden="1" customHeight="1"/>
    <row r="18483" ht="15" hidden="1" customHeight="1"/>
    <row r="18484" ht="15" hidden="1" customHeight="1"/>
    <row r="18485" ht="15" hidden="1" customHeight="1"/>
    <row r="18486" ht="15" hidden="1" customHeight="1"/>
    <row r="18487" ht="15" hidden="1" customHeight="1"/>
    <row r="18488" ht="15" hidden="1" customHeight="1"/>
    <row r="18489" ht="15" hidden="1" customHeight="1"/>
    <row r="18490" ht="15" hidden="1" customHeight="1"/>
    <row r="18491" ht="15" hidden="1" customHeight="1"/>
    <row r="18492" ht="15" hidden="1" customHeight="1"/>
    <row r="18493" ht="15" hidden="1" customHeight="1"/>
    <row r="18494" ht="15" hidden="1" customHeight="1"/>
    <row r="18495" ht="15" hidden="1" customHeight="1"/>
    <row r="18496" ht="15" hidden="1" customHeight="1"/>
    <row r="18497" ht="15" hidden="1" customHeight="1"/>
    <row r="18498" ht="15" hidden="1" customHeight="1"/>
    <row r="18499" ht="15" hidden="1" customHeight="1"/>
    <row r="18500" ht="15" hidden="1" customHeight="1"/>
    <row r="18501" ht="15" hidden="1" customHeight="1"/>
    <row r="18502" ht="15" hidden="1" customHeight="1"/>
    <row r="18503" ht="15" hidden="1" customHeight="1"/>
    <row r="18504" ht="15" hidden="1" customHeight="1"/>
    <row r="18505" ht="15" hidden="1" customHeight="1"/>
    <row r="18506" ht="15" hidden="1" customHeight="1"/>
    <row r="18507" ht="15" hidden="1" customHeight="1"/>
    <row r="18508" ht="15" hidden="1" customHeight="1"/>
    <row r="18509" ht="15" hidden="1" customHeight="1"/>
    <row r="18510" ht="15" hidden="1" customHeight="1"/>
    <row r="18511" ht="15" hidden="1" customHeight="1"/>
    <row r="18512" ht="15" hidden="1" customHeight="1"/>
    <row r="18513" ht="15" hidden="1" customHeight="1"/>
    <row r="18514" ht="15" hidden="1" customHeight="1"/>
    <row r="18515" ht="15" hidden="1" customHeight="1"/>
    <row r="18516" ht="15" hidden="1" customHeight="1"/>
    <row r="18517" ht="15" hidden="1" customHeight="1"/>
    <row r="18518" ht="15" hidden="1" customHeight="1"/>
    <row r="18519" ht="15" hidden="1" customHeight="1"/>
    <row r="18520" ht="15" hidden="1" customHeight="1"/>
    <row r="18521" ht="15" hidden="1" customHeight="1"/>
    <row r="18522" ht="15" hidden="1" customHeight="1"/>
    <row r="18523" ht="15" hidden="1" customHeight="1"/>
    <row r="18524" ht="15" hidden="1" customHeight="1"/>
    <row r="18525" ht="15" hidden="1" customHeight="1"/>
    <row r="18526" ht="15" hidden="1" customHeight="1"/>
    <row r="18527" ht="15" hidden="1" customHeight="1"/>
    <row r="18528" ht="15" hidden="1" customHeight="1"/>
    <row r="18529" ht="15" hidden="1" customHeight="1"/>
    <row r="18530" ht="15" hidden="1" customHeight="1"/>
    <row r="18531" ht="15" hidden="1" customHeight="1"/>
    <row r="18532" ht="15" hidden="1" customHeight="1"/>
    <row r="18533" ht="15" hidden="1" customHeight="1"/>
    <row r="18534" ht="15" hidden="1" customHeight="1"/>
    <row r="18535" ht="15" hidden="1" customHeight="1"/>
    <row r="18536" ht="15" hidden="1" customHeight="1"/>
    <row r="18537" ht="15" hidden="1" customHeight="1"/>
    <row r="18538" ht="15" hidden="1" customHeight="1"/>
    <row r="18539" ht="15" hidden="1" customHeight="1"/>
    <row r="18540" ht="15" hidden="1" customHeight="1"/>
    <row r="18541" ht="15" hidden="1" customHeight="1"/>
    <row r="18542" ht="15" hidden="1" customHeight="1"/>
    <row r="18543" ht="15" hidden="1" customHeight="1"/>
    <row r="18544" ht="15" hidden="1" customHeight="1"/>
    <row r="18545" ht="15" hidden="1" customHeight="1"/>
    <row r="18546" ht="15" hidden="1" customHeight="1"/>
    <row r="18547" ht="15" hidden="1" customHeight="1"/>
    <row r="18548" ht="15" hidden="1" customHeight="1"/>
    <row r="18549" ht="15" hidden="1" customHeight="1"/>
    <row r="18550" ht="15" hidden="1" customHeight="1"/>
    <row r="18551" ht="15" hidden="1" customHeight="1"/>
    <row r="18552" ht="15" hidden="1" customHeight="1"/>
    <row r="18553" ht="15" hidden="1" customHeight="1"/>
    <row r="18554" ht="15" hidden="1" customHeight="1"/>
    <row r="18555" ht="15" hidden="1" customHeight="1"/>
    <row r="18556" ht="15" hidden="1" customHeight="1"/>
    <row r="18557" ht="15" hidden="1" customHeight="1"/>
    <row r="18558" ht="15" hidden="1" customHeight="1"/>
    <row r="18559" ht="15" hidden="1" customHeight="1"/>
    <row r="18560" ht="15" hidden="1" customHeight="1"/>
    <row r="18561" ht="15" hidden="1" customHeight="1"/>
    <row r="18562" ht="15" hidden="1" customHeight="1"/>
    <row r="18563" ht="15" hidden="1" customHeight="1"/>
    <row r="18564" ht="15" hidden="1" customHeight="1"/>
    <row r="18565" ht="15" hidden="1" customHeight="1"/>
    <row r="18566" ht="15" hidden="1" customHeight="1"/>
    <row r="18567" ht="15" hidden="1" customHeight="1"/>
    <row r="18568" ht="15" hidden="1" customHeight="1"/>
    <row r="18569" ht="15" hidden="1" customHeight="1"/>
    <row r="18570" ht="15" hidden="1" customHeight="1"/>
    <row r="18571" ht="15" hidden="1" customHeight="1"/>
    <row r="18572" ht="15" hidden="1" customHeight="1"/>
    <row r="18573" ht="15" hidden="1" customHeight="1"/>
    <row r="18574" ht="15" hidden="1" customHeight="1"/>
    <row r="18575" ht="15" hidden="1" customHeight="1"/>
    <row r="18576" ht="15" hidden="1" customHeight="1"/>
    <row r="18577" ht="15" hidden="1" customHeight="1"/>
    <row r="18578" ht="15" hidden="1" customHeight="1"/>
    <row r="18579" ht="15" hidden="1" customHeight="1"/>
    <row r="18580" ht="15" hidden="1" customHeight="1"/>
    <row r="18581" ht="15" hidden="1" customHeight="1"/>
    <row r="18582" ht="15" hidden="1" customHeight="1"/>
    <row r="18583" ht="15" hidden="1" customHeight="1"/>
    <row r="18584" ht="15" hidden="1" customHeight="1"/>
    <row r="18585" ht="15" hidden="1" customHeight="1"/>
    <row r="18586" ht="15" hidden="1" customHeight="1"/>
    <row r="18587" ht="15" hidden="1" customHeight="1"/>
    <row r="18588" ht="15" hidden="1" customHeight="1"/>
    <row r="18589" ht="15" hidden="1" customHeight="1"/>
    <row r="18590" ht="15" hidden="1" customHeight="1"/>
    <row r="18591" ht="15" hidden="1" customHeight="1"/>
    <row r="18592" ht="15" hidden="1" customHeight="1"/>
    <row r="18593" ht="15" hidden="1" customHeight="1"/>
    <row r="18594" ht="15" hidden="1" customHeight="1"/>
    <row r="18595" ht="15" hidden="1" customHeight="1"/>
    <row r="18596" ht="15" hidden="1" customHeight="1"/>
    <row r="18597" ht="15" hidden="1" customHeight="1"/>
    <row r="18598" ht="15" hidden="1" customHeight="1"/>
    <row r="18599" ht="15" hidden="1" customHeight="1"/>
    <row r="18600" ht="15" hidden="1" customHeight="1"/>
    <row r="18601" ht="15" hidden="1" customHeight="1"/>
    <row r="18602" ht="15" hidden="1" customHeight="1"/>
    <row r="18603" ht="15" hidden="1" customHeight="1"/>
    <row r="18604" ht="15" hidden="1" customHeight="1"/>
    <row r="18605" ht="15" hidden="1" customHeight="1"/>
    <row r="18606" ht="15" hidden="1" customHeight="1"/>
    <row r="18607" ht="15" hidden="1" customHeight="1"/>
    <row r="18608" ht="15" hidden="1" customHeight="1"/>
    <row r="18609" ht="15" hidden="1" customHeight="1"/>
    <row r="18610" ht="15" hidden="1" customHeight="1"/>
    <row r="18611" ht="15" hidden="1" customHeight="1"/>
    <row r="18612" ht="15" hidden="1" customHeight="1"/>
    <row r="18613" ht="15" hidden="1" customHeight="1"/>
    <row r="18614" ht="15" hidden="1" customHeight="1"/>
    <row r="18615" ht="15" hidden="1" customHeight="1"/>
    <row r="18616" ht="15" hidden="1" customHeight="1"/>
    <row r="18617" ht="15" hidden="1" customHeight="1"/>
    <row r="18618" ht="15" hidden="1" customHeight="1"/>
    <row r="18619" ht="15" hidden="1" customHeight="1"/>
    <row r="18620" ht="15" hidden="1" customHeight="1"/>
    <row r="18621" ht="15" hidden="1" customHeight="1"/>
    <row r="18622" ht="15" hidden="1" customHeight="1"/>
    <row r="18623" ht="15" hidden="1" customHeight="1"/>
    <row r="18624" ht="15" hidden="1" customHeight="1"/>
    <row r="18625" ht="15" hidden="1" customHeight="1"/>
    <row r="18626" ht="15" hidden="1" customHeight="1"/>
    <row r="18627" ht="15" hidden="1" customHeight="1"/>
    <row r="18628" ht="15" hidden="1" customHeight="1"/>
    <row r="18629" ht="15" hidden="1" customHeight="1"/>
    <row r="18630" ht="15" hidden="1" customHeight="1"/>
    <row r="18631" ht="15" hidden="1" customHeight="1"/>
    <row r="18632" ht="15" hidden="1" customHeight="1"/>
    <row r="18633" ht="15" hidden="1" customHeight="1"/>
    <row r="18634" ht="15" hidden="1" customHeight="1"/>
    <row r="18635" ht="15" hidden="1" customHeight="1"/>
    <row r="18636" ht="15" hidden="1" customHeight="1"/>
    <row r="18637" ht="15" hidden="1" customHeight="1"/>
    <row r="18638" ht="15" hidden="1" customHeight="1"/>
    <row r="18639" ht="15" hidden="1" customHeight="1"/>
    <row r="18640" ht="15" hidden="1" customHeight="1"/>
    <row r="18641" ht="15" hidden="1" customHeight="1"/>
    <row r="18642" ht="15" hidden="1" customHeight="1"/>
    <row r="18643" ht="15" hidden="1" customHeight="1"/>
    <row r="18644" ht="15" hidden="1" customHeight="1"/>
    <row r="18645" ht="15" hidden="1" customHeight="1"/>
    <row r="18646" ht="15" hidden="1" customHeight="1"/>
    <row r="18647" ht="15" hidden="1" customHeight="1"/>
    <row r="18648" ht="15" hidden="1" customHeight="1"/>
    <row r="18649" ht="15" hidden="1" customHeight="1"/>
    <row r="18650" ht="15" hidden="1" customHeight="1"/>
    <row r="18651" ht="15" hidden="1" customHeight="1"/>
    <row r="18652" ht="15" hidden="1" customHeight="1"/>
    <row r="18653" ht="15" hidden="1" customHeight="1"/>
    <row r="18654" ht="15" hidden="1" customHeight="1"/>
    <row r="18655" ht="15" hidden="1" customHeight="1"/>
    <row r="18656" ht="15" hidden="1" customHeight="1"/>
    <row r="18657" ht="15" hidden="1" customHeight="1"/>
    <row r="18658" ht="15" hidden="1" customHeight="1"/>
    <row r="18659" ht="15" hidden="1" customHeight="1"/>
    <row r="18660" ht="15" hidden="1" customHeight="1"/>
    <row r="18661" ht="15" hidden="1" customHeight="1"/>
    <row r="18662" ht="15" hidden="1" customHeight="1"/>
    <row r="18663" ht="15" hidden="1" customHeight="1"/>
    <row r="18664" ht="15" hidden="1" customHeight="1"/>
    <row r="18665" ht="15" hidden="1" customHeight="1"/>
    <row r="18666" ht="15" hidden="1" customHeight="1"/>
    <row r="18667" ht="15" hidden="1" customHeight="1"/>
    <row r="18668" ht="15" hidden="1" customHeight="1"/>
    <row r="18669" ht="15" hidden="1" customHeight="1"/>
    <row r="18670" ht="15" hidden="1" customHeight="1"/>
    <row r="18671" ht="15" hidden="1" customHeight="1"/>
    <row r="18672" ht="15" hidden="1" customHeight="1"/>
    <row r="18673" ht="15" hidden="1" customHeight="1"/>
    <row r="18674" ht="15" hidden="1" customHeight="1"/>
    <row r="18675" ht="15" hidden="1" customHeight="1"/>
    <row r="18676" ht="15" hidden="1" customHeight="1"/>
    <row r="18677" ht="15" hidden="1" customHeight="1"/>
    <row r="18678" ht="15" hidden="1" customHeight="1"/>
    <row r="18679" ht="15" hidden="1" customHeight="1"/>
    <row r="18680" ht="15" hidden="1" customHeight="1"/>
    <row r="18681" ht="15" hidden="1" customHeight="1"/>
    <row r="18682" ht="15" hidden="1" customHeight="1"/>
    <row r="18683" ht="15" hidden="1" customHeight="1"/>
    <row r="18684" ht="15" hidden="1" customHeight="1"/>
    <row r="18685" ht="15" hidden="1" customHeight="1"/>
    <row r="18686" ht="15" hidden="1" customHeight="1"/>
    <row r="18687" ht="15" hidden="1" customHeight="1"/>
    <row r="18688" ht="15" hidden="1" customHeight="1"/>
    <row r="18689" ht="15" hidden="1" customHeight="1"/>
    <row r="18690" ht="15" hidden="1" customHeight="1"/>
    <row r="18691" ht="15" hidden="1" customHeight="1"/>
    <row r="18692" ht="15" hidden="1" customHeight="1"/>
    <row r="18693" ht="15" hidden="1" customHeight="1"/>
    <row r="18694" ht="15" hidden="1" customHeight="1"/>
    <row r="18695" ht="15" hidden="1" customHeight="1"/>
    <row r="18696" ht="15" hidden="1" customHeight="1"/>
    <row r="18697" ht="15" hidden="1" customHeight="1"/>
    <row r="18698" ht="15" hidden="1" customHeight="1"/>
    <row r="18699" ht="15" hidden="1" customHeight="1"/>
    <row r="18700" ht="15" hidden="1" customHeight="1"/>
    <row r="18701" ht="15" hidden="1" customHeight="1"/>
    <row r="18702" ht="15" hidden="1" customHeight="1"/>
    <row r="18703" ht="15" hidden="1" customHeight="1"/>
    <row r="18704" ht="15" hidden="1" customHeight="1"/>
    <row r="18705" ht="15" hidden="1" customHeight="1"/>
    <row r="18706" ht="15" hidden="1" customHeight="1"/>
    <row r="18707" ht="15" hidden="1" customHeight="1"/>
    <row r="18708" ht="15" hidden="1" customHeight="1"/>
    <row r="18709" ht="15" hidden="1" customHeight="1"/>
    <row r="18710" ht="15" hidden="1" customHeight="1"/>
    <row r="18711" ht="15" hidden="1" customHeight="1"/>
    <row r="18712" ht="15" hidden="1" customHeight="1"/>
    <row r="18713" ht="15" hidden="1" customHeight="1"/>
    <row r="18714" ht="15" hidden="1" customHeight="1"/>
    <row r="18715" ht="15" hidden="1" customHeight="1"/>
    <row r="18716" ht="15" hidden="1" customHeight="1"/>
    <row r="18717" ht="15" hidden="1" customHeight="1"/>
    <row r="18718" ht="15" hidden="1" customHeight="1"/>
    <row r="18719" ht="15" hidden="1" customHeight="1"/>
    <row r="18720" ht="15" hidden="1" customHeight="1"/>
    <row r="18721" ht="15" hidden="1" customHeight="1"/>
    <row r="18722" ht="15" hidden="1" customHeight="1"/>
    <row r="18723" ht="15" hidden="1" customHeight="1"/>
    <row r="18724" ht="15" hidden="1" customHeight="1"/>
    <row r="18725" ht="15" hidden="1" customHeight="1"/>
    <row r="18726" ht="15" hidden="1" customHeight="1"/>
    <row r="18727" ht="15" hidden="1" customHeight="1"/>
    <row r="18728" ht="15" hidden="1" customHeight="1"/>
    <row r="18729" ht="15" hidden="1" customHeight="1"/>
    <row r="18730" ht="15" hidden="1" customHeight="1"/>
    <row r="18731" ht="15" hidden="1" customHeight="1"/>
    <row r="18732" ht="15" hidden="1" customHeight="1"/>
    <row r="18733" ht="15" hidden="1" customHeight="1"/>
    <row r="18734" ht="15" hidden="1" customHeight="1"/>
    <row r="18735" ht="15" hidden="1" customHeight="1"/>
    <row r="18736" ht="15" hidden="1" customHeight="1"/>
    <row r="18737" ht="15" hidden="1" customHeight="1"/>
    <row r="18738" ht="15" hidden="1" customHeight="1"/>
    <row r="18739" ht="15" hidden="1" customHeight="1"/>
    <row r="18740" ht="15" hidden="1" customHeight="1"/>
    <row r="18741" ht="15" hidden="1" customHeight="1"/>
    <row r="18742" ht="15" hidden="1" customHeight="1"/>
    <row r="18743" ht="15" hidden="1" customHeight="1"/>
    <row r="18744" ht="15" hidden="1" customHeight="1"/>
    <row r="18745" ht="15" hidden="1" customHeight="1"/>
    <row r="18746" ht="15" hidden="1" customHeight="1"/>
    <row r="18747" ht="15" hidden="1" customHeight="1"/>
    <row r="18748" ht="15" hidden="1" customHeight="1"/>
    <row r="18749" ht="15" hidden="1" customHeight="1"/>
    <row r="18750" ht="15" hidden="1" customHeight="1"/>
    <row r="18751" ht="15" hidden="1" customHeight="1"/>
    <row r="18752" ht="15" hidden="1" customHeight="1"/>
    <row r="18753" ht="15" hidden="1" customHeight="1"/>
    <row r="18754" ht="15" hidden="1" customHeight="1"/>
    <row r="18755" ht="15" hidden="1" customHeight="1"/>
    <row r="18756" ht="15" hidden="1" customHeight="1"/>
    <row r="18757" ht="15" hidden="1" customHeight="1"/>
    <row r="18758" ht="15" hidden="1" customHeight="1"/>
    <row r="18759" ht="15" hidden="1" customHeight="1"/>
    <row r="18760" ht="15" hidden="1" customHeight="1"/>
    <row r="18761" ht="15" hidden="1" customHeight="1"/>
    <row r="18762" ht="15" hidden="1" customHeight="1"/>
    <row r="18763" ht="15" hidden="1" customHeight="1"/>
    <row r="18764" ht="15" hidden="1" customHeight="1"/>
    <row r="18765" ht="15" hidden="1" customHeight="1"/>
    <row r="18766" ht="15" hidden="1" customHeight="1"/>
    <row r="18767" ht="15" hidden="1" customHeight="1"/>
    <row r="18768" ht="15" hidden="1" customHeight="1"/>
    <row r="18769" ht="15" hidden="1" customHeight="1"/>
    <row r="18770" ht="15" hidden="1" customHeight="1"/>
    <row r="18771" ht="15" hidden="1" customHeight="1"/>
    <row r="18772" ht="15" hidden="1" customHeight="1"/>
    <row r="18773" ht="15" hidden="1" customHeight="1"/>
    <row r="18774" ht="15" hidden="1" customHeight="1"/>
    <row r="18775" ht="15" hidden="1" customHeight="1"/>
    <row r="18776" ht="15" hidden="1" customHeight="1"/>
    <row r="18777" ht="15" hidden="1" customHeight="1"/>
    <row r="18778" ht="15" hidden="1" customHeight="1"/>
    <row r="18779" ht="15" hidden="1" customHeight="1"/>
    <row r="18780" ht="15" hidden="1" customHeight="1"/>
    <row r="18781" ht="15" hidden="1" customHeight="1"/>
    <row r="18782" ht="15" hidden="1" customHeight="1"/>
    <row r="18783" ht="15" hidden="1" customHeight="1"/>
    <row r="18784" ht="15" hidden="1" customHeight="1"/>
    <row r="18785" ht="15" hidden="1" customHeight="1"/>
    <row r="18786" ht="15" hidden="1" customHeight="1"/>
    <row r="18787" ht="15" hidden="1" customHeight="1"/>
    <row r="18788" ht="15" hidden="1" customHeight="1"/>
    <row r="18789" ht="15" hidden="1" customHeight="1"/>
    <row r="18790" ht="15" hidden="1" customHeight="1"/>
    <row r="18791" ht="15" hidden="1" customHeight="1"/>
    <row r="18792" ht="15" hidden="1" customHeight="1"/>
    <row r="18793" ht="15" hidden="1" customHeight="1"/>
    <row r="18794" ht="15" hidden="1" customHeight="1"/>
    <row r="18795" ht="15" hidden="1" customHeight="1"/>
    <row r="18796" ht="15" hidden="1" customHeight="1"/>
    <row r="18797" ht="15" hidden="1" customHeight="1"/>
    <row r="18798" ht="15" hidden="1" customHeight="1"/>
    <row r="18799" ht="15" hidden="1" customHeight="1"/>
    <row r="18800" ht="15" hidden="1" customHeight="1"/>
    <row r="18801" ht="15" hidden="1" customHeight="1"/>
    <row r="18802" ht="15" hidden="1" customHeight="1"/>
    <row r="18803" ht="15" hidden="1" customHeight="1"/>
    <row r="18804" ht="15" hidden="1" customHeight="1"/>
    <row r="18805" ht="15" hidden="1" customHeight="1"/>
    <row r="18806" ht="15" hidden="1" customHeight="1"/>
    <row r="18807" ht="15" hidden="1" customHeight="1"/>
    <row r="18808" ht="15" hidden="1" customHeight="1"/>
    <row r="18809" ht="15" hidden="1" customHeight="1"/>
    <row r="18810" ht="15" hidden="1" customHeight="1"/>
    <row r="18811" ht="15" hidden="1" customHeight="1"/>
    <row r="18812" ht="15" hidden="1" customHeight="1"/>
    <row r="18813" ht="15" hidden="1" customHeight="1"/>
    <row r="18814" ht="15" hidden="1" customHeight="1"/>
    <row r="18815" ht="15" hidden="1" customHeight="1"/>
    <row r="18816" ht="15" hidden="1" customHeight="1"/>
    <row r="18817" ht="15" hidden="1" customHeight="1"/>
    <row r="18818" ht="15" hidden="1" customHeight="1"/>
    <row r="18819" ht="15" hidden="1" customHeight="1"/>
    <row r="18820" ht="15" hidden="1" customHeight="1"/>
    <row r="18821" ht="15" hidden="1" customHeight="1"/>
    <row r="18822" ht="15" hidden="1" customHeight="1"/>
    <row r="18823" ht="15" hidden="1" customHeight="1"/>
    <row r="18824" ht="15" hidden="1" customHeight="1"/>
    <row r="18825" ht="15" hidden="1" customHeight="1"/>
    <row r="18826" ht="15" hidden="1" customHeight="1"/>
    <row r="18827" ht="15" hidden="1" customHeight="1"/>
    <row r="18828" ht="15" hidden="1" customHeight="1"/>
    <row r="18829" ht="15" hidden="1" customHeight="1"/>
    <row r="18830" ht="15" hidden="1" customHeight="1"/>
    <row r="18831" ht="15" hidden="1" customHeight="1"/>
    <row r="18832" ht="15" hidden="1" customHeight="1"/>
    <row r="18833" ht="15" hidden="1" customHeight="1"/>
    <row r="18834" ht="15" hidden="1" customHeight="1"/>
    <row r="18835" ht="15" hidden="1" customHeight="1"/>
    <row r="18836" ht="15" hidden="1" customHeight="1"/>
    <row r="18837" ht="15" hidden="1" customHeight="1"/>
    <row r="18838" ht="15" hidden="1" customHeight="1"/>
    <row r="18839" ht="15" hidden="1" customHeight="1"/>
    <row r="18840" ht="15" hidden="1" customHeight="1"/>
    <row r="18841" ht="15" hidden="1" customHeight="1"/>
    <row r="18842" ht="15" hidden="1" customHeight="1"/>
    <row r="18843" ht="15" hidden="1" customHeight="1"/>
    <row r="18844" ht="15" hidden="1" customHeight="1"/>
    <row r="18845" ht="15" hidden="1" customHeight="1"/>
    <row r="18846" ht="15" hidden="1" customHeight="1"/>
    <row r="18847" ht="15" hidden="1" customHeight="1"/>
    <row r="18848" ht="15" hidden="1" customHeight="1"/>
    <row r="18849" ht="15" hidden="1" customHeight="1"/>
    <row r="18850" ht="15" hidden="1" customHeight="1"/>
    <row r="18851" ht="15" hidden="1" customHeight="1"/>
    <row r="18852" ht="15" hidden="1" customHeight="1"/>
    <row r="18853" ht="15" hidden="1" customHeight="1"/>
    <row r="18854" ht="15" hidden="1" customHeight="1"/>
    <row r="18855" ht="15" hidden="1" customHeight="1"/>
    <row r="18856" ht="15" hidden="1" customHeight="1"/>
    <row r="18857" ht="15" hidden="1" customHeight="1"/>
    <row r="18858" ht="15" hidden="1" customHeight="1"/>
    <row r="18859" ht="15" hidden="1" customHeight="1"/>
    <row r="18860" ht="15" hidden="1" customHeight="1"/>
    <row r="18861" ht="15" hidden="1" customHeight="1"/>
    <row r="18862" ht="15" hidden="1" customHeight="1"/>
    <row r="18863" ht="15" hidden="1" customHeight="1"/>
    <row r="18864" ht="15" hidden="1" customHeight="1"/>
    <row r="18865" ht="15" hidden="1" customHeight="1"/>
    <row r="18866" ht="15" hidden="1" customHeight="1"/>
    <row r="18867" ht="15" hidden="1" customHeight="1"/>
    <row r="18868" ht="15" hidden="1" customHeight="1"/>
    <row r="18869" ht="15" hidden="1" customHeight="1"/>
    <row r="18870" ht="15" hidden="1" customHeight="1"/>
    <row r="18871" ht="15" hidden="1" customHeight="1"/>
    <row r="18872" ht="15" hidden="1" customHeight="1"/>
    <row r="18873" ht="15" hidden="1" customHeight="1"/>
    <row r="18874" ht="15" hidden="1" customHeight="1"/>
    <row r="18875" ht="15" hidden="1" customHeight="1"/>
    <row r="18876" ht="15" hidden="1" customHeight="1"/>
    <row r="18877" ht="15" hidden="1" customHeight="1"/>
    <row r="18878" ht="15" hidden="1" customHeight="1"/>
    <row r="18879" ht="15" hidden="1" customHeight="1"/>
    <row r="18880" ht="15" hidden="1" customHeight="1"/>
    <row r="18881" ht="15" hidden="1" customHeight="1"/>
    <row r="18882" ht="15" hidden="1" customHeight="1"/>
    <row r="18883" ht="15" hidden="1" customHeight="1"/>
    <row r="18884" ht="15" hidden="1" customHeight="1"/>
    <row r="18885" ht="15" hidden="1" customHeight="1"/>
    <row r="18886" ht="15" hidden="1" customHeight="1"/>
    <row r="18887" ht="15" hidden="1" customHeight="1"/>
    <row r="18888" ht="15" hidden="1" customHeight="1"/>
    <row r="18889" ht="15" hidden="1" customHeight="1"/>
    <row r="18890" ht="15" hidden="1" customHeight="1"/>
    <row r="18891" ht="15" hidden="1" customHeight="1"/>
    <row r="18892" ht="15" hidden="1" customHeight="1"/>
    <row r="18893" ht="15" hidden="1" customHeight="1"/>
    <row r="18894" ht="15" hidden="1" customHeight="1"/>
    <row r="18895" ht="15" hidden="1" customHeight="1"/>
    <row r="18896" ht="15" hidden="1" customHeight="1"/>
    <row r="18897" ht="15" hidden="1" customHeight="1"/>
    <row r="18898" ht="15" hidden="1" customHeight="1"/>
    <row r="18899" ht="15" hidden="1" customHeight="1"/>
    <row r="18900" ht="15" hidden="1" customHeight="1"/>
    <row r="18901" ht="15" hidden="1" customHeight="1"/>
    <row r="18902" ht="15" hidden="1" customHeight="1"/>
    <row r="18903" ht="15" hidden="1" customHeight="1"/>
    <row r="18904" ht="15" hidden="1" customHeight="1"/>
    <row r="18905" ht="15" hidden="1" customHeight="1"/>
    <row r="18906" ht="15" hidden="1" customHeight="1"/>
    <row r="18907" ht="15" hidden="1" customHeight="1"/>
    <row r="18908" ht="15" hidden="1" customHeight="1"/>
    <row r="18909" ht="15" hidden="1" customHeight="1"/>
    <row r="18910" ht="15" hidden="1" customHeight="1"/>
    <row r="18911" ht="15" hidden="1" customHeight="1"/>
    <row r="18912" ht="15" hidden="1" customHeight="1"/>
    <row r="18913" ht="15" hidden="1" customHeight="1"/>
    <row r="18914" ht="15" hidden="1" customHeight="1"/>
    <row r="18915" ht="15" hidden="1" customHeight="1"/>
    <row r="18916" ht="15" hidden="1" customHeight="1"/>
    <row r="18917" ht="15" hidden="1" customHeight="1"/>
    <row r="18918" ht="15" hidden="1" customHeight="1"/>
    <row r="18919" ht="15" hidden="1" customHeight="1"/>
    <row r="18920" ht="15" hidden="1" customHeight="1"/>
    <row r="18921" ht="15" hidden="1" customHeight="1"/>
    <row r="18922" ht="15" hidden="1" customHeight="1"/>
    <row r="18923" ht="15" hidden="1" customHeight="1"/>
    <row r="18924" ht="15" hidden="1" customHeight="1"/>
    <row r="18925" ht="15" hidden="1" customHeight="1"/>
    <row r="18926" ht="15" hidden="1" customHeight="1"/>
    <row r="18927" ht="15" hidden="1" customHeight="1"/>
    <row r="18928" ht="15" hidden="1" customHeight="1"/>
    <row r="18929" ht="15" hidden="1" customHeight="1"/>
    <row r="18930" ht="15" hidden="1" customHeight="1"/>
    <row r="18931" ht="15" hidden="1" customHeight="1"/>
    <row r="18932" ht="15" hidden="1" customHeight="1"/>
    <row r="18933" ht="15" hidden="1" customHeight="1"/>
    <row r="18934" ht="15" hidden="1" customHeight="1"/>
    <row r="18935" ht="15" hidden="1" customHeight="1"/>
    <row r="18936" ht="15" hidden="1" customHeight="1"/>
    <row r="18937" ht="15" hidden="1" customHeight="1"/>
    <row r="18938" ht="15" hidden="1" customHeight="1"/>
    <row r="18939" ht="15" hidden="1" customHeight="1"/>
    <row r="18940" ht="15" hidden="1" customHeight="1"/>
    <row r="18941" ht="15" hidden="1" customHeight="1"/>
    <row r="18942" ht="15" hidden="1" customHeight="1"/>
    <row r="18943" ht="15" hidden="1" customHeight="1"/>
    <row r="18944" ht="15" hidden="1" customHeight="1"/>
    <row r="18945" ht="15" hidden="1" customHeight="1"/>
    <row r="18946" ht="15" hidden="1" customHeight="1"/>
    <row r="18947" ht="15" hidden="1" customHeight="1"/>
    <row r="18948" ht="15" hidden="1" customHeight="1"/>
    <row r="18949" ht="15" hidden="1" customHeight="1"/>
    <row r="18950" ht="15" hidden="1" customHeight="1"/>
    <row r="18951" ht="15" hidden="1" customHeight="1"/>
    <row r="18952" ht="15" hidden="1" customHeight="1"/>
    <row r="18953" ht="15" hidden="1" customHeight="1"/>
    <row r="18954" ht="15" hidden="1" customHeight="1"/>
    <row r="18955" ht="15" hidden="1" customHeight="1"/>
    <row r="18956" ht="15" hidden="1" customHeight="1"/>
    <row r="18957" ht="15" hidden="1" customHeight="1"/>
    <row r="18958" ht="15" hidden="1" customHeight="1"/>
    <row r="18959" ht="15" hidden="1" customHeight="1"/>
    <row r="18960" ht="15" hidden="1" customHeight="1"/>
    <row r="18961" ht="15" hidden="1" customHeight="1"/>
    <row r="18962" ht="15" hidden="1" customHeight="1"/>
    <row r="18963" ht="15" hidden="1" customHeight="1"/>
    <row r="18964" ht="15" hidden="1" customHeight="1"/>
    <row r="18965" ht="15" hidden="1" customHeight="1"/>
    <row r="18966" ht="15" hidden="1" customHeight="1"/>
    <row r="18967" ht="15" hidden="1" customHeight="1"/>
    <row r="18968" ht="15" hidden="1" customHeight="1"/>
    <row r="18969" ht="15" hidden="1" customHeight="1"/>
    <row r="18970" ht="15" hidden="1" customHeight="1"/>
    <row r="18971" ht="15" hidden="1" customHeight="1"/>
    <row r="18972" ht="15" hidden="1" customHeight="1"/>
    <row r="18973" ht="15" hidden="1" customHeight="1"/>
    <row r="18974" ht="15" hidden="1" customHeight="1"/>
    <row r="18975" ht="15" hidden="1" customHeight="1"/>
    <row r="18976" ht="15" hidden="1" customHeight="1"/>
    <row r="18977" ht="15" hidden="1" customHeight="1"/>
    <row r="18978" ht="15" hidden="1" customHeight="1"/>
    <row r="18979" ht="15" hidden="1" customHeight="1"/>
    <row r="18980" ht="15" hidden="1" customHeight="1"/>
    <row r="18981" ht="15" hidden="1" customHeight="1"/>
    <row r="18982" ht="15" hidden="1" customHeight="1"/>
    <row r="18983" ht="15" hidden="1" customHeight="1"/>
    <row r="18984" ht="15" hidden="1" customHeight="1"/>
    <row r="18985" ht="15" hidden="1" customHeight="1"/>
    <row r="18986" ht="15" hidden="1" customHeight="1"/>
    <row r="18987" ht="15" hidden="1" customHeight="1"/>
    <row r="18988" ht="15" hidden="1" customHeight="1"/>
    <row r="18989" ht="15" hidden="1" customHeight="1"/>
    <row r="18990" ht="15" hidden="1" customHeight="1"/>
    <row r="18991" ht="15" hidden="1" customHeight="1"/>
    <row r="18992" ht="15" hidden="1" customHeight="1"/>
    <row r="18993" ht="15" hidden="1" customHeight="1"/>
    <row r="18994" ht="15" hidden="1" customHeight="1"/>
    <row r="18995" ht="15" hidden="1" customHeight="1"/>
    <row r="18996" ht="15" hidden="1" customHeight="1"/>
    <row r="18997" ht="15" hidden="1" customHeight="1"/>
    <row r="18998" ht="15" hidden="1" customHeight="1"/>
    <row r="18999" ht="15" hidden="1" customHeight="1"/>
    <row r="19000" ht="15" hidden="1" customHeight="1"/>
    <row r="19001" ht="15" hidden="1" customHeight="1"/>
    <row r="19002" ht="15" hidden="1" customHeight="1"/>
    <row r="19003" ht="15" hidden="1" customHeight="1"/>
    <row r="19004" ht="15" hidden="1" customHeight="1"/>
    <row r="19005" ht="15" hidden="1" customHeight="1"/>
    <row r="19006" ht="15" hidden="1" customHeight="1"/>
    <row r="19007" ht="15" hidden="1" customHeight="1"/>
    <row r="19008" ht="15" hidden="1" customHeight="1"/>
    <row r="19009" ht="15" hidden="1" customHeight="1"/>
    <row r="19010" ht="15" hidden="1" customHeight="1"/>
    <row r="19011" ht="15" hidden="1" customHeight="1"/>
    <row r="19012" ht="15" hidden="1" customHeight="1"/>
    <row r="19013" ht="15" hidden="1" customHeight="1"/>
    <row r="19014" ht="15" hidden="1" customHeight="1"/>
    <row r="19015" ht="15" hidden="1" customHeight="1"/>
    <row r="19016" ht="15" hidden="1" customHeight="1"/>
    <row r="19017" ht="15" hidden="1" customHeight="1"/>
    <row r="19018" ht="15" hidden="1" customHeight="1"/>
    <row r="19019" ht="15" hidden="1" customHeight="1"/>
    <row r="19020" ht="15" hidden="1" customHeight="1"/>
    <row r="19021" ht="15" hidden="1" customHeight="1"/>
    <row r="19022" ht="15" hidden="1" customHeight="1"/>
    <row r="19023" ht="15" hidden="1" customHeight="1"/>
    <row r="19024" ht="15" hidden="1" customHeight="1"/>
    <row r="19025" ht="15" hidden="1" customHeight="1"/>
    <row r="19026" ht="15" hidden="1" customHeight="1"/>
    <row r="19027" ht="15" hidden="1" customHeight="1"/>
    <row r="19028" ht="15" hidden="1" customHeight="1"/>
    <row r="19029" ht="15" hidden="1" customHeight="1"/>
    <row r="19030" ht="15" hidden="1" customHeight="1"/>
    <row r="19031" ht="15" hidden="1" customHeight="1"/>
    <row r="19032" ht="15" hidden="1" customHeight="1"/>
    <row r="19033" ht="15" hidden="1" customHeight="1"/>
    <row r="19034" ht="15" hidden="1" customHeight="1"/>
    <row r="19035" ht="15" hidden="1" customHeight="1"/>
    <row r="19036" ht="15" hidden="1" customHeight="1"/>
    <row r="19037" ht="15" hidden="1" customHeight="1"/>
    <row r="19038" ht="15" hidden="1" customHeight="1"/>
    <row r="19039" ht="15" hidden="1" customHeight="1"/>
    <row r="19040" ht="15" hidden="1" customHeight="1"/>
    <row r="19041" ht="15" hidden="1" customHeight="1"/>
    <row r="19042" ht="15" hidden="1" customHeight="1"/>
    <row r="19043" ht="15" hidden="1" customHeight="1"/>
    <row r="19044" ht="15" hidden="1" customHeight="1"/>
    <row r="19045" ht="15" hidden="1" customHeight="1"/>
    <row r="19046" ht="15" hidden="1" customHeight="1"/>
    <row r="19047" ht="15" hidden="1" customHeight="1"/>
    <row r="19048" ht="15" hidden="1" customHeight="1"/>
    <row r="19049" ht="15" hidden="1" customHeight="1"/>
    <row r="19050" ht="15" hidden="1" customHeight="1"/>
    <row r="19051" ht="15" hidden="1" customHeight="1"/>
    <row r="19052" ht="15" hidden="1" customHeight="1"/>
    <row r="19053" ht="15" hidden="1" customHeight="1"/>
    <row r="19054" ht="15" hidden="1" customHeight="1"/>
    <row r="19055" ht="15" hidden="1" customHeight="1"/>
    <row r="19056" ht="15" hidden="1" customHeight="1"/>
    <row r="19057" ht="15" hidden="1" customHeight="1"/>
    <row r="19058" ht="15" hidden="1" customHeight="1"/>
    <row r="19059" ht="15" hidden="1" customHeight="1"/>
    <row r="19060" ht="15" hidden="1" customHeight="1"/>
    <row r="19061" ht="15" hidden="1" customHeight="1"/>
    <row r="19062" ht="15" hidden="1" customHeight="1"/>
    <row r="19063" ht="15" hidden="1" customHeight="1"/>
    <row r="19064" ht="15" hidden="1" customHeight="1"/>
    <row r="19065" ht="15" hidden="1" customHeight="1"/>
    <row r="19066" ht="15" hidden="1" customHeight="1"/>
    <row r="19067" ht="15" hidden="1" customHeight="1"/>
    <row r="19068" ht="15" hidden="1" customHeight="1"/>
    <row r="19069" ht="15" hidden="1" customHeight="1"/>
    <row r="19070" ht="15" hidden="1" customHeight="1"/>
    <row r="19071" ht="15" hidden="1" customHeight="1"/>
    <row r="19072" ht="15" hidden="1" customHeight="1"/>
    <row r="19073" ht="15" hidden="1" customHeight="1"/>
    <row r="19074" ht="15" hidden="1" customHeight="1"/>
    <row r="19075" ht="15" hidden="1" customHeight="1"/>
    <row r="19076" ht="15" hidden="1" customHeight="1"/>
    <row r="19077" ht="15" hidden="1" customHeight="1"/>
    <row r="19078" ht="15" hidden="1" customHeight="1"/>
    <row r="19079" ht="15" hidden="1" customHeight="1"/>
    <row r="19080" ht="15" hidden="1" customHeight="1"/>
    <row r="19081" ht="15" hidden="1" customHeight="1"/>
    <row r="19082" ht="15" hidden="1" customHeight="1"/>
    <row r="19083" ht="15" hidden="1" customHeight="1"/>
    <row r="19084" ht="15" hidden="1" customHeight="1"/>
    <row r="19085" ht="15" hidden="1" customHeight="1"/>
    <row r="19086" ht="15" hidden="1" customHeight="1"/>
    <row r="19087" ht="15" hidden="1" customHeight="1"/>
    <row r="19088" ht="15" hidden="1" customHeight="1"/>
    <row r="19089" ht="15" hidden="1" customHeight="1"/>
    <row r="19090" ht="15" hidden="1" customHeight="1"/>
    <row r="19091" ht="15" hidden="1" customHeight="1"/>
    <row r="19092" ht="15" hidden="1" customHeight="1"/>
    <row r="19093" ht="15" hidden="1" customHeight="1"/>
    <row r="19094" ht="15" hidden="1" customHeight="1"/>
    <row r="19095" ht="15" hidden="1" customHeight="1"/>
    <row r="19096" ht="15" hidden="1" customHeight="1"/>
    <row r="19097" ht="15" hidden="1" customHeight="1"/>
    <row r="19098" ht="15" hidden="1" customHeight="1"/>
    <row r="19099" ht="15" hidden="1" customHeight="1"/>
    <row r="19100" ht="15" hidden="1" customHeight="1"/>
    <row r="19101" ht="15" hidden="1" customHeight="1"/>
    <row r="19102" ht="15" hidden="1" customHeight="1"/>
    <row r="19103" ht="15" hidden="1" customHeight="1"/>
    <row r="19104" ht="15" hidden="1" customHeight="1"/>
    <row r="19105" ht="15" hidden="1" customHeight="1"/>
    <row r="19106" ht="15" hidden="1" customHeight="1"/>
    <row r="19107" ht="15" hidden="1" customHeight="1"/>
    <row r="19108" ht="15" hidden="1" customHeight="1"/>
    <row r="19109" ht="15" hidden="1" customHeight="1"/>
    <row r="19110" ht="15" hidden="1" customHeight="1"/>
    <row r="19111" ht="15" hidden="1" customHeight="1"/>
    <row r="19112" ht="15" hidden="1" customHeight="1"/>
    <row r="19113" ht="15" hidden="1" customHeight="1"/>
    <row r="19114" ht="15" hidden="1" customHeight="1"/>
    <row r="19115" ht="15" hidden="1" customHeight="1"/>
    <row r="19116" ht="15" hidden="1" customHeight="1"/>
    <row r="19117" ht="15" hidden="1" customHeight="1"/>
    <row r="19118" ht="15" hidden="1" customHeight="1"/>
    <row r="19119" ht="15" hidden="1" customHeight="1"/>
    <row r="19120" ht="15" hidden="1" customHeight="1"/>
    <row r="19121" ht="15" hidden="1" customHeight="1"/>
    <row r="19122" ht="15" hidden="1" customHeight="1"/>
    <row r="19123" ht="15" hidden="1" customHeight="1"/>
    <row r="19124" ht="15" hidden="1" customHeight="1"/>
    <row r="19125" ht="15" hidden="1" customHeight="1"/>
    <row r="19126" ht="15" hidden="1" customHeight="1"/>
    <row r="19127" ht="15" hidden="1" customHeight="1"/>
    <row r="19128" ht="15" hidden="1" customHeight="1"/>
    <row r="19129" ht="15" hidden="1" customHeight="1"/>
    <row r="19130" ht="15" hidden="1" customHeight="1"/>
    <row r="19131" ht="15" hidden="1" customHeight="1"/>
    <row r="19132" ht="15" hidden="1" customHeight="1"/>
    <row r="19133" ht="15" hidden="1" customHeight="1"/>
    <row r="19134" ht="15" hidden="1" customHeight="1"/>
    <row r="19135" ht="15" hidden="1" customHeight="1"/>
    <row r="19136" ht="15" hidden="1" customHeight="1"/>
    <row r="19137" ht="15" hidden="1" customHeight="1"/>
    <row r="19138" ht="15" hidden="1" customHeight="1"/>
    <row r="19139" ht="15" hidden="1" customHeight="1"/>
    <row r="19140" ht="15" hidden="1" customHeight="1"/>
    <row r="19141" ht="15" hidden="1" customHeight="1"/>
    <row r="19142" ht="15" hidden="1" customHeight="1"/>
    <row r="19143" ht="15" hidden="1" customHeight="1"/>
    <row r="19144" ht="15" hidden="1" customHeight="1"/>
    <row r="19145" ht="15" hidden="1" customHeight="1"/>
    <row r="19146" ht="15" hidden="1" customHeight="1"/>
    <row r="19147" ht="15" hidden="1" customHeight="1"/>
    <row r="19148" ht="15" hidden="1" customHeight="1"/>
    <row r="19149" ht="15" hidden="1" customHeight="1"/>
    <row r="19150" ht="15" hidden="1" customHeight="1"/>
    <row r="19151" ht="15" hidden="1" customHeight="1"/>
    <row r="19152" ht="15" hidden="1" customHeight="1"/>
    <row r="19153" ht="15" hidden="1" customHeight="1"/>
    <row r="19154" ht="15" hidden="1" customHeight="1"/>
    <row r="19155" ht="15" hidden="1" customHeight="1"/>
    <row r="19156" ht="15" hidden="1" customHeight="1"/>
    <row r="19157" ht="15" hidden="1" customHeight="1"/>
    <row r="19158" ht="15" hidden="1" customHeight="1"/>
    <row r="19159" ht="15" hidden="1" customHeight="1"/>
    <row r="19160" ht="15" hidden="1" customHeight="1"/>
    <row r="19161" ht="15" hidden="1" customHeight="1"/>
    <row r="19162" ht="15" hidden="1" customHeight="1"/>
    <row r="19163" ht="15" hidden="1" customHeight="1"/>
    <row r="19164" ht="15" hidden="1" customHeight="1"/>
    <row r="19165" ht="15" hidden="1" customHeight="1"/>
    <row r="19166" ht="15" hidden="1" customHeight="1"/>
    <row r="19167" ht="15" hidden="1" customHeight="1"/>
    <row r="19168" ht="15" hidden="1" customHeight="1"/>
    <row r="19169" ht="15" hidden="1" customHeight="1"/>
    <row r="19170" ht="15" hidden="1" customHeight="1"/>
    <row r="19171" ht="15" hidden="1" customHeight="1"/>
    <row r="19172" ht="15" hidden="1" customHeight="1"/>
    <row r="19173" ht="15" hidden="1" customHeight="1"/>
    <row r="19174" ht="15" hidden="1" customHeight="1"/>
    <row r="19175" ht="15" hidden="1" customHeight="1"/>
    <row r="19176" ht="15" hidden="1" customHeight="1"/>
    <row r="19177" ht="15" hidden="1" customHeight="1"/>
    <row r="19178" ht="15" hidden="1" customHeight="1"/>
    <row r="19179" ht="15" hidden="1" customHeight="1"/>
    <row r="19180" ht="15" hidden="1" customHeight="1"/>
    <row r="19181" ht="15" hidden="1" customHeight="1"/>
    <row r="19182" ht="15" hidden="1" customHeight="1"/>
    <row r="19183" ht="15" hidden="1" customHeight="1"/>
    <row r="19184" ht="15" hidden="1" customHeight="1"/>
    <row r="19185" ht="15" hidden="1" customHeight="1"/>
    <row r="19186" ht="15" hidden="1" customHeight="1"/>
    <row r="19187" ht="15" hidden="1" customHeight="1"/>
    <row r="19188" ht="15" hidden="1" customHeight="1"/>
    <row r="19189" ht="15" hidden="1" customHeight="1"/>
    <row r="19190" ht="15" hidden="1" customHeight="1"/>
    <row r="19191" ht="15" hidden="1" customHeight="1"/>
    <row r="19192" ht="15" hidden="1" customHeight="1"/>
    <row r="19193" ht="15" hidden="1" customHeight="1"/>
    <row r="19194" ht="15" hidden="1" customHeight="1"/>
    <row r="19195" ht="15" hidden="1" customHeight="1"/>
    <row r="19196" ht="15" hidden="1" customHeight="1"/>
    <row r="19197" ht="15" hidden="1" customHeight="1"/>
    <row r="19198" ht="15" hidden="1" customHeight="1"/>
    <row r="19199" ht="15" hidden="1" customHeight="1"/>
    <row r="19200" ht="15" hidden="1" customHeight="1"/>
    <row r="19201" ht="15" hidden="1" customHeight="1"/>
    <row r="19202" ht="15" hidden="1" customHeight="1"/>
    <row r="19203" ht="15" hidden="1" customHeight="1"/>
    <row r="19204" ht="15" hidden="1" customHeight="1"/>
    <row r="19205" ht="15" hidden="1" customHeight="1"/>
    <row r="19206" ht="15" hidden="1" customHeight="1"/>
    <row r="19207" ht="15" hidden="1" customHeight="1"/>
    <row r="19208" ht="15" hidden="1" customHeight="1"/>
    <row r="19209" ht="15" hidden="1" customHeight="1"/>
    <row r="19210" ht="15" hidden="1" customHeight="1"/>
    <row r="19211" ht="15" hidden="1" customHeight="1"/>
    <row r="19212" ht="15" hidden="1" customHeight="1"/>
    <row r="19213" ht="15" hidden="1" customHeight="1"/>
    <row r="19214" ht="15" hidden="1" customHeight="1"/>
    <row r="19215" ht="15" hidden="1" customHeight="1"/>
    <row r="19216" ht="15" hidden="1" customHeight="1"/>
    <row r="19217" ht="15" hidden="1" customHeight="1"/>
    <row r="19218" ht="15" hidden="1" customHeight="1"/>
    <row r="19219" ht="15" hidden="1" customHeight="1"/>
    <row r="19220" ht="15" hidden="1" customHeight="1"/>
    <row r="19221" ht="15" hidden="1" customHeight="1"/>
    <row r="19222" ht="15" hidden="1" customHeight="1"/>
    <row r="19223" ht="15" hidden="1" customHeight="1"/>
    <row r="19224" ht="15" hidden="1" customHeight="1"/>
    <row r="19225" ht="15" hidden="1" customHeight="1"/>
    <row r="19226" ht="15" hidden="1" customHeight="1"/>
    <row r="19227" ht="15" hidden="1" customHeight="1"/>
    <row r="19228" ht="15" hidden="1" customHeight="1"/>
    <row r="19229" ht="15" hidden="1" customHeight="1"/>
    <row r="19230" ht="15" hidden="1" customHeight="1"/>
    <row r="19231" ht="15" hidden="1" customHeight="1"/>
    <row r="19232" ht="15" hidden="1" customHeight="1"/>
    <row r="19233" ht="15" hidden="1" customHeight="1"/>
    <row r="19234" ht="15" hidden="1" customHeight="1"/>
    <row r="19235" ht="15" hidden="1" customHeight="1"/>
    <row r="19236" ht="15" hidden="1" customHeight="1"/>
    <row r="19237" ht="15" hidden="1" customHeight="1"/>
    <row r="19238" ht="15" hidden="1" customHeight="1"/>
    <row r="19239" ht="15" hidden="1" customHeight="1"/>
    <row r="19240" ht="15" hidden="1" customHeight="1"/>
    <row r="19241" ht="15" hidden="1" customHeight="1"/>
    <row r="19242" ht="15" hidden="1" customHeight="1"/>
    <row r="19243" ht="15" hidden="1" customHeight="1"/>
    <row r="19244" ht="15" hidden="1" customHeight="1"/>
    <row r="19245" ht="15" hidden="1" customHeight="1"/>
    <row r="19246" ht="15" hidden="1" customHeight="1"/>
    <row r="19247" ht="15" hidden="1" customHeight="1"/>
    <row r="19248" ht="15" hidden="1" customHeight="1"/>
    <row r="19249" ht="15" hidden="1" customHeight="1"/>
    <row r="19250" ht="15" hidden="1" customHeight="1"/>
    <row r="19251" ht="15" hidden="1" customHeight="1"/>
    <row r="19252" ht="15" hidden="1" customHeight="1"/>
    <row r="19253" ht="15" hidden="1" customHeight="1"/>
    <row r="19254" ht="15" hidden="1" customHeight="1"/>
    <row r="19255" ht="15" hidden="1" customHeight="1"/>
    <row r="19256" ht="15" hidden="1" customHeight="1"/>
    <row r="19257" ht="15" hidden="1" customHeight="1"/>
    <row r="19258" ht="15" hidden="1" customHeight="1"/>
    <row r="19259" ht="15" hidden="1" customHeight="1"/>
    <row r="19260" ht="15" hidden="1" customHeight="1"/>
    <row r="19261" ht="15" hidden="1" customHeight="1"/>
    <row r="19262" ht="15" hidden="1" customHeight="1"/>
    <row r="19263" ht="15" hidden="1" customHeight="1"/>
    <row r="19264" ht="15" hidden="1" customHeight="1"/>
    <row r="19265" ht="15" hidden="1" customHeight="1"/>
    <row r="19266" ht="15" hidden="1" customHeight="1"/>
    <row r="19267" ht="15" hidden="1" customHeight="1"/>
    <row r="19268" ht="15" hidden="1" customHeight="1"/>
    <row r="19269" ht="15" hidden="1" customHeight="1"/>
    <row r="19270" ht="15" hidden="1" customHeight="1"/>
    <row r="19271" ht="15" hidden="1" customHeight="1"/>
    <row r="19272" ht="15" hidden="1" customHeight="1"/>
    <row r="19273" ht="15" hidden="1" customHeight="1"/>
    <row r="19274" ht="15" hidden="1" customHeight="1"/>
    <row r="19275" ht="15" hidden="1" customHeight="1"/>
    <row r="19276" ht="15" hidden="1" customHeight="1"/>
    <row r="19277" ht="15" hidden="1" customHeight="1"/>
    <row r="19278" ht="15" hidden="1" customHeight="1"/>
    <row r="19279" ht="15" hidden="1" customHeight="1"/>
    <row r="19280" ht="15" hidden="1" customHeight="1"/>
    <row r="19281" ht="15" hidden="1" customHeight="1"/>
    <row r="19282" ht="15" hidden="1" customHeight="1"/>
    <row r="19283" ht="15" hidden="1" customHeight="1"/>
    <row r="19284" ht="15" hidden="1" customHeight="1"/>
    <row r="19285" ht="15" hidden="1" customHeight="1"/>
    <row r="19286" ht="15" hidden="1" customHeight="1"/>
    <row r="19287" ht="15" hidden="1" customHeight="1"/>
    <row r="19288" ht="15" hidden="1" customHeight="1"/>
    <row r="19289" ht="15" hidden="1" customHeight="1"/>
    <row r="19290" ht="15" hidden="1" customHeight="1"/>
    <row r="19291" ht="15" hidden="1" customHeight="1"/>
    <row r="19292" ht="15" hidden="1" customHeight="1"/>
    <row r="19293" ht="15" hidden="1" customHeight="1"/>
    <row r="19294" ht="15" hidden="1" customHeight="1"/>
    <row r="19295" ht="15" hidden="1" customHeight="1"/>
    <row r="19296" ht="15" hidden="1" customHeight="1"/>
    <row r="19297" ht="15" hidden="1" customHeight="1"/>
    <row r="19298" ht="15" hidden="1" customHeight="1"/>
    <row r="19299" ht="15" hidden="1" customHeight="1"/>
    <row r="19300" ht="15" hidden="1" customHeight="1"/>
    <row r="19301" ht="15" hidden="1" customHeight="1"/>
    <row r="19302" ht="15" hidden="1" customHeight="1"/>
    <row r="19303" ht="15" hidden="1" customHeight="1"/>
    <row r="19304" ht="15" hidden="1" customHeight="1"/>
    <row r="19305" ht="15" hidden="1" customHeight="1"/>
    <row r="19306" ht="15" hidden="1" customHeight="1"/>
    <row r="19307" ht="15" hidden="1" customHeight="1"/>
    <row r="19308" ht="15" hidden="1" customHeight="1"/>
    <row r="19309" ht="15" hidden="1" customHeight="1"/>
    <row r="19310" ht="15" hidden="1" customHeight="1"/>
    <row r="19311" ht="15" hidden="1" customHeight="1"/>
    <row r="19312" ht="15" hidden="1" customHeight="1"/>
    <row r="19313" ht="15" hidden="1" customHeight="1"/>
    <row r="19314" ht="15" hidden="1" customHeight="1"/>
    <row r="19315" ht="15" hidden="1" customHeight="1"/>
    <row r="19316" ht="15" hidden="1" customHeight="1"/>
    <row r="19317" ht="15" hidden="1" customHeight="1"/>
    <row r="19318" ht="15" hidden="1" customHeight="1"/>
    <row r="19319" ht="15" hidden="1" customHeight="1"/>
    <row r="19320" ht="15" hidden="1" customHeight="1"/>
    <row r="19321" ht="15" hidden="1" customHeight="1"/>
    <row r="19322" ht="15" hidden="1" customHeight="1"/>
    <row r="19323" ht="15" hidden="1" customHeight="1"/>
    <row r="19324" ht="15" hidden="1" customHeight="1"/>
    <row r="19325" ht="15" hidden="1" customHeight="1"/>
    <row r="19326" ht="15" hidden="1" customHeight="1"/>
    <row r="19327" ht="15" hidden="1" customHeight="1"/>
    <row r="19328" ht="15" hidden="1" customHeight="1"/>
    <row r="19329" ht="15" hidden="1" customHeight="1"/>
    <row r="19330" ht="15" hidden="1" customHeight="1"/>
    <row r="19331" ht="15" hidden="1" customHeight="1"/>
    <row r="19332" ht="15" hidden="1" customHeight="1"/>
    <row r="19333" ht="15" hidden="1" customHeight="1"/>
    <row r="19334" ht="15" hidden="1" customHeight="1"/>
    <row r="19335" ht="15" hidden="1" customHeight="1"/>
    <row r="19336" ht="15" hidden="1" customHeight="1"/>
    <row r="19337" ht="15" hidden="1" customHeight="1"/>
    <row r="19338" ht="15" hidden="1" customHeight="1"/>
    <row r="19339" ht="15" hidden="1" customHeight="1"/>
    <row r="19340" ht="15" hidden="1" customHeight="1"/>
    <row r="19341" ht="15" hidden="1" customHeight="1"/>
    <row r="19342" ht="15" hidden="1" customHeight="1"/>
    <row r="19343" ht="15" hidden="1" customHeight="1"/>
    <row r="19344" ht="15" hidden="1" customHeight="1"/>
    <row r="19345" ht="15" hidden="1" customHeight="1"/>
    <row r="19346" ht="15" hidden="1" customHeight="1"/>
    <row r="19347" ht="15" hidden="1" customHeight="1"/>
    <row r="19348" ht="15" hidden="1" customHeight="1"/>
    <row r="19349" ht="15" hidden="1" customHeight="1"/>
    <row r="19350" ht="15" hidden="1" customHeight="1"/>
    <row r="19351" ht="15" hidden="1" customHeight="1"/>
    <row r="19352" ht="15" hidden="1" customHeight="1"/>
    <row r="19353" ht="15" hidden="1" customHeight="1"/>
    <row r="19354" ht="15" hidden="1" customHeight="1"/>
    <row r="19355" ht="15" hidden="1" customHeight="1"/>
    <row r="19356" ht="15" hidden="1" customHeight="1"/>
    <row r="19357" ht="15" hidden="1" customHeight="1"/>
    <row r="19358" ht="15" hidden="1" customHeight="1"/>
    <row r="19359" ht="15" hidden="1" customHeight="1"/>
    <row r="19360" ht="15" hidden="1" customHeight="1"/>
    <row r="19361" ht="15" hidden="1" customHeight="1"/>
    <row r="19362" ht="15" hidden="1" customHeight="1"/>
    <row r="19363" ht="15" hidden="1" customHeight="1"/>
    <row r="19364" ht="15" hidden="1" customHeight="1"/>
    <row r="19365" ht="15" hidden="1" customHeight="1"/>
    <row r="19366" ht="15" hidden="1" customHeight="1"/>
    <row r="19367" ht="15" hidden="1" customHeight="1"/>
    <row r="19368" ht="15" hidden="1" customHeight="1"/>
    <row r="19369" ht="15" hidden="1" customHeight="1"/>
    <row r="19370" ht="15" hidden="1" customHeight="1"/>
    <row r="19371" ht="15" hidden="1" customHeight="1"/>
    <row r="19372" ht="15" hidden="1" customHeight="1"/>
    <row r="19373" ht="15" hidden="1" customHeight="1"/>
    <row r="19374" ht="15" hidden="1" customHeight="1"/>
    <row r="19375" ht="15" hidden="1" customHeight="1"/>
    <row r="19376" ht="15" hidden="1" customHeight="1"/>
    <row r="19377" ht="15" hidden="1" customHeight="1"/>
    <row r="19378" ht="15" hidden="1" customHeight="1"/>
    <row r="19379" ht="15" hidden="1" customHeight="1"/>
    <row r="19380" ht="15" hidden="1" customHeight="1"/>
    <row r="19381" ht="15" hidden="1" customHeight="1"/>
    <row r="19382" ht="15" hidden="1" customHeight="1"/>
    <row r="19383" ht="15" hidden="1" customHeight="1"/>
    <row r="19384" ht="15" hidden="1" customHeight="1"/>
    <row r="19385" ht="15" hidden="1" customHeight="1"/>
    <row r="19386" ht="15" hidden="1" customHeight="1"/>
    <row r="19387" ht="15" hidden="1" customHeight="1"/>
    <row r="19388" ht="15" hidden="1" customHeight="1"/>
    <row r="19389" ht="15" hidden="1" customHeight="1"/>
    <row r="19390" ht="15" hidden="1" customHeight="1"/>
    <row r="19391" ht="15" hidden="1" customHeight="1"/>
    <row r="19392" ht="15" hidden="1" customHeight="1"/>
    <row r="19393" ht="15" hidden="1" customHeight="1"/>
    <row r="19394" ht="15" hidden="1" customHeight="1"/>
    <row r="19395" ht="15" hidden="1" customHeight="1"/>
    <row r="19396" ht="15" hidden="1" customHeight="1"/>
    <row r="19397" ht="15" hidden="1" customHeight="1"/>
    <row r="19398" ht="15" hidden="1" customHeight="1"/>
    <row r="19399" ht="15" hidden="1" customHeight="1"/>
    <row r="19400" ht="15" hidden="1" customHeight="1"/>
    <row r="19401" ht="15" hidden="1" customHeight="1"/>
    <row r="19402" ht="15" hidden="1" customHeight="1"/>
    <row r="19403" ht="15" hidden="1" customHeight="1"/>
    <row r="19404" ht="15" hidden="1" customHeight="1"/>
    <row r="19405" ht="15" hidden="1" customHeight="1"/>
    <row r="19406" ht="15" hidden="1" customHeight="1"/>
    <row r="19407" ht="15" hidden="1" customHeight="1"/>
    <row r="19408" ht="15" hidden="1" customHeight="1"/>
    <row r="19409" ht="15" hidden="1" customHeight="1"/>
    <row r="19410" ht="15" hidden="1" customHeight="1"/>
    <row r="19411" ht="15" hidden="1" customHeight="1"/>
    <row r="19412" ht="15" hidden="1" customHeight="1"/>
    <row r="19413" ht="15" hidden="1" customHeight="1"/>
    <row r="19414" ht="15" hidden="1" customHeight="1"/>
    <row r="19415" ht="15" hidden="1" customHeight="1"/>
    <row r="19416" ht="15" hidden="1" customHeight="1"/>
    <row r="19417" ht="15" hidden="1" customHeight="1"/>
    <row r="19418" ht="15" hidden="1" customHeight="1"/>
    <row r="19419" ht="15" hidden="1" customHeight="1"/>
    <row r="19420" ht="15" hidden="1" customHeight="1"/>
    <row r="19421" ht="15" hidden="1" customHeight="1"/>
    <row r="19422" ht="15" hidden="1" customHeight="1"/>
    <row r="19423" ht="15" hidden="1" customHeight="1"/>
    <row r="19424" ht="15" hidden="1" customHeight="1"/>
    <row r="19425" ht="15" hidden="1" customHeight="1"/>
    <row r="19426" ht="15" hidden="1" customHeight="1"/>
    <row r="19427" ht="15" hidden="1" customHeight="1"/>
    <row r="19428" ht="15" hidden="1" customHeight="1"/>
    <row r="19429" ht="15" hidden="1" customHeight="1"/>
    <row r="19430" ht="15" hidden="1" customHeight="1"/>
    <row r="19431" ht="15" hidden="1" customHeight="1"/>
    <row r="19432" ht="15" hidden="1" customHeight="1"/>
    <row r="19433" ht="15" hidden="1" customHeight="1"/>
    <row r="19434" ht="15" hidden="1" customHeight="1"/>
    <row r="19435" ht="15" hidden="1" customHeight="1"/>
    <row r="19436" ht="15" hidden="1" customHeight="1"/>
    <row r="19437" ht="15" hidden="1" customHeight="1"/>
    <row r="19438" ht="15" hidden="1" customHeight="1"/>
    <row r="19439" ht="15" hidden="1" customHeight="1"/>
    <row r="19440" ht="15" hidden="1" customHeight="1"/>
    <row r="19441" ht="15" hidden="1" customHeight="1"/>
    <row r="19442" ht="15" hidden="1" customHeight="1"/>
    <row r="19443" ht="15" hidden="1" customHeight="1"/>
    <row r="19444" ht="15" hidden="1" customHeight="1"/>
    <row r="19445" ht="15" hidden="1" customHeight="1"/>
    <row r="19446" ht="15" hidden="1" customHeight="1"/>
    <row r="19447" ht="15" hidden="1" customHeight="1"/>
    <row r="19448" ht="15" hidden="1" customHeight="1"/>
    <row r="19449" ht="15" hidden="1" customHeight="1"/>
    <row r="19450" ht="15" hidden="1" customHeight="1"/>
    <row r="19451" ht="15" hidden="1" customHeight="1"/>
    <row r="19452" ht="15" hidden="1" customHeight="1"/>
    <row r="19453" ht="15" hidden="1" customHeight="1"/>
    <row r="19454" ht="15" hidden="1" customHeight="1"/>
    <row r="19455" ht="15" hidden="1" customHeight="1"/>
    <row r="19456" ht="15" hidden="1" customHeight="1"/>
    <row r="19457" ht="15" hidden="1" customHeight="1"/>
    <row r="19458" ht="15" hidden="1" customHeight="1"/>
    <row r="19459" ht="15" hidden="1" customHeight="1"/>
    <row r="19460" ht="15" hidden="1" customHeight="1"/>
    <row r="19461" ht="15" hidden="1" customHeight="1"/>
    <row r="19462" ht="15" hidden="1" customHeight="1"/>
    <row r="19463" ht="15" hidden="1" customHeight="1"/>
    <row r="19464" ht="15" hidden="1" customHeight="1"/>
    <row r="19465" ht="15" hidden="1" customHeight="1"/>
    <row r="19466" ht="15" hidden="1" customHeight="1"/>
    <row r="19467" ht="15" hidden="1" customHeight="1"/>
    <row r="19468" ht="15" hidden="1" customHeight="1"/>
    <row r="19469" ht="15" hidden="1" customHeight="1"/>
    <row r="19470" ht="15" hidden="1" customHeight="1"/>
    <row r="19471" ht="15" hidden="1" customHeight="1"/>
    <row r="19472" ht="15" hidden="1" customHeight="1"/>
    <row r="19473" ht="15" hidden="1" customHeight="1"/>
    <row r="19474" ht="15" hidden="1" customHeight="1"/>
    <row r="19475" ht="15" hidden="1" customHeight="1"/>
    <row r="19476" ht="15" hidden="1" customHeight="1"/>
    <row r="19477" ht="15" hidden="1" customHeight="1"/>
    <row r="19478" ht="15" hidden="1" customHeight="1"/>
    <row r="19479" ht="15" hidden="1" customHeight="1"/>
    <row r="19480" ht="15" hidden="1" customHeight="1"/>
    <row r="19481" ht="15" hidden="1" customHeight="1"/>
    <row r="19482" ht="15" hidden="1" customHeight="1"/>
    <row r="19483" ht="15" hidden="1" customHeight="1"/>
    <row r="19484" ht="15" hidden="1" customHeight="1"/>
    <row r="19485" ht="15" hidden="1" customHeight="1"/>
    <row r="19486" ht="15" hidden="1" customHeight="1"/>
    <row r="19487" ht="15" hidden="1" customHeight="1"/>
    <row r="19488" ht="15" hidden="1" customHeight="1"/>
    <row r="19489" ht="15" hidden="1" customHeight="1"/>
    <row r="19490" ht="15" hidden="1" customHeight="1"/>
    <row r="19491" ht="15" hidden="1" customHeight="1"/>
    <row r="19492" ht="15" hidden="1" customHeight="1"/>
    <row r="19493" ht="15" hidden="1" customHeight="1"/>
    <row r="19494" ht="15" hidden="1" customHeight="1"/>
    <row r="19495" ht="15" hidden="1" customHeight="1"/>
    <row r="19496" ht="15" hidden="1" customHeight="1"/>
    <row r="19497" ht="15" hidden="1" customHeight="1"/>
    <row r="19498" ht="15" hidden="1" customHeight="1"/>
    <row r="19499" ht="15" hidden="1" customHeight="1"/>
    <row r="19500" ht="15" hidden="1" customHeight="1"/>
    <row r="19501" ht="15" hidden="1" customHeight="1"/>
    <row r="19502" ht="15" hidden="1" customHeight="1"/>
    <row r="19503" ht="15" hidden="1" customHeight="1"/>
    <row r="19504" ht="15" hidden="1" customHeight="1"/>
    <row r="19505" ht="15" hidden="1" customHeight="1"/>
    <row r="19506" ht="15" hidden="1" customHeight="1"/>
    <row r="19507" ht="15" hidden="1" customHeight="1"/>
    <row r="19508" ht="15" hidden="1" customHeight="1"/>
    <row r="19509" ht="15" hidden="1" customHeight="1"/>
    <row r="19510" ht="15" hidden="1" customHeight="1"/>
    <row r="19511" ht="15" hidden="1" customHeight="1"/>
    <row r="19512" ht="15" hidden="1" customHeight="1"/>
    <row r="19513" ht="15" hidden="1" customHeight="1"/>
    <row r="19514" ht="15" hidden="1" customHeight="1"/>
    <row r="19515" ht="15" hidden="1" customHeight="1"/>
    <row r="19516" ht="15" hidden="1" customHeight="1"/>
    <row r="19517" ht="15" hidden="1" customHeight="1"/>
    <row r="19518" ht="15" hidden="1" customHeight="1"/>
    <row r="19519" ht="15" hidden="1" customHeight="1"/>
    <row r="19520" ht="15" hidden="1" customHeight="1"/>
    <row r="19521" ht="15" hidden="1" customHeight="1"/>
    <row r="19522" ht="15" hidden="1" customHeight="1"/>
    <row r="19523" ht="15" hidden="1" customHeight="1"/>
    <row r="19524" ht="15" hidden="1" customHeight="1"/>
    <row r="19525" ht="15" hidden="1" customHeight="1"/>
    <row r="19526" ht="15" hidden="1" customHeight="1"/>
    <row r="19527" ht="15" hidden="1" customHeight="1"/>
    <row r="19528" ht="15" hidden="1" customHeight="1"/>
    <row r="19529" ht="15" hidden="1" customHeight="1"/>
    <row r="19530" ht="15" hidden="1" customHeight="1"/>
    <row r="19531" ht="15" hidden="1" customHeight="1"/>
    <row r="19532" ht="15" hidden="1" customHeight="1"/>
    <row r="19533" ht="15" hidden="1" customHeight="1"/>
    <row r="19534" ht="15" hidden="1" customHeight="1"/>
    <row r="19535" ht="15" hidden="1" customHeight="1"/>
    <row r="19536" ht="15" hidden="1" customHeight="1"/>
    <row r="19537" ht="15" hidden="1" customHeight="1"/>
    <row r="19538" ht="15" hidden="1" customHeight="1"/>
    <row r="19539" ht="15" hidden="1" customHeight="1"/>
    <row r="19540" ht="15" hidden="1" customHeight="1"/>
    <row r="19541" ht="15" hidden="1" customHeight="1"/>
    <row r="19542" ht="15" hidden="1" customHeight="1"/>
    <row r="19543" ht="15" hidden="1" customHeight="1"/>
    <row r="19544" ht="15" hidden="1" customHeight="1"/>
    <row r="19545" ht="15" hidden="1" customHeight="1"/>
    <row r="19546" ht="15" hidden="1" customHeight="1"/>
    <row r="19547" ht="15" hidden="1" customHeight="1"/>
    <row r="19548" ht="15" hidden="1" customHeight="1"/>
    <row r="19549" ht="15" hidden="1" customHeight="1"/>
    <row r="19550" ht="15" hidden="1" customHeight="1"/>
    <row r="19551" ht="15" hidden="1" customHeight="1"/>
    <row r="19552" ht="15" hidden="1" customHeight="1"/>
    <row r="19553" ht="15" hidden="1" customHeight="1"/>
    <row r="19554" ht="15" hidden="1" customHeight="1"/>
    <row r="19555" ht="15" hidden="1" customHeight="1"/>
    <row r="19556" ht="15" hidden="1" customHeight="1"/>
    <row r="19557" ht="15" hidden="1" customHeight="1"/>
    <row r="19558" ht="15" hidden="1" customHeight="1"/>
    <row r="19559" ht="15" hidden="1" customHeight="1"/>
    <row r="19560" ht="15" hidden="1" customHeight="1"/>
    <row r="19561" ht="15" hidden="1" customHeight="1"/>
    <row r="19562" ht="15" hidden="1" customHeight="1"/>
    <row r="19563" ht="15" hidden="1" customHeight="1"/>
    <row r="19564" ht="15" hidden="1" customHeight="1"/>
    <row r="19565" ht="15" hidden="1" customHeight="1"/>
    <row r="19566" ht="15" hidden="1" customHeight="1"/>
    <row r="19567" ht="15" hidden="1" customHeight="1"/>
    <row r="19568" ht="15" hidden="1" customHeight="1"/>
    <row r="19569" ht="15" hidden="1" customHeight="1"/>
    <row r="19570" ht="15" hidden="1" customHeight="1"/>
    <row r="19571" ht="15" hidden="1" customHeight="1"/>
    <row r="19572" ht="15" hidden="1" customHeight="1"/>
    <row r="19573" ht="15" hidden="1" customHeight="1"/>
    <row r="19574" ht="15" hidden="1" customHeight="1"/>
    <row r="19575" ht="15" hidden="1" customHeight="1"/>
    <row r="19576" ht="15" hidden="1" customHeight="1"/>
    <row r="19577" ht="15" hidden="1" customHeight="1"/>
    <row r="19578" ht="15" hidden="1" customHeight="1"/>
    <row r="19579" ht="15" hidden="1" customHeight="1"/>
    <row r="19580" ht="15" hidden="1" customHeight="1"/>
    <row r="19581" ht="15" hidden="1" customHeight="1"/>
    <row r="19582" ht="15" hidden="1" customHeight="1"/>
    <row r="19583" ht="15" hidden="1" customHeight="1"/>
    <row r="19584" ht="15" hidden="1" customHeight="1"/>
    <row r="19585" ht="15" hidden="1" customHeight="1"/>
    <row r="19586" ht="15" hidden="1" customHeight="1"/>
    <row r="19587" ht="15" hidden="1" customHeight="1"/>
    <row r="19588" ht="15" hidden="1" customHeight="1"/>
    <row r="19589" ht="15" hidden="1" customHeight="1"/>
    <row r="19590" ht="15" hidden="1" customHeight="1"/>
    <row r="19591" ht="15" hidden="1" customHeight="1"/>
    <row r="19592" ht="15" hidden="1" customHeight="1"/>
    <row r="19593" ht="15" hidden="1" customHeight="1"/>
    <row r="19594" ht="15" hidden="1" customHeight="1"/>
    <row r="19595" ht="15" hidden="1" customHeight="1"/>
    <row r="19596" ht="15" hidden="1" customHeight="1"/>
    <row r="19597" ht="15" hidden="1" customHeight="1"/>
    <row r="19598" ht="15" hidden="1" customHeight="1"/>
    <row r="19599" ht="15" hidden="1" customHeight="1"/>
    <row r="19600" ht="15" hidden="1" customHeight="1"/>
    <row r="19601" ht="15" hidden="1" customHeight="1"/>
    <row r="19602" ht="15" hidden="1" customHeight="1"/>
    <row r="19603" ht="15" hidden="1" customHeight="1"/>
    <row r="19604" ht="15" hidden="1" customHeight="1"/>
    <row r="19605" ht="15" hidden="1" customHeight="1"/>
    <row r="19606" ht="15" hidden="1" customHeight="1"/>
    <row r="19607" ht="15" hidden="1" customHeight="1"/>
    <row r="19608" ht="15" hidden="1" customHeight="1"/>
    <row r="19609" ht="15" hidden="1" customHeight="1"/>
    <row r="19610" ht="15" hidden="1" customHeight="1"/>
    <row r="19611" ht="15" hidden="1" customHeight="1"/>
    <row r="19612" ht="15" hidden="1" customHeight="1"/>
    <row r="19613" ht="15" hidden="1" customHeight="1"/>
    <row r="19614" ht="15" hidden="1" customHeight="1"/>
    <row r="19615" ht="15" hidden="1" customHeight="1"/>
    <row r="19616" ht="15" hidden="1" customHeight="1"/>
    <row r="19617" ht="15" hidden="1" customHeight="1"/>
    <row r="19618" ht="15" hidden="1" customHeight="1"/>
    <row r="19619" ht="15" hidden="1" customHeight="1"/>
    <row r="19620" ht="15" hidden="1" customHeight="1"/>
    <row r="19621" ht="15" hidden="1" customHeight="1"/>
    <row r="19622" ht="15" hidden="1" customHeight="1"/>
    <row r="19623" ht="15" hidden="1" customHeight="1"/>
    <row r="19624" ht="15" hidden="1" customHeight="1"/>
    <row r="19625" ht="15" hidden="1" customHeight="1"/>
    <row r="19626" ht="15" hidden="1" customHeight="1"/>
    <row r="19627" ht="15" hidden="1" customHeight="1"/>
    <row r="19628" ht="15" hidden="1" customHeight="1"/>
    <row r="19629" ht="15" hidden="1" customHeight="1"/>
    <row r="19630" ht="15" hidden="1" customHeight="1"/>
    <row r="19631" ht="15" hidden="1" customHeight="1"/>
    <row r="19632" ht="15" hidden="1" customHeight="1"/>
    <row r="19633" ht="15" hidden="1" customHeight="1"/>
    <row r="19634" ht="15" hidden="1" customHeight="1"/>
    <row r="19635" ht="15" hidden="1" customHeight="1"/>
    <row r="19636" ht="15" hidden="1" customHeight="1"/>
    <row r="19637" ht="15" hidden="1" customHeight="1"/>
    <row r="19638" ht="15" hidden="1" customHeight="1"/>
    <row r="19639" ht="15" hidden="1" customHeight="1"/>
    <row r="19640" ht="15" hidden="1" customHeight="1"/>
    <row r="19641" ht="15" hidden="1" customHeight="1"/>
    <row r="19642" ht="15" hidden="1" customHeight="1"/>
    <row r="19643" ht="15" hidden="1" customHeight="1"/>
    <row r="19644" ht="15" hidden="1" customHeight="1"/>
    <row r="19645" ht="15" hidden="1" customHeight="1"/>
    <row r="19646" ht="15" hidden="1" customHeight="1"/>
    <row r="19647" ht="15" hidden="1" customHeight="1"/>
    <row r="19648" ht="15" hidden="1" customHeight="1"/>
    <row r="19649" ht="15" hidden="1" customHeight="1"/>
    <row r="19650" ht="15" hidden="1" customHeight="1"/>
    <row r="19651" ht="15" hidden="1" customHeight="1"/>
    <row r="19652" ht="15" hidden="1" customHeight="1"/>
    <row r="19653" ht="15" hidden="1" customHeight="1"/>
    <row r="19654" ht="15" hidden="1" customHeight="1"/>
    <row r="19655" ht="15" hidden="1" customHeight="1"/>
    <row r="19656" ht="15" hidden="1" customHeight="1"/>
    <row r="19657" ht="15" hidden="1" customHeight="1"/>
    <row r="19658" ht="15" hidden="1" customHeight="1"/>
    <row r="19659" ht="15" hidden="1" customHeight="1"/>
    <row r="19660" ht="15" hidden="1" customHeight="1"/>
    <row r="19661" ht="15" hidden="1" customHeight="1"/>
    <row r="19662" ht="15" hidden="1" customHeight="1"/>
    <row r="19663" ht="15" hidden="1" customHeight="1"/>
    <row r="19664" ht="15" hidden="1" customHeight="1"/>
    <row r="19665" ht="15" hidden="1" customHeight="1"/>
    <row r="19666" ht="15" hidden="1" customHeight="1"/>
    <row r="19667" ht="15" hidden="1" customHeight="1"/>
    <row r="19668" ht="15" hidden="1" customHeight="1"/>
    <row r="19669" ht="15" hidden="1" customHeight="1"/>
    <row r="19670" ht="15" hidden="1" customHeight="1"/>
    <row r="19671" ht="15" hidden="1" customHeight="1"/>
    <row r="19672" ht="15" hidden="1" customHeight="1"/>
    <row r="19673" ht="15" hidden="1" customHeight="1"/>
    <row r="19674" ht="15" hidden="1" customHeight="1"/>
    <row r="19675" ht="15" hidden="1" customHeight="1"/>
    <row r="19676" ht="15" hidden="1" customHeight="1"/>
    <row r="19677" ht="15" hidden="1" customHeight="1"/>
    <row r="19678" ht="15" hidden="1" customHeight="1"/>
    <row r="19679" ht="15" hidden="1" customHeight="1"/>
    <row r="19680" ht="15" hidden="1" customHeight="1"/>
    <row r="19681" ht="15" hidden="1" customHeight="1"/>
    <row r="19682" ht="15" hidden="1" customHeight="1"/>
    <row r="19683" ht="15" hidden="1" customHeight="1"/>
    <row r="19684" ht="15" hidden="1" customHeight="1"/>
    <row r="19685" ht="15" hidden="1" customHeight="1"/>
    <row r="19686" ht="15" hidden="1" customHeight="1"/>
    <row r="19687" ht="15" hidden="1" customHeight="1"/>
    <row r="19688" ht="15" hidden="1" customHeight="1"/>
    <row r="19689" ht="15" hidden="1" customHeight="1"/>
    <row r="19690" ht="15" hidden="1" customHeight="1"/>
    <row r="19691" ht="15" hidden="1" customHeight="1"/>
    <row r="19692" ht="15" hidden="1" customHeight="1"/>
    <row r="19693" ht="15" hidden="1" customHeight="1"/>
    <row r="19694" ht="15" hidden="1" customHeight="1"/>
    <row r="19695" ht="15" hidden="1" customHeight="1"/>
    <row r="19696" ht="15" hidden="1" customHeight="1"/>
    <row r="19697" ht="15" hidden="1" customHeight="1"/>
    <row r="19698" ht="15" hidden="1" customHeight="1"/>
    <row r="19699" ht="15" hidden="1" customHeight="1"/>
    <row r="19700" ht="15" hidden="1" customHeight="1"/>
    <row r="19701" ht="15" hidden="1" customHeight="1"/>
    <row r="19702" ht="15" hidden="1" customHeight="1"/>
    <row r="19703" ht="15" hidden="1" customHeight="1"/>
    <row r="19704" ht="15" hidden="1" customHeight="1"/>
    <row r="19705" ht="15" hidden="1" customHeight="1"/>
    <row r="19706" ht="15" hidden="1" customHeight="1"/>
    <row r="19707" ht="15" hidden="1" customHeight="1"/>
    <row r="19708" ht="15" hidden="1" customHeight="1"/>
    <row r="19709" ht="15" hidden="1" customHeight="1"/>
    <row r="19710" ht="15" hidden="1" customHeight="1"/>
    <row r="19711" ht="15" hidden="1" customHeight="1"/>
    <row r="19712" ht="15" hidden="1" customHeight="1"/>
    <row r="19713" ht="15" hidden="1" customHeight="1"/>
    <row r="19714" ht="15" hidden="1" customHeight="1"/>
    <row r="19715" ht="15" hidden="1" customHeight="1"/>
    <row r="19716" ht="15" hidden="1" customHeight="1"/>
    <row r="19717" ht="15" hidden="1" customHeight="1"/>
    <row r="19718" ht="15" hidden="1" customHeight="1"/>
    <row r="19719" ht="15" hidden="1" customHeight="1"/>
    <row r="19720" ht="15" hidden="1" customHeight="1"/>
    <row r="19721" ht="15" hidden="1" customHeight="1"/>
    <row r="19722" ht="15" hidden="1" customHeight="1"/>
    <row r="19723" ht="15" hidden="1" customHeight="1"/>
    <row r="19724" ht="15" hidden="1" customHeight="1"/>
    <row r="19725" ht="15" hidden="1" customHeight="1"/>
    <row r="19726" ht="15" hidden="1" customHeight="1"/>
    <row r="19727" ht="15" hidden="1" customHeight="1"/>
    <row r="19728" ht="15" hidden="1" customHeight="1"/>
    <row r="19729" ht="15" hidden="1" customHeight="1"/>
    <row r="19730" ht="15" hidden="1" customHeight="1"/>
    <row r="19731" ht="15" hidden="1" customHeight="1"/>
    <row r="19732" ht="15" hidden="1" customHeight="1"/>
    <row r="19733" ht="15" hidden="1" customHeight="1"/>
    <row r="19734" ht="15" hidden="1" customHeight="1"/>
    <row r="19735" ht="15" hidden="1" customHeight="1"/>
    <row r="19736" ht="15" hidden="1" customHeight="1"/>
    <row r="19737" ht="15" hidden="1" customHeight="1"/>
    <row r="19738" ht="15" hidden="1" customHeight="1"/>
    <row r="19739" ht="15" hidden="1" customHeight="1"/>
    <row r="19740" ht="15" hidden="1" customHeight="1"/>
    <row r="19741" ht="15" hidden="1" customHeight="1"/>
    <row r="19742" ht="15" hidden="1" customHeight="1"/>
    <row r="19743" ht="15" hidden="1" customHeight="1"/>
    <row r="19744" ht="15" hidden="1" customHeight="1"/>
    <row r="19745" ht="15" hidden="1" customHeight="1"/>
    <row r="19746" ht="15" hidden="1" customHeight="1"/>
    <row r="19747" ht="15" hidden="1" customHeight="1"/>
    <row r="19748" ht="15" hidden="1" customHeight="1"/>
    <row r="19749" ht="15" hidden="1" customHeight="1"/>
    <row r="19750" ht="15" hidden="1" customHeight="1"/>
    <row r="19751" ht="15" hidden="1" customHeight="1"/>
    <row r="19752" ht="15" hidden="1" customHeight="1"/>
    <row r="19753" ht="15" hidden="1" customHeight="1"/>
    <row r="19754" ht="15" hidden="1" customHeight="1"/>
    <row r="19755" ht="15" hidden="1" customHeight="1"/>
    <row r="19756" ht="15" hidden="1" customHeight="1"/>
    <row r="19757" ht="15" hidden="1" customHeight="1"/>
    <row r="19758" ht="15" hidden="1" customHeight="1"/>
    <row r="19759" ht="15" hidden="1" customHeight="1"/>
    <row r="19760" ht="15" hidden="1" customHeight="1"/>
    <row r="19761" ht="15" hidden="1" customHeight="1"/>
    <row r="19762" ht="15" hidden="1" customHeight="1"/>
    <row r="19763" ht="15" hidden="1" customHeight="1"/>
    <row r="19764" ht="15" hidden="1" customHeight="1"/>
    <row r="19765" ht="15" hidden="1" customHeight="1"/>
    <row r="19766" ht="15" hidden="1" customHeight="1"/>
    <row r="19767" ht="15" hidden="1" customHeight="1"/>
    <row r="19768" ht="15" hidden="1" customHeight="1"/>
    <row r="19769" ht="15" hidden="1" customHeight="1"/>
    <row r="19770" ht="15" hidden="1" customHeight="1"/>
    <row r="19771" ht="15" hidden="1" customHeight="1"/>
    <row r="19772" ht="15" hidden="1" customHeight="1"/>
    <row r="19773" ht="15" hidden="1" customHeight="1"/>
    <row r="19774" ht="15" hidden="1" customHeight="1"/>
    <row r="19775" ht="15" hidden="1" customHeight="1"/>
    <row r="19776" ht="15" hidden="1" customHeight="1"/>
    <row r="19777" ht="15" hidden="1" customHeight="1"/>
    <row r="19778" ht="15" hidden="1" customHeight="1"/>
    <row r="19779" ht="15" hidden="1" customHeight="1"/>
    <row r="19780" ht="15" hidden="1" customHeight="1"/>
    <row r="19781" ht="15" hidden="1" customHeight="1"/>
    <row r="19782" ht="15" hidden="1" customHeight="1"/>
    <row r="19783" ht="15" hidden="1" customHeight="1"/>
    <row r="19784" ht="15" hidden="1" customHeight="1"/>
    <row r="19785" ht="15" hidden="1" customHeight="1"/>
    <row r="19786" ht="15" hidden="1" customHeight="1"/>
    <row r="19787" ht="15" hidden="1" customHeight="1"/>
    <row r="19788" ht="15" hidden="1" customHeight="1"/>
    <row r="19789" ht="15" hidden="1" customHeight="1"/>
    <row r="19790" ht="15" hidden="1" customHeight="1"/>
    <row r="19791" ht="15" hidden="1" customHeight="1"/>
    <row r="19792" ht="15" hidden="1" customHeight="1"/>
    <row r="19793" ht="15" hidden="1" customHeight="1"/>
    <row r="19794" ht="15" hidden="1" customHeight="1"/>
    <row r="19795" ht="15" hidden="1" customHeight="1"/>
    <row r="19796" ht="15" hidden="1" customHeight="1"/>
    <row r="19797" ht="15" hidden="1" customHeight="1"/>
    <row r="19798" ht="15" hidden="1" customHeight="1"/>
    <row r="19799" ht="15" hidden="1" customHeight="1"/>
    <row r="19800" ht="15" hidden="1" customHeight="1"/>
    <row r="19801" ht="15" hidden="1" customHeight="1"/>
    <row r="19802" ht="15" hidden="1" customHeight="1"/>
    <row r="19803" ht="15" hidden="1" customHeight="1"/>
    <row r="19804" ht="15" hidden="1" customHeight="1"/>
    <row r="19805" ht="15" hidden="1" customHeight="1"/>
    <row r="19806" ht="15" hidden="1" customHeight="1"/>
    <row r="19807" ht="15" hidden="1" customHeight="1"/>
    <row r="19808" ht="15" hidden="1" customHeight="1"/>
    <row r="19809" ht="15" hidden="1" customHeight="1"/>
    <row r="19810" ht="15" hidden="1" customHeight="1"/>
    <row r="19811" ht="15" hidden="1" customHeight="1"/>
    <row r="19812" ht="15" hidden="1" customHeight="1"/>
    <row r="19813" ht="15" hidden="1" customHeight="1"/>
    <row r="19814" ht="15" hidden="1" customHeight="1"/>
    <row r="19815" ht="15" hidden="1" customHeight="1"/>
    <row r="19816" ht="15" hidden="1" customHeight="1"/>
    <row r="19817" ht="15" hidden="1" customHeight="1"/>
    <row r="19818" ht="15" hidden="1" customHeight="1"/>
    <row r="19819" ht="15" hidden="1" customHeight="1"/>
    <row r="19820" ht="15" hidden="1" customHeight="1"/>
    <row r="19821" ht="15" hidden="1" customHeight="1"/>
    <row r="19822" ht="15" hidden="1" customHeight="1"/>
    <row r="19823" ht="15" hidden="1" customHeight="1"/>
    <row r="19824" ht="15" hidden="1" customHeight="1"/>
    <row r="19825" ht="15" hidden="1" customHeight="1"/>
    <row r="19826" ht="15" hidden="1" customHeight="1"/>
    <row r="19827" ht="15" hidden="1" customHeight="1"/>
    <row r="19828" ht="15" hidden="1" customHeight="1"/>
    <row r="19829" ht="15" hidden="1" customHeight="1"/>
    <row r="19830" ht="15" hidden="1" customHeight="1"/>
    <row r="19831" ht="15" hidden="1" customHeight="1"/>
    <row r="19832" ht="15" hidden="1" customHeight="1"/>
    <row r="19833" ht="15" hidden="1" customHeight="1"/>
    <row r="19834" ht="15" hidden="1" customHeight="1"/>
    <row r="19835" ht="15" hidden="1" customHeight="1"/>
    <row r="19836" ht="15" hidden="1" customHeight="1"/>
    <row r="19837" ht="15" hidden="1" customHeight="1"/>
    <row r="19838" ht="15" hidden="1" customHeight="1"/>
    <row r="19839" ht="15" hidden="1" customHeight="1"/>
    <row r="19840" ht="15" hidden="1" customHeight="1"/>
    <row r="19841" ht="15" hidden="1" customHeight="1"/>
    <row r="19842" ht="15" hidden="1" customHeight="1"/>
    <row r="19843" ht="15" hidden="1" customHeight="1"/>
    <row r="19844" ht="15" hidden="1" customHeight="1"/>
    <row r="19845" ht="15" hidden="1" customHeight="1"/>
    <row r="19846" ht="15" hidden="1" customHeight="1"/>
    <row r="19847" ht="15" hidden="1" customHeight="1"/>
    <row r="19848" ht="15" hidden="1" customHeight="1"/>
    <row r="19849" ht="15" hidden="1" customHeight="1"/>
    <row r="19850" ht="15" hidden="1" customHeight="1"/>
    <row r="19851" ht="15" hidden="1" customHeight="1"/>
    <row r="19852" ht="15" hidden="1" customHeight="1"/>
    <row r="19853" ht="15" hidden="1" customHeight="1"/>
    <row r="19854" ht="15" hidden="1" customHeight="1"/>
    <row r="19855" ht="15" hidden="1" customHeight="1"/>
    <row r="19856" ht="15" hidden="1" customHeight="1"/>
    <row r="19857" ht="15" hidden="1" customHeight="1"/>
    <row r="19858" ht="15" hidden="1" customHeight="1"/>
    <row r="19859" ht="15" hidden="1" customHeight="1"/>
    <row r="19860" ht="15" hidden="1" customHeight="1"/>
    <row r="19861" ht="15" hidden="1" customHeight="1"/>
    <row r="19862" ht="15" hidden="1" customHeight="1"/>
    <row r="19863" ht="15" hidden="1" customHeight="1"/>
    <row r="19864" ht="15" hidden="1" customHeight="1"/>
    <row r="19865" ht="15" hidden="1" customHeight="1"/>
    <row r="19866" ht="15" hidden="1" customHeight="1"/>
    <row r="19867" ht="15" hidden="1" customHeight="1"/>
    <row r="19868" ht="15" hidden="1" customHeight="1"/>
    <row r="19869" ht="15" hidden="1" customHeight="1"/>
    <row r="19870" ht="15" hidden="1" customHeight="1"/>
    <row r="19871" ht="15" hidden="1" customHeight="1"/>
    <row r="19872" ht="15" hidden="1" customHeight="1"/>
    <row r="19873" ht="15" hidden="1" customHeight="1"/>
    <row r="19874" ht="15" hidden="1" customHeight="1"/>
    <row r="19875" ht="15" hidden="1" customHeight="1"/>
    <row r="19876" ht="15" hidden="1" customHeight="1"/>
    <row r="19877" ht="15" hidden="1" customHeight="1"/>
    <row r="19878" ht="15" hidden="1" customHeight="1"/>
    <row r="19879" ht="15" hidden="1" customHeight="1"/>
    <row r="19880" ht="15" hidden="1" customHeight="1"/>
    <row r="19881" ht="15" hidden="1" customHeight="1"/>
    <row r="19882" ht="15" hidden="1" customHeight="1"/>
    <row r="19883" ht="15" hidden="1" customHeight="1"/>
    <row r="19884" ht="15" hidden="1" customHeight="1"/>
    <row r="19885" ht="15" hidden="1" customHeight="1"/>
    <row r="19886" ht="15" hidden="1" customHeight="1"/>
    <row r="19887" ht="15" hidden="1" customHeight="1"/>
    <row r="19888" ht="15" hidden="1" customHeight="1"/>
    <row r="19889" ht="15" hidden="1" customHeight="1"/>
    <row r="19890" ht="15" hidden="1" customHeight="1"/>
    <row r="19891" ht="15" hidden="1" customHeight="1"/>
    <row r="19892" ht="15" hidden="1" customHeight="1"/>
    <row r="19893" ht="15" hidden="1" customHeight="1"/>
    <row r="19894" ht="15" hidden="1" customHeight="1"/>
    <row r="19895" ht="15" hidden="1" customHeight="1"/>
    <row r="19896" ht="15" hidden="1" customHeight="1"/>
    <row r="19897" ht="15" hidden="1" customHeight="1"/>
    <row r="19898" ht="15" hidden="1" customHeight="1"/>
    <row r="19899" ht="15" hidden="1" customHeight="1"/>
    <row r="19900" ht="15" hidden="1" customHeight="1"/>
    <row r="19901" ht="15" hidden="1" customHeight="1"/>
    <row r="19902" ht="15" hidden="1" customHeight="1"/>
    <row r="19903" ht="15" hidden="1" customHeight="1"/>
    <row r="19904" ht="15" hidden="1" customHeight="1"/>
    <row r="19905" ht="15" hidden="1" customHeight="1"/>
    <row r="19906" ht="15" hidden="1" customHeight="1"/>
    <row r="19907" ht="15" hidden="1" customHeight="1"/>
    <row r="19908" ht="15" hidden="1" customHeight="1"/>
    <row r="19909" ht="15" hidden="1" customHeight="1"/>
    <row r="19910" ht="15" hidden="1" customHeight="1"/>
    <row r="19911" ht="15" hidden="1" customHeight="1"/>
    <row r="19912" ht="15" hidden="1" customHeight="1"/>
    <row r="19913" ht="15" hidden="1" customHeight="1"/>
    <row r="19914" ht="15" hidden="1" customHeight="1"/>
    <row r="19915" ht="15" hidden="1" customHeight="1"/>
    <row r="19916" ht="15" hidden="1" customHeight="1"/>
    <row r="19917" ht="15" hidden="1" customHeight="1"/>
    <row r="19918" ht="15" hidden="1" customHeight="1"/>
    <row r="19919" ht="15" hidden="1" customHeight="1"/>
    <row r="19920" ht="15" hidden="1" customHeight="1"/>
    <row r="19921" ht="15" hidden="1" customHeight="1"/>
    <row r="19922" ht="15" hidden="1" customHeight="1"/>
    <row r="19923" ht="15" hidden="1" customHeight="1"/>
    <row r="19924" ht="15" hidden="1" customHeight="1"/>
    <row r="19925" ht="15" hidden="1" customHeight="1"/>
    <row r="19926" ht="15" hidden="1" customHeight="1"/>
    <row r="19927" ht="15" hidden="1" customHeight="1"/>
    <row r="19928" ht="15" hidden="1" customHeight="1"/>
    <row r="19929" ht="15" hidden="1" customHeight="1"/>
    <row r="19930" ht="15" hidden="1" customHeight="1"/>
    <row r="19931" ht="15" hidden="1" customHeight="1"/>
    <row r="19932" ht="15" hidden="1" customHeight="1"/>
    <row r="19933" ht="15" hidden="1" customHeight="1"/>
    <row r="19934" ht="15" hidden="1" customHeight="1"/>
    <row r="19935" ht="15" hidden="1" customHeight="1"/>
    <row r="19936" ht="15" hidden="1" customHeight="1"/>
    <row r="19937" ht="15" hidden="1" customHeight="1"/>
    <row r="19938" ht="15" hidden="1" customHeight="1"/>
    <row r="19939" ht="15" hidden="1" customHeight="1"/>
    <row r="19940" ht="15" hidden="1" customHeight="1"/>
    <row r="19941" ht="15" hidden="1" customHeight="1"/>
    <row r="19942" ht="15" hidden="1" customHeight="1"/>
    <row r="19943" ht="15" hidden="1" customHeight="1"/>
    <row r="19944" ht="15" hidden="1" customHeight="1"/>
    <row r="19945" ht="15" hidden="1" customHeight="1"/>
    <row r="19946" ht="15" hidden="1" customHeight="1"/>
    <row r="19947" ht="15" hidden="1" customHeight="1"/>
    <row r="19948" ht="15" hidden="1" customHeight="1"/>
    <row r="19949" ht="15" hidden="1" customHeight="1"/>
    <row r="19950" ht="15" hidden="1" customHeight="1"/>
    <row r="19951" ht="15" hidden="1" customHeight="1"/>
    <row r="19952" ht="15" hidden="1" customHeight="1"/>
    <row r="19953" ht="15" hidden="1" customHeight="1"/>
    <row r="19954" ht="15" hidden="1" customHeight="1"/>
    <row r="19955" ht="15" hidden="1" customHeight="1"/>
    <row r="19956" ht="15" hidden="1" customHeight="1"/>
    <row r="19957" ht="15" hidden="1" customHeight="1"/>
    <row r="19958" ht="15" hidden="1" customHeight="1"/>
    <row r="19959" ht="15" hidden="1" customHeight="1"/>
    <row r="19960" ht="15" hidden="1" customHeight="1"/>
    <row r="19961" ht="15" hidden="1" customHeight="1"/>
    <row r="19962" ht="15" hidden="1" customHeight="1"/>
    <row r="19963" ht="15" hidden="1" customHeight="1"/>
    <row r="19964" ht="15" hidden="1" customHeight="1"/>
    <row r="19965" ht="15" hidden="1" customHeight="1"/>
    <row r="19966" ht="15" hidden="1" customHeight="1"/>
    <row r="19967" ht="15" hidden="1" customHeight="1"/>
    <row r="19968" ht="15" hidden="1" customHeight="1"/>
    <row r="19969" ht="15" hidden="1" customHeight="1"/>
    <row r="19970" ht="15" hidden="1" customHeight="1"/>
    <row r="19971" ht="15" hidden="1" customHeight="1"/>
    <row r="19972" ht="15" hidden="1" customHeight="1"/>
    <row r="19973" ht="15" hidden="1" customHeight="1"/>
    <row r="19974" ht="15" hidden="1" customHeight="1"/>
    <row r="19975" ht="15" hidden="1" customHeight="1"/>
    <row r="19976" ht="15" hidden="1" customHeight="1"/>
    <row r="19977" ht="15" hidden="1" customHeight="1"/>
    <row r="19978" ht="15" hidden="1" customHeight="1"/>
    <row r="19979" ht="15" hidden="1" customHeight="1"/>
    <row r="19980" ht="15" hidden="1" customHeight="1"/>
    <row r="19981" ht="15" hidden="1" customHeight="1"/>
    <row r="19982" ht="15" hidden="1" customHeight="1"/>
    <row r="19983" ht="15" hidden="1" customHeight="1"/>
    <row r="19984" ht="15" hidden="1" customHeight="1"/>
    <row r="19985" ht="15" hidden="1" customHeight="1"/>
    <row r="19986" ht="15" hidden="1" customHeight="1"/>
    <row r="19987" ht="15" hidden="1" customHeight="1"/>
    <row r="19988" ht="15" hidden="1" customHeight="1"/>
    <row r="19989" ht="15" hidden="1" customHeight="1"/>
    <row r="19990" ht="15" hidden="1" customHeight="1"/>
    <row r="19991" ht="15" hidden="1" customHeight="1"/>
    <row r="19992" ht="15" hidden="1" customHeight="1"/>
    <row r="19993" ht="15" hidden="1" customHeight="1"/>
    <row r="19994" ht="15" hidden="1" customHeight="1"/>
    <row r="19995" ht="15" hidden="1" customHeight="1"/>
    <row r="19996" ht="15" hidden="1" customHeight="1"/>
    <row r="19997" ht="15" hidden="1" customHeight="1"/>
    <row r="19998" ht="15" hidden="1" customHeight="1"/>
    <row r="19999" ht="15" hidden="1" customHeight="1"/>
    <row r="20000" ht="15" hidden="1" customHeight="1"/>
    <row r="20001" ht="15" hidden="1" customHeight="1"/>
    <row r="20002" ht="15" hidden="1" customHeight="1"/>
    <row r="20003" ht="15" hidden="1" customHeight="1"/>
    <row r="20004" ht="15" hidden="1" customHeight="1"/>
    <row r="20005" ht="15" hidden="1" customHeight="1"/>
    <row r="20006" ht="15" hidden="1" customHeight="1"/>
    <row r="20007" ht="15" hidden="1" customHeight="1"/>
    <row r="20008" ht="15" hidden="1" customHeight="1"/>
    <row r="20009" ht="15" hidden="1" customHeight="1"/>
    <row r="20010" ht="15" hidden="1" customHeight="1"/>
    <row r="20011" ht="15" hidden="1" customHeight="1"/>
    <row r="20012" ht="15" hidden="1" customHeight="1"/>
    <row r="20013" ht="15" hidden="1" customHeight="1"/>
    <row r="20014" ht="15" hidden="1" customHeight="1"/>
    <row r="20015" ht="15" hidden="1" customHeight="1"/>
    <row r="20016" ht="15" hidden="1" customHeight="1"/>
    <row r="20017" ht="15" hidden="1" customHeight="1"/>
    <row r="20018" ht="15" hidden="1" customHeight="1"/>
    <row r="20019" ht="15" hidden="1" customHeight="1"/>
    <row r="20020" ht="15" hidden="1" customHeight="1"/>
    <row r="20021" ht="15" hidden="1" customHeight="1"/>
    <row r="20022" ht="15" hidden="1" customHeight="1"/>
    <row r="20023" ht="15" hidden="1" customHeight="1"/>
    <row r="20024" ht="15" hidden="1" customHeight="1"/>
    <row r="20025" ht="15" hidden="1" customHeight="1"/>
    <row r="20026" ht="15" hidden="1" customHeight="1"/>
    <row r="20027" ht="15" hidden="1" customHeight="1"/>
    <row r="20028" ht="15" hidden="1" customHeight="1"/>
    <row r="20029" ht="15" hidden="1" customHeight="1"/>
    <row r="20030" ht="15" hidden="1" customHeight="1"/>
    <row r="20031" ht="15" hidden="1" customHeight="1"/>
    <row r="20032" ht="15" hidden="1" customHeight="1"/>
    <row r="20033" ht="15" hidden="1" customHeight="1"/>
    <row r="20034" ht="15" hidden="1" customHeight="1"/>
    <row r="20035" ht="15" hidden="1" customHeight="1"/>
    <row r="20036" ht="15" hidden="1" customHeight="1"/>
    <row r="20037" ht="15" hidden="1" customHeight="1"/>
    <row r="20038" ht="15" hidden="1" customHeight="1"/>
    <row r="20039" ht="15" hidden="1" customHeight="1"/>
    <row r="20040" ht="15" hidden="1" customHeight="1"/>
    <row r="20041" ht="15" hidden="1" customHeight="1"/>
    <row r="20042" ht="15" hidden="1" customHeight="1"/>
    <row r="20043" ht="15" hidden="1" customHeight="1"/>
    <row r="20044" ht="15" hidden="1" customHeight="1"/>
    <row r="20045" ht="15" hidden="1" customHeight="1"/>
    <row r="20046" ht="15" hidden="1" customHeight="1"/>
    <row r="20047" ht="15" hidden="1" customHeight="1"/>
    <row r="20048" ht="15" hidden="1" customHeight="1"/>
    <row r="20049" ht="15" hidden="1" customHeight="1"/>
    <row r="20050" ht="15" hidden="1" customHeight="1"/>
    <row r="20051" ht="15" hidden="1" customHeight="1"/>
    <row r="20052" ht="15" hidden="1" customHeight="1"/>
    <row r="20053" ht="15" hidden="1" customHeight="1"/>
    <row r="20054" ht="15" hidden="1" customHeight="1"/>
    <row r="20055" ht="15" hidden="1" customHeight="1"/>
    <row r="20056" ht="15" hidden="1" customHeight="1"/>
    <row r="20057" ht="15" hidden="1" customHeight="1"/>
    <row r="20058" ht="15" hidden="1" customHeight="1"/>
    <row r="20059" ht="15" hidden="1" customHeight="1"/>
    <row r="20060" ht="15" hidden="1" customHeight="1"/>
    <row r="20061" ht="15" hidden="1" customHeight="1"/>
    <row r="20062" ht="15" hidden="1" customHeight="1"/>
    <row r="20063" ht="15" hidden="1" customHeight="1"/>
    <row r="20064" ht="15" hidden="1" customHeight="1"/>
    <row r="20065" ht="15" hidden="1" customHeight="1"/>
    <row r="20066" ht="15" hidden="1" customHeight="1"/>
    <row r="20067" ht="15" hidden="1" customHeight="1"/>
    <row r="20068" ht="15" hidden="1" customHeight="1"/>
    <row r="20069" ht="15" hidden="1" customHeight="1"/>
    <row r="20070" ht="15" hidden="1" customHeight="1"/>
    <row r="20071" ht="15" hidden="1" customHeight="1"/>
    <row r="20072" ht="15" hidden="1" customHeight="1"/>
    <row r="20073" ht="15" hidden="1" customHeight="1"/>
    <row r="20074" ht="15" hidden="1" customHeight="1"/>
    <row r="20075" ht="15" hidden="1" customHeight="1"/>
    <row r="20076" ht="15" hidden="1" customHeight="1"/>
    <row r="20077" ht="15" hidden="1" customHeight="1"/>
    <row r="20078" ht="15" hidden="1" customHeight="1"/>
    <row r="20079" ht="15" hidden="1" customHeight="1"/>
    <row r="20080" ht="15" hidden="1" customHeight="1"/>
    <row r="20081" ht="15" hidden="1" customHeight="1"/>
    <row r="20082" ht="15" hidden="1" customHeight="1"/>
    <row r="20083" ht="15" hidden="1" customHeight="1"/>
    <row r="20084" ht="15" hidden="1" customHeight="1"/>
    <row r="20085" ht="15" hidden="1" customHeight="1"/>
    <row r="20086" ht="15" hidden="1" customHeight="1"/>
    <row r="20087" ht="15" hidden="1" customHeight="1"/>
    <row r="20088" ht="15" hidden="1" customHeight="1"/>
    <row r="20089" ht="15" hidden="1" customHeight="1"/>
    <row r="20090" ht="15" hidden="1" customHeight="1"/>
    <row r="20091" ht="15" hidden="1" customHeight="1"/>
    <row r="20092" ht="15" hidden="1" customHeight="1"/>
    <row r="20093" ht="15" hidden="1" customHeight="1"/>
    <row r="20094" ht="15" hidden="1" customHeight="1"/>
    <row r="20095" ht="15" hidden="1" customHeight="1"/>
    <row r="20096" ht="15" hidden="1" customHeight="1"/>
    <row r="20097" ht="15" hidden="1" customHeight="1"/>
    <row r="20098" ht="15" hidden="1" customHeight="1"/>
    <row r="20099" ht="15" hidden="1" customHeight="1"/>
    <row r="20100" ht="15" hidden="1" customHeight="1"/>
    <row r="20101" ht="15" hidden="1" customHeight="1"/>
    <row r="20102" ht="15" hidden="1" customHeight="1"/>
    <row r="20103" ht="15" hidden="1" customHeight="1"/>
    <row r="20104" ht="15" hidden="1" customHeight="1"/>
    <row r="20105" ht="15" hidden="1" customHeight="1"/>
    <row r="20106" ht="15" hidden="1" customHeight="1"/>
    <row r="20107" ht="15" hidden="1" customHeight="1"/>
    <row r="20108" ht="15" hidden="1" customHeight="1"/>
    <row r="20109" ht="15" hidden="1" customHeight="1"/>
    <row r="20110" ht="15" hidden="1" customHeight="1"/>
    <row r="20111" ht="15" hidden="1" customHeight="1"/>
    <row r="20112" ht="15" hidden="1" customHeight="1"/>
    <row r="20113" ht="15" hidden="1" customHeight="1"/>
    <row r="20114" ht="15" hidden="1" customHeight="1"/>
    <row r="20115" ht="15" hidden="1" customHeight="1"/>
    <row r="20116" ht="15" hidden="1" customHeight="1"/>
    <row r="20117" ht="15" hidden="1" customHeight="1"/>
    <row r="20118" ht="15" hidden="1" customHeight="1"/>
    <row r="20119" ht="15" hidden="1" customHeight="1"/>
    <row r="20120" ht="15" hidden="1" customHeight="1"/>
    <row r="20121" ht="15" hidden="1" customHeight="1"/>
    <row r="20122" ht="15" hidden="1" customHeight="1"/>
    <row r="20123" ht="15" hidden="1" customHeight="1"/>
    <row r="20124" ht="15" hidden="1" customHeight="1"/>
    <row r="20125" ht="15" hidden="1" customHeight="1"/>
    <row r="20126" ht="15" hidden="1" customHeight="1"/>
    <row r="20127" ht="15" hidden="1" customHeight="1"/>
    <row r="20128" ht="15" hidden="1" customHeight="1"/>
    <row r="20129" ht="15" hidden="1" customHeight="1"/>
    <row r="20130" ht="15" hidden="1" customHeight="1"/>
    <row r="20131" ht="15" hidden="1" customHeight="1"/>
    <row r="20132" ht="15" hidden="1" customHeight="1"/>
    <row r="20133" ht="15" hidden="1" customHeight="1"/>
    <row r="20134" ht="15" hidden="1" customHeight="1"/>
    <row r="20135" ht="15" hidden="1" customHeight="1"/>
    <row r="20136" ht="15" hidden="1" customHeight="1"/>
    <row r="20137" ht="15" hidden="1" customHeight="1"/>
    <row r="20138" ht="15" hidden="1" customHeight="1"/>
    <row r="20139" ht="15" hidden="1" customHeight="1"/>
    <row r="20140" ht="15" hidden="1" customHeight="1"/>
    <row r="20141" ht="15" hidden="1" customHeight="1"/>
    <row r="20142" ht="15" hidden="1" customHeight="1"/>
    <row r="20143" ht="15" hidden="1" customHeight="1"/>
    <row r="20144" ht="15" hidden="1" customHeight="1"/>
    <row r="20145" ht="15" hidden="1" customHeight="1"/>
    <row r="20146" ht="15" hidden="1" customHeight="1"/>
    <row r="20147" ht="15" hidden="1" customHeight="1"/>
    <row r="20148" ht="15" hidden="1" customHeight="1"/>
    <row r="20149" ht="15" hidden="1" customHeight="1"/>
    <row r="20150" ht="15" hidden="1" customHeight="1"/>
    <row r="20151" ht="15" hidden="1" customHeight="1"/>
    <row r="20152" ht="15" hidden="1" customHeight="1"/>
    <row r="20153" ht="15" hidden="1" customHeight="1"/>
    <row r="20154" ht="15" hidden="1" customHeight="1"/>
    <row r="20155" ht="15" hidden="1" customHeight="1"/>
    <row r="20156" ht="15" hidden="1" customHeight="1"/>
    <row r="20157" ht="15" hidden="1" customHeight="1"/>
    <row r="20158" ht="15" hidden="1" customHeight="1"/>
    <row r="20159" ht="15" hidden="1" customHeight="1"/>
    <row r="20160" ht="15" hidden="1" customHeight="1"/>
    <row r="20161" ht="15" hidden="1" customHeight="1"/>
    <row r="20162" ht="15" hidden="1" customHeight="1"/>
    <row r="20163" ht="15" hidden="1" customHeight="1"/>
    <row r="20164" ht="15" hidden="1" customHeight="1"/>
    <row r="20165" ht="15" hidden="1" customHeight="1"/>
    <row r="20166" ht="15" hidden="1" customHeight="1"/>
    <row r="20167" ht="15" hidden="1" customHeight="1"/>
    <row r="20168" ht="15" hidden="1" customHeight="1"/>
    <row r="20169" ht="15" hidden="1" customHeight="1"/>
    <row r="20170" ht="15" hidden="1" customHeight="1"/>
    <row r="20171" ht="15" hidden="1" customHeight="1"/>
    <row r="20172" ht="15" hidden="1" customHeight="1"/>
    <row r="20173" ht="15" hidden="1" customHeight="1"/>
    <row r="20174" ht="15" hidden="1" customHeight="1"/>
    <row r="20175" ht="15" hidden="1" customHeight="1"/>
    <row r="20176" ht="15" hidden="1" customHeight="1"/>
    <row r="20177" ht="15" hidden="1" customHeight="1"/>
    <row r="20178" ht="15" hidden="1" customHeight="1"/>
    <row r="20179" ht="15" hidden="1" customHeight="1"/>
    <row r="20180" ht="15" hidden="1" customHeight="1"/>
    <row r="20181" ht="15" hidden="1" customHeight="1"/>
    <row r="20182" ht="15" hidden="1" customHeight="1"/>
    <row r="20183" ht="15" hidden="1" customHeight="1"/>
    <row r="20184" ht="15" hidden="1" customHeight="1"/>
    <row r="20185" ht="15" hidden="1" customHeight="1"/>
    <row r="20186" ht="15" hidden="1" customHeight="1"/>
    <row r="20187" ht="15" hidden="1" customHeight="1"/>
    <row r="20188" ht="15" hidden="1" customHeight="1"/>
    <row r="20189" ht="15" hidden="1" customHeight="1"/>
    <row r="20190" ht="15" hidden="1" customHeight="1"/>
    <row r="20191" ht="15" hidden="1" customHeight="1"/>
    <row r="20192" ht="15" hidden="1" customHeight="1"/>
    <row r="20193" ht="15" hidden="1" customHeight="1"/>
    <row r="20194" ht="15" hidden="1" customHeight="1"/>
    <row r="20195" ht="15" hidden="1" customHeight="1"/>
    <row r="20196" ht="15" hidden="1" customHeight="1"/>
    <row r="20197" ht="15" hidden="1" customHeight="1"/>
    <row r="20198" ht="15" hidden="1" customHeight="1"/>
    <row r="20199" ht="15" hidden="1" customHeight="1"/>
    <row r="20200" ht="15" hidden="1" customHeight="1"/>
    <row r="20201" ht="15" hidden="1" customHeight="1"/>
    <row r="20202" ht="15" hidden="1" customHeight="1"/>
    <row r="20203" ht="15" hidden="1" customHeight="1"/>
    <row r="20204" ht="15" hidden="1" customHeight="1"/>
    <row r="20205" ht="15" hidden="1" customHeight="1"/>
    <row r="20206" ht="15" hidden="1" customHeight="1"/>
    <row r="20207" ht="15" hidden="1" customHeight="1"/>
    <row r="20208" ht="15" hidden="1" customHeight="1"/>
    <row r="20209" ht="15" hidden="1" customHeight="1"/>
    <row r="20210" ht="15" hidden="1" customHeight="1"/>
    <row r="20211" ht="15" hidden="1" customHeight="1"/>
    <row r="20212" ht="15" hidden="1" customHeight="1"/>
    <row r="20213" ht="15" hidden="1" customHeight="1"/>
    <row r="20214" ht="15" hidden="1" customHeight="1"/>
    <row r="20215" ht="15" hidden="1" customHeight="1"/>
    <row r="20216" ht="15" hidden="1" customHeight="1"/>
    <row r="20217" ht="15" hidden="1" customHeight="1"/>
    <row r="20218" ht="15" hidden="1" customHeight="1"/>
    <row r="20219" ht="15" hidden="1" customHeight="1"/>
    <row r="20220" ht="15" hidden="1" customHeight="1"/>
    <row r="20221" ht="15" hidden="1" customHeight="1"/>
    <row r="20222" ht="15" hidden="1" customHeight="1"/>
    <row r="20223" ht="15" hidden="1" customHeight="1"/>
    <row r="20224" ht="15" hidden="1" customHeight="1"/>
    <row r="20225" ht="15" hidden="1" customHeight="1"/>
    <row r="20226" ht="15" hidden="1" customHeight="1"/>
    <row r="20227" ht="15" hidden="1" customHeight="1"/>
    <row r="20228" ht="15" hidden="1" customHeight="1"/>
    <row r="20229" ht="15" hidden="1" customHeight="1"/>
    <row r="20230" ht="15" hidden="1" customHeight="1"/>
    <row r="20231" ht="15" hidden="1" customHeight="1"/>
    <row r="20232" ht="15" hidden="1" customHeight="1"/>
    <row r="20233" ht="15" hidden="1" customHeight="1"/>
    <row r="20234" ht="15" hidden="1" customHeight="1"/>
    <row r="20235" ht="15" hidden="1" customHeight="1"/>
    <row r="20236" ht="15" hidden="1" customHeight="1"/>
    <row r="20237" ht="15" hidden="1" customHeight="1"/>
    <row r="20238" ht="15" hidden="1" customHeight="1"/>
    <row r="20239" ht="15" hidden="1" customHeight="1"/>
    <row r="20240" ht="15" hidden="1" customHeight="1"/>
    <row r="20241" ht="15" hidden="1" customHeight="1"/>
    <row r="20242" ht="15" hidden="1" customHeight="1"/>
    <row r="20243" ht="15" hidden="1" customHeight="1"/>
    <row r="20244" ht="15" hidden="1" customHeight="1"/>
    <row r="20245" ht="15" hidden="1" customHeight="1"/>
    <row r="20246" ht="15" hidden="1" customHeight="1"/>
    <row r="20247" ht="15" hidden="1" customHeight="1"/>
    <row r="20248" ht="15" hidden="1" customHeight="1"/>
    <row r="20249" ht="15" hidden="1" customHeight="1"/>
    <row r="20250" ht="15" hidden="1" customHeight="1"/>
    <row r="20251" ht="15" hidden="1" customHeight="1"/>
    <row r="20252" ht="15" hidden="1" customHeight="1"/>
    <row r="20253" ht="15" hidden="1" customHeight="1"/>
    <row r="20254" ht="15" hidden="1" customHeight="1"/>
    <row r="20255" ht="15" hidden="1" customHeight="1"/>
    <row r="20256" ht="15" hidden="1" customHeight="1"/>
    <row r="20257" ht="15" hidden="1" customHeight="1"/>
    <row r="20258" ht="15" hidden="1" customHeight="1"/>
    <row r="20259" ht="15" hidden="1" customHeight="1"/>
    <row r="20260" ht="15" hidden="1" customHeight="1"/>
    <row r="20261" ht="15" hidden="1" customHeight="1"/>
    <row r="20262" ht="15" hidden="1" customHeight="1"/>
    <row r="20263" ht="15" hidden="1" customHeight="1"/>
    <row r="20264" ht="15" hidden="1" customHeight="1"/>
    <row r="20265" ht="15" hidden="1" customHeight="1"/>
    <row r="20266" ht="15" hidden="1" customHeight="1"/>
    <row r="20267" ht="15" hidden="1" customHeight="1"/>
    <row r="20268" ht="15" hidden="1" customHeight="1"/>
    <row r="20269" ht="15" hidden="1" customHeight="1"/>
    <row r="20270" ht="15" hidden="1" customHeight="1"/>
    <row r="20271" ht="15" hidden="1" customHeight="1"/>
    <row r="20272" ht="15" hidden="1" customHeight="1"/>
    <row r="20273" ht="15" hidden="1" customHeight="1"/>
    <row r="20274" ht="15" hidden="1" customHeight="1"/>
    <row r="20275" ht="15" hidden="1" customHeight="1"/>
    <row r="20276" ht="15" hidden="1" customHeight="1"/>
    <row r="20277" ht="15" hidden="1" customHeight="1"/>
    <row r="20278" ht="15" hidden="1" customHeight="1"/>
    <row r="20279" ht="15" hidden="1" customHeight="1"/>
    <row r="20280" ht="15" hidden="1" customHeight="1"/>
    <row r="20281" ht="15" hidden="1" customHeight="1"/>
    <row r="20282" ht="15" hidden="1" customHeight="1"/>
    <row r="20283" ht="15" hidden="1" customHeight="1"/>
    <row r="20284" ht="15" hidden="1" customHeight="1"/>
    <row r="20285" ht="15" hidden="1" customHeight="1"/>
    <row r="20286" ht="15" hidden="1" customHeight="1"/>
    <row r="20287" ht="15" hidden="1" customHeight="1"/>
    <row r="20288" ht="15" hidden="1" customHeight="1"/>
    <row r="20289" ht="15" hidden="1" customHeight="1"/>
    <row r="20290" ht="15" hidden="1" customHeight="1"/>
    <row r="20291" ht="15" hidden="1" customHeight="1"/>
    <row r="20292" ht="15" hidden="1" customHeight="1"/>
    <row r="20293" ht="15" hidden="1" customHeight="1"/>
    <row r="20294" ht="15" hidden="1" customHeight="1"/>
    <row r="20295" ht="15" hidden="1" customHeight="1"/>
    <row r="20296" ht="15" hidden="1" customHeight="1"/>
    <row r="20297" ht="15" hidden="1" customHeight="1"/>
    <row r="20298" ht="15" hidden="1" customHeight="1"/>
    <row r="20299" ht="15" hidden="1" customHeight="1"/>
    <row r="20300" ht="15" hidden="1" customHeight="1"/>
    <row r="20301" ht="15" hidden="1" customHeight="1"/>
    <row r="20302" ht="15" hidden="1" customHeight="1"/>
    <row r="20303" ht="15" hidden="1" customHeight="1"/>
    <row r="20304" ht="15" hidden="1" customHeight="1"/>
    <row r="20305" ht="15" hidden="1" customHeight="1"/>
    <row r="20306" ht="15" hidden="1" customHeight="1"/>
    <row r="20307" ht="15" hidden="1" customHeight="1"/>
    <row r="20308" ht="15" hidden="1" customHeight="1"/>
    <row r="20309" ht="15" hidden="1" customHeight="1"/>
    <row r="20310" ht="15" hidden="1" customHeight="1"/>
    <row r="20311" ht="15" hidden="1" customHeight="1"/>
    <row r="20312" ht="15" hidden="1" customHeight="1"/>
    <row r="20313" ht="15" hidden="1" customHeight="1"/>
    <row r="20314" ht="15" hidden="1" customHeight="1"/>
    <row r="20315" ht="15" hidden="1" customHeight="1"/>
    <row r="20316" ht="15" hidden="1" customHeight="1"/>
    <row r="20317" ht="15" hidden="1" customHeight="1"/>
    <row r="20318" ht="15" hidden="1" customHeight="1"/>
    <row r="20319" ht="15" hidden="1" customHeight="1"/>
    <row r="20320" ht="15" hidden="1" customHeight="1"/>
    <row r="20321" ht="15" hidden="1" customHeight="1"/>
    <row r="20322" ht="15" hidden="1" customHeight="1"/>
    <row r="20323" ht="15" hidden="1" customHeight="1"/>
    <row r="20324" ht="15" hidden="1" customHeight="1"/>
    <row r="20325" ht="15" hidden="1" customHeight="1"/>
    <row r="20326" ht="15" hidden="1" customHeight="1"/>
    <row r="20327" ht="15" hidden="1" customHeight="1"/>
    <row r="20328" ht="15" hidden="1" customHeight="1"/>
    <row r="20329" ht="15" hidden="1" customHeight="1"/>
    <row r="20330" ht="15" hidden="1" customHeight="1"/>
    <row r="20331" ht="15" hidden="1" customHeight="1"/>
    <row r="20332" ht="15" hidden="1" customHeight="1"/>
    <row r="20333" ht="15" hidden="1" customHeight="1"/>
    <row r="20334" ht="15" hidden="1" customHeight="1"/>
    <row r="20335" ht="15" hidden="1" customHeight="1"/>
    <row r="20336" ht="15" hidden="1" customHeight="1"/>
    <row r="20337" ht="15" hidden="1" customHeight="1"/>
    <row r="20338" ht="15" hidden="1" customHeight="1"/>
    <row r="20339" ht="15" hidden="1" customHeight="1"/>
    <row r="20340" ht="15" hidden="1" customHeight="1"/>
    <row r="20341" ht="15" hidden="1" customHeight="1"/>
    <row r="20342" ht="15" hidden="1" customHeight="1"/>
    <row r="20343" ht="15" hidden="1" customHeight="1"/>
    <row r="20344" ht="15" hidden="1" customHeight="1"/>
    <row r="20345" ht="15" hidden="1" customHeight="1"/>
    <row r="20346" ht="15" hidden="1" customHeight="1"/>
    <row r="20347" ht="15" hidden="1" customHeight="1"/>
    <row r="20348" ht="15" hidden="1" customHeight="1"/>
    <row r="20349" ht="15" hidden="1" customHeight="1"/>
    <row r="20350" ht="15" hidden="1" customHeight="1"/>
    <row r="20351" ht="15" hidden="1" customHeight="1"/>
    <row r="20352" ht="15" hidden="1" customHeight="1"/>
    <row r="20353" ht="15" hidden="1" customHeight="1"/>
    <row r="20354" ht="15" hidden="1" customHeight="1"/>
    <row r="20355" ht="15" hidden="1" customHeight="1"/>
    <row r="20356" ht="15" hidden="1" customHeight="1"/>
    <row r="20357" ht="15" hidden="1" customHeight="1"/>
    <row r="20358" ht="15" hidden="1" customHeight="1"/>
    <row r="20359" ht="15" hidden="1" customHeight="1"/>
    <row r="20360" ht="15" hidden="1" customHeight="1"/>
    <row r="20361" ht="15" hidden="1" customHeight="1"/>
    <row r="20362" ht="15" hidden="1" customHeight="1"/>
    <row r="20363" ht="15" hidden="1" customHeight="1"/>
    <row r="20364" ht="15" hidden="1" customHeight="1"/>
    <row r="20365" ht="15" hidden="1" customHeight="1"/>
    <row r="20366" ht="15" hidden="1" customHeight="1"/>
    <row r="20367" ht="15" hidden="1" customHeight="1"/>
    <row r="20368" ht="15" hidden="1" customHeight="1"/>
    <row r="20369" ht="15" hidden="1" customHeight="1"/>
    <row r="20370" ht="15" hidden="1" customHeight="1"/>
    <row r="20371" ht="15" hidden="1" customHeight="1"/>
    <row r="20372" ht="15" hidden="1" customHeight="1"/>
    <row r="20373" ht="15" hidden="1" customHeight="1"/>
    <row r="20374" ht="15" hidden="1" customHeight="1"/>
    <row r="20375" ht="15" hidden="1" customHeight="1"/>
    <row r="20376" ht="15" hidden="1" customHeight="1"/>
    <row r="20377" ht="15" hidden="1" customHeight="1"/>
    <row r="20378" ht="15" hidden="1" customHeight="1"/>
    <row r="20379" ht="15" hidden="1" customHeight="1"/>
    <row r="20380" ht="15" hidden="1" customHeight="1"/>
    <row r="20381" ht="15" hidden="1" customHeight="1"/>
    <row r="20382" ht="15" hidden="1" customHeight="1"/>
    <row r="20383" ht="15" hidden="1" customHeight="1"/>
    <row r="20384" ht="15" hidden="1" customHeight="1"/>
    <row r="20385" ht="15" hidden="1" customHeight="1"/>
    <row r="20386" ht="15" hidden="1" customHeight="1"/>
    <row r="20387" ht="15" hidden="1" customHeight="1"/>
    <row r="20388" ht="15" hidden="1" customHeight="1"/>
    <row r="20389" ht="15" hidden="1" customHeight="1"/>
    <row r="20390" ht="15" hidden="1" customHeight="1"/>
    <row r="20391" ht="15" hidden="1" customHeight="1"/>
    <row r="20392" ht="15" hidden="1" customHeight="1"/>
    <row r="20393" ht="15" hidden="1" customHeight="1"/>
    <row r="20394" ht="15" hidden="1" customHeight="1"/>
    <row r="20395" ht="15" hidden="1" customHeight="1"/>
    <row r="20396" ht="15" hidden="1" customHeight="1"/>
    <row r="20397" ht="15" hidden="1" customHeight="1"/>
    <row r="20398" ht="15" hidden="1" customHeight="1"/>
    <row r="20399" ht="15" hidden="1" customHeight="1"/>
    <row r="20400" ht="15" hidden="1" customHeight="1"/>
    <row r="20401" ht="15" hidden="1" customHeight="1"/>
    <row r="20402" ht="15" hidden="1" customHeight="1"/>
    <row r="20403" ht="15" hidden="1" customHeight="1"/>
    <row r="20404" ht="15" hidden="1" customHeight="1"/>
    <row r="20405" ht="15" hidden="1" customHeight="1"/>
    <row r="20406" ht="15" hidden="1" customHeight="1"/>
    <row r="20407" ht="15" hidden="1" customHeight="1"/>
    <row r="20408" ht="15" hidden="1" customHeight="1"/>
    <row r="20409" ht="15" hidden="1" customHeight="1"/>
    <row r="20410" ht="15" hidden="1" customHeight="1"/>
    <row r="20411" ht="15" hidden="1" customHeight="1"/>
    <row r="20412" ht="15" hidden="1" customHeight="1"/>
    <row r="20413" ht="15" hidden="1" customHeight="1"/>
    <row r="20414" ht="15" hidden="1" customHeight="1"/>
    <row r="20415" ht="15" hidden="1" customHeight="1"/>
    <row r="20416" ht="15" hidden="1" customHeight="1"/>
    <row r="20417" ht="15" hidden="1" customHeight="1"/>
    <row r="20418" ht="15" hidden="1" customHeight="1"/>
    <row r="20419" ht="15" hidden="1" customHeight="1"/>
    <row r="20420" ht="15" hidden="1" customHeight="1"/>
    <row r="20421" ht="15" hidden="1" customHeight="1"/>
    <row r="20422" ht="15" hidden="1" customHeight="1"/>
    <row r="20423" ht="15" hidden="1" customHeight="1"/>
    <row r="20424" ht="15" hidden="1" customHeight="1"/>
    <row r="20425" ht="15" hidden="1" customHeight="1"/>
    <row r="20426" ht="15" hidden="1" customHeight="1"/>
    <row r="20427" ht="15" hidden="1" customHeight="1"/>
    <row r="20428" ht="15" hidden="1" customHeight="1"/>
    <row r="20429" ht="15" hidden="1" customHeight="1"/>
    <row r="20430" ht="15" hidden="1" customHeight="1"/>
    <row r="20431" ht="15" hidden="1" customHeight="1"/>
    <row r="20432" ht="15" hidden="1" customHeight="1"/>
    <row r="20433" ht="15" hidden="1" customHeight="1"/>
    <row r="20434" ht="15" hidden="1" customHeight="1"/>
    <row r="20435" ht="15" hidden="1" customHeight="1"/>
    <row r="20436" ht="15" hidden="1" customHeight="1"/>
    <row r="20437" ht="15" hidden="1" customHeight="1"/>
    <row r="20438" ht="15" hidden="1" customHeight="1"/>
    <row r="20439" ht="15" hidden="1" customHeight="1"/>
    <row r="20440" ht="15" hidden="1" customHeight="1"/>
    <row r="20441" ht="15" hidden="1" customHeight="1"/>
    <row r="20442" ht="15" hidden="1" customHeight="1"/>
    <row r="20443" ht="15" hidden="1" customHeight="1"/>
    <row r="20444" ht="15" hidden="1" customHeight="1"/>
    <row r="20445" ht="15" hidden="1" customHeight="1"/>
    <row r="20446" ht="15" hidden="1" customHeight="1"/>
    <row r="20447" ht="15" hidden="1" customHeight="1"/>
    <row r="20448" ht="15" hidden="1" customHeight="1"/>
    <row r="20449" ht="15" hidden="1" customHeight="1"/>
    <row r="20450" ht="15" hidden="1" customHeight="1"/>
    <row r="20451" ht="15" hidden="1" customHeight="1"/>
    <row r="20452" ht="15" hidden="1" customHeight="1"/>
    <row r="20453" ht="15" hidden="1" customHeight="1"/>
    <row r="20454" ht="15" hidden="1" customHeight="1"/>
    <row r="20455" ht="15" hidden="1" customHeight="1"/>
    <row r="20456" ht="15" hidden="1" customHeight="1"/>
    <row r="20457" ht="15" hidden="1" customHeight="1"/>
    <row r="20458" ht="15" hidden="1" customHeight="1"/>
    <row r="20459" ht="15" hidden="1" customHeight="1"/>
    <row r="20460" ht="15" hidden="1" customHeight="1"/>
    <row r="20461" ht="15" hidden="1" customHeight="1"/>
    <row r="20462" ht="15" hidden="1" customHeight="1"/>
    <row r="20463" ht="15" hidden="1" customHeight="1"/>
    <row r="20464" ht="15" hidden="1" customHeight="1"/>
    <row r="20465" ht="15" hidden="1" customHeight="1"/>
    <row r="20466" ht="15" hidden="1" customHeight="1"/>
    <row r="20467" ht="15" hidden="1" customHeight="1"/>
    <row r="20468" ht="15" hidden="1" customHeight="1"/>
    <row r="20469" ht="15" hidden="1" customHeight="1"/>
    <row r="20470" ht="15" hidden="1" customHeight="1"/>
    <row r="20471" ht="15" hidden="1" customHeight="1"/>
    <row r="20472" ht="15" hidden="1" customHeight="1"/>
    <row r="20473" ht="15" hidden="1" customHeight="1"/>
    <row r="20474" ht="15" hidden="1" customHeight="1"/>
    <row r="20475" ht="15" hidden="1" customHeight="1"/>
    <row r="20476" ht="15" hidden="1" customHeight="1"/>
    <row r="20477" ht="15" hidden="1" customHeight="1"/>
    <row r="20478" ht="15" hidden="1" customHeight="1"/>
    <row r="20479" ht="15" hidden="1" customHeight="1"/>
    <row r="20480" ht="15" hidden="1" customHeight="1"/>
    <row r="20481" ht="15" hidden="1" customHeight="1"/>
    <row r="20482" ht="15" hidden="1" customHeight="1"/>
    <row r="20483" ht="15" hidden="1" customHeight="1"/>
    <row r="20484" ht="15" hidden="1" customHeight="1"/>
    <row r="20485" ht="15" hidden="1" customHeight="1"/>
    <row r="20486" ht="15" hidden="1" customHeight="1"/>
    <row r="20487" ht="15" hidden="1" customHeight="1"/>
    <row r="20488" ht="15" hidden="1" customHeight="1"/>
    <row r="20489" ht="15" hidden="1" customHeight="1"/>
    <row r="20490" ht="15" hidden="1" customHeight="1"/>
    <row r="20491" ht="15" hidden="1" customHeight="1"/>
    <row r="20492" ht="15" hidden="1" customHeight="1"/>
    <row r="20493" ht="15" hidden="1" customHeight="1"/>
    <row r="20494" ht="15" hidden="1" customHeight="1"/>
    <row r="20495" ht="15" hidden="1" customHeight="1"/>
    <row r="20496" ht="15" hidden="1" customHeight="1"/>
    <row r="20497" ht="15" hidden="1" customHeight="1"/>
    <row r="20498" ht="15" hidden="1" customHeight="1"/>
    <row r="20499" ht="15" hidden="1" customHeight="1"/>
    <row r="20500" ht="15" hidden="1" customHeight="1"/>
    <row r="20501" ht="15" hidden="1" customHeight="1"/>
    <row r="20502" ht="15" hidden="1" customHeight="1"/>
    <row r="20503" ht="15" hidden="1" customHeight="1"/>
    <row r="20504" ht="15" hidden="1" customHeight="1"/>
    <row r="20505" ht="15" hidden="1" customHeight="1"/>
    <row r="20506" ht="15" hidden="1" customHeight="1"/>
    <row r="20507" ht="15" hidden="1" customHeight="1"/>
    <row r="20508" ht="15" hidden="1" customHeight="1"/>
    <row r="20509" ht="15" hidden="1" customHeight="1"/>
    <row r="20510" ht="15" hidden="1" customHeight="1"/>
    <row r="20511" ht="15" hidden="1" customHeight="1"/>
    <row r="20512" ht="15" hidden="1" customHeight="1"/>
    <row r="20513" ht="15" hidden="1" customHeight="1"/>
    <row r="20514" ht="15" hidden="1" customHeight="1"/>
    <row r="20515" ht="15" hidden="1" customHeight="1"/>
    <row r="20516" ht="15" hidden="1" customHeight="1"/>
    <row r="20517" ht="15" hidden="1" customHeight="1"/>
    <row r="20518" ht="15" hidden="1" customHeight="1"/>
    <row r="20519" ht="15" hidden="1" customHeight="1"/>
    <row r="20520" ht="15" hidden="1" customHeight="1"/>
    <row r="20521" ht="15" hidden="1" customHeight="1"/>
    <row r="20522" ht="15" hidden="1" customHeight="1"/>
    <row r="20523" ht="15" hidden="1" customHeight="1"/>
    <row r="20524" ht="15" hidden="1" customHeight="1"/>
    <row r="20525" ht="15" hidden="1" customHeight="1"/>
    <row r="20526" ht="15" hidden="1" customHeight="1"/>
    <row r="20527" ht="15" hidden="1" customHeight="1"/>
    <row r="20528" ht="15" hidden="1" customHeight="1"/>
    <row r="20529" ht="15" hidden="1" customHeight="1"/>
    <row r="20530" ht="15" hidden="1" customHeight="1"/>
    <row r="20531" ht="15" hidden="1" customHeight="1"/>
    <row r="20532" ht="15" hidden="1" customHeight="1"/>
    <row r="20533" ht="15" hidden="1" customHeight="1"/>
    <row r="20534" ht="15" hidden="1" customHeight="1"/>
    <row r="20535" ht="15" hidden="1" customHeight="1"/>
    <row r="20536" ht="15" hidden="1" customHeight="1"/>
    <row r="20537" ht="15" hidden="1" customHeight="1"/>
    <row r="20538" ht="15" hidden="1" customHeight="1"/>
    <row r="20539" ht="15" hidden="1" customHeight="1"/>
    <row r="20540" ht="15" hidden="1" customHeight="1"/>
    <row r="20541" ht="15" hidden="1" customHeight="1"/>
    <row r="20542" ht="15" hidden="1" customHeight="1"/>
    <row r="20543" ht="15" hidden="1" customHeight="1"/>
    <row r="20544" ht="15" hidden="1" customHeight="1"/>
    <row r="20545" ht="15" hidden="1" customHeight="1"/>
    <row r="20546" ht="15" hidden="1" customHeight="1"/>
    <row r="20547" ht="15" hidden="1" customHeight="1"/>
    <row r="20548" ht="15" hidden="1" customHeight="1"/>
    <row r="20549" ht="15" hidden="1" customHeight="1"/>
    <row r="20550" ht="15" hidden="1" customHeight="1"/>
    <row r="20551" ht="15" hidden="1" customHeight="1"/>
    <row r="20552" ht="15" hidden="1" customHeight="1"/>
    <row r="20553" ht="15" hidden="1" customHeight="1"/>
    <row r="20554" ht="15" hidden="1" customHeight="1"/>
    <row r="20555" ht="15" hidden="1" customHeight="1"/>
    <row r="20556" ht="15" hidden="1" customHeight="1"/>
    <row r="20557" ht="15" hidden="1" customHeight="1"/>
    <row r="20558" ht="15" hidden="1" customHeight="1"/>
    <row r="20559" ht="15" hidden="1" customHeight="1"/>
    <row r="20560" ht="15" hidden="1" customHeight="1"/>
    <row r="20561" ht="15" hidden="1" customHeight="1"/>
    <row r="20562" ht="15" hidden="1" customHeight="1"/>
    <row r="20563" ht="15" hidden="1" customHeight="1"/>
    <row r="20564" ht="15" hidden="1" customHeight="1"/>
    <row r="20565" ht="15" hidden="1" customHeight="1"/>
    <row r="20566" ht="15" hidden="1" customHeight="1"/>
    <row r="20567" ht="15" hidden="1" customHeight="1"/>
    <row r="20568" ht="15" hidden="1" customHeight="1"/>
    <row r="20569" ht="15" hidden="1" customHeight="1"/>
    <row r="20570" ht="15" hidden="1" customHeight="1"/>
    <row r="20571" ht="15" hidden="1" customHeight="1"/>
    <row r="20572" ht="15" hidden="1" customHeight="1"/>
    <row r="20573" ht="15" hidden="1" customHeight="1"/>
    <row r="20574" ht="15" hidden="1" customHeight="1"/>
    <row r="20575" ht="15" hidden="1" customHeight="1"/>
    <row r="20576" ht="15" hidden="1" customHeight="1"/>
    <row r="20577" ht="15" hidden="1" customHeight="1"/>
    <row r="20578" ht="15" hidden="1" customHeight="1"/>
    <row r="20579" ht="15" hidden="1" customHeight="1"/>
    <row r="20580" ht="15" hidden="1" customHeight="1"/>
    <row r="20581" ht="15" hidden="1" customHeight="1"/>
    <row r="20582" ht="15" hidden="1" customHeight="1"/>
    <row r="20583" ht="15" hidden="1" customHeight="1"/>
    <row r="20584" ht="15" hidden="1" customHeight="1"/>
    <row r="20585" ht="15" hidden="1" customHeight="1"/>
    <row r="20586" ht="15" hidden="1" customHeight="1"/>
    <row r="20587" ht="15" hidden="1" customHeight="1"/>
    <row r="20588" ht="15" hidden="1" customHeight="1"/>
    <row r="20589" ht="15" hidden="1" customHeight="1"/>
    <row r="20590" ht="15" hidden="1" customHeight="1"/>
    <row r="20591" ht="15" hidden="1" customHeight="1"/>
    <row r="20592" ht="15" hidden="1" customHeight="1"/>
    <row r="20593" ht="15" hidden="1" customHeight="1"/>
    <row r="20594" ht="15" hidden="1" customHeight="1"/>
    <row r="20595" ht="15" hidden="1" customHeight="1"/>
    <row r="20596" ht="15" hidden="1" customHeight="1"/>
    <row r="20597" ht="15" hidden="1" customHeight="1"/>
    <row r="20598" ht="15" hidden="1" customHeight="1"/>
    <row r="20599" ht="15" hidden="1" customHeight="1"/>
    <row r="20600" ht="15" hidden="1" customHeight="1"/>
    <row r="20601" ht="15" hidden="1" customHeight="1"/>
    <row r="20602" ht="15" hidden="1" customHeight="1"/>
    <row r="20603" ht="15" hidden="1" customHeight="1"/>
    <row r="20604" ht="15" hidden="1" customHeight="1"/>
    <row r="20605" ht="15" hidden="1" customHeight="1"/>
    <row r="20606" ht="15" hidden="1" customHeight="1"/>
    <row r="20607" ht="15" hidden="1" customHeight="1"/>
    <row r="20608" ht="15" hidden="1" customHeight="1"/>
    <row r="20609" ht="15" hidden="1" customHeight="1"/>
    <row r="20610" ht="15" hidden="1" customHeight="1"/>
    <row r="20611" ht="15" hidden="1" customHeight="1"/>
    <row r="20612" ht="15" hidden="1" customHeight="1"/>
    <row r="20613" ht="15" hidden="1" customHeight="1"/>
    <row r="20614" ht="15" hidden="1" customHeight="1"/>
    <row r="20615" ht="15" hidden="1" customHeight="1"/>
    <row r="20616" ht="15" hidden="1" customHeight="1"/>
    <row r="20617" ht="15" hidden="1" customHeight="1"/>
    <row r="20618" ht="15" hidden="1" customHeight="1"/>
    <row r="20619" ht="15" hidden="1" customHeight="1"/>
    <row r="20620" ht="15" hidden="1" customHeight="1"/>
    <row r="20621" ht="15" hidden="1" customHeight="1"/>
    <row r="20622" ht="15" hidden="1" customHeight="1"/>
    <row r="20623" ht="15" hidden="1" customHeight="1"/>
    <row r="20624" ht="15" hidden="1" customHeight="1"/>
    <row r="20625" ht="15" hidden="1" customHeight="1"/>
    <row r="20626" ht="15" hidden="1" customHeight="1"/>
    <row r="20627" ht="15" hidden="1" customHeight="1"/>
    <row r="20628" ht="15" hidden="1" customHeight="1"/>
    <row r="20629" ht="15" hidden="1" customHeight="1"/>
    <row r="20630" ht="15" hidden="1" customHeight="1"/>
    <row r="20631" ht="15" hidden="1" customHeight="1"/>
    <row r="20632" ht="15" hidden="1" customHeight="1"/>
    <row r="20633" ht="15" hidden="1" customHeight="1"/>
    <row r="20634" ht="15" hidden="1" customHeight="1"/>
    <row r="20635" ht="15" hidden="1" customHeight="1"/>
    <row r="20636" ht="15" hidden="1" customHeight="1"/>
    <row r="20637" ht="15" hidden="1" customHeight="1"/>
    <row r="20638" ht="15" hidden="1" customHeight="1"/>
    <row r="20639" ht="15" hidden="1" customHeight="1"/>
    <row r="20640" ht="15" hidden="1" customHeight="1"/>
    <row r="20641" ht="15" hidden="1" customHeight="1"/>
    <row r="20642" ht="15" hidden="1" customHeight="1"/>
    <row r="20643" ht="15" hidden="1" customHeight="1"/>
    <row r="20644" ht="15" hidden="1" customHeight="1"/>
    <row r="20645" ht="15" hidden="1" customHeight="1"/>
    <row r="20646" ht="15" hidden="1" customHeight="1"/>
    <row r="20647" ht="15" hidden="1" customHeight="1"/>
    <row r="20648" ht="15" hidden="1" customHeight="1"/>
    <row r="20649" ht="15" hidden="1" customHeight="1"/>
    <row r="20650" ht="15" hidden="1" customHeight="1"/>
    <row r="20651" ht="15" hidden="1" customHeight="1"/>
    <row r="20652" ht="15" hidden="1" customHeight="1"/>
    <row r="20653" ht="15" hidden="1" customHeight="1"/>
    <row r="20654" ht="15" hidden="1" customHeight="1"/>
    <row r="20655" ht="15" hidden="1" customHeight="1"/>
    <row r="20656" ht="15" hidden="1" customHeight="1"/>
    <row r="20657" ht="15" hidden="1" customHeight="1"/>
    <row r="20658" ht="15" hidden="1" customHeight="1"/>
    <row r="20659" ht="15" hidden="1" customHeight="1"/>
    <row r="20660" ht="15" hidden="1" customHeight="1"/>
    <row r="20661" ht="15" hidden="1" customHeight="1"/>
    <row r="20662" ht="15" hidden="1" customHeight="1"/>
    <row r="20663" ht="15" hidden="1" customHeight="1"/>
    <row r="20664" ht="15" hidden="1" customHeight="1"/>
    <row r="20665" ht="15" hidden="1" customHeight="1"/>
    <row r="20666" ht="15" hidden="1" customHeight="1"/>
    <row r="20667" ht="15" hidden="1" customHeight="1"/>
    <row r="20668" ht="15" hidden="1" customHeight="1"/>
    <row r="20669" ht="15" hidden="1" customHeight="1"/>
    <row r="20670" ht="15" hidden="1" customHeight="1"/>
    <row r="20671" ht="15" hidden="1" customHeight="1"/>
    <row r="20672" ht="15" hidden="1" customHeight="1"/>
    <row r="20673" ht="15" hidden="1" customHeight="1"/>
    <row r="20674" ht="15" hidden="1" customHeight="1"/>
    <row r="20675" ht="15" hidden="1" customHeight="1"/>
    <row r="20676" ht="15" hidden="1" customHeight="1"/>
    <row r="20677" ht="15" hidden="1" customHeight="1"/>
    <row r="20678" ht="15" hidden="1" customHeight="1"/>
    <row r="20679" ht="15" hidden="1" customHeight="1"/>
    <row r="20680" ht="15" hidden="1" customHeight="1"/>
    <row r="20681" ht="15" hidden="1" customHeight="1"/>
    <row r="20682" ht="15" hidden="1" customHeight="1"/>
    <row r="20683" ht="15" hidden="1" customHeight="1"/>
    <row r="20684" ht="15" hidden="1" customHeight="1"/>
    <row r="20685" ht="15" hidden="1" customHeight="1"/>
    <row r="20686" ht="15" hidden="1" customHeight="1"/>
    <row r="20687" ht="15" hidden="1" customHeight="1"/>
    <row r="20688" ht="15" hidden="1" customHeight="1"/>
    <row r="20689" ht="15" hidden="1" customHeight="1"/>
    <row r="20690" ht="15" hidden="1" customHeight="1"/>
    <row r="20691" ht="15" hidden="1" customHeight="1"/>
    <row r="20692" ht="15" hidden="1" customHeight="1"/>
    <row r="20693" ht="15" hidden="1" customHeight="1"/>
    <row r="20694" ht="15" hidden="1" customHeight="1"/>
    <row r="20695" ht="15" hidden="1" customHeight="1"/>
    <row r="20696" ht="15" hidden="1" customHeight="1"/>
    <row r="20697" ht="15" hidden="1" customHeight="1"/>
    <row r="20698" ht="15" hidden="1" customHeight="1"/>
    <row r="20699" ht="15" hidden="1" customHeight="1"/>
    <row r="20700" ht="15" hidden="1" customHeight="1"/>
    <row r="20701" ht="15" hidden="1" customHeight="1"/>
    <row r="20702" ht="15" hidden="1" customHeight="1"/>
    <row r="20703" ht="15" hidden="1" customHeight="1"/>
    <row r="20704" ht="15" hidden="1" customHeight="1"/>
    <row r="20705" ht="15" hidden="1" customHeight="1"/>
    <row r="20706" ht="15" hidden="1" customHeight="1"/>
    <row r="20707" ht="15" hidden="1" customHeight="1"/>
    <row r="20708" ht="15" hidden="1" customHeight="1"/>
    <row r="20709" ht="15" hidden="1" customHeight="1"/>
    <row r="20710" ht="15" hidden="1" customHeight="1"/>
    <row r="20711" ht="15" hidden="1" customHeight="1"/>
    <row r="20712" ht="15" hidden="1" customHeight="1"/>
    <row r="20713" ht="15" hidden="1" customHeight="1"/>
    <row r="20714" ht="15" hidden="1" customHeight="1"/>
    <row r="20715" ht="15" hidden="1" customHeight="1"/>
    <row r="20716" ht="15" hidden="1" customHeight="1"/>
    <row r="20717" ht="15" hidden="1" customHeight="1"/>
    <row r="20718" ht="15" hidden="1" customHeight="1"/>
    <row r="20719" ht="15" hidden="1" customHeight="1"/>
    <row r="20720" ht="15" hidden="1" customHeight="1"/>
    <row r="20721" ht="15" hidden="1" customHeight="1"/>
    <row r="20722" ht="15" hidden="1" customHeight="1"/>
    <row r="20723" ht="15" hidden="1" customHeight="1"/>
    <row r="20724" ht="15" hidden="1" customHeight="1"/>
    <row r="20725" ht="15" hidden="1" customHeight="1"/>
    <row r="20726" ht="15" hidden="1" customHeight="1"/>
    <row r="20727" ht="15" hidden="1" customHeight="1"/>
    <row r="20728" ht="15" hidden="1" customHeight="1"/>
    <row r="20729" ht="15" hidden="1" customHeight="1"/>
    <row r="20730" ht="15" hidden="1" customHeight="1"/>
    <row r="20731" ht="15" hidden="1" customHeight="1"/>
    <row r="20732" ht="15" hidden="1" customHeight="1"/>
    <row r="20733" ht="15" hidden="1" customHeight="1"/>
    <row r="20734" ht="15" hidden="1" customHeight="1"/>
    <row r="20735" ht="15" hidden="1" customHeight="1"/>
    <row r="20736" ht="15" hidden="1" customHeight="1"/>
    <row r="20737" ht="15" hidden="1" customHeight="1"/>
    <row r="20738" ht="15" hidden="1" customHeight="1"/>
    <row r="20739" ht="15" hidden="1" customHeight="1"/>
    <row r="20740" ht="15" hidden="1" customHeight="1"/>
    <row r="20741" ht="15" hidden="1" customHeight="1"/>
    <row r="20742" ht="15" hidden="1" customHeight="1"/>
    <row r="20743" ht="15" hidden="1" customHeight="1"/>
    <row r="20744" ht="15" hidden="1" customHeight="1"/>
    <row r="20745" ht="15" hidden="1" customHeight="1"/>
    <row r="20746" ht="15" hidden="1" customHeight="1"/>
    <row r="20747" ht="15" hidden="1" customHeight="1"/>
    <row r="20748" ht="15" hidden="1" customHeight="1"/>
    <row r="20749" ht="15" hidden="1" customHeight="1"/>
    <row r="20750" ht="15" hidden="1" customHeight="1"/>
    <row r="20751" ht="15" hidden="1" customHeight="1"/>
    <row r="20752" ht="15" hidden="1" customHeight="1"/>
    <row r="20753" ht="15" hidden="1" customHeight="1"/>
    <row r="20754" ht="15" hidden="1" customHeight="1"/>
    <row r="20755" ht="15" hidden="1" customHeight="1"/>
    <row r="20756" ht="15" hidden="1" customHeight="1"/>
    <row r="20757" ht="15" hidden="1" customHeight="1"/>
    <row r="20758" ht="15" hidden="1" customHeight="1"/>
    <row r="20759" ht="15" hidden="1" customHeight="1"/>
    <row r="20760" ht="15" hidden="1" customHeight="1"/>
    <row r="20761" ht="15" hidden="1" customHeight="1"/>
    <row r="20762" ht="15" hidden="1" customHeight="1"/>
    <row r="20763" ht="15" hidden="1" customHeight="1"/>
    <row r="20764" ht="15" hidden="1" customHeight="1"/>
    <row r="20765" ht="15" hidden="1" customHeight="1"/>
    <row r="20766" ht="15" hidden="1" customHeight="1"/>
    <row r="20767" ht="15" hidden="1" customHeight="1"/>
    <row r="20768" ht="15" hidden="1" customHeight="1"/>
    <row r="20769" ht="15" hidden="1" customHeight="1"/>
    <row r="20770" ht="15" hidden="1" customHeight="1"/>
    <row r="20771" ht="15" hidden="1" customHeight="1"/>
    <row r="20772" ht="15" hidden="1" customHeight="1"/>
    <row r="20773" ht="15" hidden="1" customHeight="1"/>
    <row r="20774" ht="15" hidden="1" customHeight="1"/>
    <row r="20775" ht="15" hidden="1" customHeight="1"/>
    <row r="20776" ht="15" hidden="1" customHeight="1"/>
    <row r="20777" ht="15" hidden="1" customHeight="1"/>
    <row r="20778" ht="15" hidden="1" customHeight="1"/>
    <row r="20779" ht="15" hidden="1" customHeight="1"/>
    <row r="20780" ht="15" hidden="1" customHeight="1"/>
    <row r="20781" ht="15" hidden="1" customHeight="1"/>
    <row r="20782" ht="15" hidden="1" customHeight="1"/>
    <row r="20783" ht="15" hidden="1" customHeight="1"/>
    <row r="20784" ht="15" hidden="1" customHeight="1"/>
    <row r="20785" ht="15" hidden="1" customHeight="1"/>
    <row r="20786" ht="15" hidden="1" customHeight="1"/>
    <row r="20787" ht="15" hidden="1" customHeight="1"/>
    <row r="20788" ht="15" hidden="1" customHeight="1"/>
    <row r="20789" ht="15" hidden="1" customHeight="1"/>
    <row r="20790" ht="15" hidden="1" customHeight="1"/>
    <row r="20791" ht="15" hidden="1" customHeight="1"/>
    <row r="20792" ht="15" hidden="1" customHeight="1"/>
    <row r="20793" ht="15" hidden="1" customHeight="1"/>
    <row r="20794" ht="15" hidden="1" customHeight="1"/>
    <row r="20795" ht="15" hidden="1" customHeight="1"/>
    <row r="20796" ht="15" hidden="1" customHeight="1"/>
    <row r="20797" ht="15" hidden="1" customHeight="1"/>
    <row r="20798" ht="15" hidden="1" customHeight="1"/>
    <row r="20799" ht="15" hidden="1" customHeight="1"/>
    <row r="20800" ht="15" hidden="1" customHeight="1"/>
    <row r="20801" ht="15" hidden="1" customHeight="1"/>
    <row r="20802" ht="15" hidden="1" customHeight="1"/>
    <row r="20803" ht="15" hidden="1" customHeight="1"/>
    <row r="20804" ht="15" hidden="1" customHeight="1"/>
    <row r="20805" ht="15" hidden="1" customHeight="1"/>
    <row r="20806" ht="15" hidden="1" customHeight="1"/>
    <row r="20807" ht="15" hidden="1" customHeight="1"/>
    <row r="20808" ht="15" hidden="1" customHeight="1"/>
    <row r="20809" ht="15" hidden="1" customHeight="1"/>
    <row r="20810" ht="15" hidden="1" customHeight="1"/>
    <row r="20811" ht="15" hidden="1" customHeight="1"/>
    <row r="20812" ht="15" hidden="1" customHeight="1"/>
    <row r="20813" ht="15" hidden="1" customHeight="1"/>
    <row r="20814" ht="15" hidden="1" customHeight="1"/>
    <row r="20815" ht="15" hidden="1" customHeight="1"/>
    <row r="20816" ht="15" hidden="1" customHeight="1"/>
    <row r="20817" ht="15" hidden="1" customHeight="1"/>
    <row r="20818" ht="15" hidden="1" customHeight="1"/>
    <row r="20819" ht="15" hidden="1" customHeight="1"/>
    <row r="20820" ht="15" hidden="1" customHeight="1"/>
    <row r="20821" ht="15" hidden="1" customHeight="1"/>
    <row r="20822" ht="15" hidden="1" customHeight="1"/>
    <row r="20823" ht="15" hidden="1" customHeight="1"/>
    <row r="20824" ht="15" hidden="1" customHeight="1"/>
    <row r="20825" ht="15" hidden="1" customHeight="1"/>
    <row r="20826" ht="15" hidden="1" customHeight="1"/>
    <row r="20827" ht="15" hidden="1" customHeight="1"/>
    <row r="20828" ht="15" hidden="1" customHeight="1"/>
    <row r="20829" ht="15" hidden="1" customHeight="1"/>
    <row r="20830" ht="15" hidden="1" customHeight="1"/>
    <row r="20831" ht="15" hidden="1" customHeight="1"/>
    <row r="20832" ht="15" hidden="1" customHeight="1"/>
    <row r="20833" ht="15" hidden="1" customHeight="1"/>
    <row r="20834" ht="15" hidden="1" customHeight="1"/>
    <row r="20835" ht="15" hidden="1" customHeight="1"/>
    <row r="20836" ht="15" hidden="1" customHeight="1"/>
    <row r="20837" ht="15" hidden="1" customHeight="1"/>
    <row r="20838" ht="15" hidden="1" customHeight="1"/>
    <row r="20839" ht="15" hidden="1" customHeight="1"/>
    <row r="20840" ht="15" hidden="1" customHeight="1"/>
    <row r="20841" ht="15" hidden="1" customHeight="1"/>
    <row r="20842" ht="15" hidden="1" customHeight="1"/>
    <row r="20843" ht="15" hidden="1" customHeight="1"/>
    <row r="20844" ht="15" hidden="1" customHeight="1"/>
    <row r="20845" ht="15" hidden="1" customHeight="1"/>
    <row r="20846" ht="15" hidden="1" customHeight="1"/>
    <row r="20847" ht="15" hidden="1" customHeight="1"/>
    <row r="20848" ht="15" hidden="1" customHeight="1"/>
    <row r="20849" ht="15" hidden="1" customHeight="1"/>
    <row r="20850" ht="15" hidden="1" customHeight="1"/>
    <row r="20851" ht="15" hidden="1" customHeight="1"/>
    <row r="20852" ht="15" hidden="1" customHeight="1"/>
    <row r="20853" ht="15" hidden="1" customHeight="1"/>
    <row r="20854" ht="15" hidden="1" customHeight="1"/>
    <row r="20855" ht="15" hidden="1" customHeight="1"/>
    <row r="20856" ht="15" hidden="1" customHeight="1"/>
    <row r="20857" ht="15" hidden="1" customHeight="1"/>
    <row r="20858" ht="15" hidden="1" customHeight="1"/>
    <row r="20859" ht="15" hidden="1" customHeight="1"/>
    <row r="20860" ht="15" hidden="1" customHeight="1"/>
    <row r="20861" ht="15" hidden="1" customHeight="1"/>
    <row r="20862" ht="15" hidden="1" customHeight="1"/>
    <row r="20863" ht="15" hidden="1" customHeight="1"/>
    <row r="20864" ht="15" hidden="1" customHeight="1"/>
    <row r="20865" ht="15" hidden="1" customHeight="1"/>
    <row r="20866" ht="15" hidden="1" customHeight="1"/>
    <row r="20867" ht="15" hidden="1" customHeight="1"/>
    <row r="20868" ht="15" hidden="1" customHeight="1"/>
    <row r="20869" ht="15" hidden="1" customHeight="1"/>
    <row r="20870" ht="15" hidden="1" customHeight="1"/>
    <row r="20871" ht="15" hidden="1" customHeight="1"/>
    <row r="20872" ht="15" hidden="1" customHeight="1"/>
    <row r="20873" ht="15" hidden="1" customHeight="1"/>
    <row r="20874" ht="15" hidden="1" customHeight="1"/>
    <row r="20875" ht="15" hidden="1" customHeight="1"/>
    <row r="20876" ht="15" hidden="1" customHeight="1"/>
    <row r="20877" ht="15" hidden="1" customHeight="1"/>
    <row r="20878" ht="15" hidden="1" customHeight="1"/>
    <row r="20879" ht="15" hidden="1" customHeight="1"/>
    <row r="20880" ht="15" hidden="1" customHeight="1"/>
    <row r="20881" ht="15" hidden="1" customHeight="1"/>
    <row r="20882" ht="15" hidden="1" customHeight="1"/>
    <row r="20883" ht="15" hidden="1" customHeight="1"/>
    <row r="20884" ht="15" hidden="1" customHeight="1"/>
    <row r="20885" ht="15" hidden="1" customHeight="1"/>
    <row r="20886" ht="15" hidden="1" customHeight="1"/>
    <row r="20887" ht="15" hidden="1" customHeight="1"/>
    <row r="20888" ht="15" hidden="1" customHeight="1"/>
    <row r="20889" ht="15" hidden="1" customHeight="1"/>
    <row r="20890" ht="15" hidden="1" customHeight="1"/>
    <row r="20891" ht="15" hidden="1" customHeight="1"/>
    <row r="20892" ht="15" hidden="1" customHeight="1"/>
    <row r="20893" ht="15" hidden="1" customHeight="1"/>
    <row r="20894" ht="15" hidden="1" customHeight="1"/>
    <row r="20895" ht="15" hidden="1" customHeight="1"/>
    <row r="20896" ht="15" hidden="1" customHeight="1"/>
    <row r="20897" ht="15" hidden="1" customHeight="1"/>
    <row r="20898" ht="15" hidden="1" customHeight="1"/>
    <row r="20899" ht="15" hidden="1" customHeight="1"/>
    <row r="20900" ht="15" hidden="1" customHeight="1"/>
    <row r="20901" ht="15" hidden="1" customHeight="1"/>
    <row r="20902" ht="15" hidden="1" customHeight="1"/>
    <row r="20903" ht="15" hidden="1" customHeight="1"/>
    <row r="20904" ht="15" hidden="1" customHeight="1"/>
    <row r="20905" ht="15" hidden="1" customHeight="1"/>
    <row r="20906" ht="15" hidden="1" customHeight="1"/>
    <row r="20907" ht="15" hidden="1" customHeight="1"/>
    <row r="20908" ht="15" hidden="1" customHeight="1"/>
    <row r="20909" ht="15" hidden="1" customHeight="1"/>
    <row r="20910" ht="15" hidden="1" customHeight="1"/>
    <row r="20911" ht="15" hidden="1" customHeight="1"/>
    <row r="20912" ht="15" hidden="1" customHeight="1"/>
    <row r="20913" ht="15" hidden="1" customHeight="1"/>
    <row r="20914" ht="15" hidden="1" customHeight="1"/>
    <row r="20915" ht="15" hidden="1" customHeight="1"/>
    <row r="20916" ht="15" hidden="1" customHeight="1"/>
    <row r="20917" ht="15" hidden="1" customHeight="1"/>
    <row r="20918" ht="15" hidden="1" customHeight="1"/>
    <row r="20919" ht="15" hidden="1" customHeight="1"/>
    <row r="20920" ht="15" hidden="1" customHeight="1"/>
    <row r="20921" ht="15" hidden="1" customHeight="1"/>
    <row r="20922" ht="15" hidden="1" customHeight="1"/>
    <row r="20923" ht="15" hidden="1" customHeight="1"/>
    <row r="20924" ht="15" hidden="1" customHeight="1"/>
    <row r="20925" ht="15" hidden="1" customHeight="1"/>
    <row r="20926" ht="15" hidden="1" customHeight="1"/>
    <row r="20927" ht="15" hidden="1" customHeight="1"/>
    <row r="20928" ht="15" hidden="1" customHeight="1"/>
    <row r="20929" ht="15" hidden="1" customHeight="1"/>
    <row r="20930" ht="15" hidden="1" customHeight="1"/>
    <row r="20931" ht="15" hidden="1" customHeight="1"/>
    <row r="20932" ht="15" hidden="1" customHeight="1"/>
    <row r="20933" ht="15" hidden="1" customHeight="1"/>
    <row r="20934" ht="15" hidden="1" customHeight="1"/>
    <row r="20935" ht="15" hidden="1" customHeight="1"/>
    <row r="20936" ht="15" hidden="1" customHeight="1"/>
    <row r="20937" ht="15" hidden="1" customHeight="1"/>
    <row r="20938" ht="15" hidden="1" customHeight="1"/>
    <row r="20939" ht="15" hidden="1" customHeight="1"/>
    <row r="20940" ht="15" hidden="1" customHeight="1"/>
    <row r="20941" ht="15" hidden="1" customHeight="1"/>
    <row r="20942" ht="15" hidden="1" customHeight="1"/>
    <row r="20943" ht="15" hidden="1" customHeight="1"/>
    <row r="20944" ht="15" hidden="1" customHeight="1"/>
    <row r="20945" ht="15" hidden="1" customHeight="1"/>
    <row r="20946" ht="15" hidden="1" customHeight="1"/>
    <row r="20947" ht="15" hidden="1" customHeight="1"/>
    <row r="20948" ht="15" hidden="1" customHeight="1"/>
    <row r="20949" ht="15" hidden="1" customHeight="1"/>
    <row r="20950" ht="15" hidden="1" customHeight="1"/>
    <row r="20951" ht="15" hidden="1" customHeight="1"/>
    <row r="20952" ht="15" hidden="1" customHeight="1"/>
    <row r="20953" ht="15" hidden="1" customHeight="1"/>
    <row r="20954" ht="15" hidden="1" customHeight="1"/>
    <row r="20955" ht="15" hidden="1" customHeight="1"/>
    <row r="20956" ht="15" hidden="1" customHeight="1"/>
    <row r="20957" ht="15" hidden="1" customHeight="1"/>
    <row r="20958" ht="15" hidden="1" customHeight="1"/>
    <row r="20959" ht="15" hidden="1" customHeight="1"/>
    <row r="20960" ht="15" hidden="1" customHeight="1"/>
    <row r="20961" ht="15" hidden="1" customHeight="1"/>
    <row r="20962" ht="15" hidden="1" customHeight="1"/>
    <row r="20963" ht="15" hidden="1" customHeight="1"/>
    <row r="20964" ht="15" hidden="1" customHeight="1"/>
    <row r="20965" ht="15" hidden="1" customHeight="1"/>
    <row r="20966" ht="15" hidden="1" customHeight="1"/>
    <row r="20967" ht="15" hidden="1" customHeight="1"/>
    <row r="20968" ht="15" hidden="1" customHeight="1"/>
    <row r="20969" ht="15" hidden="1" customHeight="1"/>
    <row r="20970" ht="15" hidden="1" customHeight="1"/>
    <row r="20971" ht="15" hidden="1" customHeight="1"/>
    <row r="20972" ht="15" hidden="1" customHeight="1"/>
    <row r="20973" ht="15" hidden="1" customHeight="1"/>
    <row r="20974" ht="15" hidden="1" customHeight="1"/>
    <row r="20975" ht="15" hidden="1" customHeight="1"/>
    <row r="20976" ht="15" hidden="1" customHeight="1"/>
    <row r="20977" ht="15" hidden="1" customHeight="1"/>
    <row r="20978" ht="15" hidden="1" customHeight="1"/>
    <row r="20979" ht="15" hidden="1" customHeight="1"/>
    <row r="20980" ht="15" hidden="1" customHeight="1"/>
    <row r="20981" ht="15" hidden="1" customHeight="1"/>
    <row r="20982" ht="15" hidden="1" customHeight="1"/>
    <row r="20983" ht="15" hidden="1" customHeight="1"/>
    <row r="20984" ht="15" hidden="1" customHeight="1"/>
    <row r="20985" ht="15" hidden="1" customHeight="1"/>
    <row r="20986" ht="15" hidden="1" customHeight="1"/>
    <row r="20987" ht="15" hidden="1" customHeight="1"/>
    <row r="20988" ht="15" hidden="1" customHeight="1"/>
    <row r="20989" ht="15" hidden="1" customHeight="1"/>
    <row r="20990" ht="15" hidden="1" customHeight="1"/>
    <row r="20991" ht="15" hidden="1" customHeight="1"/>
    <row r="20992" ht="15" hidden="1" customHeight="1"/>
    <row r="20993" ht="15" hidden="1" customHeight="1"/>
    <row r="20994" ht="15" hidden="1" customHeight="1"/>
    <row r="20995" ht="15" hidden="1" customHeight="1"/>
    <row r="20996" ht="15" hidden="1" customHeight="1"/>
    <row r="20997" ht="15" hidden="1" customHeight="1"/>
    <row r="20998" ht="15" hidden="1" customHeight="1"/>
    <row r="20999" ht="15" hidden="1" customHeight="1"/>
    <row r="21000" ht="15" hidden="1" customHeight="1"/>
    <row r="21001" ht="15" hidden="1" customHeight="1"/>
    <row r="21002" ht="15" hidden="1" customHeight="1"/>
    <row r="21003" ht="15" hidden="1" customHeight="1"/>
    <row r="21004" ht="15" hidden="1" customHeight="1"/>
    <row r="21005" ht="15" hidden="1" customHeight="1"/>
    <row r="21006" ht="15" hidden="1" customHeight="1"/>
    <row r="21007" ht="15" hidden="1" customHeight="1"/>
    <row r="21008" ht="15" hidden="1" customHeight="1"/>
    <row r="21009" ht="15" hidden="1" customHeight="1"/>
    <row r="21010" ht="15" hidden="1" customHeight="1"/>
    <row r="21011" ht="15" hidden="1" customHeight="1"/>
    <row r="21012" ht="15" hidden="1" customHeight="1"/>
    <row r="21013" ht="15" hidden="1" customHeight="1"/>
    <row r="21014" ht="15" hidden="1" customHeight="1"/>
    <row r="21015" ht="15" hidden="1" customHeight="1"/>
    <row r="21016" ht="15" hidden="1" customHeight="1"/>
    <row r="21017" ht="15" hidden="1" customHeight="1"/>
    <row r="21018" ht="15" hidden="1" customHeight="1"/>
    <row r="21019" ht="15" hidden="1" customHeight="1"/>
    <row r="21020" ht="15" hidden="1" customHeight="1"/>
    <row r="21021" ht="15" hidden="1" customHeight="1"/>
    <row r="21022" ht="15" hidden="1" customHeight="1"/>
    <row r="21023" ht="15" hidden="1" customHeight="1"/>
    <row r="21024" ht="15" hidden="1" customHeight="1"/>
    <row r="21025" ht="15" hidden="1" customHeight="1"/>
    <row r="21026" ht="15" hidden="1" customHeight="1"/>
    <row r="21027" ht="15" hidden="1" customHeight="1"/>
    <row r="21028" ht="15" hidden="1" customHeight="1"/>
    <row r="21029" ht="15" hidden="1" customHeight="1"/>
    <row r="21030" ht="15" hidden="1" customHeight="1"/>
    <row r="21031" ht="15" hidden="1" customHeight="1"/>
    <row r="21032" ht="15" hidden="1" customHeight="1"/>
    <row r="21033" ht="15" hidden="1" customHeight="1"/>
    <row r="21034" ht="15" hidden="1" customHeight="1"/>
    <row r="21035" ht="15" hidden="1" customHeight="1"/>
    <row r="21036" ht="15" hidden="1" customHeight="1"/>
    <row r="21037" ht="15" hidden="1" customHeight="1"/>
    <row r="21038" ht="15" hidden="1" customHeight="1"/>
    <row r="21039" ht="15" hidden="1" customHeight="1"/>
    <row r="21040" ht="15" hidden="1" customHeight="1"/>
    <row r="21041" ht="15" hidden="1" customHeight="1"/>
    <row r="21042" ht="15" hidden="1" customHeight="1"/>
    <row r="21043" ht="15" hidden="1" customHeight="1"/>
    <row r="21044" ht="15" hidden="1" customHeight="1"/>
    <row r="21045" ht="15" hidden="1" customHeight="1"/>
    <row r="21046" ht="15" hidden="1" customHeight="1"/>
    <row r="21047" ht="15" hidden="1" customHeight="1"/>
    <row r="21048" ht="15" hidden="1" customHeight="1"/>
    <row r="21049" ht="15" hidden="1" customHeight="1"/>
    <row r="21050" ht="15" hidden="1" customHeight="1"/>
    <row r="21051" ht="15" hidden="1" customHeight="1"/>
    <row r="21052" ht="15" hidden="1" customHeight="1"/>
    <row r="21053" ht="15" hidden="1" customHeight="1"/>
    <row r="21054" ht="15" hidden="1" customHeight="1"/>
    <row r="21055" ht="15" hidden="1" customHeight="1"/>
    <row r="21056" ht="15" hidden="1" customHeight="1"/>
    <row r="21057" ht="15" hidden="1" customHeight="1"/>
    <row r="21058" ht="15" hidden="1" customHeight="1"/>
    <row r="21059" ht="15" hidden="1" customHeight="1"/>
    <row r="21060" ht="15" hidden="1" customHeight="1"/>
    <row r="21061" ht="15" hidden="1" customHeight="1"/>
    <row r="21062" ht="15" hidden="1" customHeight="1"/>
    <row r="21063" ht="15" hidden="1" customHeight="1"/>
    <row r="21064" ht="15" hidden="1" customHeight="1"/>
    <row r="21065" ht="15" hidden="1" customHeight="1"/>
    <row r="21066" ht="15" hidden="1" customHeight="1"/>
    <row r="21067" ht="15" hidden="1" customHeight="1"/>
    <row r="21068" ht="15" hidden="1" customHeight="1"/>
    <row r="21069" ht="15" hidden="1" customHeight="1"/>
    <row r="21070" ht="15" hidden="1" customHeight="1"/>
    <row r="21071" ht="15" hidden="1" customHeight="1"/>
    <row r="21072" ht="15" hidden="1" customHeight="1"/>
    <row r="21073" ht="15" hidden="1" customHeight="1"/>
    <row r="21074" ht="15" hidden="1" customHeight="1"/>
    <row r="21075" ht="15" hidden="1" customHeight="1"/>
    <row r="21076" ht="15" hidden="1" customHeight="1"/>
    <row r="21077" ht="15" hidden="1" customHeight="1"/>
    <row r="21078" ht="15" hidden="1" customHeight="1"/>
    <row r="21079" ht="15" hidden="1" customHeight="1"/>
    <row r="21080" ht="15" hidden="1" customHeight="1"/>
    <row r="21081" ht="15" hidden="1" customHeight="1"/>
    <row r="21082" ht="15" hidden="1" customHeight="1"/>
    <row r="21083" ht="15" hidden="1" customHeight="1"/>
    <row r="21084" ht="15" hidden="1" customHeight="1"/>
    <row r="21085" ht="15" hidden="1" customHeight="1"/>
    <row r="21086" ht="15" hidden="1" customHeight="1"/>
    <row r="21087" ht="15" hidden="1" customHeight="1"/>
    <row r="21088" ht="15" hidden="1" customHeight="1"/>
    <row r="21089" ht="15" hidden="1" customHeight="1"/>
    <row r="21090" ht="15" hidden="1" customHeight="1"/>
    <row r="21091" ht="15" hidden="1" customHeight="1"/>
    <row r="21092" ht="15" hidden="1" customHeight="1"/>
    <row r="21093" ht="15" hidden="1" customHeight="1"/>
    <row r="21094" ht="15" hidden="1" customHeight="1"/>
    <row r="21095" ht="15" hidden="1" customHeight="1"/>
    <row r="21096" ht="15" hidden="1" customHeight="1"/>
    <row r="21097" ht="15" hidden="1" customHeight="1"/>
    <row r="21098" ht="15" hidden="1" customHeight="1"/>
    <row r="21099" ht="15" hidden="1" customHeight="1"/>
    <row r="21100" ht="15" hidden="1" customHeight="1"/>
    <row r="21101" ht="15" hidden="1" customHeight="1"/>
    <row r="21102" ht="15" hidden="1" customHeight="1"/>
    <row r="21103" ht="15" hidden="1" customHeight="1"/>
    <row r="21104" ht="15" hidden="1" customHeight="1"/>
    <row r="21105" ht="15" hidden="1" customHeight="1"/>
    <row r="21106" ht="15" hidden="1" customHeight="1"/>
    <row r="21107" ht="15" hidden="1" customHeight="1"/>
    <row r="21108" ht="15" hidden="1" customHeight="1"/>
    <row r="21109" ht="15" hidden="1" customHeight="1"/>
    <row r="21110" ht="15" hidden="1" customHeight="1"/>
    <row r="21111" ht="15" hidden="1" customHeight="1"/>
    <row r="21112" ht="15" hidden="1" customHeight="1"/>
    <row r="21113" ht="15" hidden="1" customHeight="1"/>
    <row r="21114" ht="15" hidden="1" customHeight="1"/>
    <row r="21115" ht="15" hidden="1" customHeight="1"/>
    <row r="21116" ht="15" hidden="1" customHeight="1"/>
    <row r="21117" ht="15" hidden="1" customHeight="1"/>
    <row r="21118" ht="15" hidden="1" customHeight="1"/>
    <row r="21119" ht="15" hidden="1" customHeight="1"/>
    <row r="21120" ht="15" hidden="1" customHeight="1"/>
    <row r="21121" ht="15" hidden="1" customHeight="1"/>
    <row r="21122" ht="15" hidden="1" customHeight="1"/>
    <row r="21123" ht="15" hidden="1" customHeight="1"/>
    <row r="21124" ht="15" hidden="1" customHeight="1"/>
    <row r="21125" ht="15" hidden="1" customHeight="1"/>
    <row r="21126" ht="15" hidden="1" customHeight="1"/>
    <row r="21127" ht="15" hidden="1" customHeight="1"/>
    <row r="21128" ht="15" hidden="1" customHeight="1"/>
    <row r="21129" ht="15" hidden="1" customHeight="1"/>
    <row r="21130" ht="15" hidden="1" customHeight="1"/>
    <row r="21131" ht="15" hidden="1" customHeight="1"/>
    <row r="21132" ht="15" hidden="1" customHeight="1"/>
    <row r="21133" ht="15" hidden="1" customHeight="1"/>
    <row r="21134" ht="15" hidden="1" customHeight="1"/>
    <row r="21135" ht="15" hidden="1" customHeight="1"/>
    <row r="21136" ht="15" hidden="1" customHeight="1"/>
    <row r="21137" ht="15" hidden="1" customHeight="1"/>
    <row r="21138" ht="15" hidden="1" customHeight="1"/>
    <row r="21139" ht="15" hidden="1" customHeight="1"/>
    <row r="21140" ht="15" hidden="1" customHeight="1"/>
    <row r="21141" ht="15" hidden="1" customHeight="1"/>
    <row r="21142" ht="15" hidden="1" customHeight="1"/>
    <row r="21143" ht="15" hidden="1" customHeight="1"/>
    <row r="21144" ht="15" hidden="1" customHeight="1"/>
    <row r="21145" ht="15" hidden="1" customHeight="1"/>
    <row r="21146" ht="15" hidden="1" customHeight="1"/>
    <row r="21147" ht="15" hidden="1" customHeight="1"/>
    <row r="21148" ht="15" hidden="1" customHeight="1"/>
    <row r="21149" ht="15" hidden="1" customHeight="1"/>
    <row r="21150" ht="15" hidden="1" customHeight="1"/>
    <row r="21151" ht="15" hidden="1" customHeight="1"/>
    <row r="21152" ht="15" hidden="1" customHeight="1"/>
    <row r="21153" ht="15" hidden="1" customHeight="1"/>
    <row r="21154" ht="15" hidden="1" customHeight="1"/>
    <row r="21155" ht="15" hidden="1" customHeight="1"/>
    <row r="21156" ht="15" hidden="1" customHeight="1"/>
    <row r="21157" ht="15" hidden="1" customHeight="1"/>
    <row r="21158" ht="15" hidden="1" customHeight="1"/>
    <row r="21159" ht="15" hidden="1" customHeight="1"/>
    <row r="21160" ht="15" hidden="1" customHeight="1"/>
    <row r="21161" ht="15" hidden="1" customHeight="1"/>
    <row r="21162" ht="15" hidden="1" customHeight="1"/>
    <row r="21163" ht="15" hidden="1" customHeight="1"/>
    <row r="21164" ht="15" hidden="1" customHeight="1"/>
    <row r="21165" ht="15" hidden="1" customHeight="1"/>
    <row r="21166" ht="15" hidden="1" customHeight="1"/>
    <row r="21167" ht="15" hidden="1" customHeight="1"/>
    <row r="21168" ht="15" hidden="1" customHeight="1"/>
    <row r="21169" ht="15" hidden="1" customHeight="1"/>
    <row r="21170" ht="15" hidden="1" customHeight="1"/>
    <row r="21171" ht="15" hidden="1" customHeight="1"/>
    <row r="21172" ht="15" hidden="1" customHeight="1"/>
    <row r="21173" ht="15" hidden="1" customHeight="1"/>
    <row r="21174" ht="15" hidden="1" customHeight="1"/>
    <row r="21175" ht="15" hidden="1" customHeight="1"/>
    <row r="21176" ht="15" hidden="1" customHeight="1"/>
    <row r="21177" ht="15" hidden="1" customHeight="1"/>
    <row r="21178" ht="15" hidden="1" customHeight="1"/>
    <row r="21179" ht="15" hidden="1" customHeight="1"/>
    <row r="21180" ht="15" hidden="1" customHeight="1"/>
    <row r="21181" ht="15" hidden="1" customHeight="1"/>
    <row r="21182" ht="15" hidden="1" customHeight="1"/>
    <row r="21183" ht="15" hidden="1" customHeight="1"/>
    <row r="21184" ht="15" hidden="1" customHeight="1"/>
    <row r="21185" ht="15" hidden="1" customHeight="1"/>
    <row r="21186" ht="15" hidden="1" customHeight="1"/>
    <row r="21187" ht="15" hidden="1" customHeight="1"/>
    <row r="21188" ht="15" hidden="1" customHeight="1"/>
    <row r="21189" ht="15" hidden="1" customHeight="1"/>
    <row r="21190" ht="15" hidden="1" customHeight="1"/>
    <row r="21191" ht="15" hidden="1" customHeight="1"/>
    <row r="21192" ht="15" hidden="1" customHeight="1"/>
    <row r="21193" ht="15" hidden="1" customHeight="1"/>
    <row r="21194" ht="15" hidden="1" customHeight="1"/>
    <row r="21195" ht="15" hidden="1" customHeight="1"/>
    <row r="21196" ht="15" hidden="1" customHeight="1"/>
    <row r="21197" ht="15" hidden="1" customHeight="1"/>
    <row r="21198" ht="15" hidden="1" customHeight="1"/>
    <row r="21199" ht="15" hidden="1" customHeight="1"/>
    <row r="21200" ht="15" hidden="1" customHeight="1"/>
    <row r="21201" ht="15" hidden="1" customHeight="1"/>
    <row r="21202" ht="15" hidden="1" customHeight="1"/>
    <row r="21203" ht="15" hidden="1" customHeight="1"/>
    <row r="21204" ht="15" hidden="1" customHeight="1"/>
    <row r="21205" ht="15" hidden="1" customHeight="1"/>
    <row r="21206" ht="15" hidden="1" customHeight="1"/>
    <row r="21207" ht="15" hidden="1" customHeight="1"/>
    <row r="21208" ht="15" hidden="1" customHeight="1"/>
    <row r="21209" ht="15" hidden="1" customHeight="1"/>
    <row r="21210" ht="15" hidden="1" customHeight="1"/>
    <row r="21211" ht="15" hidden="1" customHeight="1"/>
    <row r="21212" ht="15" hidden="1" customHeight="1"/>
    <row r="21213" ht="15" hidden="1" customHeight="1"/>
    <row r="21214" ht="15" hidden="1" customHeight="1"/>
    <row r="21215" ht="15" hidden="1" customHeight="1"/>
    <row r="21216" ht="15" hidden="1" customHeight="1"/>
    <row r="21217" ht="15" hidden="1" customHeight="1"/>
    <row r="21218" ht="15" hidden="1" customHeight="1"/>
    <row r="21219" ht="15" hidden="1" customHeight="1"/>
    <row r="21220" ht="15" hidden="1" customHeight="1"/>
    <row r="21221" ht="15" hidden="1" customHeight="1"/>
    <row r="21222" ht="15" hidden="1" customHeight="1"/>
    <row r="21223" ht="15" hidden="1" customHeight="1"/>
    <row r="21224" ht="15" hidden="1" customHeight="1"/>
    <row r="21225" ht="15" hidden="1" customHeight="1"/>
    <row r="21226" ht="15" hidden="1" customHeight="1"/>
    <row r="21227" ht="15" hidden="1" customHeight="1"/>
    <row r="21228" ht="15" hidden="1" customHeight="1"/>
    <row r="21229" ht="15" hidden="1" customHeight="1"/>
    <row r="21230" ht="15" hidden="1" customHeight="1"/>
    <row r="21231" ht="15" hidden="1" customHeight="1"/>
    <row r="21232" ht="15" hidden="1" customHeight="1"/>
    <row r="21233" ht="15" hidden="1" customHeight="1"/>
    <row r="21234" ht="15" hidden="1" customHeight="1"/>
    <row r="21235" ht="15" hidden="1" customHeight="1"/>
    <row r="21236" ht="15" hidden="1" customHeight="1"/>
    <row r="21237" ht="15" hidden="1" customHeight="1"/>
    <row r="21238" ht="15" hidden="1" customHeight="1"/>
    <row r="21239" ht="15" hidden="1" customHeight="1"/>
    <row r="21240" ht="15" hidden="1" customHeight="1"/>
    <row r="21241" ht="15" hidden="1" customHeight="1"/>
    <row r="21242" ht="15" hidden="1" customHeight="1"/>
    <row r="21243" ht="15" hidden="1" customHeight="1"/>
    <row r="21244" ht="15" hidden="1" customHeight="1"/>
    <row r="21245" ht="15" hidden="1" customHeight="1"/>
    <row r="21246" ht="15" hidden="1" customHeight="1"/>
    <row r="21247" ht="15" hidden="1" customHeight="1"/>
    <row r="21248" ht="15" hidden="1" customHeight="1"/>
    <row r="21249" ht="15" hidden="1" customHeight="1"/>
    <row r="21250" ht="15" hidden="1" customHeight="1"/>
    <row r="21251" ht="15" hidden="1" customHeight="1"/>
    <row r="21252" ht="15" hidden="1" customHeight="1"/>
    <row r="21253" ht="15" hidden="1" customHeight="1"/>
    <row r="21254" ht="15" hidden="1" customHeight="1"/>
    <row r="21255" ht="15" hidden="1" customHeight="1"/>
    <row r="21256" ht="15" hidden="1" customHeight="1"/>
    <row r="21257" ht="15" hidden="1" customHeight="1"/>
    <row r="21258" ht="15" hidden="1" customHeight="1"/>
    <row r="21259" ht="15" hidden="1" customHeight="1"/>
    <row r="21260" ht="15" hidden="1" customHeight="1"/>
    <row r="21261" ht="15" hidden="1" customHeight="1"/>
    <row r="21262" ht="15" hidden="1" customHeight="1"/>
    <row r="21263" ht="15" hidden="1" customHeight="1"/>
    <row r="21264" ht="15" hidden="1" customHeight="1"/>
    <row r="21265" ht="15" hidden="1" customHeight="1"/>
    <row r="21266" ht="15" hidden="1" customHeight="1"/>
    <row r="21267" ht="15" hidden="1" customHeight="1"/>
    <row r="21268" ht="15" hidden="1" customHeight="1"/>
    <row r="21269" ht="15" hidden="1" customHeight="1"/>
    <row r="21270" ht="15" hidden="1" customHeight="1"/>
    <row r="21271" ht="15" hidden="1" customHeight="1"/>
    <row r="21272" ht="15" hidden="1" customHeight="1"/>
    <row r="21273" ht="15" hidden="1" customHeight="1"/>
    <row r="21274" ht="15" hidden="1" customHeight="1"/>
    <row r="21275" ht="15" hidden="1" customHeight="1"/>
    <row r="21276" ht="15" hidden="1" customHeight="1"/>
    <row r="21277" ht="15" hidden="1" customHeight="1"/>
    <row r="21278" ht="15" hidden="1" customHeight="1"/>
    <row r="21279" ht="15" hidden="1" customHeight="1"/>
    <row r="21280" ht="15" hidden="1" customHeight="1"/>
    <row r="21281" ht="15" hidden="1" customHeight="1"/>
    <row r="21282" ht="15" hidden="1" customHeight="1"/>
    <row r="21283" ht="15" hidden="1" customHeight="1"/>
    <row r="21284" ht="15" hidden="1" customHeight="1"/>
    <row r="21285" ht="15" hidden="1" customHeight="1"/>
    <row r="21286" ht="15" hidden="1" customHeight="1"/>
    <row r="21287" ht="15" hidden="1" customHeight="1"/>
    <row r="21288" ht="15" hidden="1" customHeight="1"/>
    <row r="21289" ht="15" hidden="1" customHeight="1"/>
    <row r="21290" ht="15" hidden="1" customHeight="1"/>
    <row r="21291" ht="15" hidden="1" customHeight="1"/>
    <row r="21292" ht="15" hidden="1" customHeight="1"/>
    <row r="21293" ht="15" hidden="1" customHeight="1"/>
    <row r="21294" ht="15" hidden="1" customHeight="1"/>
    <row r="21295" ht="15" hidden="1" customHeight="1"/>
    <row r="21296" ht="15" hidden="1" customHeight="1"/>
    <row r="21297" ht="15" hidden="1" customHeight="1"/>
    <row r="21298" ht="15" hidden="1" customHeight="1"/>
    <row r="21299" ht="15" hidden="1" customHeight="1"/>
    <row r="21300" ht="15" hidden="1" customHeight="1"/>
    <row r="21301" ht="15" hidden="1" customHeight="1"/>
    <row r="21302" ht="15" hidden="1" customHeight="1"/>
    <row r="21303" ht="15" hidden="1" customHeight="1"/>
    <row r="21304" ht="15" hidden="1" customHeight="1"/>
    <row r="21305" ht="15" hidden="1" customHeight="1"/>
    <row r="21306" ht="15" hidden="1" customHeight="1"/>
    <row r="21307" ht="15" hidden="1" customHeight="1"/>
    <row r="21308" ht="15" hidden="1" customHeight="1"/>
    <row r="21309" ht="15" hidden="1" customHeight="1"/>
    <row r="21310" ht="15" hidden="1" customHeight="1"/>
    <row r="21311" ht="15" hidden="1" customHeight="1"/>
    <row r="21312" ht="15" hidden="1" customHeight="1"/>
    <row r="21313" ht="15" hidden="1" customHeight="1"/>
    <row r="21314" ht="15" hidden="1" customHeight="1"/>
    <row r="21315" ht="15" hidden="1" customHeight="1"/>
    <row r="21316" ht="15" hidden="1" customHeight="1"/>
    <row r="21317" ht="15" hidden="1" customHeight="1"/>
    <row r="21318" ht="15" hidden="1" customHeight="1"/>
    <row r="21319" ht="15" hidden="1" customHeight="1"/>
    <row r="21320" ht="15" hidden="1" customHeight="1"/>
    <row r="21321" ht="15" hidden="1" customHeight="1"/>
    <row r="21322" ht="15" hidden="1" customHeight="1"/>
    <row r="21323" ht="15" hidden="1" customHeight="1"/>
    <row r="21324" ht="15" hidden="1" customHeight="1"/>
    <row r="21325" ht="15" hidden="1" customHeight="1"/>
    <row r="21326" ht="15" hidden="1" customHeight="1"/>
    <row r="21327" ht="15" hidden="1" customHeight="1"/>
    <row r="21328" ht="15" hidden="1" customHeight="1"/>
    <row r="21329" ht="15" hidden="1" customHeight="1"/>
    <row r="21330" ht="15" hidden="1" customHeight="1"/>
    <row r="21331" ht="15" hidden="1" customHeight="1"/>
    <row r="21332" ht="15" hidden="1" customHeight="1"/>
    <row r="21333" ht="15" hidden="1" customHeight="1"/>
    <row r="21334" ht="15" hidden="1" customHeight="1"/>
    <row r="21335" ht="15" hidden="1" customHeight="1"/>
    <row r="21336" ht="15" hidden="1" customHeight="1"/>
    <row r="21337" ht="15" hidden="1" customHeight="1"/>
    <row r="21338" ht="15" hidden="1" customHeight="1"/>
    <row r="21339" ht="15" hidden="1" customHeight="1"/>
    <row r="21340" ht="15" hidden="1" customHeight="1"/>
    <row r="21341" ht="15" hidden="1" customHeight="1"/>
    <row r="21342" ht="15" hidden="1" customHeight="1"/>
    <row r="21343" ht="15" hidden="1" customHeight="1"/>
    <row r="21344" ht="15" hidden="1" customHeight="1"/>
    <row r="21345" ht="15" hidden="1" customHeight="1"/>
    <row r="21346" ht="15" hidden="1" customHeight="1"/>
    <row r="21347" ht="15" hidden="1" customHeight="1"/>
    <row r="21348" ht="15" hidden="1" customHeight="1"/>
    <row r="21349" ht="15" hidden="1" customHeight="1"/>
    <row r="21350" ht="15" hidden="1" customHeight="1"/>
    <row r="21351" ht="15" hidden="1" customHeight="1"/>
    <row r="21352" ht="15" hidden="1" customHeight="1"/>
    <row r="21353" ht="15" hidden="1" customHeight="1"/>
    <row r="21354" ht="15" hidden="1" customHeight="1"/>
    <row r="21355" ht="15" hidden="1" customHeight="1"/>
    <row r="21356" ht="15" hidden="1" customHeight="1"/>
    <row r="21357" ht="15" hidden="1" customHeight="1"/>
    <row r="21358" ht="15" hidden="1" customHeight="1"/>
    <row r="21359" ht="15" hidden="1" customHeight="1"/>
    <row r="21360" ht="15" hidden="1" customHeight="1"/>
    <row r="21361" ht="15" hidden="1" customHeight="1"/>
    <row r="21362" ht="15" hidden="1" customHeight="1"/>
    <row r="21363" ht="15" hidden="1" customHeight="1"/>
    <row r="21364" ht="15" hidden="1" customHeight="1"/>
    <row r="21365" ht="15" hidden="1" customHeight="1"/>
    <row r="21366" ht="15" hidden="1" customHeight="1"/>
    <row r="21367" ht="15" hidden="1" customHeight="1"/>
    <row r="21368" ht="15" hidden="1" customHeight="1"/>
    <row r="21369" ht="15" hidden="1" customHeight="1"/>
    <row r="21370" ht="15" hidden="1" customHeight="1"/>
    <row r="21371" ht="15" hidden="1" customHeight="1"/>
    <row r="21372" ht="15" hidden="1" customHeight="1"/>
    <row r="21373" ht="15" hidden="1" customHeight="1"/>
    <row r="21374" ht="15" hidden="1" customHeight="1"/>
    <row r="21375" ht="15" hidden="1" customHeight="1"/>
    <row r="21376" ht="15" hidden="1" customHeight="1"/>
    <row r="21377" ht="15" hidden="1" customHeight="1"/>
    <row r="21378" ht="15" hidden="1" customHeight="1"/>
    <row r="21379" ht="15" hidden="1" customHeight="1"/>
    <row r="21380" ht="15" hidden="1" customHeight="1"/>
    <row r="21381" ht="15" hidden="1" customHeight="1"/>
    <row r="21382" ht="15" hidden="1" customHeight="1"/>
    <row r="21383" ht="15" hidden="1" customHeight="1"/>
    <row r="21384" ht="15" hidden="1" customHeight="1"/>
    <row r="21385" ht="15" hidden="1" customHeight="1"/>
    <row r="21386" ht="15" hidden="1" customHeight="1"/>
    <row r="21387" ht="15" hidden="1" customHeight="1"/>
    <row r="21388" ht="15" hidden="1" customHeight="1"/>
    <row r="21389" ht="15" hidden="1" customHeight="1"/>
    <row r="21390" ht="15" hidden="1" customHeight="1"/>
    <row r="21391" ht="15" hidden="1" customHeight="1"/>
    <row r="21392" ht="15" hidden="1" customHeight="1"/>
    <row r="21393" ht="15" hidden="1" customHeight="1"/>
    <row r="21394" ht="15" hidden="1" customHeight="1"/>
    <row r="21395" ht="15" hidden="1" customHeight="1"/>
    <row r="21396" ht="15" hidden="1" customHeight="1"/>
    <row r="21397" ht="15" hidden="1" customHeight="1"/>
    <row r="21398" ht="15" hidden="1" customHeight="1"/>
    <row r="21399" ht="15" hidden="1" customHeight="1"/>
    <row r="21400" ht="15" hidden="1" customHeight="1"/>
    <row r="21401" ht="15" hidden="1" customHeight="1"/>
    <row r="21402" ht="15" hidden="1" customHeight="1"/>
    <row r="21403" ht="15" hidden="1" customHeight="1"/>
    <row r="21404" ht="15" hidden="1" customHeight="1"/>
    <row r="21405" ht="15" hidden="1" customHeight="1"/>
    <row r="21406" ht="15" hidden="1" customHeight="1"/>
    <row r="21407" ht="15" hidden="1" customHeight="1"/>
    <row r="21408" ht="15" hidden="1" customHeight="1"/>
    <row r="21409" ht="15" hidden="1" customHeight="1"/>
    <row r="21410" ht="15" hidden="1" customHeight="1"/>
    <row r="21411" ht="15" hidden="1" customHeight="1"/>
    <row r="21412" ht="15" hidden="1" customHeight="1"/>
    <row r="21413" ht="15" hidden="1" customHeight="1"/>
    <row r="21414" ht="15" hidden="1" customHeight="1"/>
    <row r="21415" ht="15" hidden="1" customHeight="1"/>
    <row r="21416" ht="15" hidden="1" customHeight="1"/>
    <row r="21417" ht="15" hidden="1" customHeight="1"/>
    <row r="21418" ht="15" hidden="1" customHeight="1"/>
    <row r="21419" ht="15" hidden="1" customHeight="1"/>
    <row r="21420" ht="15" hidden="1" customHeight="1"/>
    <row r="21421" ht="15" hidden="1" customHeight="1"/>
    <row r="21422" ht="15" hidden="1" customHeight="1"/>
    <row r="21423" ht="15" hidden="1" customHeight="1"/>
    <row r="21424" ht="15" hidden="1" customHeight="1"/>
    <row r="21425" ht="15" hidden="1" customHeight="1"/>
    <row r="21426" ht="15" hidden="1" customHeight="1"/>
    <row r="21427" ht="15" hidden="1" customHeight="1"/>
    <row r="21428" ht="15" hidden="1" customHeight="1"/>
    <row r="21429" ht="15" hidden="1" customHeight="1"/>
    <row r="21430" ht="15" hidden="1" customHeight="1"/>
    <row r="21431" ht="15" hidden="1" customHeight="1"/>
    <row r="21432" ht="15" hidden="1" customHeight="1"/>
    <row r="21433" ht="15" hidden="1" customHeight="1"/>
    <row r="21434" ht="15" hidden="1" customHeight="1"/>
    <row r="21435" ht="15" hidden="1" customHeight="1"/>
    <row r="21436" ht="15" hidden="1" customHeight="1"/>
    <row r="21437" ht="15" hidden="1" customHeight="1"/>
    <row r="21438" ht="15" hidden="1" customHeight="1"/>
    <row r="21439" ht="15" hidden="1" customHeight="1"/>
    <row r="21440" ht="15" hidden="1" customHeight="1"/>
    <row r="21441" ht="15" hidden="1" customHeight="1"/>
    <row r="21442" ht="15" hidden="1" customHeight="1"/>
    <row r="21443" ht="15" hidden="1" customHeight="1"/>
    <row r="21444" ht="15" hidden="1" customHeight="1"/>
    <row r="21445" ht="15" hidden="1" customHeight="1"/>
    <row r="21446" ht="15" hidden="1" customHeight="1"/>
    <row r="21447" ht="15" hidden="1" customHeight="1"/>
    <row r="21448" ht="15" hidden="1" customHeight="1"/>
    <row r="21449" ht="15" hidden="1" customHeight="1"/>
    <row r="21450" ht="15" hidden="1" customHeight="1"/>
    <row r="21451" ht="15" hidden="1" customHeight="1"/>
    <row r="21452" ht="15" hidden="1" customHeight="1"/>
    <row r="21453" ht="15" hidden="1" customHeight="1"/>
    <row r="21454" ht="15" hidden="1" customHeight="1"/>
    <row r="21455" ht="15" hidden="1" customHeight="1"/>
    <row r="21456" ht="15" hidden="1" customHeight="1"/>
    <row r="21457" ht="15" hidden="1" customHeight="1"/>
    <row r="21458" ht="15" hidden="1" customHeight="1"/>
    <row r="21459" ht="15" hidden="1" customHeight="1"/>
    <row r="21460" ht="15" hidden="1" customHeight="1"/>
    <row r="21461" ht="15" hidden="1" customHeight="1"/>
    <row r="21462" ht="15" hidden="1" customHeight="1"/>
    <row r="21463" ht="15" hidden="1" customHeight="1"/>
    <row r="21464" ht="15" hidden="1" customHeight="1"/>
    <row r="21465" ht="15" hidden="1" customHeight="1"/>
    <row r="21466" ht="15" hidden="1" customHeight="1"/>
    <row r="21467" ht="15" hidden="1" customHeight="1"/>
    <row r="21468" ht="15" hidden="1" customHeight="1"/>
    <row r="21469" ht="15" hidden="1" customHeight="1"/>
    <row r="21470" ht="15" hidden="1" customHeight="1"/>
    <row r="21471" ht="15" hidden="1" customHeight="1"/>
    <row r="21472" ht="15" hidden="1" customHeight="1"/>
    <row r="21473" ht="15" hidden="1" customHeight="1"/>
    <row r="21474" ht="15" hidden="1" customHeight="1"/>
    <row r="21475" ht="15" hidden="1" customHeight="1"/>
    <row r="21476" ht="15" hidden="1" customHeight="1"/>
    <row r="21477" ht="15" hidden="1" customHeight="1"/>
    <row r="21478" ht="15" hidden="1" customHeight="1"/>
    <row r="21479" ht="15" hidden="1" customHeight="1"/>
    <row r="21480" ht="15" hidden="1" customHeight="1"/>
    <row r="21481" ht="15" hidden="1" customHeight="1"/>
    <row r="21482" ht="15" hidden="1" customHeight="1"/>
    <row r="21483" ht="15" hidden="1" customHeight="1"/>
    <row r="21484" ht="15" hidden="1" customHeight="1"/>
    <row r="21485" ht="15" hidden="1" customHeight="1"/>
    <row r="21486" ht="15" hidden="1" customHeight="1"/>
    <row r="21487" ht="15" hidden="1" customHeight="1"/>
    <row r="21488" ht="15" hidden="1" customHeight="1"/>
    <row r="21489" ht="15" hidden="1" customHeight="1"/>
    <row r="21490" ht="15" hidden="1" customHeight="1"/>
    <row r="21491" ht="15" hidden="1" customHeight="1"/>
    <row r="21492" ht="15" hidden="1" customHeight="1"/>
    <row r="21493" ht="15" hidden="1" customHeight="1"/>
    <row r="21494" ht="15" hidden="1" customHeight="1"/>
    <row r="21495" ht="15" hidden="1" customHeight="1"/>
    <row r="21496" ht="15" hidden="1" customHeight="1"/>
    <row r="21497" ht="15" hidden="1" customHeight="1"/>
    <row r="21498" ht="15" hidden="1" customHeight="1"/>
    <row r="21499" ht="15" hidden="1" customHeight="1"/>
    <row r="21500" ht="15" hidden="1" customHeight="1"/>
    <row r="21501" ht="15" hidden="1" customHeight="1"/>
    <row r="21502" ht="15" hidden="1" customHeight="1"/>
    <row r="21503" ht="15" hidden="1" customHeight="1"/>
    <row r="21504" ht="15" hidden="1" customHeight="1"/>
    <row r="21505" ht="15" hidden="1" customHeight="1"/>
    <row r="21506" ht="15" hidden="1" customHeight="1"/>
    <row r="21507" ht="15" hidden="1" customHeight="1"/>
    <row r="21508" ht="15" hidden="1" customHeight="1"/>
    <row r="21509" ht="15" hidden="1" customHeight="1"/>
    <row r="21510" ht="15" hidden="1" customHeight="1"/>
    <row r="21511" ht="15" hidden="1" customHeight="1"/>
    <row r="21512" ht="15" hidden="1" customHeight="1"/>
    <row r="21513" ht="15" hidden="1" customHeight="1"/>
    <row r="21514" ht="15" hidden="1" customHeight="1"/>
    <row r="21515" ht="15" hidden="1" customHeight="1"/>
    <row r="21516" ht="15" hidden="1" customHeight="1"/>
    <row r="21517" ht="15" hidden="1" customHeight="1"/>
    <row r="21518" ht="15" hidden="1" customHeight="1"/>
    <row r="21519" ht="15" hidden="1" customHeight="1"/>
    <row r="21520" ht="15" hidden="1" customHeight="1"/>
    <row r="21521" ht="15" hidden="1" customHeight="1"/>
    <row r="21522" ht="15" hidden="1" customHeight="1"/>
    <row r="21523" ht="15" hidden="1" customHeight="1"/>
    <row r="21524" ht="15" hidden="1" customHeight="1"/>
    <row r="21525" ht="15" hidden="1" customHeight="1"/>
    <row r="21526" ht="15" hidden="1" customHeight="1"/>
    <row r="21527" ht="15" hidden="1" customHeight="1"/>
    <row r="21528" ht="15" hidden="1" customHeight="1"/>
    <row r="21529" ht="15" hidden="1" customHeight="1"/>
    <row r="21530" ht="15" hidden="1" customHeight="1"/>
    <row r="21531" ht="15" hidden="1" customHeight="1"/>
    <row r="21532" ht="15" hidden="1" customHeight="1"/>
    <row r="21533" ht="15" hidden="1" customHeight="1"/>
    <row r="21534" ht="15" hidden="1" customHeight="1"/>
    <row r="21535" ht="15" hidden="1" customHeight="1"/>
    <row r="21536" ht="15" hidden="1" customHeight="1"/>
    <row r="21537" ht="15" hidden="1" customHeight="1"/>
    <row r="21538" ht="15" hidden="1" customHeight="1"/>
    <row r="21539" ht="15" hidden="1" customHeight="1"/>
    <row r="21540" ht="15" hidden="1" customHeight="1"/>
    <row r="21541" ht="15" hidden="1" customHeight="1"/>
    <row r="21542" ht="15" hidden="1" customHeight="1"/>
    <row r="21543" ht="15" hidden="1" customHeight="1"/>
    <row r="21544" ht="15" hidden="1" customHeight="1"/>
    <row r="21545" ht="15" hidden="1" customHeight="1"/>
    <row r="21546" ht="15" hidden="1" customHeight="1"/>
    <row r="21547" ht="15" hidden="1" customHeight="1"/>
    <row r="21548" ht="15" hidden="1" customHeight="1"/>
    <row r="21549" ht="15" hidden="1" customHeight="1"/>
    <row r="21550" ht="15" hidden="1" customHeight="1"/>
    <row r="21551" ht="15" hidden="1" customHeight="1"/>
    <row r="21552" ht="15" hidden="1" customHeight="1"/>
    <row r="21553" ht="15" hidden="1" customHeight="1"/>
    <row r="21554" ht="15" hidden="1" customHeight="1"/>
    <row r="21555" ht="15" hidden="1" customHeight="1"/>
    <row r="21556" ht="15" hidden="1" customHeight="1"/>
    <row r="21557" ht="15" hidden="1" customHeight="1"/>
    <row r="21558" ht="15" hidden="1" customHeight="1"/>
    <row r="21559" ht="15" hidden="1" customHeight="1"/>
    <row r="21560" ht="15" hidden="1" customHeight="1"/>
    <row r="21561" ht="15" hidden="1" customHeight="1"/>
    <row r="21562" ht="15" hidden="1" customHeight="1"/>
    <row r="21563" ht="15" hidden="1" customHeight="1"/>
    <row r="21564" ht="15" hidden="1" customHeight="1"/>
    <row r="21565" ht="15" hidden="1" customHeight="1"/>
    <row r="21566" ht="15" hidden="1" customHeight="1"/>
    <row r="21567" ht="15" hidden="1" customHeight="1"/>
    <row r="21568" ht="15" hidden="1" customHeight="1"/>
    <row r="21569" ht="15" hidden="1" customHeight="1"/>
    <row r="21570" ht="15" hidden="1" customHeight="1"/>
    <row r="21571" ht="15" hidden="1" customHeight="1"/>
    <row r="21572" ht="15" hidden="1" customHeight="1"/>
    <row r="21573" ht="15" hidden="1" customHeight="1"/>
    <row r="21574" ht="15" hidden="1" customHeight="1"/>
    <row r="21575" ht="15" hidden="1" customHeight="1"/>
    <row r="21576" ht="15" hidden="1" customHeight="1"/>
    <row r="21577" ht="15" hidden="1" customHeight="1"/>
    <row r="21578" ht="15" hidden="1" customHeight="1"/>
    <row r="21579" ht="15" hidden="1" customHeight="1"/>
    <row r="21580" ht="15" hidden="1" customHeight="1"/>
    <row r="21581" ht="15" hidden="1" customHeight="1"/>
    <row r="21582" ht="15" hidden="1" customHeight="1"/>
    <row r="21583" ht="15" hidden="1" customHeight="1"/>
    <row r="21584" ht="15" hidden="1" customHeight="1"/>
    <row r="21585" ht="15" hidden="1" customHeight="1"/>
    <row r="21586" ht="15" hidden="1" customHeight="1"/>
    <row r="21587" ht="15" hidden="1" customHeight="1"/>
    <row r="21588" ht="15" hidden="1" customHeight="1"/>
    <row r="21589" ht="15" hidden="1" customHeight="1"/>
    <row r="21590" ht="15" hidden="1" customHeight="1"/>
    <row r="21591" ht="15" hidden="1" customHeight="1"/>
    <row r="21592" ht="15" hidden="1" customHeight="1"/>
    <row r="21593" ht="15" hidden="1" customHeight="1"/>
    <row r="21594" ht="15" hidden="1" customHeight="1"/>
    <row r="21595" ht="15" hidden="1" customHeight="1"/>
    <row r="21596" ht="15" hidden="1" customHeight="1"/>
    <row r="21597" ht="15" hidden="1" customHeight="1"/>
    <row r="21598" ht="15" hidden="1" customHeight="1"/>
    <row r="21599" ht="15" hidden="1" customHeight="1"/>
    <row r="21600" ht="15" hidden="1" customHeight="1"/>
    <row r="21601" ht="15" hidden="1" customHeight="1"/>
    <row r="21602" ht="15" hidden="1" customHeight="1"/>
    <row r="21603" ht="15" hidden="1" customHeight="1"/>
    <row r="21604" ht="15" hidden="1" customHeight="1"/>
    <row r="21605" ht="15" hidden="1" customHeight="1"/>
    <row r="21606" ht="15" hidden="1" customHeight="1"/>
    <row r="21607" ht="15" hidden="1" customHeight="1"/>
    <row r="21608" ht="15" hidden="1" customHeight="1"/>
    <row r="21609" ht="15" hidden="1" customHeight="1"/>
    <row r="21610" ht="15" hidden="1" customHeight="1"/>
    <row r="21611" ht="15" hidden="1" customHeight="1"/>
    <row r="21612" ht="15" hidden="1" customHeight="1"/>
    <row r="21613" ht="15" hidden="1" customHeight="1"/>
    <row r="21614" ht="15" hidden="1" customHeight="1"/>
    <row r="21615" ht="15" hidden="1" customHeight="1"/>
    <row r="21616" ht="15" hidden="1" customHeight="1"/>
    <row r="21617" ht="15" hidden="1" customHeight="1"/>
    <row r="21618" ht="15" hidden="1" customHeight="1"/>
    <row r="21619" ht="15" hidden="1" customHeight="1"/>
    <row r="21620" ht="15" hidden="1" customHeight="1"/>
    <row r="21621" ht="15" hidden="1" customHeight="1"/>
    <row r="21622" ht="15" hidden="1" customHeight="1"/>
    <row r="21623" ht="15" hidden="1" customHeight="1"/>
    <row r="21624" ht="15" hidden="1" customHeight="1"/>
    <row r="21625" ht="15" hidden="1" customHeight="1"/>
    <row r="21626" ht="15" hidden="1" customHeight="1"/>
    <row r="21627" ht="15" hidden="1" customHeight="1"/>
    <row r="21628" ht="15" hidden="1" customHeight="1"/>
    <row r="21629" ht="15" hidden="1" customHeight="1"/>
    <row r="21630" ht="15" hidden="1" customHeight="1"/>
    <row r="21631" ht="15" hidden="1" customHeight="1"/>
    <row r="21632" ht="15" hidden="1" customHeight="1"/>
    <row r="21633" ht="15" hidden="1" customHeight="1"/>
    <row r="21634" ht="15" hidden="1" customHeight="1"/>
    <row r="21635" ht="15" hidden="1" customHeight="1"/>
    <row r="21636" ht="15" hidden="1" customHeight="1"/>
    <row r="21637" ht="15" hidden="1" customHeight="1"/>
    <row r="21638" ht="15" hidden="1" customHeight="1"/>
    <row r="21639" ht="15" hidden="1" customHeight="1"/>
    <row r="21640" ht="15" hidden="1" customHeight="1"/>
    <row r="21641" ht="15" hidden="1" customHeight="1"/>
    <row r="21642" ht="15" hidden="1" customHeight="1"/>
    <row r="21643" ht="15" hidden="1" customHeight="1"/>
    <row r="21644" ht="15" hidden="1" customHeight="1"/>
    <row r="21645" ht="15" hidden="1" customHeight="1"/>
    <row r="21646" ht="15" hidden="1" customHeight="1"/>
    <row r="21647" ht="15" hidden="1" customHeight="1"/>
    <row r="21648" ht="15" hidden="1" customHeight="1"/>
    <row r="21649" ht="15" hidden="1" customHeight="1"/>
    <row r="21650" ht="15" hidden="1" customHeight="1"/>
    <row r="21651" ht="15" hidden="1" customHeight="1"/>
    <row r="21652" ht="15" hidden="1" customHeight="1"/>
    <row r="21653" ht="15" hidden="1" customHeight="1"/>
    <row r="21654" ht="15" hidden="1" customHeight="1"/>
    <row r="21655" ht="15" hidden="1" customHeight="1"/>
    <row r="21656" ht="15" hidden="1" customHeight="1"/>
    <row r="21657" ht="15" hidden="1" customHeight="1"/>
    <row r="21658" ht="15" hidden="1" customHeight="1"/>
    <row r="21659" ht="15" hidden="1" customHeight="1"/>
    <row r="21660" ht="15" hidden="1" customHeight="1"/>
    <row r="21661" ht="15" hidden="1" customHeight="1"/>
    <row r="21662" ht="15" hidden="1" customHeight="1"/>
    <row r="21663" ht="15" hidden="1" customHeight="1"/>
    <row r="21664" ht="15" hidden="1" customHeight="1"/>
    <row r="21665" ht="15" hidden="1" customHeight="1"/>
    <row r="21666" ht="15" hidden="1" customHeight="1"/>
    <row r="21667" ht="15" hidden="1" customHeight="1"/>
    <row r="21668" ht="15" hidden="1" customHeight="1"/>
    <row r="21669" ht="15" hidden="1" customHeight="1"/>
    <row r="21670" ht="15" hidden="1" customHeight="1"/>
    <row r="21671" ht="15" hidden="1" customHeight="1"/>
    <row r="21672" ht="15" hidden="1" customHeight="1"/>
    <row r="21673" ht="15" hidden="1" customHeight="1"/>
    <row r="21674" ht="15" hidden="1" customHeight="1"/>
    <row r="21675" ht="15" hidden="1" customHeight="1"/>
    <row r="21676" ht="15" hidden="1" customHeight="1"/>
    <row r="21677" ht="15" hidden="1" customHeight="1"/>
    <row r="21678" ht="15" hidden="1" customHeight="1"/>
    <row r="21679" ht="15" hidden="1" customHeight="1"/>
    <row r="21680" ht="15" hidden="1" customHeight="1"/>
    <row r="21681" ht="15" hidden="1" customHeight="1"/>
    <row r="21682" ht="15" hidden="1" customHeight="1"/>
    <row r="21683" ht="15" hidden="1" customHeight="1"/>
    <row r="21684" ht="15" hidden="1" customHeight="1"/>
    <row r="21685" ht="15" hidden="1" customHeight="1"/>
    <row r="21686" ht="15" hidden="1" customHeight="1"/>
    <row r="21687" ht="15" hidden="1" customHeight="1"/>
    <row r="21688" ht="15" hidden="1" customHeight="1"/>
    <row r="21689" ht="15" hidden="1" customHeight="1"/>
    <row r="21690" ht="15" hidden="1" customHeight="1"/>
    <row r="21691" ht="15" hidden="1" customHeight="1"/>
    <row r="21692" ht="15" hidden="1" customHeight="1"/>
    <row r="21693" ht="15" hidden="1" customHeight="1"/>
    <row r="21694" ht="15" hidden="1" customHeight="1"/>
    <row r="21695" ht="15" hidden="1" customHeight="1"/>
    <row r="21696" ht="15" hidden="1" customHeight="1"/>
    <row r="21697" ht="15" hidden="1" customHeight="1"/>
    <row r="21698" ht="15" hidden="1" customHeight="1"/>
    <row r="21699" ht="15" hidden="1" customHeight="1"/>
    <row r="21700" ht="15" hidden="1" customHeight="1"/>
    <row r="21701" ht="15" hidden="1" customHeight="1"/>
    <row r="21702" ht="15" hidden="1" customHeight="1"/>
    <row r="21703" ht="15" hidden="1" customHeight="1"/>
    <row r="21704" ht="15" hidden="1" customHeight="1"/>
    <row r="21705" ht="15" hidden="1" customHeight="1"/>
    <row r="21706" ht="15" hidden="1" customHeight="1"/>
    <row r="21707" ht="15" hidden="1" customHeight="1"/>
    <row r="21708" ht="15" hidden="1" customHeight="1"/>
    <row r="21709" ht="15" hidden="1" customHeight="1"/>
    <row r="21710" ht="15" hidden="1" customHeight="1"/>
    <row r="21711" ht="15" hidden="1" customHeight="1"/>
    <row r="21712" ht="15" hidden="1" customHeight="1"/>
    <row r="21713" ht="15" hidden="1" customHeight="1"/>
    <row r="21714" ht="15" hidden="1" customHeight="1"/>
    <row r="21715" ht="15" hidden="1" customHeight="1"/>
    <row r="21716" ht="15" hidden="1" customHeight="1"/>
    <row r="21717" ht="15" hidden="1" customHeight="1"/>
    <row r="21718" ht="15" hidden="1" customHeight="1"/>
    <row r="21719" ht="15" hidden="1" customHeight="1"/>
    <row r="21720" ht="15" hidden="1" customHeight="1"/>
    <row r="21721" ht="15" hidden="1" customHeight="1"/>
    <row r="21722" ht="15" hidden="1" customHeight="1"/>
    <row r="21723" ht="15" hidden="1" customHeight="1"/>
    <row r="21724" ht="15" hidden="1" customHeight="1"/>
    <row r="21725" ht="15" hidden="1" customHeight="1"/>
    <row r="21726" ht="15" hidden="1" customHeight="1"/>
    <row r="21727" ht="15" hidden="1" customHeight="1"/>
    <row r="21728" ht="15" hidden="1" customHeight="1"/>
    <row r="21729" ht="15" hidden="1" customHeight="1"/>
    <row r="21730" ht="15" hidden="1" customHeight="1"/>
    <row r="21731" ht="15" hidden="1" customHeight="1"/>
    <row r="21732" ht="15" hidden="1" customHeight="1"/>
    <row r="21733" ht="15" hidden="1" customHeight="1"/>
    <row r="21734" ht="15" hidden="1" customHeight="1"/>
    <row r="21735" ht="15" hidden="1" customHeight="1"/>
    <row r="21736" ht="15" hidden="1" customHeight="1"/>
    <row r="21737" ht="15" hidden="1" customHeight="1"/>
    <row r="21738" ht="15" hidden="1" customHeight="1"/>
    <row r="21739" ht="15" hidden="1" customHeight="1"/>
    <row r="21740" ht="15" hidden="1" customHeight="1"/>
    <row r="21741" ht="15" hidden="1" customHeight="1"/>
    <row r="21742" ht="15" hidden="1" customHeight="1"/>
    <row r="21743" ht="15" hidden="1" customHeight="1"/>
    <row r="21744" ht="15" hidden="1" customHeight="1"/>
    <row r="21745" ht="15" hidden="1" customHeight="1"/>
    <row r="21746" ht="15" hidden="1" customHeight="1"/>
    <row r="21747" ht="15" hidden="1" customHeight="1"/>
    <row r="21748" ht="15" hidden="1" customHeight="1"/>
    <row r="21749" ht="15" hidden="1" customHeight="1"/>
    <row r="21750" ht="15" hidden="1" customHeight="1"/>
    <row r="21751" ht="15" hidden="1" customHeight="1"/>
    <row r="21752" ht="15" hidden="1" customHeight="1"/>
    <row r="21753" ht="15" hidden="1" customHeight="1"/>
    <row r="21754" ht="15" hidden="1" customHeight="1"/>
    <row r="21755" ht="15" hidden="1" customHeight="1"/>
    <row r="21756" ht="15" hidden="1" customHeight="1"/>
    <row r="21757" ht="15" hidden="1" customHeight="1"/>
    <row r="21758" ht="15" hidden="1" customHeight="1"/>
    <row r="21759" ht="15" hidden="1" customHeight="1"/>
    <row r="21760" ht="15" hidden="1" customHeight="1"/>
    <row r="21761" ht="15" hidden="1" customHeight="1"/>
    <row r="21762" ht="15" hidden="1" customHeight="1"/>
    <row r="21763" ht="15" hidden="1" customHeight="1"/>
    <row r="21764" ht="15" hidden="1" customHeight="1"/>
    <row r="21765" ht="15" hidden="1" customHeight="1"/>
    <row r="21766" ht="15" hidden="1" customHeight="1"/>
    <row r="21767" ht="15" hidden="1" customHeight="1"/>
    <row r="21768" ht="15" hidden="1" customHeight="1"/>
    <row r="21769" ht="15" hidden="1" customHeight="1"/>
    <row r="21770" ht="15" hidden="1" customHeight="1"/>
    <row r="21771" ht="15" hidden="1" customHeight="1"/>
    <row r="21772" ht="15" hidden="1" customHeight="1"/>
    <row r="21773" ht="15" hidden="1" customHeight="1"/>
    <row r="21774" ht="15" hidden="1" customHeight="1"/>
    <row r="21775" ht="15" hidden="1" customHeight="1"/>
    <row r="21776" ht="15" hidden="1" customHeight="1"/>
    <row r="21777" ht="15" hidden="1" customHeight="1"/>
    <row r="21778" ht="15" hidden="1" customHeight="1"/>
    <row r="21779" ht="15" hidden="1" customHeight="1"/>
    <row r="21780" ht="15" hidden="1" customHeight="1"/>
    <row r="21781" ht="15" hidden="1" customHeight="1"/>
    <row r="21782" ht="15" hidden="1" customHeight="1"/>
    <row r="21783" ht="15" hidden="1" customHeight="1"/>
    <row r="21784" ht="15" hidden="1" customHeight="1"/>
    <row r="21785" ht="15" hidden="1" customHeight="1"/>
    <row r="21786" ht="15" hidden="1" customHeight="1"/>
    <row r="21787" ht="15" hidden="1" customHeight="1"/>
    <row r="21788" ht="15" hidden="1" customHeight="1"/>
    <row r="21789" ht="15" hidden="1" customHeight="1"/>
    <row r="21790" ht="15" hidden="1" customHeight="1"/>
    <row r="21791" ht="15" hidden="1" customHeight="1"/>
    <row r="21792" ht="15" hidden="1" customHeight="1"/>
    <row r="21793" ht="15" hidden="1" customHeight="1"/>
    <row r="21794" ht="15" hidden="1" customHeight="1"/>
    <row r="21795" ht="15" hidden="1" customHeight="1"/>
    <row r="21796" ht="15" hidden="1" customHeight="1"/>
    <row r="21797" ht="15" hidden="1" customHeight="1"/>
    <row r="21798" ht="15" hidden="1" customHeight="1"/>
    <row r="21799" ht="15" hidden="1" customHeight="1"/>
    <row r="21800" ht="15" hidden="1" customHeight="1"/>
    <row r="21801" ht="15" hidden="1" customHeight="1"/>
    <row r="21802" ht="15" hidden="1" customHeight="1"/>
    <row r="21803" ht="15" hidden="1" customHeight="1"/>
    <row r="21804" ht="15" hidden="1" customHeight="1"/>
    <row r="21805" ht="15" hidden="1" customHeight="1"/>
    <row r="21806" ht="15" hidden="1" customHeight="1"/>
    <row r="21807" ht="15" hidden="1" customHeight="1"/>
    <row r="21808" ht="15" hidden="1" customHeight="1"/>
    <row r="21809" ht="15" hidden="1" customHeight="1"/>
    <row r="21810" ht="15" hidden="1" customHeight="1"/>
    <row r="21811" ht="15" hidden="1" customHeight="1"/>
    <row r="21812" ht="15" hidden="1" customHeight="1"/>
    <row r="21813" ht="15" hidden="1" customHeight="1"/>
    <row r="21814" ht="15" hidden="1" customHeight="1"/>
    <row r="21815" ht="15" hidden="1" customHeight="1"/>
    <row r="21816" ht="15" hidden="1" customHeight="1"/>
    <row r="21817" ht="15" hidden="1" customHeight="1"/>
    <row r="21818" ht="15" hidden="1" customHeight="1"/>
    <row r="21819" ht="15" hidden="1" customHeight="1"/>
    <row r="21820" ht="15" hidden="1" customHeight="1"/>
    <row r="21821" ht="15" hidden="1" customHeight="1"/>
    <row r="21822" ht="15" hidden="1" customHeight="1"/>
    <row r="21823" ht="15" hidden="1" customHeight="1"/>
    <row r="21824" ht="15" hidden="1" customHeight="1"/>
    <row r="21825" ht="15" hidden="1" customHeight="1"/>
    <row r="21826" ht="15" hidden="1" customHeight="1"/>
    <row r="21827" ht="15" hidden="1" customHeight="1"/>
    <row r="21828" ht="15" hidden="1" customHeight="1"/>
    <row r="21829" ht="15" hidden="1" customHeight="1"/>
    <row r="21830" ht="15" hidden="1" customHeight="1"/>
    <row r="21831" ht="15" hidden="1" customHeight="1"/>
    <row r="21832" ht="15" hidden="1" customHeight="1"/>
    <row r="21833" ht="15" hidden="1" customHeight="1"/>
    <row r="21834" ht="15" hidden="1" customHeight="1"/>
    <row r="21835" ht="15" hidden="1" customHeight="1"/>
    <row r="21836" ht="15" hidden="1" customHeight="1"/>
    <row r="21837" ht="15" hidden="1" customHeight="1"/>
    <row r="21838" ht="15" hidden="1" customHeight="1"/>
    <row r="21839" ht="15" hidden="1" customHeight="1"/>
    <row r="21840" ht="15" hidden="1" customHeight="1"/>
    <row r="21841" ht="15" hidden="1" customHeight="1"/>
    <row r="21842" ht="15" hidden="1" customHeight="1"/>
    <row r="21843" ht="15" hidden="1" customHeight="1"/>
    <row r="21844" ht="15" hidden="1" customHeight="1"/>
    <row r="21845" ht="15" hidden="1" customHeight="1"/>
    <row r="21846" ht="15" hidden="1" customHeight="1"/>
    <row r="21847" ht="15" hidden="1" customHeight="1"/>
    <row r="21848" ht="15" hidden="1" customHeight="1"/>
    <row r="21849" ht="15" hidden="1" customHeight="1"/>
    <row r="21850" ht="15" hidden="1" customHeight="1"/>
    <row r="21851" ht="15" hidden="1" customHeight="1"/>
    <row r="21852" ht="15" hidden="1" customHeight="1"/>
    <row r="21853" ht="15" hidden="1" customHeight="1"/>
    <row r="21854" ht="15" hidden="1" customHeight="1"/>
    <row r="21855" ht="15" hidden="1" customHeight="1"/>
    <row r="21856" ht="15" hidden="1" customHeight="1"/>
    <row r="21857" ht="15" hidden="1" customHeight="1"/>
    <row r="21858" ht="15" hidden="1" customHeight="1"/>
    <row r="21859" ht="15" hidden="1" customHeight="1"/>
    <row r="21860" ht="15" hidden="1" customHeight="1"/>
    <row r="21861" ht="15" hidden="1" customHeight="1"/>
    <row r="21862" ht="15" hidden="1" customHeight="1"/>
    <row r="21863" ht="15" hidden="1" customHeight="1"/>
    <row r="21864" ht="15" hidden="1" customHeight="1"/>
    <row r="21865" ht="15" hidden="1" customHeight="1"/>
    <row r="21866" ht="15" hidden="1" customHeight="1"/>
    <row r="21867" ht="15" hidden="1" customHeight="1"/>
    <row r="21868" ht="15" hidden="1" customHeight="1"/>
    <row r="21869" ht="15" hidden="1" customHeight="1"/>
    <row r="21870" ht="15" hidden="1" customHeight="1"/>
    <row r="21871" ht="15" hidden="1" customHeight="1"/>
    <row r="21872" ht="15" hidden="1" customHeight="1"/>
    <row r="21873" ht="15" hidden="1" customHeight="1"/>
    <row r="21874" ht="15" hidden="1" customHeight="1"/>
    <row r="21875" ht="15" hidden="1" customHeight="1"/>
    <row r="21876" ht="15" hidden="1" customHeight="1"/>
    <row r="21877" ht="15" hidden="1" customHeight="1"/>
    <row r="21878" ht="15" hidden="1" customHeight="1"/>
    <row r="21879" ht="15" hidden="1" customHeight="1"/>
    <row r="21880" ht="15" hidden="1" customHeight="1"/>
    <row r="21881" ht="15" hidden="1" customHeight="1"/>
    <row r="21882" ht="15" hidden="1" customHeight="1"/>
    <row r="21883" ht="15" hidden="1" customHeight="1"/>
    <row r="21884" ht="15" hidden="1" customHeight="1"/>
    <row r="21885" ht="15" hidden="1" customHeight="1"/>
    <row r="21886" ht="15" hidden="1" customHeight="1"/>
    <row r="21887" ht="15" hidden="1" customHeight="1"/>
    <row r="21888" ht="15" hidden="1" customHeight="1"/>
    <row r="21889" ht="15" hidden="1" customHeight="1"/>
    <row r="21890" ht="15" hidden="1" customHeight="1"/>
    <row r="21891" ht="15" hidden="1" customHeight="1"/>
    <row r="21892" ht="15" hidden="1" customHeight="1"/>
    <row r="21893" ht="15" hidden="1" customHeight="1"/>
    <row r="21894" ht="15" hidden="1" customHeight="1"/>
    <row r="21895" ht="15" hidden="1" customHeight="1"/>
    <row r="21896" ht="15" hidden="1" customHeight="1"/>
    <row r="21897" ht="15" hidden="1" customHeight="1"/>
    <row r="21898" ht="15" hidden="1" customHeight="1"/>
    <row r="21899" ht="15" hidden="1" customHeight="1"/>
    <row r="21900" ht="15" hidden="1" customHeight="1"/>
    <row r="21901" ht="15" hidden="1" customHeight="1"/>
    <row r="21902" ht="15" hidden="1" customHeight="1"/>
    <row r="21903" ht="15" hidden="1" customHeight="1"/>
    <row r="21904" ht="15" hidden="1" customHeight="1"/>
    <row r="21905" ht="15" hidden="1" customHeight="1"/>
    <row r="21906" ht="15" hidden="1" customHeight="1"/>
    <row r="21907" ht="15" hidden="1" customHeight="1"/>
    <row r="21908" ht="15" hidden="1" customHeight="1"/>
    <row r="21909" ht="15" hidden="1" customHeight="1"/>
    <row r="21910" ht="15" hidden="1" customHeight="1"/>
    <row r="21911" ht="15" hidden="1" customHeight="1"/>
    <row r="21912" ht="15" hidden="1" customHeight="1"/>
    <row r="21913" ht="15" hidden="1" customHeight="1"/>
    <row r="21914" ht="15" hidden="1" customHeight="1"/>
    <row r="21915" ht="15" hidden="1" customHeight="1"/>
    <row r="21916" ht="15" hidden="1" customHeight="1"/>
    <row r="21917" ht="15" hidden="1" customHeight="1"/>
    <row r="21918" ht="15" hidden="1" customHeight="1"/>
    <row r="21919" ht="15" hidden="1" customHeight="1"/>
    <row r="21920" ht="15" hidden="1" customHeight="1"/>
    <row r="21921" ht="15" hidden="1" customHeight="1"/>
    <row r="21922" ht="15" hidden="1" customHeight="1"/>
    <row r="21923" ht="15" hidden="1" customHeight="1"/>
    <row r="21924" ht="15" hidden="1" customHeight="1"/>
    <row r="21925" ht="15" hidden="1" customHeight="1"/>
    <row r="21926" ht="15" hidden="1" customHeight="1"/>
    <row r="21927" ht="15" hidden="1" customHeight="1"/>
    <row r="21928" ht="15" hidden="1" customHeight="1"/>
    <row r="21929" ht="15" hidden="1" customHeight="1"/>
    <row r="21930" ht="15" hidden="1" customHeight="1"/>
    <row r="21931" ht="15" hidden="1" customHeight="1"/>
    <row r="21932" ht="15" hidden="1" customHeight="1"/>
    <row r="21933" ht="15" hidden="1" customHeight="1"/>
    <row r="21934" ht="15" hidden="1" customHeight="1"/>
    <row r="21935" ht="15" hidden="1" customHeight="1"/>
    <row r="21936" ht="15" hidden="1" customHeight="1"/>
    <row r="21937" ht="15" hidden="1" customHeight="1"/>
    <row r="21938" ht="15" hidden="1" customHeight="1"/>
    <row r="21939" ht="15" hidden="1" customHeight="1"/>
    <row r="21940" ht="15" hidden="1" customHeight="1"/>
    <row r="21941" ht="15" hidden="1" customHeight="1"/>
    <row r="21942" ht="15" hidden="1" customHeight="1"/>
    <row r="21943" ht="15" hidden="1" customHeight="1"/>
    <row r="21944" ht="15" hidden="1" customHeight="1"/>
    <row r="21945" ht="15" hidden="1" customHeight="1"/>
    <row r="21946" ht="15" hidden="1" customHeight="1"/>
    <row r="21947" ht="15" hidden="1" customHeight="1"/>
    <row r="21948" ht="15" hidden="1" customHeight="1"/>
    <row r="21949" ht="15" hidden="1" customHeight="1"/>
    <row r="21950" ht="15" hidden="1" customHeight="1"/>
    <row r="21951" ht="15" hidden="1" customHeight="1"/>
    <row r="21952" ht="15" hidden="1" customHeight="1"/>
    <row r="21953" ht="15" hidden="1" customHeight="1"/>
    <row r="21954" ht="15" hidden="1" customHeight="1"/>
    <row r="21955" ht="15" hidden="1" customHeight="1"/>
    <row r="21956" ht="15" hidden="1" customHeight="1"/>
    <row r="21957" ht="15" hidden="1" customHeight="1"/>
    <row r="21958" ht="15" hidden="1" customHeight="1"/>
    <row r="21959" ht="15" hidden="1" customHeight="1"/>
    <row r="21960" ht="15" hidden="1" customHeight="1"/>
    <row r="21961" ht="15" hidden="1" customHeight="1"/>
    <row r="21962" ht="15" hidden="1" customHeight="1"/>
    <row r="21963" ht="15" hidden="1" customHeight="1"/>
    <row r="21964" ht="15" hidden="1" customHeight="1"/>
    <row r="21965" ht="15" hidden="1" customHeight="1"/>
    <row r="21966" ht="15" hidden="1" customHeight="1"/>
    <row r="21967" ht="15" hidden="1" customHeight="1"/>
    <row r="21968" ht="15" hidden="1" customHeight="1"/>
    <row r="21969" ht="15" hidden="1" customHeight="1"/>
    <row r="21970" ht="15" hidden="1" customHeight="1"/>
    <row r="21971" ht="15" hidden="1" customHeight="1"/>
    <row r="21972" ht="15" hidden="1" customHeight="1"/>
    <row r="21973" ht="15" hidden="1" customHeight="1"/>
    <row r="21974" ht="15" hidden="1" customHeight="1"/>
    <row r="21975" ht="15" hidden="1" customHeight="1"/>
    <row r="21976" ht="15" hidden="1" customHeight="1"/>
    <row r="21977" ht="15" hidden="1" customHeight="1"/>
    <row r="21978" ht="15" hidden="1" customHeight="1"/>
    <row r="21979" ht="15" hidden="1" customHeight="1"/>
    <row r="21980" ht="15" hidden="1" customHeight="1"/>
    <row r="21981" ht="15" hidden="1" customHeight="1"/>
    <row r="21982" ht="15" hidden="1" customHeight="1"/>
    <row r="21983" ht="15" hidden="1" customHeight="1"/>
    <row r="21984" ht="15" hidden="1" customHeight="1"/>
    <row r="21985" ht="15" hidden="1" customHeight="1"/>
    <row r="21986" ht="15" hidden="1" customHeight="1"/>
    <row r="21987" ht="15" hidden="1" customHeight="1"/>
    <row r="21988" ht="15" hidden="1" customHeight="1"/>
    <row r="21989" ht="15" hidden="1" customHeight="1"/>
    <row r="21990" ht="15" hidden="1" customHeight="1"/>
    <row r="21991" ht="15" hidden="1" customHeight="1"/>
    <row r="21992" ht="15" hidden="1" customHeight="1"/>
    <row r="21993" ht="15" hidden="1" customHeight="1"/>
    <row r="21994" ht="15" hidden="1" customHeight="1"/>
    <row r="21995" ht="15" hidden="1" customHeight="1"/>
    <row r="21996" ht="15" hidden="1" customHeight="1"/>
    <row r="21997" ht="15" hidden="1" customHeight="1"/>
    <row r="21998" ht="15" hidden="1" customHeight="1"/>
    <row r="21999" ht="15" hidden="1" customHeight="1"/>
    <row r="22000" ht="15" hidden="1" customHeight="1"/>
    <row r="22001" ht="15" hidden="1" customHeight="1"/>
    <row r="22002" ht="15" hidden="1" customHeight="1"/>
    <row r="22003" ht="15" hidden="1" customHeight="1"/>
    <row r="22004" ht="15" hidden="1" customHeight="1"/>
    <row r="22005" ht="15" hidden="1" customHeight="1"/>
    <row r="22006" ht="15" hidden="1" customHeight="1"/>
    <row r="22007" ht="15" hidden="1" customHeight="1"/>
    <row r="22008" ht="15" hidden="1" customHeight="1"/>
    <row r="22009" ht="15" hidden="1" customHeight="1"/>
    <row r="22010" ht="15" hidden="1" customHeight="1"/>
    <row r="22011" ht="15" hidden="1" customHeight="1"/>
    <row r="22012" ht="15" hidden="1" customHeight="1"/>
    <row r="22013" ht="15" hidden="1" customHeight="1"/>
    <row r="22014" ht="15" hidden="1" customHeight="1"/>
    <row r="22015" ht="15" hidden="1" customHeight="1"/>
    <row r="22016" ht="15" hidden="1" customHeight="1"/>
    <row r="22017" ht="15" hidden="1" customHeight="1"/>
    <row r="22018" ht="15" hidden="1" customHeight="1"/>
    <row r="22019" ht="15" hidden="1" customHeight="1"/>
    <row r="22020" ht="15" hidden="1" customHeight="1"/>
    <row r="22021" ht="15" hidden="1" customHeight="1"/>
    <row r="22022" ht="15" hidden="1" customHeight="1"/>
    <row r="22023" ht="15" hidden="1" customHeight="1"/>
    <row r="22024" ht="15" hidden="1" customHeight="1"/>
    <row r="22025" ht="15" hidden="1" customHeight="1"/>
    <row r="22026" ht="15" hidden="1" customHeight="1"/>
    <row r="22027" ht="15" hidden="1" customHeight="1"/>
    <row r="22028" ht="15" hidden="1" customHeight="1"/>
    <row r="22029" ht="15" hidden="1" customHeight="1"/>
    <row r="22030" ht="15" hidden="1" customHeight="1"/>
    <row r="22031" ht="15" hidden="1" customHeight="1"/>
    <row r="22032" ht="15" hidden="1" customHeight="1"/>
    <row r="22033" ht="15" hidden="1" customHeight="1"/>
    <row r="22034" ht="15" hidden="1" customHeight="1"/>
    <row r="22035" ht="15" hidden="1" customHeight="1"/>
    <row r="22036" ht="15" hidden="1" customHeight="1"/>
    <row r="22037" ht="15" hidden="1" customHeight="1"/>
    <row r="22038" ht="15" hidden="1" customHeight="1"/>
    <row r="22039" ht="15" hidden="1" customHeight="1"/>
    <row r="22040" ht="15" hidden="1" customHeight="1"/>
    <row r="22041" ht="15" hidden="1" customHeight="1"/>
    <row r="22042" ht="15" hidden="1" customHeight="1"/>
    <row r="22043" ht="15" hidden="1" customHeight="1"/>
    <row r="22044" ht="15" hidden="1" customHeight="1"/>
    <row r="22045" ht="15" hidden="1" customHeight="1"/>
    <row r="22046" ht="15" hidden="1" customHeight="1"/>
    <row r="22047" ht="15" hidden="1" customHeight="1"/>
    <row r="22048" ht="15" hidden="1" customHeight="1"/>
    <row r="22049" ht="15" hidden="1" customHeight="1"/>
    <row r="22050" ht="15" hidden="1" customHeight="1"/>
    <row r="22051" ht="15" hidden="1" customHeight="1"/>
    <row r="22052" ht="15" hidden="1" customHeight="1"/>
    <row r="22053" ht="15" hidden="1" customHeight="1"/>
    <row r="22054" ht="15" hidden="1" customHeight="1"/>
    <row r="22055" ht="15" hidden="1" customHeight="1"/>
    <row r="22056" ht="15" hidden="1" customHeight="1"/>
    <row r="22057" ht="15" hidden="1" customHeight="1"/>
    <row r="22058" ht="15" hidden="1" customHeight="1"/>
    <row r="22059" ht="15" hidden="1" customHeight="1"/>
    <row r="22060" ht="15" hidden="1" customHeight="1"/>
    <row r="22061" ht="15" hidden="1" customHeight="1"/>
    <row r="22062" ht="15" hidden="1" customHeight="1"/>
    <row r="22063" ht="15" hidden="1" customHeight="1"/>
    <row r="22064" ht="15" hidden="1" customHeight="1"/>
    <row r="22065" ht="15" hidden="1" customHeight="1"/>
    <row r="22066" ht="15" hidden="1" customHeight="1"/>
    <row r="22067" ht="15" hidden="1" customHeight="1"/>
    <row r="22068" ht="15" hidden="1" customHeight="1"/>
    <row r="22069" ht="15" hidden="1" customHeight="1"/>
    <row r="22070" ht="15" hidden="1" customHeight="1"/>
    <row r="22071" ht="15" hidden="1" customHeight="1"/>
    <row r="22072" ht="15" hidden="1" customHeight="1"/>
    <row r="22073" ht="15" hidden="1" customHeight="1"/>
    <row r="22074" ht="15" hidden="1" customHeight="1"/>
    <row r="22075" ht="15" hidden="1" customHeight="1"/>
    <row r="22076" ht="15" hidden="1" customHeight="1"/>
    <row r="22077" ht="15" hidden="1" customHeight="1"/>
    <row r="22078" ht="15" hidden="1" customHeight="1"/>
    <row r="22079" ht="15" hidden="1" customHeight="1"/>
    <row r="22080" ht="15" hidden="1" customHeight="1"/>
    <row r="22081" ht="15" hidden="1" customHeight="1"/>
    <row r="22082" ht="15" hidden="1" customHeight="1"/>
    <row r="22083" ht="15" hidden="1" customHeight="1"/>
    <row r="22084" ht="15" hidden="1" customHeight="1"/>
    <row r="22085" ht="15" hidden="1" customHeight="1"/>
    <row r="22086" ht="15" hidden="1" customHeight="1"/>
    <row r="22087" ht="15" hidden="1" customHeight="1"/>
    <row r="22088" ht="15" hidden="1" customHeight="1"/>
    <row r="22089" ht="15" hidden="1" customHeight="1"/>
    <row r="22090" ht="15" hidden="1" customHeight="1"/>
    <row r="22091" ht="15" hidden="1" customHeight="1"/>
    <row r="22092" ht="15" hidden="1" customHeight="1"/>
    <row r="22093" ht="15" hidden="1" customHeight="1"/>
    <row r="22094" ht="15" hidden="1" customHeight="1"/>
    <row r="22095" ht="15" hidden="1" customHeight="1"/>
    <row r="22096" ht="15" hidden="1" customHeight="1"/>
    <row r="22097" ht="15" hidden="1" customHeight="1"/>
    <row r="22098" ht="15" hidden="1" customHeight="1"/>
    <row r="22099" ht="15" hidden="1" customHeight="1"/>
    <row r="22100" ht="15" hidden="1" customHeight="1"/>
    <row r="22101" ht="15" hidden="1" customHeight="1"/>
    <row r="22102" ht="15" hidden="1" customHeight="1"/>
    <row r="22103" ht="15" hidden="1" customHeight="1"/>
    <row r="22104" ht="15" hidden="1" customHeight="1"/>
    <row r="22105" ht="15" hidden="1" customHeight="1"/>
    <row r="22106" ht="15" hidden="1" customHeight="1"/>
    <row r="22107" ht="15" hidden="1" customHeight="1"/>
    <row r="22108" ht="15" hidden="1" customHeight="1"/>
    <row r="22109" ht="15" hidden="1" customHeight="1"/>
    <row r="22110" ht="15" hidden="1" customHeight="1"/>
    <row r="22111" ht="15" hidden="1" customHeight="1"/>
    <row r="22112" ht="15" hidden="1" customHeight="1"/>
    <row r="22113" ht="15" hidden="1" customHeight="1"/>
    <row r="22114" ht="15" hidden="1" customHeight="1"/>
    <row r="22115" ht="15" hidden="1" customHeight="1"/>
    <row r="22116" ht="15" hidden="1" customHeight="1"/>
    <row r="22117" ht="15" hidden="1" customHeight="1"/>
    <row r="22118" ht="15" hidden="1" customHeight="1"/>
    <row r="22119" ht="15" hidden="1" customHeight="1"/>
    <row r="22120" ht="15" hidden="1" customHeight="1"/>
    <row r="22121" ht="15" hidden="1" customHeight="1"/>
    <row r="22122" ht="15" hidden="1" customHeight="1"/>
    <row r="22123" ht="15" hidden="1" customHeight="1"/>
    <row r="22124" ht="15" hidden="1" customHeight="1"/>
    <row r="22125" ht="15" hidden="1" customHeight="1"/>
    <row r="22126" ht="15" hidden="1" customHeight="1"/>
    <row r="22127" ht="15" hidden="1" customHeight="1"/>
    <row r="22128" ht="15" hidden="1" customHeight="1"/>
    <row r="22129" ht="15" hidden="1" customHeight="1"/>
    <row r="22130" ht="15" hidden="1" customHeight="1"/>
    <row r="22131" ht="15" hidden="1" customHeight="1"/>
    <row r="22132" ht="15" hidden="1" customHeight="1"/>
    <row r="22133" ht="15" hidden="1" customHeight="1"/>
    <row r="22134" ht="15" hidden="1" customHeight="1"/>
    <row r="22135" ht="15" hidden="1" customHeight="1"/>
    <row r="22136" ht="15" hidden="1" customHeight="1"/>
    <row r="22137" ht="15" hidden="1" customHeight="1"/>
    <row r="22138" ht="15" hidden="1" customHeight="1"/>
    <row r="22139" ht="15" hidden="1" customHeight="1"/>
    <row r="22140" ht="15" hidden="1" customHeight="1"/>
    <row r="22141" ht="15" hidden="1" customHeight="1"/>
    <row r="22142" ht="15" hidden="1" customHeight="1"/>
    <row r="22143" ht="15" hidden="1" customHeight="1"/>
    <row r="22144" ht="15" hidden="1" customHeight="1"/>
    <row r="22145" ht="15" hidden="1" customHeight="1"/>
    <row r="22146" ht="15" hidden="1" customHeight="1"/>
    <row r="22147" ht="15" hidden="1" customHeight="1"/>
    <row r="22148" ht="15" hidden="1" customHeight="1"/>
    <row r="22149" ht="15" hidden="1" customHeight="1"/>
    <row r="22150" ht="15" hidden="1" customHeight="1"/>
    <row r="22151" ht="15" hidden="1" customHeight="1"/>
    <row r="22152" ht="15" hidden="1" customHeight="1"/>
    <row r="22153" ht="15" hidden="1" customHeight="1"/>
    <row r="22154" ht="15" hidden="1" customHeight="1"/>
    <row r="22155" ht="15" hidden="1" customHeight="1"/>
    <row r="22156" ht="15" hidden="1" customHeight="1"/>
    <row r="22157" ht="15" hidden="1" customHeight="1"/>
    <row r="22158" ht="15" hidden="1" customHeight="1"/>
    <row r="22159" ht="15" hidden="1" customHeight="1"/>
    <row r="22160" ht="15" hidden="1" customHeight="1"/>
    <row r="22161" ht="15" hidden="1" customHeight="1"/>
    <row r="22162" ht="15" hidden="1" customHeight="1"/>
    <row r="22163" ht="15" hidden="1" customHeight="1"/>
    <row r="22164" ht="15" hidden="1" customHeight="1"/>
    <row r="22165" ht="15" hidden="1" customHeight="1"/>
    <row r="22166" ht="15" hidden="1" customHeight="1"/>
    <row r="22167" ht="15" hidden="1" customHeight="1"/>
    <row r="22168" ht="15" hidden="1" customHeight="1"/>
    <row r="22169" ht="15" hidden="1" customHeight="1"/>
    <row r="22170" ht="15" hidden="1" customHeight="1"/>
    <row r="22171" ht="15" hidden="1" customHeight="1"/>
    <row r="22172" ht="15" hidden="1" customHeight="1"/>
    <row r="22173" ht="15" hidden="1" customHeight="1"/>
    <row r="22174" ht="15" hidden="1" customHeight="1"/>
    <row r="22175" ht="15" hidden="1" customHeight="1"/>
    <row r="22176" ht="15" hidden="1" customHeight="1"/>
    <row r="22177" ht="15" hidden="1" customHeight="1"/>
    <row r="22178" ht="15" hidden="1" customHeight="1"/>
    <row r="22179" ht="15" hidden="1" customHeight="1"/>
    <row r="22180" ht="15" hidden="1" customHeight="1"/>
    <row r="22181" ht="15" hidden="1" customHeight="1"/>
    <row r="22182" ht="15" hidden="1" customHeight="1"/>
    <row r="22183" ht="15" hidden="1" customHeight="1"/>
    <row r="22184" ht="15" hidden="1" customHeight="1"/>
    <row r="22185" ht="15" hidden="1" customHeight="1"/>
    <row r="22186" ht="15" hidden="1" customHeight="1"/>
    <row r="22187" ht="15" hidden="1" customHeight="1"/>
    <row r="22188" ht="15" hidden="1" customHeight="1"/>
    <row r="22189" ht="15" hidden="1" customHeight="1"/>
    <row r="22190" ht="15" hidden="1" customHeight="1"/>
    <row r="22191" ht="15" hidden="1" customHeight="1"/>
    <row r="22192" ht="15" hidden="1" customHeight="1"/>
    <row r="22193" ht="15" hidden="1" customHeight="1"/>
    <row r="22194" ht="15" hidden="1" customHeight="1"/>
    <row r="22195" ht="15" hidden="1" customHeight="1"/>
    <row r="22196" ht="15" hidden="1" customHeight="1"/>
    <row r="22197" ht="15" hidden="1" customHeight="1"/>
    <row r="22198" ht="15" hidden="1" customHeight="1"/>
    <row r="22199" ht="15" hidden="1" customHeight="1"/>
    <row r="22200" ht="15" hidden="1" customHeight="1"/>
    <row r="22201" ht="15" hidden="1" customHeight="1"/>
    <row r="22202" ht="15" hidden="1" customHeight="1"/>
    <row r="22203" ht="15" hidden="1" customHeight="1"/>
    <row r="22204" ht="15" hidden="1" customHeight="1"/>
    <row r="22205" ht="15" hidden="1" customHeight="1"/>
    <row r="22206" ht="15" hidden="1" customHeight="1"/>
    <row r="22207" ht="15" hidden="1" customHeight="1"/>
    <row r="22208" ht="15" hidden="1" customHeight="1"/>
    <row r="22209" ht="15" hidden="1" customHeight="1"/>
    <row r="22210" ht="15" hidden="1" customHeight="1"/>
    <row r="22211" ht="15" hidden="1" customHeight="1"/>
    <row r="22212" ht="15" hidden="1" customHeight="1"/>
    <row r="22213" ht="15" hidden="1" customHeight="1"/>
    <row r="22214" ht="15" hidden="1" customHeight="1"/>
    <row r="22215" ht="15" hidden="1" customHeight="1"/>
    <row r="22216" ht="15" hidden="1" customHeight="1"/>
    <row r="22217" ht="15" hidden="1" customHeight="1"/>
    <row r="22218" ht="15" hidden="1" customHeight="1"/>
    <row r="22219" ht="15" hidden="1" customHeight="1"/>
    <row r="22220" ht="15" hidden="1" customHeight="1"/>
    <row r="22221" ht="15" hidden="1" customHeight="1"/>
    <row r="22222" ht="15" hidden="1" customHeight="1"/>
    <row r="22223" ht="15" hidden="1" customHeight="1"/>
    <row r="22224" ht="15" hidden="1" customHeight="1"/>
    <row r="22225" ht="15" hidden="1" customHeight="1"/>
    <row r="22226" ht="15" hidden="1" customHeight="1"/>
    <row r="22227" ht="15" hidden="1" customHeight="1"/>
    <row r="22228" ht="15" hidden="1" customHeight="1"/>
    <row r="22229" ht="15" hidden="1" customHeight="1"/>
    <row r="22230" ht="15" hidden="1" customHeight="1"/>
    <row r="22231" ht="15" hidden="1" customHeight="1"/>
    <row r="22232" ht="15" hidden="1" customHeight="1"/>
    <row r="22233" ht="15" hidden="1" customHeight="1"/>
    <row r="22234" ht="15" hidden="1" customHeight="1"/>
    <row r="22235" ht="15" hidden="1" customHeight="1"/>
    <row r="22236" ht="15" hidden="1" customHeight="1"/>
    <row r="22237" ht="15" hidden="1" customHeight="1"/>
    <row r="22238" ht="15" hidden="1" customHeight="1"/>
    <row r="22239" ht="15" hidden="1" customHeight="1"/>
    <row r="22240" ht="15" hidden="1" customHeight="1"/>
    <row r="22241" ht="15" hidden="1" customHeight="1"/>
    <row r="22242" ht="15" hidden="1" customHeight="1"/>
    <row r="22243" ht="15" hidden="1" customHeight="1"/>
    <row r="22244" ht="15" hidden="1" customHeight="1"/>
    <row r="22245" ht="15" hidden="1" customHeight="1"/>
    <row r="22246" ht="15" hidden="1" customHeight="1"/>
    <row r="22247" ht="15" hidden="1" customHeight="1"/>
    <row r="22248" ht="15" hidden="1" customHeight="1"/>
    <row r="22249" ht="15" hidden="1" customHeight="1"/>
    <row r="22250" ht="15" hidden="1" customHeight="1"/>
    <row r="22251" ht="15" hidden="1" customHeight="1"/>
    <row r="22252" ht="15" hidden="1" customHeight="1"/>
    <row r="22253" ht="15" hidden="1" customHeight="1"/>
    <row r="22254" ht="15" hidden="1" customHeight="1"/>
    <row r="22255" ht="15" hidden="1" customHeight="1"/>
    <row r="22256" ht="15" hidden="1" customHeight="1"/>
    <row r="22257" ht="15" hidden="1" customHeight="1"/>
    <row r="22258" ht="15" hidden="1" customHeight="1"/>
    <row r="22259" ht="15" hidden="1" customHeight="1"/>
    <row r="22260" ht="15" hidden="1" customHeight="1"/>
    <row r="22261" ht="15" hidden="1" customHeight="1"/>
    <row r="22262" ht="15" hidden="1" customHeight="1"/>
    <row r="22263" ht="15" hidden="1" customHeight="1"/>
    <row r="22264" ht="15" hidden="1" customHeight="1"/>
    <row r="22265" ht="15" hidden="1" customHeight="1"/>
    <row r="22266" ht="15" hidden="1" customHeight="1"/>
    <row r="22267" ht="15" hidden="1" customHeight="1"/>
    <row r="22268" ht="15" hidden="1" customHeight="1"/>
    <row r="22269" ht="15" hidden="1" customHeight="1"/>
    <row r="22270" ht="15" hidden="1" customHeight="1"/>
    <row r="22271" ht="15" hidden="1" customHeight="1"/>
    <row r="22272" ht="15" hidden="1" customHeight="1"/>
    <row r="22273" ht="15" hidden="1" customHeight="1"/>
    <row r="22274" ht="15" hidden="1" customHeight="1"/>
    <row r="22275" ht="15" hidden="1" customHeight="1"/>
    <row r="22276" ht="15" hidden="1" customHeight="1"/>
    <row r="22277" ht="15" hidden="1" customHeight="1"/>
    <row r="22278" ht="15" hidden="1" customHeight="1"/>
    <row r="22279" ht="15" hidden="1" customHeight="1"/>
    <row r="22280" ht="15" hidden="1" customHeight="1"/>
    <row r="22281" ht="15" hidden="1" customHeight="1"/>
    <row r="22282" ht="15" hidden="1" customHeight="1"/>
    <row r="22283" ht="15" hidden="1" customHeight="1"/>
    <row r="22284" ht="15" hidden="1" customHeight="1"/>
    <row r="22285" ht="15" hidden="1" customHeight="1"/>
    <row r="22286" ht="15" hidden="1" customHeight="1"/>
    <row r="22287" ht="15" hidden="1" customHeight="1"/>
    <row r="22288" ht="15" hidden="1" customHeight="1"/>
    <row r="22289" ht="15" hidden="1" customHeight="1"/>
    <row r="22290" ht="15" hidden="1" customHeight="1"/>
    <row r="22291" ht="15" hidden="1" customHeight="1"/>
    <row r="22292" ht="15" hidden="1" customHeight="1"/>
    <row r="22293" ht="15" hidden="1" customHeight="1"/>
    <row r="22294" ht="15" hidden="1" customHeight="1"/>
    <row r="22295" ht="15" hidden="1" customHeight="1"/>
    <row r="22296" ht="15" hidden="1" customHeight="1"/>
    <row r="22297" ht="15" hidden="1" customHeight="1"/>
    <row r="22298" ht="15" hidden="1" customHeight="1"/>
    <row r="22299" ht="15" hidden="1" customHeight="1"/>
    <row r="22300" ht="15" hidden="1" customHeight="1"/>
    <row r="22301" ht="15" hidden="1" customHeight="1"/>
    <row r="22302" ht="15" hidden="1" customHeight="1"/>
    <row r="22303" ht="15" hidden="1" customHeight="1"/>
    <row r="22304" ht="15" hidden="1" customHeight="1"/>
    <row r="22305" ht="15" hidden="1" customHeight="1"/>
    <row r="22306" ht="15" hidden="1" customHeight="1"/>
    <row r="22307" ht="15" hidden="1" customHeight="1"/>
    <row r="22308" ht="15" hidden="1" customHeight="1"/>
    <row r="22309" ht="15" hidden="1" customHeight="1"/>
    <row r="22310" ht="15" hidden="1" customHeight="1"/>
    <row r="22311" ht="15" hidden="1" customHeight="1"/>
    <row r="22312" ht="15" hidden="1" customHeight="1"/>
    <row r="22313" ht="15" hidden="1" customHeight="1"/>
    <row r="22314" ht="15" hidden="1" customHeight="1"/>
    <row r="22315" ht="15" hidden="1" customHeight="1"/>
    <row r="22316" ht="15" hidden="1" customHeight="1"/>
    <row r="22317" ht="15" hidden="1" customHeight="1"/>
    <row r="22318" ht="15" hidden="1" customHeight="1"/>
    <row r="22319" ht="15" hidden="1" customHeight="1"/>
    <row r="22320" ht="15" hidden="1" customHeight="1"/>
    <row r="22321" ht="15" hidden="1" customHeight="1"/>
    <row r="22322" ht="15" hidden="1" customHeight="1"/>
    <row r="22323" ht="15" hidden="1" customHeight="1"/>
    <row r="22324" ht="15" hidden="1" customHeight="1"/>
    <row r="22325" ht="15" hidden="1" customHeight="1"/>
    <row r="22326" ht="15" hidden="1" customHeight="1"/>
    <row r="22327" ht="15" hidden="1" customHeight="1"/>
    <row r="22328" ht="15" hidden="1" customHeight="1"/>
    <row r="22329" ht="15" hidden="1" customHeight="1"/>
    <row r="22330" ht="15" hidden="1" customHeight="1"/>
    <row r="22331" ht="15" hidden="1" customHeight="1"/>
    <row r="22332" ht="15" hidden="1" customHeight="1"/>
    <row r="22333" ht="15" hidden="1" customHeight="1"/>
    <row r="22334" ht="15" hidden="1" customHeight="1"/>
    <row r="22335" ht="15" hidden="1" customHeight="1"/>
    <row r="22336" ht="15" hidden="1" customHeight="1"/>
    <row r="22337" ht="15" hidden="1" customHeight="1"/>
    <row r="22338" ht="15" hidden="1" customHeight="1"/>
    <row r="22339" ht="15" hidden="1" customHeight="1"/>
    <row r="22340" ht="15" hidden="1" customHeight="1"/>
    <row r="22341" ht="15" hidden="1" customHeight="1"/>
    <row r="22342" ht="15" hidden="1" customHeight="1"/>
    <row r="22343" ht="15" hidden="1" customHeight="1"/>
    <row r="22344" ht="15" hidden="1" customHeight="1"/>
    <row r="22345" ht="15" hidden="1" customHeight="1"/>
    <row r="22346" ht="15" hidden="1" customHeight="1"/>
    <row r="22347" ht="15" hidden="1" customHeight="1"/>
    <row r="22348" ht="15" hidden="1" customHeight="1"/>
    <row r="22349" ht="15" hidden="1" customHeight="1"/>
    <row r="22350" ht="15" hidden="1" customHeight="1"/>
    <row r="22351" ht="15" hidden="1" customHeight="1"/>
    <row r="22352" ht="15" hidden="1" customHeight="1"/>
    <row r="22353" ht="15" hidden="1" customHeight="1"/>
    <row r="22354" ht="15" hidden="1" customHeight="1"/>
    <row r="22355" ht="15" hidden="1" customHeight="1"/>
    <row r="22356" ht="15" hidden="1" customHeight="1"/>
    <row r="22357" ht="15" hidden="1" customHeight="1"/>
    <row r="22358" ht="15" hidden="1" customHeight="1"/>
    <row r="22359" ht="15" hidden="1" customHeight="1"/>
    <row r="22360" ht="15" hidden="1" customHeight="1"/>
    <row r="22361" ht="15" hidden="1" customHeight="1"/>
    <row r="22362" ht="15" hidden="1" customHeight="1"/>
    <row r="22363" ht="15" hidden="1" customHeight="1"/>
    <row r="22364" ht="15" hidden="1" customHeight="1"/>
    <row r="22365" ht="15" hidden="1" customHeight="1"/>
    <row r="22366" ht="15" hidden="1" customHeight="1"/>
    <row r="22367" ht="15" hidden="1" customHeight="1"/>
    <row r="22368" ht="15" hidden="1" customHeight="1"/>
    <row r="22369" ht="15" hidden="1" customHeight="1"/>
    <row r="22370" ht="15" hidden="1" customHeight="1"/>
    <row r="22371" ht="15" hidden="1" customHeight="1"/>
    <row r="22372" ht="15" hidden="1" customHeight="1"/>
    <row r="22373" ht="15" hidden="1" customHeight="1"/>
    <row r="22374" ht="15" hidden="1" customHeight="1"/>
    <row r="22375" ht="15" hidden="1" customHeight="1"/>
    <row r="22376" ht="15" hidden="1" customHeight="1"/>
    <row r="22377" ht="15" hidden="1" customHeight="1"/>
    <row r="22378" ht="15" hidden="1" customHeight="1"/>
    <row r="22379" ht="15" hidden="1" customHeight="1"/>
    <row r="22380" ht="15" hidden="1" customHeight="1"/>
    <row r="22381" ht="15" hidden="1" customHeight="1"/>
    <row r="22382" ht="15" hidden="1" customHeight="1"/>
    <row r="22383" ht="15" hidden="1" customHeight="1"/>
    <row r="22384" ht="15" hidden="1" customHeight="1"/>
    <row r="22385" ht="15" hidden="1" customHeight="1"/>
    <row r="22386" ht="15" hidden="1" customHeight="1"/>
    <row r="22387" ht="15" hidden="1" customHeight="1"/>
    <row r="22388" ht="15" hidden="1" customHeight="1"/>
    <row r="22389" ht="15" hidden="1" customHeight="1"/>
    <row r="22390" ht="15" hidden="1" customHeight="1"/>
    <row r="22391" ht="15" hidden="1" customHeight="1"/>
    <row r="22392" ht="15" hidden="1" customHeight="1"/>
    <row r="22393" ht="15" hidden="1" customHeight="1"/>
    <row r="22394" ht="15" hidden="1" customHeight="1"/>
    <row r="22395" ht="15" hidden="1" customHeight="1"/>
    <row r="22396" ht="15" hidden="1" customHeight="1"/>
    <row r="22397" ht="15" hidden="1" customHeight="1"/>
    <row r="22398" ht="15" hidden="1" customHeight="1"/>
    <row r="22399" ht="15" hidden="1" customHeight="1"/>
    <row r="22400" ht="15" hidden="1" customHeight="1"/>
    <row r="22401" ht="15" hidden="1" customHeight="1"/>
    <row r="22402" ht="15" hidden="1" customHeight="1"/>
    <row r="22403" ht="15" hidden="1" customHeight="1"/>
    <row r="22404" ht="15" hidden="1" customHeight="1"/>
    <row r="22405" ht="15" hidden="1" customHeight="1"/>
    <row r="22406" ht="15" hidden="1" customHeight="1"/>
    <row r="22407" ht="15" hidden="1" customHeight="1"/>
    <row r="22408" ht="15" hidden="1" customHeight="1"/>
    <row r="22409" ht="15" hidden="1" customHeight="1"/>
    <row r="22410" ht="15" hidden="1" customHeight="1"/>
    <row r="22411" ht="15" hidden="1" customHeight="1"/>
    <row r="22412" ht="15" hidden="1" customHeight="1"/>
    <row r="22413" ht="15" hidden="1" customHeight="1"/>
    <row r="22414" ht="15" hidden="1" customHeight="1"/>
    <row r="22415" ht="15" hidden="1" customHeight="1"/>
    <row r="22416" ht="15" hidden="1" customHeight="1"/>
    <row r="22417" ht="15" hidden="1" customHeight="1"/>
    <row r="22418" ht="15" hidden="1" customHeight="1"/>
    <row r="22419" ht="15" hidden="1" customHeight="1"/>
    <row r="22420" ht="15" hidden="1" customHeight="1"/>
    <row r="22421" ht="15" hidden="1" customHeight="1"/>
    <row r="22422" ht="15" hidden="1" customHeight="1"/>
    <row r="22423" ht="15" hidden="1" customHeight="1"/>
    <row r="22424" ht="15" hidden="1" customHeight="1"/>
    <row r="22425" ht="15" hidden="1" customHeight="1"/>
    <row r="22426" ht="15" hidden="1" customHeight="1"/>
    <row r="22427" ht="15" hidden="1" customHeight="1"/>
    <row r="22428" ht="15" hidden="1" customHeight="1"/>
    <row r="22429" ht="15" hidden="1" customHeight="1"/>
    <row r="22430" ht="15" hidden="1" customHeight="1"/>
    <row r="22431" ht="15" hidden="1" customHeight="1"/>
    <row r="22432" ht="15" hidden="1" customHeight="1"/>
    <row r="22433" ht="15" hidden="1" customHeight="1"/>
    <row r="22434" ht="15" hidden="1" customHeight="1"/>
    <row r="22435" ht="15" hidden="1" customHeight="1"/>
    <row r="22436" ht="15" hidden="1" customHeight="1"/>
    <row r="22437" ht="15" hidden="1" customHeight="1"/>
    <row r="22438" ht="15" hidden="1" customHeight="1"/>
    <row r="22439" ht="15" hidden="1" customHeight="1"/>
    <row r="22440" ht="15" hidden="1" customHeight="1"/>
    <row r="22441" ht="15" hidden="1" customHeight="1"/>
    <row r="22442" ht="15" hidden="1" customHeight="1"/>
    <row r="22443" ht="15" hidden="1" customHeight="1"/>
    <row r="22444" ht="15" hidden="1" customHeight="1"/>
    <row r="22445" ht="15" hidden="1" customHeight="1"/>
    <row r="22446" ht="15" hidden="1" customHeight="1"/>
    <row r="22447" ht="15" hidden="1" customHeight="1"/>
    <row r="22448" ht="15" hidden="1" customHeight="1"/>
    <row r="22449" ht="15" hidden="1" customHeight="1"/>
    <row r="22450" ht="15" hidden="1" customHeight="1"/>
    <row r="22451" ht="15" hidden="1" customHeight="1"/>
    <row r="22452" ht="15" hidden="1" customHeight="1"/>
    <row r="22453" ht="15" hidden="1" customHeight="1"/>
    <row r="22454" ht="15" hidden="1" customHeight="1"/>
    <row r="22455" ht="15" hidden="1" customHeight="1"/>
    <row r="22456" ht="15" hidden="1" customHeight="1"/>
    <row r="22457" ht="15" hidden="1" customHeight="1"/>
    <row r="22458" ht="15" hidden="1" customHeight="1"/>
    <row r="22459" ht="15" hidden="1" customHeight="1"/>
    <row r="22460" ht="15" hidden="1" customHeight="1"/>
    <row r="22461" ht="15" hidden="1" customHeight="1"/>
    <row r="22462" ht="15" hidden="1" customHeight="1"/>
    <row r="22463" ht="15" hidden="1" customHeight="1"/>
    <row r="22464" ht="15" hidden="1" customHeight="1"/>
    <row r="22465" ht="15" hidden="1" customHeight="1"/>
    <row r="22466" ht="15" hidden="1" customHeight="1"/>
    <row r="22467" ht="15" hidden="1" customHeight="1"/>
    <row r="22468" ht="15" hidden="1" customHeight="1"/>
    <row r="22469" ht="15" hidden="1" customHeight="1"/>
    <row r="22470" ht="15" hidden="1" customHeight="1"/>
    <row r="22471" ht="15" hidden="1" customHeight="1"/>
    <row r="22472" ht="15" hidden="1" customHeight="1"/>
    <row r="22473" ht="15" hidden="1" customHeight="1"/>
    <row r="22474" ht="15" hidden="1" customHeight="1"/>
    <row r="22475" ht="15" hidden="1" customHeight="1"/>
    <row r="22476" ht="15" hidden="1" customHeight="1"/>
    <row r="22477" ht="15" hidden="1" customHeight="1"/>
    <row r="22478" ht="15" hidden="1" customHeight="1"/>
    <row r="22479" ht="15" hidden="1" customHeight="1"/>
    <row r="22480" ht="15" hidden="1" customHeight="1"/>
    <row r="22481" ht="15" hidden="1" customHeight="1"/>
    <row r="22482" ht="15" hidden="1" customHeight="1"/>
    <row r="22483" ht="15" hidden="1" customHeight="1"/>
    <row r="22484" ht="15" hidden="1" customHeight="1"/>
    <row r="22485" ht="15" hidden="1" customHeight="1"/>
    <row r="22486" ht="15" hidden="1" customHeight="1"/>
    <row r="22487" ht="15" hidden="1" customHeight="1"/>
    <row r="22488" ht="15" hidden="1" customHeight="1"/>
    <row r="22489" ht="15" hidden="1" customHeight="1"/>
    <row r="22490" ht="15" hidden="1" customHeight="1"/>
    <row r="22491" ht="15" hidden="1" customHeight="1"/>
    <row r="22492" ht="15" hidden="1" customHeight="1"/>
    <row r="22493" ht="15" hidden="1" customHeight="1"/>
    <row r="22494" ht="15" hidden="1" customHeight="1"/>
    <row r="22495" ht="15" hidden="1" customHeight="1"/>
    <row r="22496" ht="15" hidden="1" customHeight="1"/>
    <row r="22497" ht="15" hidden="1" customHeight="1"/>
    <row r="22498" ht="15" hidden="1" customHeight="1"/>
    <row r="22499" ht="15" hidden="1" customHeight="1"/>
    <row r="22500" ht="15" hidden="1" customHeight="1"/>
    <row r="22501" ht="15" hidden="1" customHeight="1"/>
    <row r="22502" ht="15" hidden="1" customHeight="1"/>
    <row r="22503" ht="15" hidden="1" customHeight="1"/>
    <row r="22504" ht="15" hidden="1" customHeight="1"/>
    <row r="22505" ht="15" hidden="1" customHeight="1"/>
    <row r="22506" ht="15" hidden="1" customHeight="1"/>
    <row r="22507" ht="15" hidden="1" customHeight="1"/>
    <row r="22508" ht="15" hidden="1" customHeight="1"/>
    <row r="22509" ht="15" hidden="1" customHeight="1"/>
    <row r="22510" ht="15" hidden="1" customHeight="1"/>
    <row r="22511" ht="15" hidden="1" customHeight="1"/>
    <row r="22512" ht="15" hidden="1" customHeight="1"/>
    <row r="22513" ht="15" hidden="1" customHeight="1"/>
    <row r="22514" ht="15" hidden="1" customHeight="1"/>
    <row r="22515" ht="15" hidden="1" customHeight="1"/>
    <row r="22516" ht="15" hidden="1" customHeight="1"/>
    <row r="22517" ht="15" hidden="1" customHeight="1"/>
    <row r="22518" ht="15" hidden="1" customHeight="1"/>
    <row r="22519" ht="15" hidden="1" customHeight="1"/>
    <row r="22520" ht="15" hidden="1" customHeight="1"/>
    <row r="22521" ht="15" hidden="1" customHeight="1"/>
    <row r="22522" ht="15" hidden="1" customHeight="1"/>
    <row r="22523" ht="15" hidden="1" customHeight="1"/>
    <row r="22524" ht="15" hidden="1" customHeight="1"/>
    <row r="22525" ht="15" hidden="1" customHeight="1"/>
    <row r="22526" ht="15" hidden="1" customHeight="1"/>
    <row r="22527" ht="15" hidden="1" customHeight="1"/>
    <row r="22528" ht="15" hidden="1" customHeight="1"/>
    <row r="22529" ht="15" hidden="1" customHeight="1"/>
    <row r="22530" ht="15" hidden="1" customHeight="1"/>
    <row r="22531" ht="15" hidden="1" customHeight="1"/>
    <row r="22532" ht="15" hidden="1" customHeight="1"/>
    <row r="22533" ht="15" hidden="1" customHeight="1"/>
    <row r="22534" ht="15" hidden="1" customHeight="1"/>
    <row r="22535" ht="15" hidden="1" customHeight="1"/>
    <row r="22536" ht="15" hidden="1" customHeight="1"/>
    <row r="22537" ht="15" hidden="1" customHeight="1"/>
    <row r="22538" ht="15" hidden="1" customHeight="1"/>
    <row r="22539" ht="15" hidden="1" customHeight="1"/>
    <row r="22540" ht="15" hidden="1" customHeight="1"/>
    <row r="22541" ht="15" hidden="1" customHeight="1"/>
    <row r="22542" ht="15" hidden="1" customHeight="1"/>
    <row r="22543" ht="15" hidden="1" customHeight="1"/>
    <row r="22544" ht="15" hidden="1" customHeight="1"/>
    <row r="22545" ht="15" hidden="1" customHeight="1"/>
    <row r="22546" ht="15" hidden="1" customHeight="1"/>
    <row r="22547" ht="15" hidden="1" customHeight="1"/>
    <row r="22548" ht="15" hidden="1" customHeight="1"/>
    <row r="22549" ht="15" hidden="1" customHeight="1"/>
    <row r="22550" ht="15" hidden="1" customHeight="1"/>
    <row r="22551" ht="15" hidden="1" customHeight="1"/>
    <row r="22552" ht="15" hidden="1" customHeight="1"/>
    <row r="22553" ht="15" hidden="1" customHeight="1"/>
    <row r="22554" ht="15" hidden="1" customHeight="1"/>
    <row r="22555" ht="15" hidden="1" customHeight="1"/>
    <row r="22556" ht="15" hidden="1" customHeight="1"/>
    <row r="22557" ht="15" hidden="1" customHeight="1"/>
    <row r="22558" ht="15" hidden="1" customHeight="1"/>
    <row r="22559" ht="15" hidden="1" customHeight="1"/>
    <row r="22560" ht="15" hidden="1" customHeight="1"/>
    <row r="22561" ht="15" hidden="1" customHeight="1"/>
    <row r="22562" ht="15" hidden="1" customHeight="1"/>
    <row r="22563" ht="15" hidden="1" customHeight="1"/>
    <row r="22564" ht="15" hidden="1" customHeight="1"/>
    <row r="22565" ht="15" hidden="1" customHeight="1"/>
    <row r="22566" ht="15" hidden="1" customHeight="1"/>
    <row r="22567" ht="15" hidden="1" customHeight="1"/>
    <row r="22568" ht="15" hidden="1" customHeight="1"/>
    <row r="22569" ht="15" hidden="1" customHeight="1"/>
    <row r="22570" ht="15" hidden="1" customHeight="1"/>
    <row r="22571" ht="15" hidden="1" customHeight="1"/>
    <row r="22572" ht="15" hidden="1" customHeight="1"/>
    <row r="22573" ht="15" hidden="1" customHeight="1"/>
    <row r="22574" ht="15" hidden="1" customHeight="1"/>
    <row r="22575" ht="15" hidden="1" customHeight="1"/>
    <row r="22576" ht="15" hidden="1" customHeight="1"/>
    <row r="22577" ht="15" hidden="1" customHeight="1"/>
    <row r="22578" ht="15" hidden="1" customHeight="1"/>
    <row r="22579" ht="15" hidden="1" customHeight="1"/>
    <row r="22580" ht="15" hidden="1" customHeight="1"/>
    <row r="22581" ht="15" hidden="1" customHeight="1"/>
    <row r="22582" ht="15" hidden="1" customHeight="1"/>
    <row r="22583" ht="15" hidden="1" customHeight="1"/>
    <row r="22584" ht="15" hidden="1" customHeight="1"/>
    <row r="22585" ht="15" hidden="1" customHeight="1"/>
    <row r="22586" ht="15" hidden="1" customHeight="1"/>
    <row r="22587" ht="15" hidden="1" customHeight="1"/>
    <row r="22588" ht="15" hidden="1" customHeight="1"/>
    <row r="22589" ht="15" hidden="1" customHeight="1"/>
    <row r="22590" ht="15" hidden="1" customHeight="1"/>
    <row r="22591" ht="15" hidden="1" customHeight="1"/>
    <row r="22592" ht="15" hidden="1" customHeight="1"/>
    <row r="22593" ht="15" hidden="1" customHeight="1"/>
    <row r="22594" ht="15" hidden="1" customHeight="1"/>
    <row r="22595" ht="15" hidden="1" customHeight="1"/>
    <row r="22596" ht="15" hidden="1" customHeight="1"/>
    <row r="22597" ht="15" hidden="1" customHeight="1"/>
    <row r="22598" ht="15" hidden="1" customHeight="1"/>
    <row r="22599" ht="15" hidden="1" customHeight="1"/>
    <row r="22600" ht="15" hidden="1" customHeight="1"/>
    <row r="22601" ht="15" hidden="1" customHeight="1"/>
    <row r="22602" ht="15" hidden="1" customHeight="1"/>
    <row r="22603" ht="15" hidden="1" customHeight="1"/>
    <row r="22604" ht="15" hidden="1" customHeight="1"/>
    <row r="22605" ht="15" hidden="1" customHeight="1"/>
    <row r="22606" ht="15" hidden="1" customHeight="1"/>
    <row r="22607" ht="15" hidden="1" customHeight="1"/>
    <row r="22608" ht="15" hidden="1" customHeight="1"/>
    <row r="22609" ht="15" hidden="1" customHeight="1"/>
    <row r="22610" ht="15" hidden="1" customHeight="1"/>
    <row r="22611" ht="15" hidden="1" customHeight="1"/>
    <row r="22612" ht="15" hidden="1" customHeight="1"/>
    <row r="22613" ht="15" hidden="1" customHeight="1"/>
    <row r="22614" ht="15" hidden="1" customHeight="1"/>
    <row r="22615" ht="15" hidden="1" customHeight="1"/>
    <row r="22616" ht="15" hidden="1" customHeight="1"/>
    <row r="22617" ht="15" hidden="1" customHeight="1"/>
    <row r="22618" ht="15" hidden="1" customHeight="1"/>
    <row r="22619" ht="15" hidden="1" customHeight="1"/>
    <row r="22620" ht="15" hidden="1" customHeight="1"/>
    <row r="22621" ht="15" hidden="1" customHeight="1"/>
    <row r="22622" ht="15" hidden="1" customHeight="1"/>
    <row r="22623" ht="15" hidden="1" customHeight="1"/>
    <row r="22624" ht="15" hidden="1" customHeight="1"/>
    <row r="22625" ht="15" hidden="1" customHeight="1"/>
    <row r="22626" ht="15" hidden="1" customHeight="1"/>
    <row r="22627" ht="15" hidden="1" customHeight="1"/>
    <row r="22628" ht="15" hidden="1" customHeight="1"/>
    <row r="22629" ht="15" hidden="1" customHeight="1"/>
    <row r="22630" ht="15" hidden="1" customHeight="1"/>
    <row r="22631" ht="15" hidden="1" customHeight="1"/>
    <row r="22632" ht="15" hidden="1" customHeight="1"/>
    <row r="22633" ht="15" hidden="1" customHeight="1"/>
    <row r="22634" ht="15" hidden="1" customHeight="1"/>
    <row r="22635" ht="15" hidden="1" customHeight="1"/>
    <row r="22636" ht="15" hidden="1" customHeight="1"/>
    <row r="22637" ht="15" hidden="1" customHeight="1"/>
    <row r="22638" ht="15" hidden="1" customHeight="1"/>
    <row r="22639" ht="15" hidden="1" customHeight="1"/>
    <row r="22640" ht="15" hidden="1" customHeight="1"/>
    <row r="22641" ht="15" hidden="1" customHeight="1"/>
    <row r="22642" ht="15" hidden="1" customHeight="1"/>
    <row r="22643" ht="15" hidden="1" customHeight="1"/>
    <row r="22644" ht="15" hidden="1" customHeight="1"/>
    <row r="22645" ht="15" hidden="1" customHeight="1"/>
    <row r="22646" ht="15" hidden="1" customHeight="1"/>
    <row r="22647" ht="15" hidden="1" customHeight="1"/>
    <row r="22648" ht="15" hidden="1" customHeight="1"/>
    <row r="22649" ht="15" hidden="1" customHeight="1"/>
    <row r="22650" ht="15" hidden="1" customHeight="1"/>
    <row r="22651" ht="15" hidden="1" customHeight="1"/>
    <row r="22652" ht="15" hidden="1" customHeight="1"/>
    <row r="22653" ht="15" hidden="1" customHeight="1"/>
    <row r="22654" ht="15" hidden="1" customHeight="1"/>
    <row r="22655" ht="15" hidden="1" customHeight="1"/>
    <row r="22656" ht="15" hidden="1" customHeight="1"/>
    <row r="22657" ht="15" hidden="1" customHeight="1"/>
    <row r="22658" ht="15" hidden="1" customHeight="1"/>
    <row r="22659" ht="15" hidden="1" customHeight="1"/>
    <row r="22660" ht="15" hidden="1" customHeight="1"/>
    <row r="22661" ht="15" hidden="1" customHeight="1"/>
    <row r="22662" ht="15" hidden="1" customHeight="1"/>
    <row r="22663" ht="15" hidden="1" customHeight="1"/>
    <row r="22664" ht="15" hidden="1" customHeight="1"/>
    <row r="22665" ht="15" hidden="1" customHeight="1"/>
    <row r="22666" ht="15" hidden="1" customHeight="1"/>
    <row r="22667" ht="15" hidden="1" customHeight="1"/>
    <row r="22668" ht="15" hidden="1" customHeight="1"/>
    <row r="22669" ht="15" hidden="1" customHeight="1"/>
    <row r="22670" ht="15" hidden="1" customHeight="1"/>
    <row r="22671" ht="15" hidden="1" customHeight="1"/>
    <row r="22672" ht="15" hidden="1" customHeight="1"/>
    <row r="22673" ht="15" hidden="1" customHeight="1"/>
    <row r="22674" ht="15" hidden="1" customHeight="1"/>
    <row r="22675" ht="15" hidden="1" customHeight="1"/>
    <row r="22676" ht="15" hidden="1" customHeight="1"/>
    <row r="22677" ht="15" hidden="1" customHeight="1"/>
    <row r="22678" ht="15" hidden="1" customHeight="1"/>
    <row r="22679" ht="15" hidden="1" customHeight="1"/>
    <row r="22680" ht="15" hidden="1" customHeight="1"/>
    <row r="22681" ht="15" hidden="1" customHeight="1"/>
    <row r="22682" ht="15" hidden="1" customHeight="1"/>
    <row r="22683" ht="15" hidden="1" customHeight="1"/>
    <row r="22684" ht="15" hidden="1" customHeight="1"/>
    <row r="22685" ht="15" hidden="1" customHeight="1"/>
    <row r="22686" ht="15" hidden="1" customHeight="1"/>
    <row r="22687" ht="15" hidden="1" customHeight="1"/>
    <row r="22688" ht="15" hidden="1" customHeight="1"/>
    <row r="22689" ht="15" hidden="1" customHeight="1"/>
    <row r="22690" ht="15" hidden="1" customHeight="1"/>
    <row r="22691" ht="15" hidden="1" customHeight="1"/>
    <row r="22692" ht="15" hidden="1" customHeight="1"/>
    <row r="22693" ht="15" hidden="1" customHeight="1"/>
    <row r="22694" ht="15" hidden="1" customHeight="1"/>
    <row r="22695" ht="15" hidden="1" customHeight="1"/>
    <row r="22696" ht="15" hidden="1" customHeight="1"/>
    <row r="22697" ht="15" hidden="1" customHeight="1"/>
    <row r="22698" ht="15" hidden="1" customHeight="1"/>
    <row r="22699" ht="15" hidden="1" customHeight="1"/>
    <row r="22700" ht="15" hidden="1" customHeight="1"/>
    <row r="22701" ht="15" hidden="1" customHeight="1"/>
    <row r="22702" ht="15" hidden="1" customHeight="1"/>
    <row r="22703" ht="15" hidden="1" customHeight="1"/>
    <row r="22704" ht="15" hidden="1" customHeight="1"/>
    <row r="22705" ht="15" hidden="1" customHeight="1"/>
    <row r="22706" ht="15" hidden="1" customHeight="1"/>
    <row r="22707" ht="15" hidden="1" customHeight="1"/>
    <row r="22708" ht="15" hidden="1" customHeight="1"/>
    <row r="22709" ht="15" hidden="1" customHeight="1"/>
    <row r="22710" ht="15" hidden="1" customHeight="1"/>
    <row r="22711" ht="15" hidden="1" customHeight="1"/>
    <row r="22712" ht="15" hidden="1" customHeight="1"/>
    <row r="22713" ht="15" hidden="1" customHeight="1"/>
    <row r="22714" ht="15" hidden="1" customHeight="1"/>
    <row r="22715" ht="15" hidden="1" customHeight="1"/>
    <row r="22716" ht="15" hidden="1" customHeight="1"/>
    <row r="22717" ht="15" hidden="1" customHeight="1"/>
    <row r="22718" ht="15" hidden="1" customHeight="1"/>
    <row r="22719" ht="15" hidden="1" customHeight="1"/>
    <row r="22720" ht="15" hidden="1" customHeight="1"/>
    <row r="22721" ht="15" hidden="1" customHeight="1"/>
    <row r="22722" ht="15" hidden="1" customHeight="1"/>
    <row r="22723" ht="15" hidden="1" customHeight="1"/>
    <row r="22724" ht="15" hidden="1" customHeight="1"/>
    <row r="22725" ht="15" hidden="1" customHeight="1"/>
    <row r="22726" ht="15" hidden="1" customHeight="1"/>
    <row r="22727" ht="15" hidden="1" customHeight="1"/>
    <row r="22728" ht="15" hidden="1" customHeight="1"/>
    <row r="22729" ht="15" hidden="1" customHeight="1"/>
    <row r="22730" ht="15" hidden="1" customHeight="1"/>
    <row r="22731" ht="15" hidden="1" customHeight="1"/>
    <row r="22732" ht="15" hidden="1" customHeight="1"/>
    <row r="22733" ht="15" hidden="1" customHeight="1"/>
    <row r="22734" ht="15" hidden="1" customHeight="1"/>
    <row r="22735" ht="15" hidden="1" customHeight="1"/>
    <row r="22736" ht="15" hidden="1" customHeight="1"/>
    <row r="22737" ht="15" hidden="1" customHeight="1"/>
    <row r="22738" ht="15" hidden="1" customHeight="1"/>
    <row r="22739" ht="15" hidden="1" customHeight="1"/>
    <row r="22740" ht="15" hidden="1" customHeight="1"/>
    <row r="22741" ht="15" hidden="1" customHeight="1"/>
    <row r="22742" ht="15" hidden="1" customHeight="1"/>
    <row r="22743" ht="15" hidden="1" customHeight="1"/>
    <row r="22744" ht="15" hidden="1" customHeight="1"/>
    <row r="22745" ht="15" hidden="1" customHeight="1"/>
    <row r="22746" ht="15" hidden="1" customHeight="1"/>
    <row r="22747" ht="15" hidden="1" customHeight="1"/>
    <row r="22748" ht="15" hidden="1" customHeight="1"/>
    <row r="22749" ht="15" hidden="1" customHeight="1"/>
    <row r="22750" ht="15" hidden="1" customHeight="1"/>
    <row r="22751" ht="15" hidden="1" customHeight="1"/>
    <row r="22752" ht="15" hidden="1" customHeight="1"/>
    <row r="22753" ht="15" hidden="1" customHeight="1"/>
    <row r="22754" ht="15" hidden="1" customHeight="1"/>
    <row r="22755" ht="15" hidden="1" customHeight="1"/>
    <row r="22756" ht="15" hidden="1" customHeight="1"/>
    <row r="22757" ht="15" hidden="1" customHeight="1"/>
    <row r="22758" ht="15" hidden="1" customHeight="1"/>
    <row r="22759" ht="15" hidden="1" customHeight="1"/>
    <row r="22760" ht="15" hidden="1" customHeight="1"/>
    <row r="22761" ht="15" hidden="1" customHeight="1"/>
    <row r="22762" ht="15" hidden="1" customHeight="1"/>
    <row r="22763" ht="15" hidden="1" customHeight="1"/>
    <row r="22764" ht="15" hidden="1" customHeight="1"/>
    <row r="22765" ht="15" hidden="1" customHeight="1"/>
    <row r="22766" ht="15" hidden="1" customHeight="1"/>
    <row r="22767" ht="15" hidden="1" customHeight="1"/>
    <row r="22768" ht="15" hidden="1" customHeight="1"/>
    <row r="22769" ht="15" hidden="1" customHeight="1"/>
    <row r="22770" ht="15" hidden="1" customHeight="1"/>
    <row r="22771" ht="15" hidden="1" customHeight="1"/>
    <row r="22772" ht="15" hidden="1" customHeight="1"/>
    <row r="22773" ht="15" hidden="1" customHeight="1"/>
    <row r="22774" ht="15" hidden="1" customHeight="1"/>
    <row r="22775" ht="15" hidden="1" customHeight="1"/>
    <row r="22776" ht="15" hidden="1" customHeight="1"/>
    <row r="22777" ht="15" hidden="1" customHeight="1"/>
    <row r="22778" ht="15" hidden="1" customHeight="1"/>
    <row r="22779" ht="15" hidden="1" customHeight="1"/>
    <row r="22780" ht="15" hidden="1" customHeight="1"/>
    <row r="22781" ht="15" hidden="1" customHeight="1"/>
    <row r="22782" ht="15" hidden="1" customHeight="1"/>
    <row r="22783" ht="15" hidden="1" customHeight="1"/>
    <row r="22784" ht="15" hidden="1" customHeight="1"/>
    <row r="22785" ht="15" hidden="1" customHeight="1"/>
    <row r="22786" ht="15" hidden="1" customHeight="1"/>
    <row r="22787" ht="15" hidden="1" customHeight="1"/>
    <row r="22788" ht="15" hidden="1" customHeight="1"/>
    <row r="22789" ht="15" hidden="1" customHeight="1"/>
    <row r="22790" ht="15" hidden="1" customHeight="1"/>
    <row r="22791" ht="15" hidden="1" customHeight="1"/>
    <row r="22792" ht="15" hidden="1" customHeight="1"/>
    <row r="22793" ht="15" hidden="1" customHeight="1"/>
    <row r="22794" ht="15" hidden="1" customHeight="1"/>
    <row r="22795" ht="15" hidden="1" customHeight="1"/>
    <row r="22796" ht="15" hidden="1" customHeight="1"/>
    <row r="22797" ht="15" hidden="1" customHeight="1"/>
    <row r="22798" ht="15" hidden="1" customHeight="1"/>
    <row r="22799" ht="15" hidden="1" customHeight="1"/>
    <row r="22800" ht="15" hidden="1" customHeight="1"/>
    <row r="22801" ht="15" hidden="1" customHeight="1"/>
    <row r="22802" ht="15" hidden="1" customHeight="1"/>
    <row r="22803" ht="15" hidden="1" customHeight="1"/>
    <row r="22804" ht="15" hidden="1" customHeight="1"/>
    <row r="22805" ht="15" hidden="1" customHeight="1"/>
    <row r="22806" ht="15" hidden="1" customHeight="1"/>
    <row r="22807" ht="15" hidden="1" customHeight="1"/>
    <row r="22808" ht="15" hidden="1" customHeight="1"/>
    <row r="22809" ht="15" hidden="1" customHeight="1"/>
    <row r="22810" ht="15" hidden="1" customHeight="1"/>
    <row r="22811" ht="15" hidden="1" customHeight="1"/>
    <row r="22812" ht="15" hidden="1" customHeight="1"/>
    <row r="22813" ht="15" hidden="1" customHeight="1"/>
    <row r="22814" ht="15" hidden="1" customHeight="1"/>
    <row r="22815" ht="15" hidden="1" customHeight="1"/>
    <row r="22816" ht="15" hidden="1" customHeight="1"/>
    <row r="22817" ht="15" hidden="1" customHeight="1"/>
    <row r="22818" ht="15" hidden="1" customHeight="1"/>
    <row r="22819" ht="15" hidden="1" customHeight="1"/>
    <row r="22820" ht="15" hidden="1" customHeight="1"/>
    <row r="22821" ht="15" hidden="1" customHeight="1"/>
    <row r="22822" ht="15" hidden="1" customHeight="1"/>
    <row r="22823" ht="15" hidden="1" customHeight="1"/>
    <row r="22824" ht="15" hidden="1" customHeight="1"/>
    <row r="22825" ht="15" hidden="1" customHeight="1"/>
    <row r="22826" ht="15" hidden="1" customHeight="1"/>
    <row r="22827" ht="15" hidden="1" customHeight="1"/>
    <row r="22828" ht="15" hidden="1" customHeight="1"/>
    <row r="22829" ht="15" hidden="1" customHeight="1"/>
    <row r="22830" ht="15" hidden="1" customHeight="1"/>
    <row r="22831" ht="15" hidden="1" customHeight="1"/>
    <row r="22832" ht="15" hidden="1" customHeight="1"/>
    <row r="22833" ht="15" hidden="1" customHeight="1"/>
    <row r="22834" ht="15" hidden="1" customHeight="1"/>
    <row r="22835" ht="15" hidden="1" customHeight="1"/>
    <row r="22836" ht="15" hidden="1" customHeight="1"/>
    <row r="22837" ht="15" hidden="1" customHeight="1"/>
    <row r="22838" ht="15" hidden="1" customHeight="1"/>
    <row r="22839" ht="15" hidden="1" customHeight="1"/>
    <row r="22840" ht="15" hidden="1" customHeight="1"/>
    <row r="22841" ht="15" hidden="1" customHeight="1"/>
    <row r="22842" ht="15" hidden="1" customHeight="1"/>
    <row r="22843" ht="15" hidden="1" customHeight="1"/>
    <row r="22844" ht="15" hidden="1" customHeight="1"/>
    <row r="22845" ht="15" hidden="1" customHeight="1"/>
    <row r="22846" ht="15" hidden="1" customHeight="1"/>
    <row r="22847" ht="15" hidden="1" customHeight="1"/>
    <row r="22848" ht="15" hidden="1" customHeight="1"/>
    <row r="22849" ht="15" hidden="1" customHeight="1"/>
    <row r="22850" ht="15" hidden="1" customHeight="1"/>
    <row r="22851" ht="15" hidden="1" customHeight="1"/>
    <row r="22852" ht="15" hidden="1" customHeight="1"/>
    <row r="22853" ht="15" hidden="1" customHeight="1"/>
    <row r="22854" ht="15" hidden="1" customHeight="1"/>
    <row r="22855" ht="15" hidden="1" customHeight="1"/>
    <row r="22856" ht="15" hidden="1" customHeight="1"/>
    <row r="22857" ht="15" hidden="1" customHeight="1"/>
    <row r="22858" ht="15" hidden="1" customHeight="1"/>
    <row r="22859" ht="15" hidden="1" customHeight="1"/>
    <row r="22860" ht="15" hidden="1" customHeight="1"/>
    <row r="22861" ht="15" hidden="1" customHeight="1"/>
    <row r="22862" ht="15" hidden="1" customHeight="1"/>
    <row r="22863" ht="15" hidden="1" customHeight="1"/>
    <row r="22864" ht="15" hidden="1" customHeight="1"/>
    <row r="22865" ht="15" hidden="1" customHeight="1"/>
    <row r="22866" ht="15" hidden="1" customHeight="1"/>
    <row r="22867" ht="15" hidden="1" customHeight="1"/>
    <row r="22868" ht="15" hidden="1" customHeight="1"/>
    <row r="22869" ht="15" hidden="1" customHeight="1"/>
    <row r="22870" ht="15" hidden="1" customHeight="1"/>
    <row r="22871" ht="15" hidden="1" customHeight="1"/>
    <row r="22872" ht="15" hidden="1" customHeight="1"/>
    <row r="22873" ht="15" hidden="1" customHeight="1"/>
    <row r="22874" ht="15" hidden="1" customHeight="1"/>
    <row r="22875" ht="15" hidden="1" customHeight="1"/>
    <row r="22876" ht="15" hidden="1" customHeight="1"/>
    <row r="22877" ht="15" hidden="1" customHeight="1"/>
    <row r="22878" ht="15" hidden="1" customHeight="1"/>
    <row r="22879" ht="15" hidden="1" customHeight="1"/>
    <row r="22880" ht="15" hidden="1" customHeight="1"/>
    <row r="22881" ht="15" hidden="1" customHeight="1"/>
    <row r="22882" ht="15" hidden="1" customHeight="1"/>
    <row r="22883" ht="15" hidden="1" customHeight="1"/>
    <row r="22884" ht="15" hidden="1" customHeight="1"/>
    <row r="22885" ht="15" hidden="1" customHeight="1"/>
    <row r="22886" ht="15" hidden="1" customHeight="1"/>
    <row r="22887" ht="15" hidden="1" customHeight="1"/>
    <row r="22888" ht="15" hidden="1" customHeight="1"/>
    <row r="22889" ht="15" hidden="1" customHeight="1"/>
    <row r="22890" ht="15" hidden="1" customHeight="1"/>
    <row r="22891" ht="15" hidden="1" customHeight="1"/>
    <row r="22892" ht="15" hidden="1" customHeight="1"/>
    <row r="22893" ht="15" hidden="1" customHeight="1"/>
    <row r="22894" ht="15" hidden="1" customHeight="1"/>
    <row r="22895" ht="15" hidden="1" customHeight="1"/>
    <row r="22896" ht="15" hidden="1" customHeight="1"/>
    <row r="22897" ht="15" hidden="1" customHeight="1"/>
    <row r="22898" ht="15" hidden="1" customHeight="1"/>
    <row r="22899" ht="15" hidden="1" customHeight="1"/>
    <row r="22900" ht="15" hidden="1" customHeight="1"/>
    <row r="22901" ht="15" hidden="1" customHeight="1"/>
    <row r="22902" ht="15" hidden="1" customHeight="1"/>
    <row r="22903" ht="15" hidden="1" customHeight="1"/>
    <row r="22904" ht="15" hidden="1" customHeight="1"/>
    <row r="22905" ht="15" hidden="1" customHeight="1"/>
    <row r="22906" ht="15" hidden="1" customHeight="1"/>
    <row r="22907" ht="15" hidden="1" customHeight="1"/>
    <row r="22908" ht="15" hidden="1" customHeight="1"/>
    <row r="22909" ht="15" hidden="1" customHeight="1"/>
    <row r="22910" ht="15" hidden="1" customHeight="1"/>
    <row r="22911" ht="15" hidden="1" customHeight="1"/>
    <row r="22912" ht="15" hidden="1" customHeight="1"/>
    <row r="22913" ht="15" hidden="1" customHeight="1"/>
    <row r="22914" ht="15" hidden="1" customHeight="1"/>
    <row r="22915" ht="15" hidden="1" customHeight="1"/>
    <row r="22916" ht="15" hidden="1" customHeight="1"/>
    <row r="22917" ht="15" hidden="1" customHeight="1"/>
    <row r="22918" ht="15" hidden="1" customHeight="1"/>
    <row r="22919" ht="15" hidden="1" customHeight="1"/>
    <row r="22920" ht="15" hidden="1" customHeight="1"/>
    <row r="22921" ht="15" hidden="1" customHeight="1"/>
    <row r="22922" ht="15" hidden="1" customHeight="1"/>
    <row r="22923" ht="15" hidden="1" customHeight="1"/>
    <row r="22924" ht="15" hidden="1" customHeight="1"/>
    <row r="22925" ht="15" hidden="1" customHeight="1"/>
    <row r="22926" ht="15" hidden="1" customHeight="1"/>
    <row r="22927" ht="15" hidden="1" customHeight="1"/>
    <row r="22928" ht="15" hidden="1" customHeight="1"/>
    <row r="22929" ht="15" hidden="1" customHeight="1"/>
    <row r="22930" ht="15" hidden="1" customHeight="1"/>
    <row r="22931" ht="15" hidden="1" customHeight="1"/>
    <row r="22932" ht="15" hidden="1" customHeight="1"/>
    <row r="22933" ht="15" hidden="1" customHeight="1"/>
    <row r="22934" ht="15" hidden="1" customHeight="1"/>
    <row r="22935" ht="15" hidden="1" customHeight="1"/>
    <row r="22936" ht="15" hidden="1" customHeight="1"/>
    <row r="22937" ht="15" hidden="1" customHeight="1"/>
    <row r="22938" ht="15" hidden="1" customHeight="1"/>
    <row r="22939" ht="15" hidden="1" customHeight="1"/>
    <row r="22940" ht="15" hidden="1" customHeight="1"/>
    <row r="22941" ht="15" hidden="1" customHeight="1"/>
    <row r="22942" ht="15" hidden="1" customHeight="1"/>
    <row r="22943" ht="15" hidden="1" customHeight="1"/>
    <row r="22944" ht="15" hidden="1" customHeight="1"/>
    <row r="22945" ht="15" hidden="1" customHeight="1"/>
    <row r="22946" ht="15" hidden="1" customHeight="1"/>
    <row r="22947" ht="15" hidden="1" customHeight="1"/>
    <row r="22948" ht="15" hidden="1" customHeight="1"/>
    <row r="22949" ht="15" hidden="1" customHeight="1"/>
    <row r="22950" ht="15" hidden="1" customHeight="1"/>
    <row r="22951" ht="15" hidden="1" customHeight="1"/>
    <row r="22952" ht="15" hidden="1" customHeight="1"/>
    <row r="22953" ht="15" hidden="1" customHeight="1"/>
    <row r="22954" ht="15" hidden="1" customHeight="1"/>
    <row r="22955" ht="15" hidden="1" customHeight="1"/>
    <row r="22956" ht="15" hidden="1" customHeight="1"/>
    <row r="22957" ht="15" hidden="1" customHeight="1"/>
    <row r="22958" ht="15" hidden="1" customHeight="1"/>
    <row r="22959" ht="15" hidden="1" customHeight="1"/>
    <row r="22960" ht="15" hidden="1" customHeight="1"/>
    <row r="22961" ht="15" hidden="1" customHeight="1"/>
    <row r="22962" ht="15" hidden="1" customHeight="1"/>
    <row r="22963" ht="15" hidden="1" customHeight="1"/>
    <row r="22964" ht="15" hidden="1" customHeight="1"/>
    <row r="22965" ht="15" hidden="1" customHeight="1"/>
    <row r="22966" ht="15" hidden="1" customHeight="1"/>
    <row r="22967" ht="15" hidden="1" customHeight="1"/>
    <row r="22968" ht="15" hidden="1" customHeight="1"/>
    <row r="22969" ht="15" hidden="1" customHeight="1"/>
    <row r="22970" ht="15" hidden="1" customHeight="1"/>
    <row r="22971" ht="15" hidden="1" customHeight="1"/>
    <row r="22972" ht="15" hidden="1" customHeight="1"/>
    <row r="22973" ht="15" hidden="1" customHeight="1"/>
    <row r="22974" ht="15" hidden="1" customHeight="1"/>
    <row r="22975" ht="15" hidden="1" customHeight="1"/>
    <row r="22976" ht="15" hidden="1" customHeight="1"/>
    <row r="22977" ht="15" hidden="1" customHeight="1"/>
    <row r="22978" ht="15" hidden="1" customHeight="1"/>
    <row r="22979" ht="15" hidden="1" customHeight="1"/>
    <row r="22980" ht="15" hidden="1" customHeight="1"/>
    <row r="22981" ht="15" hidden="1" customHeight="1"/>
    <row r="22982" ht="15" hidden="1" customHeight="1"/>
    <row r="22983" ht="15" hidden="1" customHeight="1"/>
    <row r="22984" ht="15" hidden="1" customHeight="1"/>
    <row r="22985" ht="15" hidden="1" customHeight="1"/>
    <row r="22986" ht="15" hidden="1" customHeight="1"/>
    <row r="22987" ht="15" hidden="1" customHeight="1"/>
    <row r="22988" ht="15" hidden="1" customHeight="1"/>
    <row r="22989" ht="15" hidden="1" customHeight="1"/>
    <row r="22990" ht="15" hidden="1" customHeight="1"/>
    <row r="22991" ht="15" hidden="1" customHeight="1"/>
    <row r="22992" ht="15" hidden="1" customHeight="1"/>
    <row r="22993" ht="15" hidden="1" customHeight="1"/>
    <row r="22994" ht="15" hidden="1" customHeight="1"/>
    <row r="22995" ht="15" hidden="1" customHeight="1"/>
    <row r="22996" ht="15" hidden="1" customHeight="1"/>
    <row r="22997" ht="15" hidden="1" customHeight="1"/>
    <row r="22998" ht="15" hidden="1" customHeight="1"/>
    <row r="22999" ht="15" hidden="1" customHeight="1"/>
    <row r="23000" ht="15" hidden="1" customHeight="1"/>
    <row r="23001" ht="15" hidden="1" customHeight="1"/>
    <row r="23002" ht="15" hidden="1" customHeight="1"/>
    <row r="23003" ht="15" hidden="1" customHeight="1"/>
    <row r="23004" ht="15" hidden="1" customHeight="1"/>
    <row r="23005" ht="15" hidden="1" customHeight="1"/>
    <row r="23006" ht="15" hidden="1" customHeight="1"/>
    <row r="23007" ht="15" hidden="1" customHeight="1"/>
    <row r="23008" ht="15" hidden="1" customHeight="1"/>
    <row r="23009" ht="15" hidden="1" customHeight="1"/>
    <row r="23010" ht="15" hidden="1" customHeight="1"/>
    <row r="23011" ht="15" hidden="1" customHeight="1"/>
    <row r="23012" ht="15" hidden="1" customHeight="1"/>
    <row r="23013" ht="15" hidden="1" customHeight="1"/>
    <row r="23014" ht="15" hidden="1" customHeight="1"/>
    <row r="23015" ht="15" hidden="1" customHeight="1"/>
    <row r="23016" ht="15" hidden="1" customHeight="1"/>
    <row r="23017" ht="15" hidden="1" customHeight="1"/>
    <row r="23018" ht="15" hidden="1" customHeight="1"/>
    <row r="23019" ht="15" hidden="1" customHeight="1"/>
    <row r="23020" ht="15" hidden="1" customHeight="1"/>
    <row r="23021" ht="15" hidden="1" customHeight="1"/>
    <row r="23022" ht="15" hidden="1" customHeight="1"/>
    <row r="23023" ht="15" hidden="1" customHeight="1"/>
    <row r="23024" ht="15" hidden="1" customHeight="1"/>
    <row r="23025" ht="15" hidden="1" customHeight="1"/>
    <row r="23026" ht="15" hidden="1" customHeight="1"/>
    <row r="23027" ht="15" hidden="1" customHeight="1"/>
    <row r="23028" ht="15" hidden="1" customHeight="1"/>
    <row r="23029" ht="15" hidden="1" customHeight="1"/>
    <row r="23030" ht="15" hidden="1" customHeight="1"/>
    <row r="23031" ht="15" hidden="1" customHeight="1"/>
    <row r="23032" ht="15" hidden="1" customHeight="1"/>
    <row r="23033" ht="15" hidden="1" customHeight="1"/>
    <row r="23034" ht="15" hidden="1" customHeight="1"/>
    <row r="23035" ht="15" hidden="1" customHeight="1"/>
    <row r="23036" ht="15" hidden="1" customHeight="1"/>
    <row r="23037" ht="15" hidden="1" customHeight="1"/>
    <row r="23038" ht="15" hidden="1" customHeight="1"/>
    <row r="23039" ht="15" hidden="1" customHeight="1"/>
    <row r="23040" ht="15" hidden="1" customHeight="1"/>
    <row r="23041" ht="15" hidden="1" customHeight="1"/>
    <row r="23042" ht="15" hidden="1" customHeight="1"/>
    <row r="23043" ht="15" hidden="1" customHeight="1"/>
    <row r="23044" ht="15" hidden="1" customHeight="1"/>
    <row r="23045" ht="15" hidden="1" customHeight="1"/>
    <row r="23046" ht="15" hidden="1" customHeight="1"/>
    <row r="23047" ht="15" hidden="1" customHeight="1"/>
    <row r="23048" ht="15" hidden="1" customHeight="1"/>
    <row r="23049" ht="15" hidden="1" customHeight="1"/>
    <row r="23050" ht="15" hidden="1" customHeight="1"/>
    <row r="23051" ht="15" hidden="1" customHeight="1"/>
    <row r="23052" ht="15" hidden="1" customHeight="1"/>
    <row r="23053" ht="15" hidden="1" customHeight="1"/>
    <row r="23054" ht="15" hidden="1" customHeight="1"/>
    <row r="23055" ht="15" hidden="1" customHeight="1"/>
    <row r="23056" ht="15" hidden="1" customHeight="1"/>
    <row r="23057" ht="15" hidden="1" customHeight="1"/>
    <row r="23058" ht="15" hidden="1" customHeight="1"/>
    <row r="23059" ht="15" hidden="1" customHeight="1"/>
    <row r="23060" ht="15" hidden="1" customHeight="1"/>
    <row r="23061" ht="15" hidden="1" customHeight="1"/>
    <row r="23062" ht="15" hidden="1" customHeight="1"/>
    <row r="23063" ht="15" hidden="1" customHeight="1"/>
    <row r="23064" ht="15" hidden="1" customHeight="1"/>
    <row r="23065" ht="15" hidden="1" customHeight="1"/>
    <row r="23066" ht="15" hidden="1" customHeight="1"/>
    <row r="23067" ht="15" hidden="1" customHeight="1"/>
    <row r="23068" ht="15" hidden="1" customHeight="1"/>
    <row r="23069" ht="15" hidden="1" customHeight="1"/>
    <row r="23070" ht="15" hidden="1" customHeight="1"/>
    <row r="23071" ht="15" hidden="1" customHeight="1"/>
    <row r="23072" ht="15" hidden="1" customHeight="1"/>
    <row r="23073" ht="15" hidden="1" customHeight="1"/>
    <row r="23074" ht="15" hidden="1" customHeight="1"/>
    <row r="23075" ht="15" hidden="1" customHeight="1"/>
    <row r="23076" ht="15" hidden="1" customHeight="1"/>
    <row r="23077" ht="15" hidden="1" customHeight="1"/>
    <row r="23078" ht="15" hidden="1" customHeight="1"/>
    <row r="23079" ht="15" hidden="1" customHeight="1"/>
    <row r="23080" ht="15" hidden="1" customHeight="1"/>
    <row r="23081" ht="15" hidden="1" customHeight="1"/>
    <row r="23082" ht="15" hidden="1" customHeight="1"/>
    <row r="23083" ht="15" hidden="1" customHeight="1"/>
    <row r="23084" ht="15" hidden="1" customHeight="1"/>
    <row r="23085" ht="15" hidden="1" customHeight="1"/>
    <row r="23086" ht="15" hidden="1" customHeight="1"/>
    <row r="23087" ht="15" hidden="1" customHeight="1"/>
    <row r="23088" ht="15" hidden="1" customHeight="1"/>
    <row r="23089" ht="15" hidden="1" customHeight="1"/>
    <row r="23090" ht="15" hidden="1" customHeight="1"/>
    <row r="23091" ht="15" hidden="1" customHeight="1"/>
    <row r="23092" ht="15" hidden="1" customHeight="1"/>
    <row r="23093" ht="15" hidden="1" customHeight="1"/>
    <row r="23094" ht="15" hidden="1" customHeight="1"/>
    <row r="23095" ht="15" hidden="1" customHeight="1"/>
    <row r="23096" ht="15" hidden="1" customHeight="1"/>
    <row r="23097" ht="15" hidden="1" customHeight="1"/>
    <row r="23098" ht="15" hidden="1" customHeight="1"/>
    <row r="23099" ht="15" hidden="1" customHeight="1"/>
    <row r="23100" ht="15" hidden="1" customHeight="1"/>
    <row r="23101" ht="15" hidden="1" customHeight="1"/>
    <row r="23102" ht="15" hidden="1" customHeight="1"/>
    <row r="23103" ht="15" hidden="1" customHeight="1"/>
    <row r="23104" ht="15" hidden="1" customHeight="1"/>
    <row r="23105" ht="15" hidden="1" customHeight="1"/>
    <row r="23106" ht="15" hidden="1" customHeight="1"/>
    <row r="23107" ht="15" hidden="1" customHeight="1"/>
    <row r="23108" ht="15" hidden="1" customHeight="1"/>
    <row r="23109" ht="15" hidden="1" customHeight="1"/>
    <row r="23110" ht="15" hidden="1" customHeight="1"/>
    <row r="23111" ht="15" hidden="1" customHeight="1"/>
    <row r="23112" ht="15" hidden="1" customHeight="1"/>
    <row r="23113" ht="15" hidden="1" customHeight="1"/>
    <row r="23114" ht="15" hidden="1" customHeight="1"/>
    <row r="23115" ht="15" hidden="1" customHeight="1"/>
    <row r="23116" ht="15" hidden="1" customHeight="1"/>
    <row r="23117" ht="15" hidden="1" customHeight="1"/>
    <row r="23118" ht="15" hidden="1" customHeight="1"/>
    <row r="23119" ht="15" hidden="1" customHeight="1"/>
    <row r="23120" ht="15" hidden="1" customHeight="1"/>
    <row r="23121" ht="15" hidden="1" customHeight="1"/>
    <row r="23122" ht="15" hidden="1" customHeight="1"/>
    <row r="23123" ht="15" hidden="1" customHeight="1"/>
    <row r="23124" ht="15" hidden="1" customHeight="1"/>
    <row r="23125" ht="15" hidden="1" customHeight="1"/>
    <row r="23126" ht="15" hidden="1" customHeight="1"/>
    <row r="23127" ht="15" hidden="1" customHeight="1"/>
    <row r="23128" ht="15" hidden="1" customHeight="1"/>
    <row r="23129" ht="15" hidden="1" customHeight="1"/>
    <row r="23130" ht="15" hidden="1" customHeight="1"/>
    <row r="23131" ht="15" hidden="1" customHeight="1"/>
    <row r="23132" ht="15" hidden="1" customHeight="1"/>
    <row r="23133" ht="15" hidden="1" customHeight="1"/>
    <row r="23134" ht="15" hidden="1" customHeight="1"/>
    <row r="23135" ht="15" hidden="1" customHeight="1"/>
    <row r="23136" ht="15" hidden="1" customHeight="1"/>
    <row r="23137" ht="15" hidden="1" customHeight="1"/>
    <row r="23138" ht="15" hidden="1" customHeight="1"/>
    <row r="23139" ht="15" hidden="1" customHeight="1"/>
    <row r="23140" ht="15" hidden="1" customHeight="1"/>
    <row r="23141" ht="15" hidden="1" customHeight="1"/>
    <row r="23142" ht="15" hidden="1" customHeight="1"/>
    <row r="23143" ht="15" hidden="1" customHeight="1"/>
    <row r="23144" ht="15" hidden="1" customHeight="1"/>
    <row r="23145" ht="15" hidden="1" customHeight="1"/>
    <row r="23146" ht="15" hidden="1" customHeight="1"/>
    <row r="23147" ht="15" hidden="1" customHeight="1"/>
    <row r="23148" ht="15" hidden="1" customHeight="1"/>
    <row r="23149" ht="15" hidden="1" customHeight="1"/>
    <row r="23150" ht="15" hidden="1" customHeight="1"/>
    <row r="23151" ht="15" hidden="1" customHeight="1"/>
    <row r="23152" ht="15" hidden="1" customHeight="1"/>
    <row r="23153" ht="15" hidden="1" customHeight="1"/>
    <row r="23154" ht="15" hidden="1" customHeight="1"/>
    <row r="23155" ht="15" hidden="1" customHeight="1"/>
    <row r="23156" ht="15" hidden="1" customHeight="1"/>
    <row r="23157" ht="15" hidden="1" customHeight="1"/>
    <row r="23158" ht="15" hidden="1" customHeight="1"/>
    <row r="23159" ht="15" hidden="1" customHeight="1"/>
    <row r="23160" ht="15" hidden="1" customHeight="1"/>
    <row r="23161" ht="15" hidden="1" customHeight="1"/>
    <row r="23162" ht="15" hidden="1" customHeight="1"/>
    <row r="23163" ht="15" hidden="1" customHeight="1"/>
    <row r="23164" ht="15" hidden="1" customHeight="1"/>
    <row r="23165" ht="15" hidden="1" customHeight="1"/>
    <row r="23166" ht="15" hidden="1" customHeight="1"/>
    <row r="23167" ht="15" hidden="1" customHeight="1"/>
    <row r="23168" ht="15" hidden="1" customHeight="1"/>
    <row r="23169" ht="15" hidden="1" customHeight="1"/>
    <row r="23170" ht="15" hidden="1" customHeight="1"/>
    <row r="23171" ht="15" hidden="1" customHeight="1"/>
    <row r="23172" ht="15" hidden="1" customHeight="1"/>
    <row r="23173" ht="15" hidden="1" customHeight="1"/>
    <row r="23174" ht="15" hidden="1" customHeight="1"/>
    <row r="23175" ht="15" hidden="1" customHeight="1"/>
    <row r="23176" ht="15" hidden="1" customHeight="1"/>
    <row r="23177" ht="15" hidden="1" customHeight="1"/>
    <row r="23178" ht="15" hidden="1" customHeight="1"/>
    <row r="23179" ht="15" hidden="1" customHeight="1"/>
    <row r="23180" ht="15" hidden="1" customHeight="1"/>
    <row r="23181" ht="15" hidden="1" customHeight="1"/>
    <row r="23182" ht="15" hidden="1" customHeight="1"/>
    <row r="23183" ht="15" hidden="1" customHeight="1"/>
    <row r="23184" ht="15" hidden="1" customHeight="1"/>
    <row r="23185" ht="15" hidden="1" customHeight="1"/>
    <row r="23186" ht="15" hidden="1" customHeight="1"/>
    <row r="23187" ht="15" hidden="1" customHeight="1"/>
    <row r="23188" ht="15" hidden="1" customHeight="1"/>
    <row r="23189" ht="15" hidden="1" customHeight="1"/>
    <row r="23190" ht="15" hidden="1" customHeight="1"/>
    <row r="23191" ht="15" hidden="1" customHeight="1"/>
    <row r="23192" ht="15" hidden="1" customHeight="1"/>
    <row r="23193" ht="15" hidden="1" customHeight="1"/>
    <row r="23194" ht="15" hidden="1" customHeight="1"/>
    <row r="23195" ht="15" hidden="1" customHeight="1"/>
    <row r="23196" ht="15" hidden="1" customHeight="1"/>
    <row r="23197" ht="15" hidden="1" customHeight="1"/>
    <row r="23198" ht="15" hidden="1" customHeight="1"/>
    <row r="23199" ht="15" hidden="1" customHeight="1"/>
    <row r="23200" ht="15" hidden="1" customHeight="1"/>
    <row r="23201" ht="15" hidden="1" customHeight="1"/>
    <row r="23202" ht="15" hidden="1" customHeight="1"/>
    <row r="23203" ht="15" hidden="1" customHeight="1"/>
    <row r="23204" ht="15" hidden="1" customHeight="1"/>
    <row r="23205" ht="15" hidden="1" customHeight="1"/>
    <row r="23206" ht="15" hidden="1" customHeight="1"/>
    <row r="23207" ht="15" hidden="1" customHeight="1"/>
    <row r="23208" ht="15" hidden="1" customHeight="1"/>
    <row r="23209" ht="15" hidden="1" customHeight="1"/>
    <row r="23210" ht="15" hidden="1" customHeight="1"/>
    <row r="23211" ht="15" hidden="1" customHeight="1"/>
    <row r="23212" ht="15" hidden="1" customHeight="1"/>
    <row r="23213" ht="15" hidden="1" customHeight="1"/>
    <row r="23214" ht="15" hidden="1" customHeight="1"/>
    <row r="23215" ht="15" hidden="1" customHeight="1"/>
    <row r="23216" ht="15" hidden="1" customHeight="1"/>
    <row r="23217" ht="15" hidden="1" customHeight="1"/>
    <row r="23218" ht="15" hidden="1" customHeight="1"/>
    <row r="23219" ht="15" hidden="1" customHeight="1"/>
    <row r="23220" ht="15" hidden="1" customHeight="1"/>
    <row r="23221" ht="15" hidden="1" customHeight="1"/>
    <row r="23222" ht="15" hidden="1" customHeight="1"/>
    <row r="23223" ht="15" hidden="1" customHeight="1"/>
    <row r="23224" ht="15" hidden="1" customHeight="1"/>
    <row r="23225" ht="15" hidden="1" customHeight="1"/>
    <row r="23226" ht="15" hidden="1" customHeight="1"/>
    <row r="23227" ht="15" hidden="1" customHeight="1"/>
    <row r="23228" ht="15" hidden="1" customHeight="1"/>
    <row r="23229" ht="15" hidden="1" customHeight="1"/>
    <row r="23230" ht="15" hidden="1" customHeight="1"/>
    <row r="23231" ht="15" hidden="1" customHeight="1"/>
    <row r="23232" ht="15" hidden="1" customHeight="1"/>
    <row r="23233" ht="15" hidden="1" customHeight="1"/>
    <row r="23234" ht="15" hidden="1" customHeight="1"/>
    <row r="23235" ht="15" hidden="1" customHeight="1"/>
    <row r="23236" ht="15" hidden="1" customHeight="1"/>
    <row r="23237" ht="15" hidden="1" customHeight="1"/>
    <row r="23238" ht="15" hidden="1" customHeight="1"/>
    <row r="23239" ht="15" hidden="1" customHeight="1"/>
    <row r="23240" ht="15" hidden="1" customHeight="1"/>
    <row r="23241" ht="15" hidden="1" customHeight="1"/>
    <row r="23242" ht="15" hidden="1" customHeight="1"/>
    <row r="23243" ht="15" hidden="1" customHeight="1"/>
    <row r="23244" ht="15" hidden="1" customHeight="1"/>
    <row r="23245" ht="15" hidden="1" customHeight="1"/>
    <row r="23246" ht="15" hidden="1" customHeight="1"/>
    <row r="23247" ht="15" hidden="1" customHeight="1"/>
    <row r="23248" ht="15" hidden="1" customHeight="1"/>
    <row r="23249" ht="15" hidden="1" customHeight="1"/>
    <row r="23250" ht="15" hidden="1" customHeight="1"/>
    <row r="23251" ht="15" hidden="1" customHeight="1"/>
    <row r="23252" ht="15" hidden="1" customHeight="1"/>
    <row r="23253" ht="15" hidden="1" customHeight="1"/>
    <row r="23254" ht="15" hidden="1" customHeight="1"/>
    <row r="23255" ht="15" hidden="1" customHeight="1"/>
    <row r="23256" ht="15" hidden="1" customHeight="1"/>
    <row r="23257" ht="15" hidden="1" customHeight="1"/>
    <row r="23258" ht="15" hidden="1" customHeight="1"/>
    <row r="23259" ht="15" hidden="1" customHeight="1"/>
    <row r="23260" ht="15" hidden="1" customHeight="1"/>
    <row r="23261" ht="15" hidden="1" customHeight="1"/>
    <row r="23262" ht="15" hidden="1" customHeight="1"/>
    <row r="23263" ht="15" hidden="1" customHeight="1"/>
    <row r="23264" ht="15" hidden="1" customHeight="1"/>
    <row r="23265" ht="15" hidden="1" customHeight="1"/>
    <row r="23266" ht="15" hidden="1" customHeight="1"/>
    <row r="23267" ht="15" hidden="1" customHeight="1"/>
    <row r="23268" ht="15" hidden="1" customHeight="1"/>
    <row r="23269" ht="15" hidden="1" customHeight="1"/>
    <row r="23270" ht="15" hidden="1" customHeight="1"/>
    <row r="23271" ht="15" hidden="1" customHeight="1"/>
    <row r="23272" ht="15" hidden="1" customHeight="1"/>
    <row r="23273" ht="15" hidden="1" customHeight="1"/>
    <row r="23274" ht="15" hidden="1" customHeight="1"/>
    <row r="23275" ht="15" hidden="1" customHeight="1"/>
    <row r="23276" ht="15" hidden="1" customHeight="1"/>
    <row r="23277" ht="15" hidden="1" customHeight="1"/>
    <row r="23278" ht="15" hidden="1" customHeight="1"/>
    <row r="23279" ht="15" hidden="1" customHeight="1"/>
    <row r="23280" ht="15" hidden="1" customHeight="1"/>
    <row r="23281" ht="15" hidden="1" customHeight="1"/>
    <row r="23282" ht="15" hidden="1" customHeight="1"/>
    <row r="23283" ht="15" hidden="1" customHeight="1"/>
    <row r="23284" ht="15" hidden="1" customHeight="1"/>
    <row r="23285" ht="15" hidden="1" customHeight="1"/>
    <row r="23286" ht="15" hidden="1" customHeight="1"/>
    <row r="23287" ht="15" hidden="1" customHeight="1"/>
    <row r="23288" ht="15" hidden="1" customHeight="1"/>
    <row r="23289" ht="15" hidden="1" customHeight="1"/>
    <row r="23290" ht="15" hidden="1" customHeight="1"/>
    <row r="23291" ht="15" hidden="1" customHeight="1"/>
    <row r="23292" ht="15" hidden="1" customHeight="1"/>
    <row r="23293" ht="15" hidden="1" customHeight="1"/>
    <row r="23294" ht="15" hidden="1" customHeight="1"/>
    <row r="23295" ht="15" hidden="1" customHeight="1"/>
    <row r="23296" ht="15" hidden="1" customHeight="1"/>
    <row r="23297" ht="15" hidden="1" customHeight="1"/>
    <row r="23298" ht="15" hidden="1" customHeight="1"/>
    <row r="23299" ht="15" hidden="1" customHeight="1"/>
    <row r="23300" ht="15" hidden="1" customHeight="1"/>
    <row r="23301" ht="15" hidden="1" customHeight="1"/>
    <row r="23302" ht="15" hidden="1" customHeight="1"/>
    <row r="23303" ht="15" hidden="1" customHeight="1"/>
    <row r="23304" ht="15" hidden="1" customHeight="1"/>
    <row r="23305" ht="15" hidden="1" customHeight="1"/>
    <row r="23306" ht="15" hidden="1" customHeight="1"/>
    <row r="23307" ht="15" hidden="1" customHeight="1"/>
    <row r="23308" ht="15" hidden="1" customHeight="1"/>
    <row r="23309" ht="15" hidden="1" customHeight="1"/>
    <row r="23310" ht="15" hidden="1" customHeight="1"/>
    <row r="23311" ht="15" hidden="1" customHeight="1"/>
    <row r="23312" ht="15" hidden="1" customHeight="1"/>
    <row r="23313" ht="15" hidden="1" customHeight="1"/>
    <row r="23314" ht="15" hidden="1" customHeight="1"/>
    <row r="23315" ht="15" hidden="1" customHeight="1"/>
    <row r="23316" ht="15" hidden="1" customHeight="1"/>
    <row r="23317" ht="15" hidden="1" customHeight="1"/>
    <row r="23318" ht="15" hidden="1" customHeight="1"/>
    <row r="23319" ht="15" hidden="1" customHeight="1"/>
    <row r="23320" ht="15" hidden="1" customHeight="1"/>
    <row r="23321" ht="15" hidden="1" customHeight="1"/>
    <row r="23322" ht="15" hidden="1" customHeight="1"/>
    <row r="23323" ht="15" hidden="1" customHeight="1"/>
    <row r="23324" ht="15" hidden="1" customHeight="1"/>
    <row r="23325" ht="15" hidden="1" customHeight="1"/>
    <row r="23326" ht="15" hidden="1" customHeight="1"/>
    <row r="23327" ht="15" hidden="1" customHeight="1"/>
    <row r="23328" ht="15" hidden="1" customHeight="1"/>
    <row r="23329" ht="15" hidden="1" customHeight="1"/>
    <row r="23330" ht="15" hidden="1" customHeight="1"/>
    <row r="23331" ht="15" hidden="1" customHeight="1"/>
    <row r="23332" ht="15" hidden="1" customHeight="1"/>
    <row r="23333" ht="15" hidden="1" customHeight="1"/>
    <row r="23334" ht="15" hidden="1" customHeight="1"/>
    <row r="23335" ht="15" hidden="1" customHeight="1"/>
    <row r="23336" ht="15" hidden="1" customHeight="1"/>
    <row r="23337" ht="15" hidden="1" customHeight="1"/>
    <row r="23338" ht="15" hidden="1" customHeight="1"/>
    <row r="23339" ht="15" hidden="1" customHeight="1"/>
    <row r="23340" ht="15" hidden="1" customHeight="1"/>
    <row r="23341" ht="15" hidden="1" customHeight="1"/>
    <row r="23342" ht="15" hidden="1" customHeight="1"/>
    <row r="23343" ht="15" hidden="1" customHeight="1"/>
    <row r="23344" ht="15" hidden="1" customHeight="1"/>
    <row r="23345" ht="15" hidden="1" customHeight="1"/>
    <row r="23346" ht="15" hidden="1" customHeight="1"/>
    <row r="23347" ht="15" hidden="1" customHeight="1"/>
    <row r="23348" ht="15" hidden="1" customHeight="1"/>
    <row r="23349" ht="15" hidden="1" customHeight="1"/>
    <row r="23350" ht="15" hidden="1" customHeight="1"/>
    <row r="23351" ht="15" hidden="1" customHeight="1"/>
    <row r="23352" ht="15" hidden="1" customHeight="1"/>
    <row r="23353" ht="15" hidden="1" customHeight="1"/>
    <row r="23354" ht="15" hidden="1" customHeight="1"/>
    <row r="23355" ht="15" hidden="1" customHeight="1"/>
    <row r="23356" ht="15" hidden="1" customHeight="1"/>
    <row r="23357" ht="15" hidden="1" customHeight="1"/>
    <row r="23358" ht="15" hidden="1" customHeight="1"/>
    <row r="23359" ht="15" hidden="1" customHeight="1"/>
    <row r="23360" ht="15" hidden="1" customHeight="1"/>
    <row r="23361" ht="15" hidden="1" customHeight="1"/>
    <row r="23362" ht="15" hidden="1" customHeight="1"/>
    <row r="23363" ht="15" hidden="1" customHeight="1"/>
    <row r="23364" ht="15" hidden="1" customHeight="1"/>
    <row r="23365" ht="15" hidden="1" customHeight="1"/>
    <row r="23366" ht="15" hidden="1" customHeight="1"/>
    <row r="23367" ht="15" hidden="1" customHeight="1"/>
    <row r="23368" ht="15" hidden="1" customHeight="1"/>
    <row r="23369" ht="15" hidden="1" customHeight="1"/>
    <row r="23370" ht="15" hidden="1" customHeight="1"/>
    <row r="23371" ht="15" hidden="1" customHeight="1"/>
    <row r="23372" ht="15" hidden="1" customHeight="1"/>
    <row r="23373" ht="15" hidden="1" customHeight="1"/>
    <row r="23374" ht="15" hidden="1" customHeight="1"/>
    <row r="23375" ht="15" hidden="1" customHeight="1"/>
    <row r="23376" ht="15" hidden="1" customHeight="1"/>
    <row r="23377" ht="15" hidden="1" customHeight="1"/>
    <row r="23378" ht="15" hidden="1" customHeight="1"/>
    <row r="23379" ht="15" hidden="1" customHeight="1"/>
    <row r="23380" ht="15" hidden="1" customHeight="1"/>
    <row r="23381" ht="15" hidden="1" customHeight="1"/>
    <row r="23382" ht="15" hidden="1" customHeight="1"/>
    <row r="23383" ht="15" hidden="1" customHeight="1"/>
    <row r="23384" ht="15" hidden="1" customHeight="1"/>
    <row r="23385" ht="15" hidden="1" customHeight="1"/>
    <row r="23386" ht="15" hidden="1" customHeight="1"/>
    <row r="23387" ht="15" hidden="1" customHeight="1"/>
    <row r="23388" ht="15" hidden="1" customHeight="1"/>
    <row r="23389" ht="15" hidden="1" customHeight="1"/>
    <row r="23390" ht="15" hidden="1" customHeight="1"/>
    <row r="23391" ht="15" hidden="1" customHeight="1"/>
    <row r="23392" ht="15" hidden="1" customHeight="1"/>
    <row r="23393" ht="15" hidden="1" customHeight="1"/>
    <row r="23394" ht="15" hidden="1" customHeight="1"/>
    <row r="23395" ht="15" hidden="1" customHeight="1"/>
    <row r="23396" ht="15" hidden="1" customHeight="1"/>
    <row r="23397" ht="15" hidden="1" customHeight="1"/>
    <row r="23398" ht="15" hidden="1" customHeight="1"/>
    <row r="23399" ht="15" hidden="1" customHeight="1"/>
    <row r="23400" ht="15" hidden="1" customHeight="1"/>
    <row r="23401" ht="15" hidden="1" customHeight="1"/>
    <row r="23402" ht="15" hidden="1" customHeight="1"/>
    <row r="23403" ht="15" hidden="1" customHeight="1"/>
    <row r="23404" ht="15" hidden="1" customHeight="1"/>
    <row r="23405" ht="15" hidden="1" customHeight="1"/>
    <row r="23406" ht="15" hidden="1" customHeight="1"/>
    <row r="23407" ht="15" hidden="1" customHeight="1"/>
    <row r="23408" ht="15" hidden="1" customHeight="1"/>
    <row r="23409" ht="15" hidden="1" customHeight="1"/>
    <row r="23410" ht="15" hidden="1" customHeight="1"/>
    <row r="23411" ht="15" hidden="1" customHeight="1"/>
    <row r="23412" ht="15" hidden="1" customHeight="1"/>
    <row r="23413" ht="15" hidden="1" customHeight="1"/>
    <row r="23414" ht="15" hidden="1" customHeight="1"/>
    <row r="23415" ht="15" hidden="1" customHeight="1"/>
    <row r="23416" ht="15" hidden="1" customHeight="1"/>
    <row r="23417" ht="15" hidden="1" customHeight="1"/>
    <row r="23418" ht="15" hidden="1" customHeight="1"/>
    <row r="23419" ht="15" hidden="1" customHeight="1"/>
    <row r="23420" ht="15" hidden="1" customHeight="1"/>
    <row r="23421" ht="15" hidden="1" customHeight="1"/>
    <row r="23422" ht="15" hidden="1" customHeight="1"/>
    <row r="23423" ht="15" hidden="1" customHeight="1"/>
    <row r="23424" ht="15" hidden="1" customHeight="1"/>
    <row r="23425" ht="15" hidden="1" customHeight="1"/>
    <row r="23426" ht="15" hidden="1" customHeight="1"/>
    <row r="23427" ht="15" hidden="1" customHeight="1"/>
    <row r="23428" ht="15" hidden="1" customHeight="1"/>
    <row r="23429" ht="15" hidden="1" customHeight="1"/>
    <row r="23430" ht="15" hidden="1" customHeight="1"/>
    <row r="23431" ht="15" hidden="1" customHeight="1"/>
    <row r="23432" ht="15" hidden="1" customHeight="1"/>
    <row r="23433" ht="15" hidden="1" customHeight="1"/>
    <row r="23434" ht="15" hidden="1" customHeight="1"/>
    <row r="23435" ht="15" hidden="1" customHeight="1"/>
    <row r="23436" ht="15" hidden="1" customHeight="1"/>
    <row r="23437" ht="15" hidden="1" customHeight="1"/>
    <row r="23438" ht="15" hidden="1" customHeight="1"/>
    <row r="23439" ht="15" hidden="1" customHeight="1"/>
    <row r="23440" ht="15" hidden="1" customHeight="1"/>
    <row r="23441" ht="15" hidden="1" customHeight="1"/>
    <row r="23442" ht="15" hidden="1" customHeight="1"/>
    <row r="23443" ht="15" hidden="1" customHeight="1"/>
    <row r="23444" ht="15" hidden="1" customHeight="1"/>
    <row r="23445" ht="15" hidden="1" customHeight="1"/>
    <row r="23446" ht="15" hidden="1" customHeight="1"/>
    <row r="23447" ht="15" hidden="1" customHeight="1"/>
    <row r="23448" ht="15" hidden="1" customHeight="1"/>
    <row r="23449" ht="15" hidden="1" customHeight="1"/>
    <row r="23450" ht="15" hidden="1" customHeight="1"/>
    <row r="23451" ht="15" hidden="1" customHeight="1"/>
    <row r="23452" ht="15" hidden="1" customHeight="1"/>
    <row r="23453" ht="15" hidden="1" customHeight="1"/>
    <row r="23454" ht="15" hidden="1" customHeight="1"/>
    <row r="23455" ht="15" hidden="1" customHeight="1"/>
    <row r="23456" ht="15" hidden="1" customHeight="1"/>
    <row r="23457" ht="15" hidden="1" customHeight="1"/>
    <row r="23458" ht="15" hidden="1" customHeight="1"/>
    <row r="23459" ht="15" hidden="1" customHeight="1"/>
    <row r="23460" ht="15" hidden="1" customHeight="1"/>
    <row r="23461" ht="15" hidden="1" customHeight="1"/>
    <row r="23462" ht="15" hidden="1" customHeight="1"/>
    <row r="23463" ht="15" hidden="1" customHeight="1"/>
    <row r="23464" ht="15" hidden="1" customHeight="1"/>
    <row r="23465" ht="15" hidden="1" customHeight="1"/>
    <row r="23466" ht="15" hidden="1" customHeight="1"/>
    <row r="23467" ht="15" hidden="1" customHeight="1"/>
    <row r="23468" ht="15" hidden="1" customHeight="1"/>
    <row r="23469" ht="15" hidden="1" customHeight="1"/>
    <row r="23470" ht="15" hidden="1" customHeight="1"/>
    <row r="23471" ht="15" hidden="1" customHeight="1"/>
    <row r="23472" ht="15" hidden="1" customHeight="1"/>
    <row r="23473" ht="15" hidden="1" customHeight="1"/>
    <row r="23474" ht="15" hidden="1" customHeight="1"/>
    <row r="23475" ht="15" hidden="1" customHeight="1"/>
    <row r="23476" ht="15" hidden="1" customHeight="1"/>
    <row r="23477" ht="15" hidden="1" customHeight="1"/>
    <row r="23478" ht="15" hidden="1" customHeight="1"/>
    <row r="23479" ht="15" hidden="1" customHeight="1"/>
    <row r="23480" ht="15" hidden="1" customHeight="1"/>
    <row r="23481" ht="15" hidden="1" customHeight="1"/>
    <row r="23482" ht="15" hidden="1" customHeight="1"/>
    <row r="23483" ht="15" hidden="1" customHeight="1"/>
    <row r="23484" ht="15" hidden="1" customHeight="1"/>
    <row r="23485" ht="15" hidden="1" customHeight="1"/>
    <row r="23486" ht="15" hidden="1" customHeight="1"/>
    <row r="23487" ht="15" hidden="1" customHeight="1"/>
    <row r="23488" ht="15" hidden="1" customHeight="1"/>
    <row r="23489" ht="15" hidden="1" customHeight="1"/>
    <row r="23490" ht="15" hidden="1" customHeight="1"/>
    <row r="23491" ht="15" hidden="1" customHeight="1"/>
    <row r="23492" ht="15" hidden="1" customHeight="1"/>
    <row r="23493" ht="15" hidden="1" customHeight="1"/>
    <row r="23494" ht="15" hidden="1" customHeight="1"/>
    <row r="23495" ht="15" hidden="1" customHeight="1"/>
    <row r="23496" ht="15" hidden="1" customHeight="1"/>
    <row r="23497" ht="15" hidden="1" customHeight="1"/>
    <row r="23498" ht="15" hidden="1" customHeight="1"/>
    <row r="23499" ht="15" hidden="1" customHeight="1"/>
    <row r="23500" ht="15" hidden="1" customHeight="1"/>
    <row r="23501" ht="15" hidden="1" customHeight="1"/>
    <row r="23502" ht="15" hidden="1" customHeight="1"/>
    <row r="23503" ht="15" hidden="1" customHeight="1"/>
    <row r="23504" ht="15" hidden="1" customHeight="1"/>
    <row r="23505" ht="15" hidden="1" customHeight="1"/>
    <row r="23506" ht="15" hidden="1" customHeight="1"/>
    <row r="23507" ht="15" hidden="1" customHeight="1"/>
    <row r="23508" ht="15" hidden="1" customHeight="1"/>
    <row r="23509" ht="15" hidden="1" customHeight="1"/>
    <row r="23510" ht="15" hidden="1" customHeight="1"/>
    <row r="23511" ht="15" hidden="1" customHeight="1"/>
    <row r="23512" ht="15" hidden="1" customHeight="1"/>
    <row r="23513" ht="15" hidden="1" customHeight="1"/>
    <row r="23514" ht="15" hidden="1" customHeight="1"/>
    <row r="23515" ht="15" hidden="1" customHeight="1"/>
    <row r="23516" ht="15" hidden="1" customHeight="1"/>
    <row r="23517" ht="15" hidden="1" customHeight="1"/>
    <row r="23518" ht="15" hidden="1" customHeight="1"/>
    <row r="23519" ht="15" hidden="1" customHeight="1"/>
    <row r="23520" ht="15" hidden="1" customHeight="1"/>
    <row r="23521" ht="15" hidden="1" customHeight="1"/>
    <row r="23522" ht="15" hidden="1" customHeight="1"/>
    <row r="23523" ht="15" hidden="1" customHeight="1"/>
    <row r="23524" ht="15" hidden="1" customHeight="1"/>
    <row r="23525" ht="15" hidden="1" customHeight="1"/>
    <row r="23526" ht="15" hidden="1" customHeight="1"/>
    <row r="23527" ht="15" hidden="1" customHeight="1"/>
    <row r="23528" ht="15" hidden="1" customHeight="1"/>
    <row r="23529" ht="15" hidden="1" customHeight="1"/>
    <row r="23530" ht="15" hidden="1" customHeight="1"/>
    <row r="23531" ht="15" hidden="1" customHeight="1"/>
    <row r="23532" ht="15" hidden="1" customHeight="1"/>
    <row r="23533" ht="15" hidden="1" customHeight="1"/>
    <row r="23534" ht="15" hidden="1" customHeight="1"/>
    <row r="23535" ht="15" hidden="1" customHeight="1"/>
    <row r="23536" ht="15" hidden="1" customHeight="1"/>
    <row r="23537" ht="15" hidden="1" customHeight="1"/>
    <row r="23538" ht="15" hidden="1" customHeight="1"/>
    <row r="23539" ht="15" hidden="1" customHeight="1"/>
    <row r="23540" ht="15" hidden="1" customHeight="1"/>
    <row r="23541" ht="15" hidden="1" customHeight="1"/>
    <row r="23542" ht="15" hidden="1" customHeight="1"/>
    <row r="23543" ht="15" hidden="1" customHeight="1"/>
    <row r="23544" ht="15" hidden="1" customHeight="1"/>
    <row r="23545" ht="15" hidden="1" customHeight="1"/>
    <row r="23546" ht="15" hidden="1" customHeight="1"/>
    <row r="23547" ht="15" hidden="1" customHeight="1"/>
    <row r="23548" ht="15" hidden="1" customHeight="1"/>
    <row r="23549" ht="15" hidden="1" customHeight="1"/>
    <row r="23550" ht="15" hidden="1" customHeight="1"/>
    <row r="23551" ht="15" hidden="1" customHeight="1"/>
    <row r="23552" ht="15" hidden="1" customHeight="1"/>
    <row r="23553" ht="15" hidden="1" customHeight="1"/>
    <row r="23554" ht="15" hidden="1" customHeight="1"/>
    <row r="23555" ht="15" hidden="1" customHeight="1"/>
    <row r="23556" ht="15" hidden="1" customHeight="1"/>
    <row r="23557" ht="15" hidden="1" customHeight="1"/>
    <row r="23558" ht="15" hidden="1" customHeight="1"/>
    <row r="23559" ht="15" hidden="1" customHeight="1"/>
    <row r="23560" ht="15" hidden="1" customHeight="1"/>
    <row r="23561" ht="15" hidden="1" customHeight="1"/>
    <row r="23562" ht="15" hidden="1" customHeight="1"/>
    <row r="23563" ht="15" hidden="1" customHeight="1"/>
    <row r="23564" ht="15" hidden="1" customHeight="1"/>
    <row r="23565" ht="15" hidden="1" customHeight="1"/>
    <row r="23566" ht="15" hidden="1" customHeight="1"/>
    <row r="23567" ht="15" hidden="1" customHeight="1"/>
    <row r="23568" ht="15" hidden="1" customHeight="1"/>
    <row r="23569" ht="15" hidden="1" customHeight="1"/>
    <row r="23570" ht="15" hidden="1" customHeight="1"/>
    <row r="23571" ht="15" hidden="1" customHeight="1"/>
    <row r="23572" ht="15" hidden="1" customHeight="1"/>
    <row r="23573" ht="15" hidden="1" customHeight="1"/>
    <row r="23574" ht="15" hidden="1" customHeight="1"/>
    <row r="23575" ht="15" hidden="1" customHeight="1"/>
    <row r="23576" ht="15" hidden="1" customHeight="1"/>
    <row r="23577" ht="15" hidden="1" customHeight="1"/>
    <row r="23578" ht="15" hidden="1" customHeight="1"/>
    <row r="23579" ht="15" hidden="1" customHeight="1"/>
    <row r="23580" ht="15" hidden="1" customHeight="1"/>
    <row r="23581" ht="15" hidden="1" customHeight="1"/>
    <row r="23582" ht="15" hidden="1" customHeight="1"/>
    <row r="23583" ht="15" hidden="1" customHeight="1"/>
    <row r="23584" ht="15" hidden="1" customHeight="1"/>
    <row r="23585" ht="15" hidden="1" customHeight="1"/>
    <row r="23586" ht="15" hidden="1" customHeight="1"/>
    <row r="23587" ht="15" hidden="1" customHeight="1"/>
    <row r="23588" ht="15" hidden="1" customHeight="1"/>
    <row r="23589" ht="15" hidden="1" customHeight="1"/>
    <row r="23590" ht="15" hidden="1" customHeight="1"/>
    <row r="23591" ht="15" hidden="1" customHeight="1"/>
    <row r="23592" ht="15" hidden="1" customHeight="1"/>
    <row r="23593" ht="15" hidden="1" customHeight="1"/>
    <row r="23594" ht="15" hidden="1" customHeight="1"/>
    <row r="23595" ht="15" hidden="1" customHeight="1"/>
    <row r="23596" ht="15" hidden="1" customHeight="1"/>
    <row r="23597" ht="15" hidden="1" customHeight="1"/>
    <row r="23598" ht="15" hidden="1" customHeight="1"/>
    <row r="23599" ht="15" hidden="1" customHeight="1"/>
    <row r="23600" ht="15" hidden="1" customHeight="1"/>
    <row r="23601" ht="15" hidden="1" customHeight="1"/>
    <row r="23602" ht="15" hidden="1" customHeight="1"/>
    <row r="23603" ht="15" hidden="1" customHeight="1"/>
    <row r="23604" ht="15" hidden="1" customHeight="1"/>
    <row r="23605" ht="15" hidden="1" customHeight="1"/>
    <row r="23606" ht="15" hidden="1" customHeight="1"/>
    <row r="23607" ht="15" hidden="1" customHeight="1"/>
    <row r="23608" ht="15" hidden="1" customHeight="1"/>
    <row r="23609" ht="15" hidden="1" customHeight="1"/>
    <row r="23610" ht="15" hidden="1" customHeight="1"/>
    <row r="23611" ht="15" hidden="1" customHeight="1"/>
    <row r="23612" ht="15" hidden="1" customHeight="1"/>
    <row r="23613" ht="15" hidden="1" customHeight="1"/>
    <row r="23614" ht="15" hidden="1" customHeight="1"/>
    <row r="23615" ht="15" hidden="1" customHeight="1"/>
    <row r="23616" ht="15" hidden="1" customHeight="1"/>
    <row r="23617" ht="15" hidden="1" customHeight="1"/>
    <row r="23618" ht="15" hidden="1" customHeight="1"/>
    <row r="23619" ht="15" hidden="1" customHeight="1"/>
    <row r="23620" ht="15" hidden="1" customHeight="1"/>
    <row r="23621" ht="15" hidden="1" customHeight="1"/>
    <row r="23622" ht="15" hidden="1" customHeight="1"/>
    <row r="23623" ht="15" hidden="1" customHeight="1"/>
    <row r="23624" ht="15" hidden="1" customHeight="1"/>
    <row r="23625" ht="15" hidden="1" customHeight="1"/>
    <row r="23626" ht="15" hidden="1" customHeight="1"/>
    <row r="23627" ht="15" hidden="1" customHeight="1"/>
    <row r="23628" ht="15" hidden="1" customHeight="1"/>
    <row r="23629" ht="15" hidden="1" customHeight="1"/>
    <row r="23630" ht="15" hidden="1" customHeight="1"/>
    <row r="23631" ht="15" hidden="1" customHeight="1"/>
    <row r="23632" ht="15" hidden="1" customHeight="1"/>
    <row r="23633" ht="15" hidden="1" customHeight="1"/>
    <row r="23634" ht="15" hidden="1" customHeight="1"/>
    <row r="23635" ht="15" hidden="1" customHeight="1"/>
    <row r="23636" ht="15" hidden="1" customHeight="1"/>
    <row r="23637" ht="15" hidden="1" customHeight="1"/>
    <row r="23638" ht="15" hidden="1" customHeight="1"/>
    <row r="23639" ht="15" hidden="1" customHeight="1"/>
    <row r="23640" ht="15" hidden="1" customHeight="1"/>
    <row r="23641" ht="15" hidden="1" customHeight="1"/>
    <row r="23642" ht="15" hidden="1" customHeight="1"/>
    <row r="23643" ht="15" hidden="1" customHeight="1"/>
    <row r="23644" ht="15" hidden="1" customHeight="1"/>
    <row r="23645" ht="15" hidden="1" customHeight="1"/>
    <row r="23646" ht="15" hidden="1" customHeight="1"/>
    <row r="23647" ht="15" hidden="1" customHeight="1"/>
    <row r="23648" ht="15" hidden="1" customHeight="1"/>
    <row r="23649" ht="15" hidden="1" customHeight="1"/>
    <row r="23650" ht="15" hidden="1" customHeight="1"/>
    <row r="23651" ht="15" hidden="1" customHeight="1"/>
    <row r="23652" ht="15" hidden="1" customHeight="1"/>
    <row r="23653" ht="15" hidden="1" customHeight="1"/>
    <row r="23654" ht="15" hidden="1" customHeight="1"/>
    <row r="23655" ht="15" hidden="1" customHeight="1"/>
    <row r="23656" ht="15" hidden="1" customHeight="1"/>
    <row r="23657" ht="15" hidden="1" customHeight="1"/>
    <row r="23658" ht="15" hidden="1" customHeight="1"/>
    <row r="23659" ht="15" hidden="1" customHeight="1"/>
    <row r="23660" ht="15" hidden="1" customHeight="1"/>
    <row r="23661" ht="15" hidden="1" customHeight="1"/>
    <row r="23662" ht="15" hidden="1" customHeight="1"/>
    <row r="23663" ht="15" hidden="1" customHeight="1"/>
    <row r="23664" ht="15" hidden="1" customHeight="1"/>
    <row r="23665" ht="15" hidden="1" customHeight="1"/>
    <row r="23666" ht="15" hidden="1" customHeight="1"/>
    <row r="23667" ht="15" hidden="1" customHeight="1"/>
    <row r="23668" ht="15" hidden="1" customHeight="1"/>
    <row r="23669" ht="15" hidden="1" customHeight="1"/>
    <row r="23670" ht="15" hidden="1" customHeight="1"/>
    <row r="23671" ht="15" hidden="1" customHeight="1"/>
    <row r="23672" ht="15" hidden="1" customHeight="1"/>
    <row r="23673" ht="15" hidden="1" customHeight="1"/>
    <row r="23674" ht="15" hidden="1" customHeight="1"/>
    <row r="23675" ht="15" hidden="1" customHeight="1"/>
    <row r="23676" ht="15" hidden="1" customHeight="1"/>
    <row r="23677" ht="15" hidden="1" customHeight="1"/>
    <row r="23678" ht="15" hidden="1" customHeight="1"/>
    <row r="23679" ht="15" hidden="1" customHeight="1"/>
    <row r="23680" ht="15" hidden="1" customHeight="1"/>
    <row r="23681" ht="15" hidden="1" customHeight="1"/>
    <row r="23682" ht="15" hidden="1" customHeight="1"/>
    <row r="23683" ht="15" hidden="1" customHeight="1"/>
    <row r="23684" ht="15" hidden="1" customHeight="1"/>
    <row r="23685" ht="15" hidden="1" customHeight="1"/>
    <row r="23686" ht="15" hidden="1" customHeight="1"/>
    <row r="23687" ht="15" hidden="1" customHeight="1"/>
    <row r="23688" ht="15" hidden="1" customHeight="1"/>
    <row r="23689" ht="15" hidden="1" customHeight="1"/>
    <row r="23690" ht="15" hidden="1" customHeight="1"/>
    <row r="23691" ht="15" hidden="1" customHeight="1"/>
    <row r="23692" ht="15" hidden="1" customHeight="1"/>
    <row r="23693" ht="15" hidden="1" customHeight="1"/>
    <row r="23694" ht="15" hidden="1" customHeight="1"/>
    <row r="23695" ht="15" hidden="1" customHeight="1"/>
    <row r="23696" ht="15" hidden="1" customHeight="1"/>
    <row r="23697" ht="15" hidden="1" customHeight="1"/>
    <row r="23698" ht="15" hidden="1" customHeight="1"/>
    <row r="23699" ht="15" hidden="1" customHeight="1"/>
    <row r="23700" ht="15" hidden="1" customHeight="1"/>
    <row r="23701" ht="15" hidden="1" customHeight="1"/>
    <row r="23702" ht="15" hidden="1" customHeight="1"/>
    <row r="23703" ht="15" hidden="1" customHeight="1"/>
    <row r="23704" ht="15" hidden="1" customHeight="1"/>
    <row r="23705" ht="15" hidden="1" customHeight="1"/>
    <row r="23706" ht="15" hidden="1" customHeight="1"/>
    <row r="23707" ht="15" hidden="1" customHeight="1"/>
    <row r="23708" ht="15" hidden="1" customHeight="1"/>
    <row r="23709" ht="15" hidden="1" customHeight="1"/>
    <row r="23710" ht="15" hidden="1" customHeight="1"/>
    <row r="23711" ht="15" hidden="1" customHeight="1"/>
    <row r="23712" ht="15" hidden="1" customHeight="1"/>
    <row r="23713" ht="15" hidden="1" customHeight="1"/>
    <row r="23714" ht="15" hidden="1" customHeight="1"/>
    <row r="23715" ht="15" hidden="1" customHeight="1"/>
    <row r="23716" ht="15" hidden="1" customHeight="1"/>
    <row r="23717" ht="15" hidden="1" customHeight="1"/>
    <row r="23718" ht="15" hidden="1" customHeight="1"/>
    <row r="23719" ht="15" hidden="1" customHeight="1"/>
    <row r="23720" ht="15" hidden="1" customHeight="1"/>
    <row r="23721" ht="15" hidden="1" customHeight="1"/>
    <row r="23722" ht="15" hidden="1" customHeight="1"/>
    <row r="23723" ht="15" hidden="1" customHeight="1"/>
    <row r="23724" ht="15" hidden="1" customHeight="1"/>
    <row r="23725" ht="15" hidden="1" customHeight="1"/>
    <row r="23726" ht="15" hidden="1" customHeight="1"/>
    <row r="23727" ht="15" hidden="1" customHeight="1"/>
    <row r="23728" ht="15" hidden="1" customHeight="1"/>
    <row r="23729" ht="15" hidden="1" customHeight="1"/>
    <row r="23730" ht="15" hidden="1" customHeight="1"/>
    <row r="23731" ht="15" hidden="1" customHeight="1"/>
    <row r="23732" ht="15" hidden="1" customHeight="1"/>
    <row r="23733" ht="15" hidden="1" customHeight="1"/>
    <row r="23734" ht="15" hidden="1" customHeight="1"/>
    <row r="23735" ht="15" hidden="1" customHeight="1"/>
    <row r="23736" ht="15" hidden="1" customHeight="1"/>
    <row r="23737" ht="15" hidden="1" customHeight="1"/>
    <row r="23738" ht="15" hidden="1" customHeight="1"/>
    <row r="23739" ht="15" hidden="1" customHeight="1"/>
    <row r="23740" ht="15" hidden="1" customHeight="1"/>
    <row r="23741" ht="15" hidden="1" customHeight="1"/>
    <row r="23742" ht="15" hidden="1" customHeight="1"/>
    <row r="23743" ht="15" hidden="1" customHeight="1"/>
    <row r="23744" ht="15" hidden="1" customHeight="1"/>
    <row r="23745" ht="15" hidden="1" customHeight="1"/>
    <row r="23746" ht="15" hidden="1" customHeight="1"/>
    <row r="23747" ht="15" hidden="1" customHeight="1"/>
    <row r="23748" ht="15" hidden="1" customHeight="1"/>
    <row r="23749" ht="15" hidden="1" customHeight="1"/>
    <row r="23750" ht="15" hidden="1" customHeight="1"/>
    <row r="23751" ht="15" hidden="1" customHeight="1"/>
    <row r="23752" ht="15" hidden="1" customHeight="1"/>
    <row r="23753" ht="15" hidden="1" customHeight="1"/>
    <row r="23754" ht="15" hidden="1" customHeight="1"/>
    <row r="23755" ht="15" hidden="1" customHeight="1"/>
    <row r="23756" ht="15" hidden="1" customHeight="1"/>
    <row r="23757" ht="15" hidden="1" customHeight="1"/>
    <row r="23758" ht="15" hidden="1" customHeight="1"/>
    <row r="23759" ht="15" hidden="1" customHeight="1"/>
    <row r="23760" ht="15" hidden="1" customHeight="1"/>
    <row r="23761" ht="15" hidden="1" customHeight="1"/>
    <row r="23762" ht="15" hidden="1" customHeight="1"/>
    <row r="23763" ht="15" hidden="1" customHeight="1"/>
    <row r="23764" ht="15" hidden="1" customHeight="1"/>
    <row r="23765" ht="15" hidden="1" customHeight="1"/>
    <row r="23766" ht="15" hidden="1" customHeight="1"/>
    <row r="23767" ht="15" hidden="1" customHeight="1"/>
    <row r="23768" ht="15" hidden="1" customHeight="1"/>
    <row r="23769" ht="15" hidden="1" customHeight="1"/>
    <row r="23770" ht="15" hidden="1" customHeight="1"/>
    <row r="23771" ht="15" hidden="1" customHeight="1"/>
    <row r="23772" ht="15" hidden="1" customHeight="1"/>
    <row r="23773" ht="15" hidden="1" customHeight="1"/>
    <row r="23774" ht="15" hidden="1" customHeight="1"/>
    <row r="23775" ht="15" hidden="1" customHeight="1"/>
    <row r="23776" ht="15" hidden="1" customHeight="1"/>
    <row r="23777" ht="15" hidden="1" customHeight="1"/>
    <row r="23778" ht="15" hidden="1" customHeight="1"/>
    <row r="23779" ht="15" hidden="1" customHeight="1"/>
    <row r="23780" ht="15" hidden="1" customHeight="1"/>
    <row r="23781" ht="15" hidden="1" customHeight="1"/>
    <row r="23782" ht="15" hidden="1" customHeight="1"/>
    <row r="23783" ht="15" hidden="1" customHeight="1"/>
    <row r="23784" ht="15" hidden="1" customHeight="1"/>
    <row r="23785" ht="15" hidden="1" customHeight="1"/>
    <row r="23786" ht="15" hidden="1" customHeight="1"/>
    <row r="23787" ht="15" hidden="1" customHeight="1"/>
    <row r="23788" ht="15" hidden="1" customHeight="1"/>
    <row r="23789" ht="15" hidden="1" customHeight="1"/>
    <row r="23790" ht="15" hidden="1" customHeight="1"/>
    <row r="23791" ht="15" hidden="1" customHeight="1"/>
    <row r="23792" ht="15" hidden="1" customHeight="1"/>
    <row r="23793" ht="15" hidden="1" customHeight="1"/>
    <row r="23794" ht="15" hidden="1" customHeight="1"/>
    <row r="23795" ht="15" hidden="1" customHeight="1"/>
    <row r="23796" ht="15" hidden="1" customHeight="1"/>
    <row r="23797" ht="15" hidden="1" customHeight="1"/>
    <row r="23798" ht="15" hidden="1" customHeight="1"/>
    <row r="23799" ht="15" hidden="1" customHeight="1"/>
    <row r="23800" ht="15" hidden="1" customHeight="1"/>
    <row r="23801" ht="15" hidden="1" customHeight="1"/>
    <row r="23802" ht="15" hidden="1" customHeight="1"/>
    <row r="23803" ht="15" hidden="1" customHeight="1"/>
    <row r="23804" ht="15" hidden="1" customHeight="1"/>
    <row r="23805" ht="15" hidden="1" customHeight="1"/>
    <row r="23806" ht="15" hidden="1" customHeight="1"/>
    <row r="23807" ht="15" hidden="1" customHeight="1"/>
    <row r="23808" ht="15" hidden="1" customHeight="1"/>
    <row r="23809" ht="15" hidden="1" customHeight="1"/>
    <row r="23810" ht="15" hidden="1" customHeight="1"/>
    <row r="23811" ht="15" hidden="1" customHeight="1"/>
    <row r="23812" ht="15" hidden="1" customHeight="1"/>
    <row r="23813" ht="15" hidden="1" customHeight="1"/>
    <row r="23814" ht="15" hidden="1" customHeight="1"/>
    <row r="23815" ht="15" hidden="1" customHeight="1"/>
    <row r="23816" ht="15" hidden="1" customHeight="1"/>
    <row r="23817" ht="15" hidden="1" customHeight="1"/>
    <row r="23818" ht="15" hidden="1" customHeight="1"/>
    <row r="23819" ht="15" hidden="1" customHeight="1"/>
    <row r="23820" ht="15" hidden="1" customHeight="1"/>
    <row r="23821" ht="15" hidden="1" customHeight="1"/>
    <row r="23822" ht="15" hidden="1" customHeight="1"/>
    <row r="23823" ht="15" hidden="1" customHeight="1"/>
    <row r="23824" ht="15" hidden="1" customHeight="1"/>
    <row r="23825" ht="15" hidden="1" customHeight="1"/>
    <row r="23826" ht="15" hidden="1" customHeight="1"/>
    <row r="23827" ht="15" hidden="1" customHeight="1"/>
    <row r="23828" ht="15" hidden="1" customHeight="1"/>
    <row r="23829" ht="15" hidden="1" customHeight="1"/>
    <row r="23830" ht="15" hidden="1" customHeight="1"/>
    <row r="23831" ht="15" hidden="1" customHeight="1"/>
    <row r="23832" ht="15" hidden="1" customHeight="1"/>
    <row r="23833" ht="15" hidden="1" customHeight="1"/>
    <row r="23834" ht="15" hidden="1" customHeight="1"/>
    <row r="23835" ht="15" hidden="1" customHeight="1"/>
    <row r="23836" ht="15" hidden="1" customHeight="1"/>
    <row r="23837" ht="15" hidden="1" customHeight="1"/>
    <row r="23838" ht="15" hidden="1" customHeight="1"/>
    <row r="23839" ht="15" hidden="1" customHeight="1"/>
    <row r="23840" ht="15" hidden="1" customHeight="1"/>
    <row r="23841" ht="15" hidden="1" customHeight="1"/>
    <row r="23842" ht="15" hidden="1" customHeight="1"/>
    <row r="23843" ht="15" hidden="1" customHeight="1"/>
    <row r="23844" ht="15" hidden="1" customHeight="1"/>
    <row r="23845" ht="15" hidden="1" customHeight="1"/>
    <row r="23846" ht="15" hidden="1" customHeight="1"/>
    <row r="23847" ht="15" hidden="1" customHeight="1"/>
    <row r="23848" ht="15" hidden="1" customHeight="1"/>
    <row r="23849" ht="15" hidden="1" customHeight="1"/>
    <row r="23850" ht="15" hidden="1" customHeight="1"/>
    <row r="23851" ht="15" hidden="1" customHeight="1"/>
    <row r="23852" ht="15" hidden="1" customHeight="1"/>
    <row r="23853" ht="15" hidden="1" customHeight="1"/>
    <row r="23854" ht="15" hidden="1" customHeight="1"/>
    <row r="23855" ht="15" hidden="1" customHeight="1"/>
    <row r="23856" ht="15" hidden="1" customHeight="1"/>
    <row r="23857" ht="15" hidden="1" customHeight="1"/>
    <row r="23858" ht="15" hidden="1" customHeight="1"/>
    <row r="23859" ht="15" hidden="1" customHeight="1"/>
    <row r="23860" ht="15" hidden="1" customHeight="1"/>
    <row r="23861" ht="15" hidden="1" customHeight="1"/>
    <row r="23862" ht="15" hidden="1" customHeight="1"/>
    <row r="23863" ht="15" hidden="1" customHeight="1"/>
    <row r="23864" ht="15" hidden="1" customHeight="1"/>
    <row r="23865" ht="15" hidden="1" customHeight="1"/>
    <row r="23866" ht="15" hidden="1" customHeight="1"/>
    <row r="23867" ht="15" hidden="1" customHeight="1"/>
    <row r="23868" ht="15" hidden="1" customHeight="1"/>
    <row r="23869" ht="15" hidden="1" customHeight="1"/>
    <row r="23870" ht="15" hidden="1" customHeight="1"/>
    <row r="23871" ht="15" hidden="1" customHeight="1"/>
    <row r="23872" ht="15" hidden="1" customHeight="1"/>
    <row r="23873" ht="15" hidden="1" customHeight="1"/>
    <row r="23874" ht="15" hidden="1" customHeight="1"/>
    <row r="23875" ht="15" hidden="1" customHeight="1"/>
    <row r="23876" ht="15" hidden="1" customHeight="1"/>
    <row r="23877" ht="15" hidden="1" customHeight="1"/>
    <row r="23878" ht="15" hidden="1" customHeight="1"/>
    <row r="23879" ht="15" hidden="1" customHeight="1"/>
    <row r="23880" ht="15" hidden="1" customHeight="1"/>
    <row r="23881" ht="15" hidden="1" customHeight="1"/>
    <row r="23882" ht="15" hidden="1" customHeight="1"/>
    <row r="23883" ht="15" hidden="1" customHeight="1"/>
    <row r="23884" ht="15" hidden="1" customHeight="1"/>
    <row r="23885" ht="15" hidden="1" customHeight="1"/>
    <row r="23886" ht="15" hidden="1" customHeight="1"/>
    <row r="23887" ht="15" hidden="1" customHeight="1"/>
    <row r="23888" ht="15" hidden="1" customHeight="1"/>
    <row r="23889" ht="15" hidden="1" customHeight="1"/>
    <row r="23890" ht="15" hidden="1" customHeight="1"/>
    <row r="23891" ht="15" hidden="1" customHeight="1"/>
    <row r="23892" ht="15" hidden="1" customHeight="1"/>
    <row r="23893" ht="15" hidden="1" customHeight="1"/>
    <row r="23894" ht="15" hidden="1" customHeight="1"/>
    <row r="23895" ht="15" hidden="1" customHeight="1"/>
    <row r="23896" ht="15" hidden="1" customHeight="1"/>
    <row r="23897" ht="15" hidden="1" customHeight="1"/>
    <row r="23898" ht="15" hidden="1" customHeight="1"/>
    <row r="23899" ht="15" hidden="1" customHeight="1"/>
    <row r="23900" ht="15" hidden="1" customHeight="1"/>
    <row r="23901" ht="15" hidden="1" customHeight="1"/>
    <row r="23902" ht="15" hidden="1" customHeight="1"/>
    <row r="23903" ht="15" hidden="1" customHeight="1"/>
    <row r="23904" ht="15" hidden="1" customHeight="1"/>
    <row r="23905" ht="15" hidden="1" customHeight="1"/>
    <row r="23906" ht="15" hidden="1" customHeight="1"/>
    <row r="23907" ht="15" hidden="1" customHeight="1"/>
    <row r="23908" ht="15" hidden="1" customHeight="1"/>
    <row r="23909" ht="15" hidden="1" customHeight="1"/>
    <row r="23910" ht="15" hidden="1" customHeight="1"/>
    <row r="23911" ht="15" hidden="1" customHeight="1"/>
    <row r="23912" ht="15" hidden="1" customHeight="1"/>
    <row r="23913" ht="15" hidden="1" customHeight="1"/>
    <row r="23914" ht="15" hidden="1" customHeight="1"/>
    <row r="23915" ht="15" hidden="1" customHeight="1"/>
    <row r="23916" ht="15" hidden="1" customHeight="1"/>
    <row r="23917" ht="15" hidden="1" customHeight="1"/>
    <row r="23918" ht="15" hidden="1" customHeight="1"/>
    <row r="23919" ht="15" hidden="1" customHeight="1"/>
    <row r="23920" ht="15" hidden="1" customHeight="1"/>
    <row r="23921" ht="15" hidden="1" customHeight="1"/>
    <row r="23922" ht="15" hidden="1" customHeight="1"/>
    <row r="23923" ht="15" hidden="1" customHeight="1"/>
    <row r="23924" ht="15" hidden="1" customHeight="1"/>
    <row r="23925" ht="15" hidden="1" customHeight="1"/>
    <row r="23926" ht="15" hidden="1" customHeight="1"/>
    <row r="23927" ht="15" hidden="1" customHeight="1"/>
    <row r="23928" ht="15" hidden="1" customHeight="1"/>
    <row r="23929" ht="15" hidden="1" customHeight="1"/>
    <row r="23930" ht="15" hidden="1" customHeight="1"/>
    <row r="23931" ht="15" hidden="1" customHeight="1"/>
    <row r="23932" ht="15" hidden="1" customHeight="1"/>
    <row r="23933" ht="15" hidden="1" customHeight="1"/>
    <row r="23934" ht="15" hidden="1" customHeight="1"/>
    <row r="23935" ht="15" hidden="1" customHeight="1"/>
    <row r="23936" ht="15" hidden="1" customHeight="1"/>
    <row r="23937" ht="15" hidden="1" customHeight="1"/>
    <row r="23938" ht="15" hidden="1" customHeight="1"/>
    <row r="23939" ht="15" hidden="1" customHeight="1"/>
    <row r="23940" ht="15" hidden="1" customHeight="1"/>
    <row r="23941" ht="15" hidden="1" customHeight="1"/>
    <row r="23942" ht="15" hidden="1" customHeight="1"/>
    <row r="23943" ht="15" hidden="1" customHeight="1"/>
    <row r="23944" ht="15" hidden="1" customHeight="1"/>
    <row r="23945" ht="15" hidden="1" customHeight="1"/>
    <row r="23946" ht="15" hidden="1" customHeight="1"/>
    <row r="23947" ht="15" hidden="1" customHeight="1"/>
    <row r="23948" ht="15" hidden="1" customHeight="1"/>
    <row r="23949" ht="15" hidden="1" customHeight="1"/>
    <row r="23950" ht="15" hidden="1" customHeight="1"/>
    <row r="23951" ht="15" hidden="1" customHeight="1"/>
    <row r="23952" ht="15" hidden="1" customHeight="1"/>
    <row r="23953" ht="15" hidden="1" customHeight="1"/>
    <row r="23954" ht="15" hidden="1" customHeight="1"/>
    <row r="23955" ht="15" hidden="1" customHeight="1"/>
    <row r="23956" ht="15" hidden="1" customHeight="1"/>
    <row r="23957" ht="15" hidden="1" customHeight="1"/>
    <row r="23958" ht="15" hidden="1" customHeight="1"/>
    <row r="23959" ht="15" hidden="1" customHeight="1"/>
    <row r="23960" ht="15" hidden="1" customHeight="1"/>
    <row r="23961" ht="15" hidden="1" customHeight="1"/>
    <row r="23962" ht="15" hidden="1" customHeight="1"/>
    <row r="23963" ht="15" hidden="1" customHeight="1"/>
    <row r="23964" ht="15" hidden="1" customHeight="1"/>
    <row r="23965" ht="15" hidden="1" customHeight="1"/>
    <row r="23966" ht="15" hidden="1" customHeight="1"/>
    <row r="23967" ht="15" hidden="1" customHeight="1"/>
    <row r="23968" ht="15" hidden="1" customHeight="1"/>
    <row r="23969" ht="15" hidden="1" customHeight="1"/>
    <row r="23970" ht="15" hidden="1" customHeight="1"/>
    <row r="23971" ht="15" hidden="1" customHeight="1"/>
    <row r="23972" ht="15" hidden="1" customHeight="1"/>
    <row r="23973" ht="15" hidden="1" customHeight="1"/>
    <row r="23974" ht="15" hidden="1" customHeight="1"/>
    <row r="23975" ht="15" hidden="1" customHeight="1"/>
    <row r="23976" ht="15" hidden="1" customHeight="1"/>
    <row r="23977" ht="15" hidden="1" customHeight="1"/>
    <row r="23978" ht="15" hidden="1" customHeight="1"/>
    <row r="23979" ht="15" hidden="1" customHeight="1"/>
    <row r="23980" ht="15" hidden="1" customHeight="1"/>
    <row r="23981" ht="15" hidden="1" customHeight="1"/>
    <row r="23982" ht="15" hidden="1" customHeight="1"/>
    <row r="23983" ht="15" hidden="1" customHeight="1"/>
    <row r="23984" ht="15" hidden="1" customHeight="1"/>
    <row r="23985" ht="15" hidden="1" customHeight="1"/>
    <row r="23986" ht="15" hidden="1" customHeight="1"/>
    <row r="23987" ht="15" hidden="1" customHeight="1"/>
    <row r="23988" ht="15" hidden="1" customHeight="1"/>
    <row r="23989" ht="15" hidden="1" customHeight="1"/>
    <row r="23990" ht="15" hidden="1" customHeight="1"/>
    <row r="23991" ht="15" hidden="1" customHeight="1"/>
    <row r="23992" ht="15" hidden="1" customHeight="1"/>
    <row r="23993" ht="15" hidden="1" customHeight="1"/>
    <row r="23994" ht="15" hidden="1" customHeight="1"/>
    <row r="23995" ht="15" hidden="1" customHeight="1"/>
    <row r="23996" ht="15" hidden="1" customHeight="1"/>
    <row r="23997" ht="15" hidden="1" customHeight="1"/>
    <row r="23998" ht="15" hidden="1" customHeight="1"/>
    <row r="23999" ht="15" hidden="1" customHeight="1"/>
    <row r="24000" ht="15" hidden="1" customHeight="1"/>
    <row r="24001" ht="15" hidden="1" customHeight="1"/>
    <row r="24002" ht="15" hidden="1" customHeight="1"/>
    <row r="24003" ht="15" hidden="1" customHeight="1"/>
    <row r="24004" ht="15" hidden="1" customHeight="1"/>
    <row r="24005" ht="15" hidden="1" customHeight="1"/>
    <row r="24006" ht="15" hidden="1" customHeight="1"/>
    <row r="24007" ht="15" hidden="1" customHeight="1"/>
    <row r="24008" ht="15" hidden="1" customHeight="1"/>
    <row r="24009" ht="15" hidden="1" customHeight="1"/>
    <row r="24010" ht="15" hidden="1" customHeight="1"/>
    <row r="24011" ht="15" hidden="1" customHeight="1"/>
    <row r="24012" ht="15" hidden="1" customHeight="1"/>
    <row r="24013" ht="15" hidden="1" customHeight="1"/>
    <row r="24014" ht="15" hidden="1" customHeight="1"/>
    <row r="24015" ht="15" hidden="1" customHeight="1"/>
    <row r="24016" ht="15" hidden="1" customHeight="1"/>
    <row r="24017" ht="15" hidden="1" customHeight="1"/>
    <row r="24018" ht="15" hidden="1" customHeight="1"/>
    <row r="24019" ht="15" hidden="1" customHeight="1"/>
    <row r="24020" ht="15" hidden="1" customHeight="1"/>
    <row r="24021" ht="15" hidden="1" customHeight="1"/>
    <row r="24022" ht="15" hidden="1" customHeight="1"/>
    <row r="24023" ht="15" hidden="1" customHeight="1"/>
    <row r="24024" ht="15" hidden="1" customHeight="1"/>
    <row r="24025" ht="15" hidden="1" customHeight="1"/>
    <row r="24026" ht="15" hidden="1" customHeight="1"/>
    <row r="24027" ht="15" hidden="1" customHeight="1"/>
    <row r="24028" ht="15" hidden="1" customHeight="1"/>
    <row r="24029" ht="15" hidden="1" customHeight="1"/>
    <row r="24030" ht="15" hidden="1" customHeight="1"/>
    <row r="24031" ht="15" hidden="1" customHeight="1"/>
    <row r="24032" ht="15" hidden="1" customHeight="1"/>
    <row r="24033" ht="15" hidden="1" customHeight="1"/>
    <row r="24034" ht="15" hidden="1" customHeight="1"/>
    <row r="24035" ht="15" hidden="1" customHeight="1"/>
    <row r="24036" ht="15" hidden="1" customHeight="1"/>
    <row r="24037" ht="15" hidden="1" customHeight="1"/>
    <row r="24038" ht="15" hidden="1" customHeight="1"/>
    <row r="24039" ht="15" hidden="1" customHeight="1"/>
    <row r="24040" ht="15" hidden="1" customHeight="1"/>
    <row r="24041" ht="15" hidden="1" customHeight="1"/>
    <row r="24042" ht="15" hidden="1" customHeight="1"/>
    <row r="24043" ht="15" hidden="1" customHeight="1"/>
    <row r="24044" ht="15" hidden="1" customHeight="1"/>
    <row r="24045" ht="15" hidden="1" customHeight="1"/>
    <row r="24046" ht="15" hidden="1" customHeight="1"/>
    <row r="24047" ht="15" hidden="1" customHeight="1"/>
    <row r="24048" ht="15" hidden="1" customHeight="1"/>
    <row r="24049" ht="15" hidden="1" customHeight="1"/>
    <row r="24050" ht="15" hidden="1" customHeight="1"/>
    <row r="24051" ht="15" hidden="1" customHeight="1"/>
    <row r="24052" ht="15" hidden="1" customHeight="1"/>
    <row r="24053" ht="15" hidden="1" customHeight="1"/>
    <row r="24054" ht="15" hidden="1" customHeight="1"/>
    <row r="24055" ht="15" hidden="1" customHeight="1"/>
    <row r="24056" ht="15" hidden="1" customHeight="1"/>
    <row r="24057" ht="15" hidden="1" customHeight="1"/>
    <row r="24058" ht="15" hidden="1" customHeight="1"/>
    <row r="24059" ht="15" hidden="1" customHeight="1"/>
    <row r="24060" ht="15" hidden="1" customHeight="1"/>
    <row r="24061" ht="15" hidden="1" customHeight="1"/>
    <row r="24062" ht="15" hidden="1" customHeight="1"/>
    <row r="24063" ht="15" hidden="1" customHeight="1"/>
    <row r="24064" ht="15" hidden="1" customHeight="1"/>
    <row r="24065" ht="15" hidden="1" customHeight="1"/>
    <row r="24066" ht="15" hidden="1" customHeight="1"/>
    <row r="24067" ht="15" hidden="1" customHeight="1"/>
    <row r="24068" ht="15" hidden="1" customHeight="1"/>
    <row r="24069" ht="15" hidden="1" customHeight="1"/>
    <row r="24070" ht="15" hidden="1" customHeight="1"/>
    <row r="24071" ht="15" hidden="1" customHeight="1"/>
    <row r="24072" ht="15" hidden="1" customHeight="1"/>
    <row r="24073" ht="15" hidden="1" customHeight="1"/>
    <row r="24074" ht="15" hidden="1" customHeight="1"/>
    <row r="24075" ht="15" hidden="1" customHeight="1"/>
    <row r="24076" ht="15" hidden="1" customHeight="1"/>
    <row r="24077" ht="15" hidden="1" customHeight="1"/>
    <row r="24078" ht="15" hidden="1" customHeight="1"/>
    <row r="24079" ht="15" hidden="1" customHeight="1"/>
    <row r="24080" ht="15" hidden="1" customHeight="1"/>
    <row r="24081" ht="15" hidden="1" customHeight="1"/>
    <row r="24082" ht="15" hidden="1" customHeight="1"/>
    <row r="24083" ht="15" hidden="1" customHeight="1"/>
    <row r="24084" ht="15" hidden="1" customHeight="1"/>
    <row r="24085" ht="15" hidden="1" customHeight="1"/>
    <row r="24086" ht="15" hidden="1" customHeight="1"/>
    <row r="24087" ht="15" hidden="1" customHeight="1"/>
    <row r="24088" ht="15" hidden="1" customHeight="1"/>
    <row r="24089" ht="15" hidden="1" customHeight="1"/>
    <row r="24090" ht="15" hidden="1" customHeight="1"/>
    <row r="24091" ht="15" hidden="1" customHeight="1"/>
    <row r="24092" ht="15" hidden="1" customHeight="1"/>
    <row r="24093" ht="15" hidden="1" customHeight="1"/>
    <row r="24094" ht="15" hidden="1" customHeight="1"/>
    <row r="24095" ht="15" hidden="1" customHeight="1"/>
    <row r="24096" ht="15" hidden="1" customHeight="1"/>
    <row r="24097" ht="15" hidden="1" customHeight="1"/>
    <row r="24098" ht="15" hidden="1" customHeight="1"/>
    <row r="24099" ht="15" hidden="1" customHeight="1"/>
    <row r="24100" ht="15" hidden="1" customHeight="1"/>
    <row r="24101" ht="15" hidden="1" customHeight="1"/>
    <row r="24102" ht="15" hidden="1" customHeight="1"/>
    <row r="24103" ht="15" hidden="1" customHeight="1"/>
    <row r="24104" ht="15" hidden="1" customHeight="1"/>
    <row r="24105" ht="15" hidden="1" customHeight="1"/>
    <row r="24106" ht="15" hidden="1" customHeight="1"/>
    <row r="24107" ht="15" hidden="1" customHeight="1"/>
    <row r="24108" ht="15" hidden="1" customHeight="1"/>
    <row r="24109" ht="15" hidden="1" customHeight="1"/>
    <row r="24110" ht="15" hidden="1" customHeight="1"/>
    <row r="24111" ht="15" hidden="1" customHeight="1"/>
    <row r="24112" ht="15" hidden="1" customHeight="1"/>
    <row r="24113" ht="15" hidden="1" customHeight="1"/>
    <row r="24114" ht="15" hidden="1" customHeight="1"/>
    <row r="24115" ht="15" hidden="1" customHeight="1"/>
    <row r="24116" ht="15" hidden="1" customHeight="1"/>
    <row r="24117" ht="15" hidden="1" customHeight="1"/>
    <row r="24118" ht="15" hidden="1" customHeight="1"/>
    <row r="24119" ht="15" hidden="1" customHeight="1"/>
    <row r="24120" ht="15" hidden="1" customHeight="1"/>
    <row r="24121" ht="15" hidden="1" customHeight="1"/>
    <row r="24122" ht="15" hidden="1" customHeight="1"/>
    <row r="24123" ht="15" hidden="1" customHeight="1"/>
    <row r="24124" ht="15" hidden="1" customHeight="1"/>
    <row r="24125" ht="15" hidden="1" customHeight="1"/>
    <row r="24126" ht="15" hidden="1" customHeight="1"/>
    <row r="24127" ht="15" hidden="1" customHeight="1"/>
    <row r="24128" ht="15" hidden="1" customHeight="1"/>
    <row r="24129" ht="15" hidden="1" customHeight="1"/>
    <row r="24130" ht="15" hidden="1" customHeight="1"/>
    <row r="24131" ht="15" hidden="1" customHeight="1"/>
    <row r="24132" ht="15" hidden="1" customHeight="1"/>
    <row r="24133" ht="15" hidden="1" customHeight="1"/>
    <row r="24134" ht="15" hidden="1" customHeight="1"/>
    <row r="24135" ht="15" hidden="1" customHeight="1"/>
    <row r="24136" ht="15" hidden="1" customHeight="1"/>
    <row r="24137" ht="15" hidden="1" customHeight="1"/>
    <row r="24138" ht="15" hidden="1" customHeight="1"/>
    <row r="24139" ht="15" hidden="1" customHeight="1"/>
    <row r="24140" ht="15" hidden="1" customHeight="1"/>
    <row r="24141" ht="15" hidden="1" customHeight="1"/>
    <row r="24142" ht="15" hidden="1" customHeight="1"/>
    <row r="24143" ht="15" hidden="1" customHeight="1"/>
    <row r="24144" ht="15" hidden="1" customHeight="1"/>
    <row r="24145" ht="15" hidden="1" customHeight="1"/>
    <row r="24146" ht="15" hidden="1" customHeight="1"/>
    <row r="24147" ht="15" hidden="1" customHeight="1"/>
    <row r="24148" ht="15" hidden="1" customHeight="1"/>
    <row r="24149" ht="15" hidden="1" customHeight="1"/>
    <row r="24150" ht="15" hidden="1" customHeight="1"/>
    <row r="24151" ht="15" hidden="1" customHeight="1"/>
    <row r="24152" ht="15" hidden="1" customHeight="1"/>
    <row r="24153" ht="15" hidden="1" customHeight="1"/>
    <row r="24154" ht="15" hidden="1" customHeight="1"/>
    <row r="24155" ht="15" hidden="1" customHeight="1"/>
    <row r="24156" ht="15" hidden="1" customHeight="1"/>
    <row r="24157" ht="15" hidden="1" customHeight="1"/>
    <row r="24158" ht="15" hidden="1" customHeight="1"/>
    <row r="24159" ht="15" hidden="1" customHeight="1"/>
    <row r="24160" ht="15" hidden="1" customHeight="1"/>
    <row r="24161" ht="15" hidden="1" customHeight="1"/>
    <row r="24162" ht="15" hidden="1" customHeight="1"/>
    <row r="24163" ht="15" hidden="1" customHeight="1"/>
    <row r="24164" ht="15" hidden="1" customHeight="1"/>
    <row r="24165" ht="15" hidden="1" customHeight="1"/>
    <row r="24166" ht="15" hidden="1" customHeight="1"/>
    <row r="24167" ht="15" hidden="1" customHeight="1"/>
    <row r="24168" ht="15" hidden="1" customHeight="1"/>
    <row r="24169" ht="15" hidden="1" customHeight="1"/>
    <row r="24170" ht="15" hidden="1" customHeight="1"/>
    <row r="24171" ht="15" hidden="1" customHeight="1"/>
    <row r="24172" ht="15" hidden="1" customHeight="1"/>
    <row r="24173" ht="15" hidden="1" customHeight="1"/>
    <row r="24174" ht="15" hidden="1" customHeight="1"/>
    <row r="24175" ht="15" hidden="1" customHeight="1"/>
    <row r="24176" ht="15" hidden="1" customHeight="1"/>
    <row r="24177" ht="15" hidden="1" customHeight="1"/>
    <row r="24178" ht="15" hidden="1" customHeight="1"/>
    <row r="24179" ht="15" hidden="1" customHeight="1"/>
    <row r="24180" ht="15" hidden="1" customHeight="1"/>
    <row r="24181" ht="15" hidden="1" customHeight="1"/>
    <row r="24182" ht="15" hidden="1" customHeight="1"/>
    <row r="24183" ht="15" hidden="1" customHeight="1"/>
    <row r="24184" ht="15" hidden="1" customHeight="1"/>
    <row r="24185" ht="15" hidden="1" customHeight="1"/>
    <row r="24186" ht="15" hidden="1" customHeight="1"/>
    <row r="24187" ht="15" hidden="1" customHeight="1"/>
    <row r="24188" ht="15" hidden="1" customHeight="1"/>
    <row r="24189" ht="15" hidden="1" customHeight="1"/>
    <row r="24190" ht="15" hidden="1" customHeight="1"/>
    <row r="24191" ht="15" hidden="1" customHeight="1"/>
    <row r="24192" ht="15" hidden="1" customHeight="1"/>
    <row r="24193" ht="15" hidden="1" customHeight="1"/>
    <row r="24194" ht="15" hidden="1" customHeight="1"/>
    <row r="24195" ht="15" hidden="1" customHeight="1"/>
    <row r="24196" ht="15" hidden="1" customHeight="1"/>
    <row r="24197" ht="15" hidden="1" customHeight="1"/>
    <row r="24198" ht="15" hidden="1" customHeight="1"/>
    <row r="24199" ht="15" hidden="1" customHeight="1"/>
    <row r="24200" ht="15" hidden="1" customHeight="1"/>
    <row r="24201" ht="15" hidden="1" customHeight="1"/>
    <row r="24202" ht="15" hidden="1" customHeight="1"/>
    <row r="24203" ht="15" hidden="1" customHeight="1"/>
    <row r="24204" ht="15" hidden="1" customHeight="1"/>
    <row r="24205" ht="15" hidden="1" customHeight="1"/>
    <row r="24206" ht="15" hidden="1" customHeight="1"/>
    <row r="24207" ht="15" hidden="1" customHeight="1"/>
    <row r="24208" ht="15" hidden="1" customHeight="1"/>
    <row r="24209" ht="15" hidden="1" customHeight="1"/>
    <row r="24210" ht="15" hidden="1" customHeight="1"/>
    <row r="24211" ht="15" hidden="1" customHeight="1"/>
    <row r="24212" ht="15" hidden="1" customHeight="1"/>
    <row r="24213" ht="15" hidden="1" customHeight="1"/>
    <row r="24214" ht="15" hidden="1" customHeight="1"/>
    <row r="24215" ht="15" hidden="1" customHeight="1"/>
    <row r="24216" ht="15" hidden="1" customHeight="1"/>
    <row r="24217" ht="15" hidden="1" customHeight="1"/>
    <row r="24218" ht="15" hidden="1" customHeight="1"/>
    <row r="24219" ht="15" hidden="1" customHeight="1"/>
    <row r="24220" ht="15" hidden="1" customHeight="1"/>
    <row r="24221" ht="15" hidden="1" customHeight="1"/>
    <row r="24222" ht="15" hidden="1" customHeight="1"/>
    <row r="24223" ht="15" hidden="1" customHeight="1"/>
    <row r="24224" ht="15" hidden="1" customHeight="1"/>
    <row r="24225" ht="15" hidden="1" customHeight="1"/>
    <row r="24226" ht="15" hidden="1" customHeight="1"/>
    <row r="24227" ht="15" hidden="1" customHeight="1"/>
    <row r="24228" ht="15" hidden="1" customHeight="1"/>
    <row r="24229" ht="15" hidden="1" customHeight="1"/>
    <row r="24230" ht="15" hidden="1" customHeight="1"/>
    <row r="24231" ht="15" hidden="1" customHeight="1"/>
    <row r="24232" ht="15" hidden="1" customHeight="1"/>
    <row r="24233" ht="15" hidden="1" customHeight="1"/>
    <row r="24234" ht="15" hidden="1" customHeight="1"/>
    <row r="24235" ht="15" hidden="1" customHeight="1"/>
    <row r="24236" ht="15" hidden="1" customHeight="1"/>
    <row r="24237" ht="15" hidden="1" customHeight="1"/>
    <row r="24238" ht="15" hidden="1" customHeight="1"/>
    <row r="24239" ht="15" hidden="1" customHeight="1"/>
    <row r="24240" ht="15" hidden="1" customHeight="1"/>
    <row r="24241" ht="15" hidden="1" customHeight="1"/>
    <row r="24242" ht="15" hidden="1" customHeight="1"/>
    <row r="24243" ht="15" hidden="1" customHeight="1"/>
    <row r="24244" ht="15" hidden="1" customHeight="1"/>
    <row r="24245" ht="15" hidden="1" customHeight="1"/>
    <row r="24246" ht="15" hidden="1" customHeight="1"/>
    <row r="24247" ht="15" hidden="1" customHeight="1"/>
    <row r="24248" ht="15" hidden="1" customHeight="1"/>
    <row r="24249" ht="15" hidden="1" customHeight="1"/>
    <row r="24250" ht="15" hidden="1" customHeight="1"/>
    <row r="24251" ht="15" hidden="1" customHeight="1"/>
    <row r="24252" ht="15" hidden="1" customHeight="1"/>
    <row r="24253" ht="15" hidden="1" customHeight="1"/>
    <row r="24254" ht="15" hidden="1" customHeight="1"/>
    <row r="24255" ht="15" hidden="1" customHeight="1"/>
    <row r="24256" ht="15" hidden="1" customHeight="1"/>
    <row r="24257" ht="15" hidden="1" customHeight="1"/>
    <row r="24258" ht="15" hidden="1" customHeight="1"/>
    <row r="24259" ht="15" hidden="1" customHeight="1"/>
    <row r="24260" ht="15" hidden="1" customHeight="1"/>
    <row r="24261" ht="15" hidden="1" customHeight="1"/>
    <row r="24262" ht="15" hidden="1" customHeight="1"/>
    <row r="24263" ht="15" hidden="1" customHeight="1"/>
    <row r="24264" ht="15" hidden="1" customHeight="1"/>
    <row r="24265" ht="15" hidden="1" customHeight="1"/>
    <row r="24266" ht="15" hidden="1" customHeight="1"/>
    <row r="24267" ht="15" hidden="1" customHeight="1"/>
    <row r="24268" ht="15" hidden="1" customHeight="1"/>
    <row r="24269" ht="15" hidden="1" customHeight="1"/>
    <row r="24270" ht="15" hidden="1" customHeight="1"/>
    <row r="24271" ht="15" hidden="1" customHeight="1"/>
    <row r="24272" ht="15" hidden="1" customHeight="1"/>
    <row r="24273" ht="15" hidden="1" customHeight="1"/>
    <row r="24274" ht="15" hidden="1" customHeight="1"/>
    <row r="24275" ht="15" hidden="1" customHeight="1"/>
    <row r="24276" ht="15" hidden="1" customHeight="1"/>
    <row r="24277" ht="15" hidden="1" customHeight="1"/>
    <row r="24278" ht="15" hidden="1" customHeight="1"/>
    <row r="24279" ht="15" hidden="1" customHeight="1"/>
    <row r="24280" ht="15" hidden="1" customHeight="1"/>
    <row r="24281" ht="15" hidden="1" customHeight="1"/>
    <row r="24282" ht="15" hidden="1" customHeight="1"/>
    <row r="24283" ht="15" hidden="1" customHeight="1"/>
    <row r="24284" ht="15" hidden="1" customHeight="1"/>
    <row r="24285" ht="15" hidden="1" customHeight="1"/>
    <row r="24286" ht="15" hidden="1" customHeight="1"/>
    <row r="24287" ht="15" hidden="1" customHeight="1"/>
    <row r="24288" ht="15" hidden="1" customHeight="1"/>
    <row r="24289" ht="15" hidden="1" customHeight="1"/>
    <row r="24290" ht="15" hidden="1" customHeight="1"/>
    <row r="24291" ht="15" hidden="1" customHeight="1"/>
    <row r="24292" ht="15" hidden="1" customHeight="1"/>
    <row r="24293" ht="15" hidden="1" customHeight="1"/>
    <row r="24294" ht="15" hidden="1" customHeight="1"/>
    <row r="24295" ht="15" hidden="1" customHeight="1"/>
    <row r="24296" ht="15" hidden="1" customHeight="1"/>
    <row r="24297" ht="15" hidden="1" customHeight="1"/>
    <row r="24298" ht="15" hidden="1" customHeight="1"/>
    <row r="24299" ht="15" hidden="1" customHeight="1"/>
    <row r="24300" ht="15" hidden="1" customHeight="1"/>
    <row r="24301" ht="15" hidden="1" customHeight="1"/>
    <row r="24302" ht="15" hidden="1" customHeight="1"/>
    <row r="24303" ht="15" hidden="1" customHeight="1"/>
    <row r="24304" ht="15" hidden="1" customHeight="1"/>
    <row r="24305" ht="15" hidden="1" customHeight="1"/>
    <row r="24306" ht="15" hidden="1" customHeight="1"/>
    <row r="24307" ht="15" hidden="1" customHeight="1"/>
    <row r="24308" ht="15" hidden="1" customHeight="1"/>
    <row r="24309" ht="15" hidden="1" customHeight="1"/>
    <row r="24310" ht="15" hidden="1" customHeight="1"/>
    <row r="24311" ht="15" hidden="1" customHeight="1"/>
    <row r="24312" ht="15" hidden="1" customHeight="1"/>
    <row r="24313" ht="15" hidden="1" customHeight="1"/>
    <row r="24314" ht="15" hidden="1" customHeight="1"/>
    <row r="24315" ht="15" hidden="1" customHeight="1"/>
    <row r="24316" ht="15" hidden="1" customHeight="1"/>
    <row r="24317" ht="15" hidden="1" customHeight="1"/>
    <row r="24318" ht="15" hidden="1" customHeight="1"/>
    <row r="24319" ht="15" hidden="1" customHeight="1"/>
    <row r="24320" ht="15" hidden="1" customHeight="1"/>
    <row r="24321" ht="15" hidden="1" customHeight="1"/>
    <row r="24322" ht="15" hidden="1" customHeight="1"/>
    <row r="24323" ht="15" hidden="1" customHeight="1"/>
    <row r="24324" ht="15" hidden="1" customHeight="1"/>
    <row r="24325" ht="15" hidden="1" customHeight="1"/>
    <row r="24326" ht="15" hidden="1" customHeight="1"/>
    <row r="24327" ht="15" hidden="1" customHeight="1"/>
    <row r="24328" ht="15" hidden="1" customHeight="1"/>
    <row r="24329" ht="15" hidden="1" customHeight="1"/>
    <row r="24330" ht="15" hidden="1" customHeight="1"/>
    <row r="24331" ht="15" hidden="1" customHeight="1"/>
    <row r="24332" ht="15" hidden="1" customHeight="1"/>
    <row r="24333" ht="15" hidden="1" customHeight="1"/>
    <row r="24334" ht="15" hidden="1" customHeight="1"/>
    <row r="24335" ht="15" hidden="1" customHeight="1"/>
    <row r="24336" ht="15" hidden="1" customHeight="1"/>
    <row r="24337" ht="15" hidden="1" customHeight="1"/>
    <row r="24338" ht="15" hidden="1" customHeight="1"/>
    <row r="24339" ht="15" hidden="1" customHeight="1"/>
    <row r="24340" ht="15" hidden="1" customHeight="1"/>
    <row r="24341" ht="15" hidden="1" customHeight="1"/>
    <row r="24342" ht="15" hidden="1" customHeight="1"/>
    <row r="24343" ht="15" hidden="1" customHeight="1"/>
    <row r="24344" ht="15" hidden="1" customHeight="1"/>
    <row r="24345" ht="15" hidden="1" customHeight="1"/>
    <row r="24346" ht="15" hidden="1" customHeight="1"/>
    <row r="24347" ht="15" hidden="1" customHeight="1"/>
    <row r="24348" ht="15" hidden="1" customHeight="1"/>
    <row r="24349" ht="15" hidden="1" customHeight="1"/>
    <row r="24350" ht="15" hidden="1" customHeight="1"/>
    <row r="24351" ht="15" hidden="1" customHeight="1"/>
    <row r="24352" ht="15" hidden="1" customHeight="1"/>
    <row r="24353" ht="15" hidden="1" customHeight="1"/>
    <row r="24354" ht="15" hidden="1" customHeight="1"/>
    <row r="24355" ht="15" hidden="1" customHeight="1"/>
    <row r="24356" ht="15" hidden="1" customHeight="1"/>
    <row r="24357" ht="15" hidden="1" customHeight="1"/>
    <row r="24358" ht="15" hidden="1" customHeight="1"/>
    <row r="24359" ht="15" hidden="1" customHeight="1"/>
    <row r="24360" ht="15" hidden="1" customHeight="1"/>
    <row r="24361" ht="15" hidden="1" customHeight="1"/>
    <row r="24362" ht="15" hidden="1" customHeight="1"/>
    <row r="24363" ht="15" hidden="1" customHeight="1"/>
    <row r="24364" ht="15" hidden="1" customHeight="1"/>
    <row r="24365" ht="15" hidden="1" customHeight="1"/>
    <row r="24366" ht="15" hidden="1" customHeight="1"/>
    <row r="24367" ht="15" hidden="1" customHeight="1"/>
    <row r="24368" ht="15" hidden="1" customHeight="1"/>
    <row r="24369" ht="15" hidden="1" customHeight="1"/>
    <row r="24370" ht="15" hidden="1" customHeight="1"/>
    <row r="24371" ht="15" hidden="1" customHeight="1"/>
    <row r="24372" ht="15" hidden="1" customHeight="1"/>
    <row r="24373" ht="15" hidden="1" customHeight="1"/>
    <row r="24374" ht="15" hidden="1" customHeight="1"/>
    <row r="24375" ht="15" hidden="1" customHeight="1"/>
    <row r="24376" ht="15" hidden="1" customHeight="1"/>
    <row r="24377" ht="15" hidden="1" customHeight="1"/>
    <row r="24378" ht="15" hidden="1" customHeight="1"/>
    <row r="24379" ht="15" hidden="1" customHeight="1"/>
    <row r="24380" ht="15" hidden="1" customHeight="1"/>
    <row r="24381" ht="15" hidden="1" customHeight="1"/>
    <row r="24382" ht="15" hidden="1" customHeight="1"/>
    <row r="24383" ht="15" hidden="1" customHeight="1"/>
    <row r="24384" ht="15" hidden="1" customHeight="1"/>
    <row r="24385" ht="15" hidden="1" customHeight="1"/>
    <row r="24386" ht="15" hidden="1" customHeight="1"/>
    <row r="24387" ht="15" hidden="1" customHeight="1"/>
    <row r="24388" ht="15" hidden="1" customHeight="1"/>
    <row r="24389" ht="15" hidden="1" customHeight="1"/>
    <row r="24390" ht="15" hidden="1" customHeight="1"/>
    <row r="24391" ht="15" hidden="1" customHeight="1"/>
    <row r="24392" ht="15" hidden="1" customHeight="1"/>
    <row r="24393" ht="15" hidden="1" customHeight="1"/>
    <row r="24394" ht="15" hidden="1" customHeight="1"/>
    <row r="24395" ht="15" hidden="1" customHeight="1"/>
    <row r="24396" ht="15" hidden="1" customHeight="1"/>
    <row r="24397" ht="15" hidden="1" customHeight="1"/>
    <row r="24398" ht="15" hidden="1" customHeight="1"/>
    <row r="24399" ht="15" hidden="1" customHeight="1"/>
    <row r="24400" ht="15" hidden="1" customHeight="1"/>
    <row r="24401" ht="15" hidden="1" customHeight="1"/>
    <row r="24402" ht="15" hidden="1" customHeight="1"/>
    <row r="24403" ht="15" hidden="1" customHeight="1"/>
    <row r="24404" ht="15" hidden="1" customHeight="1"/>
    <row r="24405" ht="15" hidden="1" customHeight="1"/>
    <row r="24406" ht="15" hidden="1" customHeight="1"/>
    <row r="24407" ht="15" hidden="1" customHeight="1"/>
    <row r="24408" ht="15" hidden="1" customHeight="1"/>
    <row r="24409" ht="15" hidden="1" customHeight="1"/>
    <row r="24410" ht="15" hidden="1" customHeight="1"/>
    <row r="24411" ht="15" hidden="1" customHeight="1"/>
    <row r="24412" ht="15" hidden="1" customHeight="1"/>
    <row r="24413" ht="15" hidden="1" customHeight="1"/>
    <row r="24414" ht="15" hidden="1" customHeight="1"/>
    <row r="24415" ht="15" hidden="1" customHeight="1"/>
    <row r="24416" ht="15" hidden="1" customHeight="1"/>
    <row r="24417" ht="15" hidden="1" customHeight="1"/>
    <row r="24418" ht="15" hidden="1" customHeight="1"/>
    <row r="24419" ht="15" hidden="1" customHeight="1"/>
    <row r="24420" ht="15" hidden="1" customHeight="1"/>
    <row r="24421" ht="15" hidden="1" customHeight="1"/>
    <row r="24422" ht="15" hidden="1" customHeight="1"/>
    <row r="24423" ht="15" hidden="1" customHeight="1"/>
    <row r="24424" ht="15" hidden="1" customHeight="1"/>
    <row r="24425" ht="15" hidden="1" customHeight="1"/>
    <row r="24426" ht="15" hidden="1" customHeight="1"/>
    <row r="24427" ht="15" hidden="1" customHeight="1"/>
    <row r="24428" ht="15" hidden="1" customHeight="1"/>
    <row r="24429" ht="15" hidden="1" customHeight="1"/>
    <row r="24430" ht="15" hidden="1" customHeight="1"/>
    <row r="24431" ht="15" hidden="1" customHeight="1"/>
    <row r="24432" ht="15" hidden="1" customHeight="1"/>
    <row r="24433" ht="15" hidden="1" customHeight="1"/>
    <row r="24434" ht="15" hidden="1" customHeight="1"/>
    <row r="24435" ht="15" hidden="1" customHeight="1"/>
    <row r="24436" ht="15" hidden="1" customHeight="1"/>
    <row r="24437" ht="15" hidden="1" customHeight="1"/>
    <row r="24438" ht="15" hidden="1" customHeight="1"/>
    <row r="24439" ht="15" hidden="1" customHeight="1"/>
    <row r="24440" ht="15" hidden="1" customHeight="1"/>
    <row r="24441" ht="15" hidden="1" customHeight="1"/>
    <row r="24442" ht="15" hidden="1" customHeight="1"/>
    <row r="24443" ht="15" hidden="1" customHeight="1"/>
    <row r="24444" ht="15" hidden="1" customHeight="1"/>
    <row r="24445" ht="15" hidden="1" customHeight="1"/>
    <row r="24446" ht="15" hidden="1" customHeight="1"/>
    <row r="24447" ht="15" hidden="1" customHeight="1"/>
    <row r="24448" ht="15" hidden="1" customHeight="1"/>
    <row r="24449" ht="15" hidden="1" customHeight="1"/>
    <row r="24450" ht="15" hidden="1" customHeight="1"/>
    <row r="24451" ht="15" hidden="1" customHeight="1"/>
    <row r="24452" ht="15" hidden="1" customHeight="1"/>
    <row r="24453" ht="15" hidden="1" customHeight="1"/>
    <row r="24454" ht="15" hidden="1" customHeight="1"/>
    <row r="24455" ht="15" hidden="1" customHeight="1"/>
    <row r="24456" ht="15" hidden="1" customHeight="1"/>
    <row r="24457" ht="15" hidden="1" customHeight="1"/>
    <row r="24458" ht="15" hidden="1" customHeight="1"/>
    <row r="24459" ht="15" hidden="1" customHeight="1"/>
    <row r="24460" ht="15" hidden="1" customHeight="1"/>
    <row r="24461" ht="15" hidden="1" customHeight="1"/>
    <row r="24462" ht="15" hidden="1" customHeight="1"/>
    <row r="24463" ht="15" hidden="1" customHeight="1"/>
    <row r="24464" ht="15" hidden="1" customHeight="1"/>
    <row r="24465" ht="15" hidden="1" customHeight="1"/>
    <row r="24466" ht="15" hidden="1" customHeight="1"/>
    <row r="24467" ht="15" hidden="1" customHeight="1"/>
    <row r="24468" ht="15" hidden="1" customHeight="1"/>
    <row r="24469" ht="15" hidden="1" customHeight="1"/>
    <row r="24470" ht="15" hidden="1" customHeight="1"/>
    <row r="24471" ht="15" hidden="1" customHeight="1"/>
    <row r="24472" ht="15" hidden="1" customHeight="1"/>
    <row r="24473" ht="15" hidden="1" customHeight="1"/>
    <row r="24474" ht="15" hidden="1" customHeight="1"/>
    <row r="24475" ht="15" hidden="1" customHeight="1"/>
    <row r="24476" ht="15" hidden="1" customHeight="1"/>
    <row r="24477" ht="15" hidden="1" customHeight="1"/>
    <row r="24478" ht="15" hidden="1" customHeight="1"/>
    <row r="24479" ht="15" hidden="1" customHeight="1"/>
    <row r="24480" ht="15" hidden="1" customHeight="1"/>
    <row r="24481" ht="15" hidden="1" customHeight="1"/>
    <row r="24482" ht="15" hidden="1" customHeight="1"/>
    <row r="24483" ht="15" hidden="1" customHeight="1"/>
    <row r="24484" ht="15" hidden="1" customHeight="1"/>
    <row r="24485" ht="15" hidden="1" customHeight="1"/>
    <row r="24486" ht="15" hidden="1" customHeight="1"/>
    <row r="24487" ht="15" hidden="1" customHeight="1"/>
    <row r="24488" ht="15" hidden="1" customHeight="1"/>
    <row r="24489" ht="15" hidden="1" customHeight="1"/>
    <row r="24490" ht="15" hidden="1" customHeight="1"/>
    <row r="24491" ht="15" hidden="1" customHeight="1"/>
    <row r="24492" ht="15" hidden="1" customHeight="1"/>
    <row r="24493" ht="15" hidden="1" customHeight="1"/>
    <row r="24494" ht="15" hidden="1" customHeight="1"/>
    <row r="24495" ht="15" hidden="1" customHeight="1"/>
    <row r="24496" ht="15" hidden="1" customHeight="1"/>
    <row r="24497" ht="15" hidden="1" customHeight="1"/>
    <row r="24498" ht="15" hidden="1" customHeight="1"/>
    <row r="24499" ht="15" hidden="1" customHeight="1"/>
    <row r="24500" ht="15" hidden="1" customHeight="1"/>
    <row r="24501" ht="15" hidden="1" customHeight="1"/>
    <row r="24502" ht="15" hidden="1" customHeight="1"/>
    <row r="24503" ht="15" hidden="1" customHeight="1"/>
    <row r="24504" ht="15" hidden="1" customHeight="1"/>
    <row r="24505" ht="15" hidden="1" customHeight="1"/>
    <row r="24506" ht="15" hidden="1" customHeight="1"/>
    <row r="24507" ht="15" hidden="1" customHeight="1"/>
    <row r="24508" ht="15" hidden="1" customHeight="1"/>
    <row r="24509" ht="15" hidden="1" customHeight="1"/>
    <row r="24510" ht="15" hidden="1" customHeight="1"/>
    <row r="24511" ht="15" hidden="1" customHeight="1"/>
    <row r="24512" ht="15" hidden="1" customHeight="1"/>
    <row r="24513" ht="15" hidden="1" customHeight="1"/>
    <row r="24514" ht="15" hidden="1" customHeight="1"/>
    <row r="24515" ht="15" hidden="1" customHeight="1"/>
    <row r="24516" ht="15" hidden="1" customHeight="1"/>
    <row r="24517" ht="15" hidden="1" customHeight="1"/>
    <row r="24518" ht="15" hidden="1" customHeight="1"/>
    <row r="24519" ht="15" hidden="1" customHeight="1"/>
    <row r="24520" ht="15" hidden="1" customHeight="1"/>
    <row r="24521" ht="15" hidden="1" customHeight="1"/>
    <row r="24522" ht="15" hidden="1" customHeight="1"/>
    <row r="24523" ht="15" hidden="1" customHeight="1"/>
    <row r="24524" ht="15" hidden="1" customHeight="1"/>
    <row r="24525" ht="15" hidden="1" customHeight="1"/>
    <row r="24526" ht="15" hidden="1" customHeight="1"/>
    <row r="24527" ht="15" hidden="1" customHeight="1"/>
    <row r="24528" ht="15" hidden="1" customHeight="1"/>
    <row r="24529" ht="15" hidden="1" customHeight="1"/>
    <row r="24530" ht="15" hidden="1" customHeight="1"/>
    <row r="24531" ht="15" hidden="1" customHeight="1"/>
    <row r="24532" ht="15" hidden="1" customHeight="1"/>
    <row r="24533" ht="15" hidden="1" customHeight="1"/>
    <row r="24534" ht="15" hidden="1" customHeight="1"/>
    <row r="24535" ht="15" hidden="1" customHeight="1"/>
    <row r="24536" ht="15" hidden="1" customHeight="1"/>
    <row r="24537" ht="15" hidden="1" customHeight="1"/>
    <row r="24538" ht="15" hidden="1" customHeight="1"/>
    <row r="24539" ht="15" hidden="1" customHeight="1"/>
    <row r="24540" ht="15" hidden="1" customHeight="1"/>
    <row r="24541" ht="15" hidden="1" customHeight="1"/>
    <row r="24542" ht="15" hidden="1" customHeight="1"/>
    <row r="24543" ht="15" hidden="1" customHeight="1"/>
    <row r="24544" ht="15" hidden="1" customHeight="1"/>
    <row r="24545" ht="15" hidden="1" customHeight="1"/>
    <row r="24546" ht="15" hidden="1" customHeight="1"/>
    <row r="24547" ht="15" hidden="1" customHeight="1"/>
    <row r="24548" ht="15" hidden="1" customHeight="1"/>
    <row r="24549" ht="15" hidden="1" customHeight="1"/>
    <row r="24550" ht="15" hidden="1" customHeight="1"/>
    <row r="24551" ht="15" hidden="1" customHeight="1"/>
    <row r="24552" ht="15" hidden="1" customHeight="1"/>
    <row r="24553" ht="15" hidden="1" customHeight="1"/>
    <row r="24554" ht="15" hidden="1" customHeight="1"/>
    <row r="24555" ht="15" hidden="1" customHeight="1"/>
    <row r="24556" ht="15" hidden="1" customHeight="1"/>
    <row r="24557" ht="15" hidden="1" customHeight="1"/>
    <row r="24558" ht="15" hidden="1" customHeight="1"/>
    <row r="24559" ht="15" hidden="1" customHeight="1"/>
    <row r="24560" ht="15" hidden="1" customHeight="1"/>
    <row r="24561" ht="15" hidden="1" customHeight="1"/>
    <row r="24562" ht="15" hidden="1" customHeight="1"/>
    <row r="24563" ht="15" hidden="1" customHeight="1"/>
    <row r="24564" ht="15" hidden="1" customHeight="1"/>
    <row r="24565" ht="15" hidden="1" customHeight="1"/>
    <row r="24566" ht="15" hidden="1" customHeight="1"/>
    <row r="24567" ht="15" hidden="1" customHeight="1"/>
    <row r="24568" ht="15" hidden="1" customHeight="1"/>
    <row r="24569" ht="15" hidden="1" customHeight="1"/>
    <row r="24570" ht="15" hidden="1" customHeight="1"/>
    <row r="24571" ht="15" hidden="1" customHeight="1"/>
    <row r="24572" ht="15" hidden="1" customHeight="1"/>
    <row r="24573" ht="15" hidden="1" customHeight="1"/>
    <row r="24574" ht="15" hidden="1" customHeight="1"/>
    <row r="24575" ht="15" hidden="1" customHeight="1"/>
    <row r="24576" ht="15" hidden="1" customHeight="1"/>
    <row r="24577" ht="15" hidden="1" customHeight="1"/>
    <row r="24578" ht="15" hidden="1" customHeight="1"/>
    <row r="24579" ht="15" hidden="1" customHeight="1"/>
    <row r="24580" ht="15" hidden="1" customHeight="1"/>
    <row r="24581" ht="15" hidden="1" customHeight="1"/>
    <row r="24582" ht="15" hidden="1" customHeight="1"/>
    <row r="24583" ht="15" hidden="1" customHeight="1"/>
    <row r="24584" ht="15" hidden="1" customHeight="1"/>
    <row r="24585" ht="15" hidden="1" customHeight="1"/>
    <row r="24586" ht="15" hidden="1" customHeight="1"/>
    <row r="24587" ht="15" hidden="1" customHeight="1"/>
    <row r="24588" ht="15" hidden="1" customHeight="1"/>
    <row r="24589" ht="15" hidden="1" customHeight="1"/>
    <row r="24590" ht="15" hidden="1" customHeight="1"/>
    <row r="24591" ht="15" hidden="1" customHeight="1"/>
    <row r="24592" ht="15" hidden="1" customHeight="1"/>
    <row r="24593" ht="15" hidden="1" customHeight="1"/>
    <row r="24594" ht="15" hidden="1" customHeight="1"/>
    <row r="24595" ht="15" hidden="1" customHeight="1"/>
    <row r="24596" ht="15" hidden="1" customHeight="1"/>
    <row r="24597" ht="15" hidden="1" customHeight="1"/>
    <row r="24598" ht="15" hidden="1" customHeight="1"/>
    <row r="24599" ht="15" hidden="1" customHeight="1"/>
    <row r="24600" ht="15" hidden="1" customHeight="1"/>
    <row r="24601" ht="15" hidden="1" customHeight="1"/>
    <row r="24602" ht="15" hidden="1" customHeight="1"/>
    <row r="24603" ht="15" hidden="1" customHeight="1"/>
    <row r="24604" ht="15" hidden="1" customHeight="1"/>
    <row r="24605" ht="15" hidden="1" customHeight="1"/>
    <row r="24606" ht="15" hidden="1" customHeight="1"/>
    <row r="24607" ht="15" hidden="1" customHeight="1"/>
    <row r="24608" ht="15" hidden="1" customHeight="1"/>
    <row r="24609" ht="15" hidden="1" customHeight="1"/>
    <row r="24610" ht="15" hidden="1" customHeight="1"/>
    <row r="24611" ht="15" hidden="1" customHeight="1"/>
    <row r="24612" ht="15" hidden="1" customHeight="1"/>
    <row r="24613" ht="15" hidden="1" customHeight="1"/>
    <row r="24614" ht="15" hidden="1" customHeight="1"/>
    <row r="24615" ht="15" hidden="1" customHeight="1"/>
    <row r="24616" ht="15" hidden="1" customHeight="1"/>
    <row r="24617" ht="15" hidden="1" customHeight="1"/>
    <row r="24618" ht="15" hidden="1" customHeight="1"/>
    <row r="24619" ht="15" hidden="1" customHeight="1"/>
    <row r="24620" ht="15" hidden="1" customHeight="1"/>
    <row r="24621" ht="15" hidden="1" customHeight="1"/>
    <row r="24622" ht="15" hidden="1" customHeight="1"/>
    <row r="24623" ht="15" hidden="1" customHeight="1"/>
    <row r="24624" ht="15" hidden="1" customHeight="1"/>
    <row r="24625" ht="15" hidden="1" customHeight="1"/>
    <row r="24626" ht="15" hidden="1" customHeight="1"/>
    <row r="24627" ht="15" hidden="1" customHeight="1"/>
    <row r="24628" ht="15" hidden="1" customHeight="1"/>
    <row r="24629" ht="15" hidden="1" customHeight="1"/>
    <row r="24630" ht="15" hidden="1" customHeight="1"/>
    <row r="24631" ht="15" hidden="1" customHeight="1"/>
    <row r="24632" ht="15" hidden="1" customHeight="1"/>
    <row r="24633" ht="15" hidden="1" customHeight="1"/>
    <row r="24634" ht="15" hidden="1" customHeight="1"/>
    <row r="24635" ht="15" hidden="1" customHeight="1"/>
    <row r="24636" ht="15" hidden="1" customHeight="1"/>
    <row r="24637" ht="15" hidden="1" customHeight="1"/>
    <row r="24638" ht="15" hidden="1" customHeight="1"/>
    <row r="24639" ht="15" hidden="1" customHeight="1"/>
    <row r="24640" ht="15" hidden="1" customHeight="1"/>
    <row r="24641" ht="15" hidden="1" customHeight="1"/>
    <row r="24642" ht="15" hidden="1" customHeight="1"/>
    <row r="24643" ht="15" hidden="1" customHeight="1"/>
    <row r="24644" ht="15" hidden="1" customHeight="1"/>
    <row r="24645" ht="15" hidden="1" customHeight="1"/>
    <row r="24646" ht="15" hidden="1" customHeight="1"/>
    <row r="24647" ht="15" hidden="1" customHeight="1"/>
    <row r="24648" ht="15" hidden="1" customHeight="1"/>
    <row r="24649" ht="15" hidden="1" customHeight="1"/>
    <row r="24650" ht="15" hidden="1" customHeight="1"/>
    <row r="24651" ht="15" hidden="1" customHeight="1"/>
    <row r="24652" ht="15" hidden="1" customHeight="1"/>
    <row r="24653" ht="15" hidden="1" customHeight="1"/>
    <row r="24654" ht="15" hidden="1" customHeight="1"/>
    <row r="24655" ht="15" hidden="1" customHeight="1"/>
    <row r="24656" ht="15" hidden="1" customHeight="1"/>
    <row r="24657" ht="15" hidden="1" customHeight="1"/>
    <row r="24658" ht="15" hidden="1" customHeight="1"/>
    <row r="24659" ht="15" hidden="1" customHeight="1"/>
    <row r="24660" ht="15" hidden="1" customHeight="1"/>
    <row r="24661" ht="15" hidden="1" customHeight="1"/>
    <row r="24662" ht="15" hidden="1" customHeight="1"/>
    <row r="24663" ht="15" hidden="1" customHeight="1"/>
    <row r="24664" ht="15" hidden="1" customHeight="1"/>
    <row r="24665" ht="15" hidden="1" customHeight="1"/>
    <row r="24666" ht="15" hidden="1" customHeight="1"/>
    <row r="24667" ht="15" hidden="1" customHeight="1"/>
    <row r="24668" ht="15" hidden="1" customHeight="1"/>
    <row r="24669" ht="15" hidden="1" customHeight="1"/>
    <row r="24670" ht="15" hidden="1" customHeight="1"/>
    <row r="24671" ht="15" hidden="1" customHeight="1"/>
    <row r="24672" ht="15" hidden="1" customHeight="1"/>
    <row r="24673" ht="15" hidden="1" customHeight="1"/>
    <row r="24674" ht="15" hidden="1" customHeight="1"/>
    <row r="24675" ht="15" hidden="1" customHeight="1"/>
    <row r="24676" ht="15" hidden="1" customHeight="1"/>
    <row r="24677" ht="15" hidden="1" customHeight="1"/>
    <row r="24678" ht="15" hidden="1" customHeight="1"/>
    <row r="24679" ht="15" hidden="1" customHeight="1"/>
    <row r="24680" ht="15" hidden="1" customHeight="1"/>
    <row r="24681" ht="15" hidden="1" customHeight="1"/>
    <row r="24682" ht="15" hidden="1" customHeight="1"/>
    <row r="24683" ht="15" hidden="1" customHeight="1"/>
    <row r="24684" ht="15" hidden="1" customHeight="1"/>
    <row r="24685" ht="15" hidden="1" customHeight="1"/>
    <row r="24686" ht="15" hidden="1" customHeight="1"/>
    <row r="24687" ht="15" hidden="1" customHeight="1"/>
    <row r="24688" ht="15" hidden="1" customHeight="1"/>
    <row r="24689" ht="15" hidden="1" customHeight="1"/>
    <row r="24690" ht="15" hidden="1" customHeight="1"/>
    <row r="24691" ht="15" hidden="1" customHeight="1"/>
    <row r="24692" ht="15" hidden="1" customHeight="1"/>
    <row r="24693" ht="15" hidden="1" customHeight="1"/>
    <row r="24694" ht="15" hidden="1" customHeight="1"/>
    <row r="24695" ht="15" hidden="1" customHeight="1"/>
    <row r="24696" ht="15" hidden="1" customHeight="1"/>
    <row r="24697" ht="15" hidden="1" customHeight="1"/>
    <row r="24698" ht="15" hidden="1" customHeight="1"/>
    <row r="24699" ht="15" hidden="1" customHeight="1"/>
    <row r="24700" ht="15" hidden="1" customHeight="1"/>
    <row r="24701" ht="15" hidden="1" customHeight="1"/>
    <row r="24702" ht="15" hidden="1" customHeight="1"/>
    <row r="24703" ht="15" hidden="1" customHeight="1"/>
    <row r="24704" ht="15" hidden="1" customHeight="1"/>
    <row r="24705" ht="15" hidden="1" customHeight="1"/>
    <row r="24706" ht="15" hidden="1" customHeight="1"/>
    <row r="24707" ht="15" hidden="1" customHeight="1"/>
    <row r="24708" ht="15" hidden="1" customHeight="1"/>
    <row r="24709" ht="15" hidden="1" customHeight="1"/>
    <row r="24710" ht="15" hidden="1" customHeight="1"/>
    <row r="24711" ht="15" hidden="1" customHeight="1"/>
    <row r="24712" ht="15" hidden="1" customHeight="1"/>
    <row r="24713" ht="15" hidden="1" customHeight="1"/>
    <row r="24714" ht="15" hidden="1" customHeight="1"/>
    <row r="24715" ht="15" hidden="1" customHeight="1"/>
    <row r="24716" ht="15" hidden="1" customHeight="1"/>
    <row r="24717" ht="15" hidden="1" customHeight="1"/>
    <row r="24718" ht="15" hidden="1" customHeight="1"/>
    <row r="24719" ht="15" hidden="1" customHeight="1"/>
    <row r="24720" ht="15" hidden="1" customHeight="1"/>
    <row r="24721" ht="15" hidden="1" customHeight="1"/>
    <row r="24722" ht="15" hidden="1" customHeight="1"/>
    <row r="24723" ht="15" hidden="1" customHeight="1"/>
    <row r="24724" ht="15" hidden="1" customHeight="1"/>
    <row r="24725" ht="15" hidden="1" customHeight="1"/>
    <row r="24726" ht="15" hidden="1" customHeight="1"/>
    <row r="24727" ht="15" hidden="1" customHeight="1"/>
    <row r="24728" ht="15" hidden="1" customHeight="1"/>
    <row r="24729" ht="15" hidden="1" customHeight="1"/>
    <row r="24730" ht="15" hidden="1" customHeight="1"/>
    <row r="24731" ht="15" hidden="1" customHeight="1"/>
    <row r="24732" ht="15" hidden="1" customHeight="1"/>
    <row r="24733" ht="15" hidden="1" customHeight="1"/>
    <row r="24734" ht="15" hidden="1" customHeight="1"/>
    <row r="24735" ht="15" hidden="1" customHeight="1"/>
    <row r="24736" ht="15" hidden="1" customHeight="1"/>
    <row r="24737" ht="15" hidden="1" customHeight="1"/>
    <row r="24738" ht="15" hidden="1" customHeight="1"/>
    <row r="24739" ht="15" hidden="1" customHeight="1"/>
    <row r="24740" ht="15" hidden="1" customHeight="1"/>
    <row r="24741" ht="15" hidden="1" customHeight="1"/>
    <row r="24742" ht="15" hidden="1" customHeight="1"/>
    <row r="24743" ht="15" hidden="1" customHeight="1"/>
    <row r="24744" ht="15" hidden="1" customHeight="1"/>
    <row r="24745" ht="15" hidden="1" customHeight="1"/>
    <row r="24746" ht="15" hidden="1" customHeight="1"/>
    <row r="24747" ht="15" hidden="1" customHeight="1"/>
    <row r="24748" ht="15" hidden="1" customHeight="1"/>
    <row r="24749" ht="15" hidden="1" customHeight="1"/>
    <row r="24750" ht="15" hidden="1" customHeight="1"/>
    <row r="24751" ht="15" hidden="1" customHeight="1"/>
    <row r="24752" ht="15" hidden="1" customHeight="1"/>
    <row r="24753" ht="15" hidden="1" customHeight="1"/>
    <row r="24754" ht="15" hidden="1" customHeight="1"/>
    <row r="24755" ht="15" hidden="1" customHeight="1"/>
    <row r="24756" ht="15" hidden="1" customHeight="1"/>
    <row r="24757" ht="15" hidden="1" customHeight="1"/>
    <row r="24758" ht="15" hidden="1" customHeight="1"/>
    <row r="24759" ht="15" hidden="1" customHeight="1"/>
    <row r="24760" ht="15" hidden="1" customHeight="1"/>
    <row r="24761" ht="15" hidden="1" customHeight="1"/>
    <row r="24762" ht="15" hidden="1" customHeight="1"/>
    <row r="24763" ht="15" hidden="1" customHeight="1"/>
    <row r="24764" ht="15" hidden="1" customHeight="1"/>
    <row r="24765" ht="15" hidden="1" customHeight="1"/>
    <row r="24766" ht="15" hidden="1" customHeight="1"/>
    <row r="24767" ht="15" hidden="1" customHeight="1"/>
    <row r="24768" ht="15" hidden="1" customHeight="1"/>
    <row r="24769" ht="15" hidden="1" customHeight="1"/>
    <row r="24770" ht="15" hidden="1" customHeight="1"/>
    <row r="24771" ht="15" hidden="1" customHeight="1"/>
    <row r="24772" ht="15" hidden="1" customHeight="1"/>
    <row r="24773" ht="15" hidden="1" customHeight="1"/>
    <row r="24774" ht="15" hidden="1" customHeight="1"/>
    <row r="24775" ht="15" hidden="1" customHeight="1"/>
    <row r="24776" ht="15" hidden="1" customHeight="1"/>
    <row r="24777" ht="15" hidden="1" customHeight="1"/>
    <row r="24778" ht="15" hidden="1" customHeight="1"/>
    <row r="24779" ht="15" hidden="1" customHeight="1"/>
    <row r="24780" ht="15" hidden="1" customHeight="1"/>
    <row r="24781" ht="15" hidden="1" customHeight="1"/>
    <row r="24782" ht="15" hidden="1" customHeight="1"/>
    <row r="24783" ht="15" hidden="1" customHeight="1"/>
    <row r="24784" ht="15" hidden="1" customHeight="1"/>
    <row r="24785" ht="15" hidden="1" customHeight="1"/>
    <row r="24786" ht="15" hidden="1" customHeight="1"/>
    <row r="24787" ht="15" hidden="1" customHeight="1"/>
    <row r="24788" ht="15" hidden="1" customHeight="1"/>
    <row r="24789" ht="15" hidden="1" customHeight="1"/>
    <row r="24790" ht="15" hidden="1" customHeight="1"/>
    <row r="24791" ht="15" hidden="1" customHeight="1"/>
    <row r="24792" ht="15" hidden="1" customHeight="1"/>
    <row r="24793" ht="15" hidden="1" customHeight="1"/>
    <row r="24794" ht="15" hidden="1" customHeight="1"/>
    <row r="24795" ht="15" hidden="1" customHeight="1"/>
    <row r="24796" ht="15" hidden="1" customHeight="1"/>
    <row r="24797" ht="15" hidden="1" customHeight="1"/>
    <row r="24798" ht="15" hidden="1" customHeight="1"/>
    <row r="24799" ht="15" hidden="1" customHeight="1"/>
    <row r="24800" ht="15" hidden="1" customHeight="1"/>
    <row r="24801" ht="15" hidden="1" customHeight="1"/>
    <row r="24802" ht="15" hidden="1" customHeight="1"/>
    <row r="24803" ht="15" hidden="1" customHeight="1"/>
    <row r="24804" ht="15" hidden="1" customHeight="1"/>
    <row r="24805" ht="15" hidden="1" customHeight="1"/>
    <row r="24806" ht="15" hidden="1" customHeight="1"/>
    <row r="24807" ht="15" hidden="1" customHeight="1"/>
    <row r="24808" ht="15" hidden="1" customHeight="1"/>
    <row r="24809" ht="15" hidden="1" customHeight="1"/>
    <row r="24810" ht="15" hidden="1" customHeight="1"/>
    <row r="24811" ht="15" hidden="1" customHeight="1"/>
    <row r="24812" ht="15" hidden="1" customHeight="1"/>
    <row r="24813" ht="15" hidden="1" customHeight="1"/>
    <row r="24814" ht="15" hidden="1" customHeight="1"/>
    <row r="24815" ht="15" hidden="1" customHeight="1"/>
    <row r="24816" ht="15" hidden="1" customHeight="1"/>
    <row r="24817" ht="15" hidden="1" customHeight="1"/>
    <row r="24818" ht="15" hidden="1" customHeight="1"/>
    <row r="24819" ht="15" hidden="1" customHeight="1"/>
    <row r="24820" ht="15" hidden="1" customHeight="1"/>
    <row r="24821" ht="15" hidden="1" customHeight="1"/>
    <row r="24822" ht="15" hidden="1" customHeight="1"/>
    <row r="24823" ht="15" hidden="1" customHeight="1"/>
    <row r="24824" ht="15" hidden="1" customHeight="1"/>
    <row r="24825" ht="15" hidden="1" customHeight="1"/>
    <row r="24826" ht="15" hidden="1" customHeight="1"/>
    <row r="24827" ht="15" hidden="1" customHeight="1"/>
    <row r="24828" ht="15" hidden="1" customHeight="1"/>
    <row r="24829" ht="15" hidden="1" customHeight="1"/>
    <row r="24830" ht="15" hidden="1" customHeight="1"/>
    <row r="24831" ht="15" hidden="1" customHeight="1"/>
    <row r="24832" ht="15" hidden="1" customHeight="1"/>
    <row r="24833" ht="15" hidden="1" customHeight="1"/>
    <row r="24834" ht="15" hidden="1" customHeight="1"/>
    <row r="24835" ht="15" hidden="1" customHeight="1"/>
    <row r="24836" ht="15" hidden="1" customHeight="1"/>
    <row r="24837" ht="15" hidden="1" customHeight="1"/>
    <row r="24838" ht="15" hidden="1" customHeight="1"/>
    <row r="24839" ht="15" hidden="1" customHeight="1"/>
    <row r="24840" ht="15" hidden="1" customHeight="1"/>
    <row r="24841" ht="15" hidden="1" customHeight="1"/>
    <row r="24842" ht="15" hidden="1" customHeight="1"/>
    <row r="24843" ht="15" hidden="1" customHeight="1"/>
    <row r="24844" ht="15" hidden="1" customHeight="1"/>
    <row r="24845" ht="15" hidden="1" customHeight="1"/>
    <row r="24846" ht="15" hidden="1" customHeight="1"/>
    <row r="24847" ht="15" hidden="1" customHeight="1"/>
    <row r="24848" ht="15" hidden="1" customHeight="1"/>
    <row r="24849" ht="15" hidden="1" customHeight="1"/>
    <row r="24850" ht="15" hidden="1" customHeight="1"/>
    <row r="24851" ht="15" hidden="1" customHeight="1"/>
    <row r="24852" ht="15" hidden="1" customHeight="1"/>
    <row r="24853" ht="15" hidden="1" customHeight="1"/>
    <row r="24854" ht="15" hidden="1" customHeight="1"/>
    <row r="24855" ht="15" hidden="1" customHeight="1"/>
    <row r="24856" ht="15" hidden="1" customHeight="1"/>
    <row r="24857" ht="15" hidden="1" customHeight="1"/>
    <row r="24858" ht="15" hidden="1" customHeight="1"/>
    <row r="24859" ht="15" hidden="1" customHeight="1"/>
    <row r="24860" ht="15" hidden="1" customHeight="1"/>
    <row r="24861" ht="15" hidden="1" customHeight="1"/>
    <row r="24862" ht="15" hidden="1" customHeight="1"/>
    <row r="24863" ht="15" hidden="1" customHeight="1"/>
    <row r="24864" ht="15" hidden="1" customHeight="1"/>
    <row r="24865" ht="15" hidden="1" customHeight="1"/>
    <row r="24866" ht="15" hidden="1" customHeight="1"/>
    <row r="24867" ht="15" hidden="1" customHeight="1"/>
    <row r="24868" ht="15" hidden="1" customHeight="1"/>
    <row r="24869" ht="15" hidden="1" customHeight="1"/>
    <row r="24870" ht="15" hidden="1" customHeight="1"/>
    <row r="24871" ht="15" hidden="1" customHeight="1"/>
    <row r="24872" ht="15" hidden="1" customHeight="1"/>
    <row r="24873" ht="15" hidden="1" customHeight="1"/>
    <row r="24874" ht="15" hidden="1" customHeight="1"/>
    <row r="24875" ht="15" hidden="1" customHeight="1"/>
    <row r="24876" ht="15" hidden="1" customHeight="1"/>
    <row r="24877" ht="15" hidden="1" customHeight="1"/>
    <row r="24878" ht="15" hidden="1" customHeight="1"/>
    <row r="24879" ht="15" hidden="1" customHeight="1"/>
    <row r="24880" ht="15" hidden="1" customHeight="1"/>
    <row r="24881" ht="15" hidden="1" customHeight="1"/>
    <row r="24882" ht="15" hidden="1" customHeight="1"/>
    <row r="24883" ht="15" hidden="1" customHeight="1"/>
    <row r="24884" ht="15" hidden="1" customHeight="1"/>
    <row r="24885" ht="15" hidden="1" customHeight="1"/>
    <row r="24886" ht="15" hidden="1" customHeight="1"/>
    <row r="24887" ht="15" hidden="1" customHeight="1"/>
    <row r="24888" ht="15" hidden="1" customHeight="1"/>
    <row r="24889" ht="15" hidden="1" customHeight="1"/>
    <row r="24890" ht="15" hidden="1" customHeight="1"/>
    <row r="24891" ht="15" hidden="1" customHeight="1"/>
    <row r="24892" ht="15" hidden="1" customHeight="1"/>
    <row r="24893" ht="15" hidden="1" customHeight="1"/>
    <row r="24894" ht="15" hidden="1" customHeight="1"/>
    <row r="24895" ht="15" hidden="1" customHeight="1"/>
    <row r="24896" ht="15" hidden="1" customHeight="1"/>
    <row r="24897" ht="15" hidden="1" customHeight="1"/>
    <row r="24898" ht="15" hidden="1" customHeight="1"/>
    <row r="24899" ht="15" hidden="1" customHeight="1"/>
    <row r="24900" ht="15" hidden="1" customHeight="1"/>
    <row r="24901" ht="15" hidden="1" customHeight="1"/>
    <row r="24902" ht="15" hidden="1" customHeight="1"/>
    <row r="24903" ht="15" hidden="1" customHeight="1"/>
    <row r="24904" ht="15" hidden="1" customHeight="1"/>
    <row r="24905" ht="15" hidden="1" customHeight="1"/>
    <row r="24906" ht="15" hidden="1" customHeight="1"/>
    <row r="24907" ht="15" hidden="1" customHeight="1"/>
    <row r="24908" ht="15" hidden="1" customHeight="1"/>
    <row r="24909" ht="15" hidden="1" customHeight="1"/>
    <row r="24910" ht="15" hidden="1" customHeight="1"/>
    <row r="24911" ht="15" hidden="1" customHeight="1"/>
    <row r="24912" ht="15" hidden="1" customHeight="1"/>
    <row r="24913" ht="15" hidden="1" customHeight="1"/>
    <row r="24914" ht="15" hidden="1" customHeight="1"/>
    <row r="24915" ht="15" hidden="1" customHeight="1"/>
    <row r="24916" ht="15" hidden="1" customHeight="1"/>
    <row r="24917" ht="15" hidden="1" customHeight="1"/>
    <row r="24918" ht="15" hidden="1" customHeight="1"/>
    <row r="24919" ht="15" hidden="1" customHeight="1"/>
    <row r="24920" ht="15" hidden="1" customHeight="1"/>
    <row r="24921" ht="15" hidden="1" customHeight="1"/>
    <row r="24922" ht="15" hidden="1" customHeight="1"/>
    <row r="24923" ht="15" hidden="1" customHeight="1"/>
    <row r="24924" ht="15" hidden="1" customHeight="1"/>
    <row r="24925" ht="15" hidden="1" customHeight="1"/>
    <row r="24926" ht="15" hidden="1" customHeight="1"/>
    <row r="24927" ht="15" hidden="1" customHeight="1"/>
    <row r="24928" ht="15" hidden="1" customHeight="1"/>
    <row r="24929" ht="15" hidden="1" customHeight="1"/>
    <row r="24930" ht="15" hidden="1" customHeight="1"/>
    <row r="24931" ht="15" hidden="1" customHeight="1"/>
    <row r="24932" ht="15" hidden="1" customHeight="1"/>
    <row r="24933" ht="15" hidden="1" customHeight="1"/>
    <row r="24934" ht="15" hidden="1" customHeight="1"/>
    <row r="24935" ht="15" hidden="1" customHeight="1"/>
    <row r="24936" ht="15" hidden="1" customHeight="1"/>
    <row r="24937" ht="15" hidden="1" customHeight="1"/>
    <row r="24938" ht="15" hidden="1" customHeight="1"/>
    <row r="24939" ht="15" hidden="1" customHeight="1"/>
    <row r="24940" ht="15" hidden="1" customHeight="1"/>
    <row r="24941" ht="15" hidden="1" customHeight="1"/>
    <row r="24942" ht="15" hidden="1" customHeight="1"/>
    <row r="24943" ht="15" hidden="1" customHeight="1"/>
    <row r="24944" ht="15" hidden="1" customHeight="1"/>
    <row r="24945" ht="15" hidden="1" customHeight="1"/>
    <row r="24946" ht="15" hidden="1" customHeight="1"/>
    <row r="24947" ht="15" hidden="1" customHeight="1"/>
    <row r="24948" ht="15" hidden="1" customHeight="1"/>
    <row r="24949" ht="15" hidden="1" customHeight="1"/>
    <row r="24950" ht="15" hidden="1" customHeight="1"/>
    <row r="24951" ht="15" hidden="1" customHeight="1"/>
    <row r="24952" ht="15" hidden="1" customHeight="1"/>
    <row r="24953" ht="15" hidden="1" customHeight="1"/>
    <row r="24954" ht="15" hidden="1" customHeight="1"/>
    <row r="24955" ht="15" hidden="1" customHeight="1"/>
    <row r="24956" ht="15" hidden="1" customHeight="1"/>
    <row r="24957" ht="15" hidden="1" customHeight="1"/>
    <row r="24958" ht="15" hidden="1" customHeight="1"/>
    <row r="24959" ht="15" hidden="1" customHeight="1"/>
    <row r="24960" ht="15" hidden="1" customHeight="1"/>
    <row r="24961" ht="15" hidden="1" customHeight="1"/>
    <row r="24962" ht="15" hidden="1" customHeight="1"/>
    <row r="24963" ht="15" hidden="1" customHeight="1"/>
    <row r="24964" ht="15" hidden="1" customHeight="1"/>
    <row r="24965" ht="15" hidden="1" customHeight="1"/>
    <row r="24966" ht="15" hidden="1" customHeight="1"/>
    <row r="24967" ht="15" hidden="1" customHeight="1"/>
    <row r="24968" ht="15" hidden="1" customHeight="1"/>
    <row r="24969" ht="15" hidden="1" customHeight="1"/>
    <row r="24970" ht="15" hidden="1" customHeight="1"/>
    <row r="24971" ht="15" hidden="1" customHeight="1"/>
    <row r="24972" ht="15" hidden="1" customHeight="1"/>
    <row r="24973" ht="15" hidden="1" customHeight="1"/>
    <row r="24974" ht="15" hidden="1" customHeight="1"/>
    <row r="24975" ht="15" hidden="1" customHeight="1"/>
    <row r="24976" ht="15" hidden="1" customHeight="1"/>
    <row r="24977" ht="15" hidden="1" customHeight="1"/>
    <row r="24978" ht="15" hidden="1" customHeight="1"/>
    <row r="24979" ht="15" hidden="1" customHeight="1"/>
    <row r="24980" ht="15" hidden="1" customHeight="1"/>
    <row r="24981" ht="15" hidden="1" customHeight="1"/>
    <row r="24982" ht="15" hidden="1" customHeight="1"/>
    <row r="24983" ht="15" hidden="1" customHeight="1"/>
    <row r="24984" ht="15" hidden="1" customHeight="1"/>
    <row r="24985" ht="15" hidden="1" customHeight="1"/>
    <row r="24986" ht="15" hidden="1" customHeight="1"/>
    <row r="24987" ht="15" hidden="1" customHeight="1"/>
    <row r="24988" ht="15" hidden="1" customHeight="1"/>
    <row r="24989" ht="15" hidden="1" customHeight="1"/>
    <row r="24990" ht="15" hidden="1" customHeight="1"/>
    <row r="24991" ht="15" hidden="1" customHeight="1"/>
    <row r="24992" ht="15" hidden="1" customHeight="1"/>
    <row r="24993" ht="15" hidden="1" customHeight="1"/>
    <row r="24994" ht="15" hidden="1" customHeight="1"/>
    <row r="24995" ht="15" hidden="1" customHeight="1"/>
    <row r="24996" ht="15" hidden="1" customHeight="1"/>
    <row r="24997" ht="15" hidden="1" customHeight="1"/>
    <row r="24998" ht="15" hidden="1" customHeight="1"/>
    <row r="24999" ht="15" hidden="1" customHeight="1"/>
    <row r="25000" ht="15" hidden="1" customHeight="1"/>
    <row r="25001" ht="15" hidden="1" customHeight="1"/>
    <row r="25002" ht="15" hidden="1" customHeight="1"/>
    <row r="25003" ht="15" hidden="1" customHeight="1"/>
    <row r="25004" ht="15" hidden="1" customHeight="1"/>
    <row r="25005" ht="15" hidden="1" customHeight="1"/>
    <row r="25006" ht="15" hidden="1" customHeight="1"/>
    <row r="25007" ht="15" hidden="1" customHeight="1"/>
    <row r="25008" ht="15" hidden="1" customHeight="1"/>
    <row r="25009" ht="15" hidden="1" customHeight="1"/>
    <row r="25010" ht="15" hidden="1" customHeight="1"/>
    <row r="25011" ht="15" hidden="1" customHeight="1"/>
    <row r="25012" ht="15" hidden="1" customHeight="1"/>
    <row r="25013" ht="15" hidden="1" customHeight="1"/>
    <row r="25014" ht="15" hidden="1" customHeight="1"/>
    <row r="25015" ht="15" hidden="1" customHeight="1"/>
    <row r="25016" ht="15" hidden="1" customHeight="1"/>
    <row r="25017" ht="15" hidden="1" customHeight="1"/>
    <row r="25018" ht="15" hidden="1" customHeight="1"/>
    <row r="25019" ht="15" hidden="1" customHeight="1"/>
    <row r="25020" ht="15" hidden="1" customHeight="1"/>
    <row r="25021" ht="15" hidden="1" customHeight="1"/>
    <row r="25022" ht="15" hidden="1" customHeight="1"/>
    <row r="25023" ht="15" hidden="1" customHeight="1"/>
    <row r="25024" ht="15" hidden="1" customHeight="1"/>
    <row r="25025" ht="15" hidden="1" customHeight="1"/>
    <row r="25026" ht="15" hidden="1" customHeight="1"/>
    <row r="25027" ht="15" hidden="1" customHeight="1"/>
    <row r="25028" ht="15" hidden="1" customHeight="1"/>
    <row r="25029" ht="15" hidden="1" customHeight="1"/>
    <row r="25030" ht="15" hidden="1" customHeight="1"/>
    <row r="25031" ht="15" hidden="1" customHeight="1"/>
    <row r="25032" ht="15" hidden="1" customHeight="1"/>
    <row r="25033" ht="15" hidden="1" customHeight="1"/>
    <row r="25034" ht="15" hidden="1" customHeight="1"/>
    <row r="25035" ht="15" hidden="1" customHeight="1"/>
    <row r="25036" ht="15" hidden="1" customHeight="1"/>
    <row r="25037" ht="15" hidden="1" customHeight="1"/>
    <row r="25038" ht="15" hidden="1" customHeight="1"/>
    <row r="25039" ht="15" hidden="1" customHeight="1"/>
    <row r="25040" ht="15" hidden="1" customHeight="1"/>
    <row r="25041" ht="15" hidden="1" customHeight="1"/>
    <row r="25042" ht="15" hidden="1" customHeight="1"/>
    <row r="25043" ht="15" hidden="1" customHeight="1"/>
    <row r="25044" ht="15" hidden="1" customHeight="1"/>
    <row r="25045" ht="15" hidden="1" customHeight="1"/>
    <row r="25046" ht="15" hidden="1" customHeight="1"/>
    <row r="25047" ht="15" hidden="1" customHeight="1"/>
    <row r="25048" ht="15" hidden="1" customHeight="1"/>
    <row r="25049" ht="15" hidden="1" customHeight="1"/>
    <row r="25050" ht="15" hidden="1" customHeight="1"/>
    <row r="25051" ht="15" hidden="1" customHeight="1"/>
    <row r="25052" ht="15" hidden="1" customHeight="1"/>
    <row r="25053" ht="15" hidden="1" customHeight="1"/>
    <row r="25054" ht="15" hidden="1" customHeight="1"/>
    <row r="25055" ht="15" hidden="1" customHeight="1"/>
    <row r="25056" ht="15" hidden="1" customHeight="1"/>
    <row r="25057" ht="15" hidden="1" customHeight="1"/>
    <row r="25058" ht="15" hidden="1" customHeight="1"/>
    <row r="25059" ht="15" hidden="1" customHeight="1"/>
    <row r="25060" ht="15" hidden="1" customHeight="1"/>
    <row r="25061" ht="15" hidden="1" customHeight="1"/>
    <row r="25062" ht="15" hidden="1" customHeight="1"/>
    <row r="25063" ht="15" hidden="1" customHeight="1"/>
    <row r="25064" ht="15" hidden="1" customHeight="1"/>
    <row r="25065" ht="15" hidden="1" customHeight="1"/>
    <row r="25066" ht="15" hidden="1" customHeight="1"/>
    <row r="25067" ht="15" hidden="1" customHeight="1"/>
    <row r="25068" ht="15" hidden="1" customHeight="1"/>
    <row r="25069" ht="15" hidden="1" customHeight="1"/>
    <row r="25070" ht="15" hidden="1" customHeight="1"/>
    <row r="25071" ht="15" hidden="1" customHeight="1"/>
    <row r="25072" ht="15" hidden="1" customHeight="1"/>
    <row r="25073" ht="15" hidden="1" customHeight="1"/>
    <row r="25074" ht="15" hidden="1" customHeight="1"/>
    <row r="25075" ht="15" hidden="1" customHeight="1"/>
    <row r="25076" ht="15" hidden="1" customHeight="1"/>
    <row r="25077" ht="15" hidden="1" customHeight="1"/>
    <row r="25078" ht="15" hidden="1" customHeight="1"/>
    <row r="25079" ht="15" hidden="1" customHeight="1"/>
    <row r="25080" ht="15" hidden="1" customHeight="1"/>
    <row r="25081" ht="15" hidden="1" customHeight="1"/>
    <row r="25082" ht="15" hidden="1" customHeight="1"/>
    <row r="25083" ht="15" hidden="1" customHeight="1"/>
    <row r="25084" ht="15" hidden="1" customHeight="1"/>
    <row r="25085" ht="15" hidden="1" customHeight="1"/>
    <row r="25086" ht="15" hidden="1" customHeight="1"/>
    <row r="25087" ht="15" hidden="1" customHeight="1"/>
    <row r="25088" ht="15" hidden="1" customHeight="1"/>
    <row r="25089" ht="15" hidden="1" customHeight="1"/>
    <row r="25090" ht="15" hidden="1" customHeight="1"/>
    <row r="25091" ht="15" hidden="1" customHeight="1"/>
    <row r="25092" ht="15" hidden="1" customHeight="1"/>
    <row r="25093" ht="15" hidden="1" customHeight="1"/>
    <row r="25094" ht="15" hidden="1" customHeight="1"/>
    <row r="25095" ht="15" hidden="1" customHeight="1"/>
    <row r="25096" ht="15" hidden="1" customHeight="1"/>
    <row r="25097" ht="15" hidden="1" customHeight="1"/>
    <row r="25098" ht="15" hidden="1" customHeight="1"/>
    <row r="25099" ht="15" hidden="1" customHeight="1"/>
    <row r="25100" ht="15" hidden="1" customHeight="1"/>
    <row r="25101" ht="15" hidden="1" customHeight="1"/>
    <row r="25102" ht="15" hidden="1" customHeight="1"/>
    <row r="25103" ht="15" hidden="1" customHeight="1"/>
    <row r="25104" ht="15" hidden="1" customHeight="1"/>
    <row r="25105" ht="15" hidden="1" customHeight="1"/>
    <row r="25106" ht="15" hidden="1" customHeight="1"/>
    <row r="25107" ht="15" hidden="1" customHeight="1"/>
    <row r="25108" ht="15" hidden="1" customHeight="1"/>
    <row r="25109" ht="15" hidden="1" customHeight="1"/>
    <row r="25110" ht="15" hidden="1" customHeight="1"/>
    <row r="25111" ht="15" hidden="1" customHeight="1"/>
    <row r="25112" ht="15" hidden="1" customHeight="1"/>
    <row r="25113" ht="15" hidden="1" customHeight="1"/>
    <row r="25114" ht="15" hidden="1" customHeight="1"/>
    <row r="25115" ht="15" hidden="1" customHeight="1"/>
    <row r="25116" ht="15" hidden="1" customHeight="1"/>
    <row r="25117" ht="15" hidden="1" customHeight="1"/>
    <row r="25118" ht="15" hidden="1" customHeight="1"/>
    <row r="25119" ht="15" hidden="1" customHeight="1"/>
    <row r="25120" ht="15" hidden="1" customHeight="1"/>
    <row r="25121" ht="15" hidden="1" customHeight="1"/>
    <row r="25122" ht="15" hidden="1" customHeight="1"/>
    <row r="25123" ht="15" hidden="1" customHeight="1"/>
    <row r="25124" ht="15" hidden="1" customHeight="1"/>
    <row r="25125" ht="15" hidden="1" customHeight="1"/>
    <row r="25126" ht="15" hidden="1" customHeight="1"/>
    <row r="25127" ht="15" hidden="1" customHeight="1"/>
    <row r="25128" ht="15" hidden="1" customHeight="1"/>
    <row r="25129" ht="15" hidden="1" customHeight="1"/>
    <row r="25130" ht="15" hidden="1" customHeight="1"/>
    <row r="25131" ht="15" hidden="1" customHeight="1"/>
    <row r="25132" ht="15" hidden="1" customHeight="1"/>
    <row r="25133" ht="15" hidden="1" customHeight="1"/>
    <row r="25134" ht="15" hidden="1" customHeight="1"/>
    <row r="25135" ht="15" hidden="1" customHeight="1"/>
    <row r="25136" ht="15" hidden="1" customHeight="1"/>
    <row r="25137" ht="15" hidden="1" customHeight="1"/>
    <row r="25138" ht="15" hidden="1" customHeight="1"/>
    <row r="25139" ht="15" hidden="1" customHeight="1"/>
    <row r="25140" ht="15" hidden="1" customHeight="1"/>
    <row r="25141" ht="15" hidden="1" customHeight="1"/>
    <row r="25142" ht="15" hidden="1" customHeight="1"/>
    <row r="25143" ht="15" hidden="1" customHeight="1"/>
    <row r="25144" ht="15" hidden="1" customHeight="1"/>
    <row r="25145" ht="15" hidden="1" customHeight="1"/>
    <row r="25146" ht="15" hidden="1" customHeight="1"/>
    <row r="25147" ht="15" hidden="1" customHeight="1"/>
    <row r="25148" ht="15" hidden="1" customHeight="1"/>
    <row r="25149" ht="15" hidden="1" customHeight="1"/>
    <row r="25150" ht="15" hidden="1" customHeight="1"/>
    <row r="25151" ht="15" hidden="1" customHeight="1"/>
    <row r="25152" ht="15" hidden="1" customHeight="1"/>
    <row r="25153" ht="15" hidden="1" customHeight="1"/>
    <row r="25154" ht="15" hidden="1" customHeight="1"/>
    <row r="25155" ht="15" hidden="1" customHeight="1"/>
    <row r="25156" ht="15" hidden="1" customHeight="1"/>
    <row r="25157" ht="15" hidden="1" customHeight="1"/>
    <row r="25158" ht="15" hidden="1" customHeight="1"/>
    <row r="25159" ht="15" hidden="1" customHeight="1"/>
    <row r="25160" ht="15" hidden="1" customHeight="1"/>
    <row r="25161" ht="15" hidden="1" customHeight="1"/>
    <row r="25162" ht="15" hidden="1" customHeight="1"/>
    <row r="25163" ht="15" hidden="1" customHeight="1"/>
    <row r="25164" ht="15" hidden="1" customHeight="1"/>
    <row r="25165" ht="15" hidden="1" customHeight="1"/>
    <row r="25166" ht="15" hidden="1" customHeight="1"/>
    <row r="25167" ht="15" hidden="1" customHeight="1"/>
    <row r="25168" ht="15" hidden="1" customHeight="1"/>
    <row r="25169" ht="15" hidden="1" customHeight="1"/>
    <row r="25170" ht="15" hidden="1" customHeight="1"/>
    <row r="25171" ht="15" hidden="1" customHeight="1"/>
    <row r="25172" ht="15" hidden="1" customHeight="1"/>
    <row r="25173" ht="15" hidden="1" customHeight="1"/>
    <row r="25174" ht="15" hidden="1" customHeight="1"/>
    <row r="25175" ht="15" hidden="1" customHeight="1"/>
    <row r="25176" ht="15" hidden="1" customHeight="1"/>
    <row r="25177" ht="15" hidden="1" customHeight="1"/>
    <row r="25178" ht="15" hidden="1" customHeight="1"/>
    <row r="25179" ht="15" hidden="1" customHeight="1"/>
    <row r="25180" ht="15" hidden="1" customHeight="1"/>
    <row r="25181" ht="15" hidden="1" customHeight="1"/>
    <row r="25182" ht="15" hidden="1" customHeight="1"/>
    <row r="25183" ht="15" hidden="1" customHeight="1"/>
    <row r="25184" ht="15" hidden="1" customHeight="1"/>
    <row r="25185" ht="15" hidden="1" customHeight="1"/>
    <row r="25186" ht="15" hidden="1" customHeight="1"/>
    <row r="25187" ht="15" hidden="1" customHeight="1"/>
    <row r="25188" ht="15" hidden="1" customHeight="1"/>
    <row r="25189" ht="15" hidden="1" customHeight="1"/>
    <row r="25190" ht="15" hidden="1" customHeight="1"/>
    <row r="25191" ht="15" hidden="1" customHeight="1"/>
    <row r="25192" ht="15" hidden="1" customHeight="1"/>
    <row r="25193" ht="15" hidden="1" customHeight="1"/>
    <row r="25194" ht="15" hidden="1" customHeight="1"/>
    <row r="25195" ht="15" hidden="1" customHeight="1"/>
    <row r="25196" ht="15" hidden="1" customHeight="1"/>
    <row r="25197" ht="15" hidden="1" customHeight="1"/>
    <row r="25198" ht="15" hidden="1" customHeight="1"/>
    <row r="25199" ht="15" hidden="1" customHeight="1"/>
    <row r="25200" ht="15" hidden="1" customHeight="1"/>
    <row r="25201" ht="15" hidden="1" customHeight="1"/>
    <row r="25202" ht="15" hidden="1" customHeight="1"/>
    <row r="25203" ht="15" hidden="1" customHeight="1"/>
    <row r="25204" ht="15" hidden="1" customHeight="1"/>
    <row r="25205" ht="15" hidden="1" customHeight="1"/>
    <row r="25206" ht="15" hidden="1" customHeight="1"/>
    <row r="25207" ht="15" hidden="1" customHeight="1"/>
    <row r="25208" ht="15" hidden="1" customHeight="1"/>
    <row r="25209" ht="15" hidden="1" customHeight="1"/>
    <row r="25210" ht="15" hidden="1" customHeight="1"/>
    <row r="25211" ht="15" hidden="1" customHeight="1"/>
    <row r="25212" ht="15" hidden="1" customHeight="1"/>
    <row r="25213" ht="15" hidden="1" customHeight="1"/>
    <row r="25214" ht="15" hidden="1" customHeight="1"/>
    <row r="25215" ht="15" hidden="1" customHeight="1"/>
    <row r="25216" ht="15" hidden="1" customHeight="1"/>
    <row r="25217" ht="15" hidden="1" customHeight="1"/>
    <row r="25218" ht="15" hidden="1" customHeight="1"/>
    <row r="25219" ht="15" hidden="1" customHeight="1"/>
    <row r="25220" ht="15" hidden="1" customHeight="1"/>
    <row r="25221" ht="15" hidden="1" customHeight="1"/>
    <row r="25222" ht="15" hidden="1" customHeight="1"/>
    <row r="25223" ht="15" hidden="1" customHeight="1"/>
    <row r="25224" ht="15" hidden="1" customHeight="1"/>
    <row r="25225" ht="15" hidden="1" customHeight="1"/>
    <row r="25226" ht="15" hidden="1" customHeight="1"/>
    <row r="25227" ht="15" hidden="1" customHeight="1"/>
    <row r="25228" ht="15" hidden="1" customHeight="1"/>
    <row r="25229" ht="15" hidden="1" customHeight="1"/>
    <row r="25230" ht="15" hidden="1" customHeight="1"/>
    <row r="25231" ht="15" hidden="1" customHeight="1"/>
    <row r="25232" ht="15" hidden="1" customHeight="1"/>
    <row r="25233" ht="15" hidden="1" customHeight="1"/>
    <row r="25234" ht="15" hidden="1" customHeight="1"/>
    <row r="25235" ht="15" hidden="1" customHeight="1"/>
    <row r="25236" ht="15" hidden="1" customHeight="1"/>
    <row r="25237" ht="15" hidden="1" customHeight="1"/>
    <row r="25238" ht="15" hidden="1" customHeight="1"/>
    <row r="25239" ht="15" hidden="1" customHeight="1"/>
    <row r="25240" ht="15" hidden="1" customHeight="1"/>
    <row r="25241" ht="15" hidden="1" customHeight="1"/>
    <row r="25242" ht="15" hidden="1" customHeight="1"/>
    <row r="25243" ht="15" hidden="1" customHeight="1"/>
    <row r="25244" ht="15" hidden="1" customHeight="1"/>
    <row r="25245" ht="15" hidden="1" customHeight="1"/>
    <row r="25246" ht="15" hidden="1" customHeight="1"/>
    <row r="25247" ht="15" hidden="1" customHeight="1"/>
    <row r="25248" ht="15" hidden="1" customHeight="1"/>
    <row r="25249" ht="15" hidden="1" customHeight="1"/>
    <row r="25250" ht="15" hidden="1" customHeight="1"/>
    <row r="25251" ht="15" hidden="1" customHeight="1"/>
    <row r="25252" ht="15" hidden="1" customHeight="1"/>
    <row r="25253" ht="15" hidden="1" customHeight="1"/>
    <row r="25254" ht="15" hidden="1" customHeight="1"/>
    <row r="25255" ht="15" hidden="1" customHeight="1"/>
    <row r="25256" ht="15" hidden="1" customHeight="1"/>
    <row r="25257" ht="15" hidden="1" customHeight="1"/>
    <row r="25258" ht="15" hidden="1" customHeight="1"/>
    <row r="25259" ht="15" hidden="1" customHeight="1"/>
    <row r="25260" ht="15" hidden="1" customHeight="1"/>
    <row r="25261" ht="15" hidden="1" customHeight="1"/>
    <row r="25262" ht="15" hidden="1" customHeight="1"/>
    <row r="25263" ht="15" hidden="1" customHeight="1"/>
    <row r="25264" ht="15" hidden="1" customHeight="1"/>
    <row r="25265" ht="15" hidden="1" customHeight="1"/>
    <row r="25266" ht="15" hidden="1" customHeight="1"/>
    <row r="25267" ht="15" hidden="1" customHeight="1"/>
    <row r="25268" ht="15" hidden="1" customHeight="1"/>
    <row r="25269" ht="15" hidden="1" customHeight="1"/>
    <row r="25270" ht="15" hidden="1" customHeight="1"/>
    <row r="25271" ht="15" hidden="1" customHeight="1"/>
    <row r="25272" ht="15" hidden="1" customHeight="1"/>
    <row r="25273" ht="15" hidden="1" customHeight="1"/>
    <row r="25274" ht="15" hidden="1" customHeight="1"/>
    <row r="25275" ht="15" hidden="1" customHeight="1"/>
    <row r="25276" ht="15" hidden="1" customHeight="1"/>
    <row r="25277" ht="15" hidden="1" customHeight="1"/>
    <row r="25278" ht="15" hidden="1" customHeight="1"/>
    <row r="25279" ht="15" hidden="1" customHeight="1"/>
    <row r="25280" ht="15" hidden="1" customHeight="1"/>
    <row r="25281" ht="15" hidden="1" customHeight="1"/>
    <row r="25282" ht="15" hidden="1" customHeight="1"/>
    <row r="25283" ht="15" hidden="1" customHeight="1"/>
    <row r="25284" ht="15" hidden="1" customHeight="1"/>
    <row r="25285" ht="15" hidden="1" customHeight="1"/>
    <row r="25286" ht="15" hidden="1" customHeight="1"/>
    <row r="25287" ht="15" hidden="1" customHeight="1"/>
    <row r="25288" ht="15" hidden="1" customHeight="1"/>
    <row r="25289" ht="15" hidden="1" customHeight="1"/>
    <row r="25290" ht="15" hidden="1" customHeight="1"/>
    <row r="25291" ht="15" hidden="1" customHeight="1"/>
    <row r="25292" ht="15" hidden="1" customHeight="1"/>
    <row r="25293" ht="15" hidden="1" customHeight="1"/>
    <row r="25294" ht="15" hidden="1" customHeight="1"/>
    <row r="25295" ht="15" hidden="1" customHeight="1"/>
    <row r="25296" ht="15" hidden="1" customHeight="1"/>
    <row r="25297" ht="15" hidden="1" customHeight="1"/>
    <row r="25298" ht="15" hidden="1" customHeight="1"/>
    <row r="25299" ht="15" hidden="1" customHeight="1"/>
    <row r="25300" ht="15" hidden="1" customHeight="1"/>
    <row r="25301" ht="15" hidden="1" customHeight="1"/>
    <row r="25302" ht="15" hidden="1" customHeight="1"/>
    <row r="25303" ht="15" hidden="1" customHeight="1"/>
    <row r="25304" ht="15" hidden="1" customHeight="1"/>
    <row r="25305" ht="15" hidden="1" customHeight="1"/>
    <row r="25306" ht="15" hidden="1" customHeight="1"/>
    <row r="25307" ht="15" hidden="1" customHeight="1"/>
    <row r="25308" ht="15" hidden="1" customHeight="1"/>
    <row r="25309" ht="15" hidden="1" customHeight="1"/>
    <row r="25310" ht="15" hidden="1" customHeight="1"/>
    <row r="25311" ht="15" hidden="1" customHeight="1"/>
    <row r="25312" ht="15" hidden="1" customHeight="1"/>
    <row r="25313" ht="15" hidden="1" customHeight="1"/>
    <row r="25314" ht="15" hidden="1" customHeight="1"/>
    <row r="25315" ht="15" hidden="1" customHeight="1"/>
    <row r="25316" ht="15" hidden="1" customHeight="1"/>
    <row r="25317" ht="15" hidden="1" customHeight="1"/>
    <row r="25318" ht="15" hidden="1" customHeight="1"/>
    <row r="25319" ht="15" hidden="1" customHeight="1"/>
    <row r="25320" ht="15" hidden="1" customHeight="1"/>
    <row r="25321" ht="15" hidden="1" customHeight="1"/>
    <row r="25322" ht="15" hidden="1" customHeight="1"/>
    <row r="25323" ht="15" hidden="1" customHeight="1"/>
    <row r="25324" ht="15" hidden="1" customHeight="1"/>
    <row r="25325" ht="15" hidden="1" customHeight="1"/>
    <row r="25326" ht="15" hidden="1" customHeight="1"/>
    <row r="25327" ht="15" hidden="1" customHeight="1"/>
    <row r="25328" ht="15" hidden="1" customHeight="1"/>
    <row r="25329" ht="15" hidden="1" customHeight="1"/>
    <row r="25330" ht="15" hidden="1" customHeight="1"/>
    <row r="25331" ht="15" hidden="1" customHeight="1"/>
    <row r="25332" ht="15" hidden="1" customHeight="1"/>
    <row r="25333" ht="15" hidden="1" customHeight="1"/>
    <row r="25334" ht="15" hidden="1" customHeight="1"/>
    <row r="25335" ht="15" hidden="1" customHeight="1"/>
    <row r="25336" ht="15" hidden="1" customHeight="1"/>
    <row r="25337" ht="15" hidden="1" customHeight="1"/>
    <row r="25338" ht="15" hidden="1" customHeight="1"/>
    <row r="25339" ht="15" hidden="1" customHeight="1"/>
    <row r="25340" ht="15" hidden="1" customHeight="1"/>
    <row r="25341" ht="15" hidden="1" customHeight="1"/>
    <row r="25342" ht="15" hidden="1" customHeight="1"/>
    <row r="25343" ht="15" hidden="1" customHeight="1"/>
    <row r="25344" ht="15" hidden="1" customHeight="1"/>
    <row r="25345" ht="15" hidden="1" customHeight="1"/>
    <row r="25346" ht="15" hidden="1" customHeight="1"/>
    <row r="25347" ht="15" hidden="1" customHeight="1"/>
    <row r="25348" ht="15" hidden="1" customHeight="1"/>
    <row r="25349" ht="15" hidden="1" customHeight="1"/>
    <row r="25350" ht="15" hidden="1" customHeight="1"/>
    <row r="25351" ht="15" hidden="1" customHeight="1"/>
    <row r="25352" ht="15" hidden="1" customHeight="1"/>
    <row r="25353" ht="15" hidden="1" customHeight="1"/>
    <row r="25354" ht="15" hidden="1" customHeight="1"/>
    <row r="25355" ht="15" hidden="1" customHeight="1"/>
    <row r="25356" ht="15" hidden="1" customHeight="1"/>
    <row r="25357" ht="15" hidden="1" customHeight="1"/>
    <row r="25358" ht="15" hidden="1" customHeight="1"/>
    <row r="25359" ht="15" hidden="1" customHeight="1"/>
    <row r="25360" ht="15" hidden="1" customHeight="1"/>
    <row r="25361" ht="15" hidden="1" customHeight="1"/>
    <row r="25362" ht="15" hidden="1" customHeight="1"/>
    <row r="25363" ht="15" hidden="1" customHeight="1"/>
    <row r="25364" ht="15" hidden="1" customHeight="1"/>
    <row r="25365" ht="15" hidden="1" customHeight="1"/>
    <row r="25366" ht="15" hidden="1" customHeight="1"/>
    <row r="25367" ht="15" hidden="1" customHeight="1"/>
    <row r="25368" ht="15" hidden="1" customHeight="1"/>
    <row r="25369" ht="15" hidden="1" customHeight="1"/>
    <row r="25370" ht="15" hidden="1" customHeight="1"/>
    <row r="25371" ht="15" hidden="1" customHeight="1"/>
    <row r="25372" ht="15" hidden="1" customHeight="1"/>
    <row r="25373" ht="15" hidden="1" customHeight="1"/>
    <row r="25374" ht="15" hidden="1" customHeight="1"/>
    <row r="25375" ht="15" hidden="1" customHeight="1"/>
    <row r="25376" ht="15" hidden="1" customHeight="1"/>
    <row r="25377" ht="15" hidden="1" customHeight="1"/>
    <row r="25378" ht="15" hidden="1" customHeight="1"/>
    <row r="25379" ht="15" hidden="1" customHeight="1"/>
    <row r="25380" ht="15" hidden="1" customHeight="1"/>
    <row r="25381" ht="15" hidden="1" customHeight="1"/>
    <row r="25382" ht="15" hidden="1" customHeight="1"/>
    <row r="25383" ht="15" hidden="1" customHeight="1"/>
    <row r="25384" ht="15" hidden="1" customHeight="1"/>
    <row r="25385" ht="15" hidden="1" customHeight="1"/>
    <row r="25386" ht="15" hidden="1" customHeight="1"/>
    <row r="25387" ht="15" hidden="1" customHeight="1"/>
    <row r="25388" ht="15" hidden="1" customHeight="1"/>
    <row r="25389" ht="15" hidden="1" customHeight="1"/>
    <row r="25390" ht="15" hidden="1" customHeight="1"/>
    <row r="25391" ht="15" hidden="1" customHeight="1"/>
    <row r="25392" ht="15" hidden="1" customHeight="1"/>
    <row r="25393" ht="15" hidden="1" customHeight="1"/>
    <row r="25394" ht="15" hidden="1" customHeight="1"/>
    <row r="25395" ht="15" hidden="1" customHeight="1"/>
    <row r="25396" ht="15" hidden="1" customHeight="1"/>
    <row r="25397" ht="15" hidden="1" customHeight="1"/>
    <row r="25398" ht="15" hidden="1" customHeight="1"/>
    <row r="25399" ht="15" hidden="1" customHeight="1"/>
    <row r="25400" ht="15" hidden="1" customHeight="1"/>
    <row r="25401" ht="15" hidden="1" customHeight="1"/>
    <row r="25402" ht="15" hidden="1" customHeight="1"/>
    <row r="25403" ht="15" hidden="1" customHeight="1"/>
    <row r="25404" ht="15" hidden="1" customHeight="1"/>
    <row r="25405" ht="15" hidden="1" customHeight="1"/>
    <row r="25406" ht="15" hidden="1" customHeight="1"/>
    <row r="25407" ht="15" hidden="1" customHeight="1"/>
    <row r="25408" ht="15" hidden="1" customHeight="1"/>
    <row r="25409" ht="15" hidden="1" customHeight="1"/>
    <row r="25410" ht="15" hidden="1" customHeight="1"/>
    <row r="25411" ht="15" hidden="1" customHeight="1"/>
    <row r="25412" ht="15" hidden="1" customHeight="1"/>
    <row r="25413" ht="15" hidden="1" customHeight="1"/>
    <row r="25414" ht="15" hidden="1" customHeight="1"/>
    <row r="25415" ht="15" hidden="1" customHeight="1"/>
    <row r="25416" ht="15" hidden="1" customHeight="1"/>
    <row r="25417" ht="15" hidden="1" customHeight="1"/>
    <row r="25418" ht="15" hidden="1" customHeight="1"/>
    <row r="25419" ht="15" hidden="1" customHeight="1"/>
    <row r="25420" ht="15" hidden="1" customHeight="1"/>
    <row r="25421" ht="15" hidden="1" customHeight="1"/>
    <row r="25422" ht="15" hidden="1" customHeight="1"/>
    <row r="25423" ht="15" hidden="1" customHeight="1"/>
    <row r="25424" ht="15" hidden="1" customHeight="1"/>
    <row r="25425" ht="15" hidden="1" customHeight="1"/>
    <row r="25426" ht="15" hidden="1" customHeight="1"/>
    <row r="25427" ht="15" hidden="1" customHeight="1"/>
    <row r="25428" ht="15" hidden="1" customHeight="1"/>
    <row r="25429" ht="15" hidden="1" customHeight="1"/>
    <row r="25430" ht="15" hidden="1" customHeight="1"/>
    <row r="25431" ht="15" hidden="1" customHeight="1"/>
    <row r="25432" ht="15" hidden="1" customHeight="1"/>
    <row r="25433" ht="15" hidden="1" customHeight="1"/>
    <row r="25434" ht="15" hidden="1" customHeight="1"/>
    <row r="25435" ht="15" hidden="1" customHeight="1"/>
    <row r="25436" ht="15" hidden="1" customHeight="1"/>
    <row r="25437" ht="15" hidden="1" customHeight="1"/>
    <row r="25438" ht="15" hidden="1" customHeight="1"/>
    <row r="25439" ht="15" hidden="1" customHeight="1"/>
    <row r="25440" ht="15" hidden="1" customHeight="1"/>
    <row r="25441" ht="15" hidden="1" customHeight="1"/>
    <row r="25442" ht="15" hidden="1" customHeight="1"/>
    <row r="25443" ht="15" hidden="1" customHeight="1"/>
    <row r="25444" ht="15" hidden="1" customHeight="1"/>
    <row r="25445" ht="15" hidden="1" customHeight="1"/>
    <row r="25446" ht="15" hidden="1" customHeight="1"/>
    <row r="25447" ht="15" hidden="1" customHeight="1"/>
    <row r="25448" ht="15" hidden="1" customHeight="1"/>
    <row r="25449" ht="15" hidden="1" customHeight="1"/>
    <row r="25450" ht="15" hidden="1" customHeight="1"/>
    <row r="25451" ht="15" hidden="1" customHeight="1"/>
    <row r="25452" ht="15" hidden="1" customHeight="1"/>
    <row r="25453" ht="15" hidden="1" customHeight="1"/>
    <row r="25454" ht="15" hidden="1" customHeight="1"/>
    <row r="25455" ht="15" hidden="1" customHeight="1"/>
    <row r="25456" ht="15" hidden="1" customHeight="1"/>
    <row r="25457" ht="15" hidden="1" customHeight="1"/>
    <row r="25458" ht="15" hidden="1" customHeight="1"/>
    <row r="25459" ht="15" hidden="1" customHeight="1"/>
    <row r="25460" ht="15" hidden="1" customHeight="1"/>
    <row r="25461" ht="15" hidden="1" customHeight="1"/>
    <row r="25462" ht="15" hidden="1" customHeight="1"/>
    <row r="25463" ht="15" hidden="1" customHeight="1"/>
    <row r="25464" ht="15" hidden="1" customHeight="1"/>
    <row r="25465" ht="15" hidden="1" customHeight="1"/>
    <row r="25466" ht="15" hidden="1" customHeight="1"/>
    <row r="25467" ht="15" hidden="1" customHeight="1"/>
    <row r="25468" ht="15" hidden="1" customHeight="1"/>
    <row r="25469" ht="15" hidden="1" customHeight="1"/>
    <row r="25470" ht="15" hidden="1" customHeight="1"/>
    <row r="25471" ht="15" hidden="1" customHeight="1"/>
    <row r="25472" ht="15" hidden="1" customHeight="1"/>
    <row r="25473" ht="15" hidden="1" customHeight="1"/>
    <row r="25474" ht="15" hidden="1" customHeight="1"/>
    <row r="25475" ht="15" hidden="1" customHeight="1"/>
    <row r="25476" ht="15" hidden="1" customHeight="1"/>
    <row r="25477" ht="15" hidden="1" customHeight="1"/>
    <row r="25478" ht="15" hidden="1" customHeight="1"/>
    <row r="25479" ht="15" hidden="1" customHeight="1"/>
    <row r="25480" ht="15" hidden="1" customHeight="1"/>
    <row r="25481" ht="15" hidden="1" customHeight="1"/>
    <row r="25482" ht="15" hidden="1" customHeight="1"/>
    <row r="25483" ht="15" hidden="1" customHeight="1"/>
    <row r="25484" ht="15" hidden="1" customHeight="1"/>
    <row r="25485" ht="15" hidden="1" customHeight="1"/>
    <row r="25486" ht="15" hidden="1" customHeight="1"/>
    <row r="25487" ht="15" hidden="1" customHeight="1"/>
    <row r="25488" ht="15" hidden="1" customHeight="1"/>
    <row r="25489" ht="15" hidden="1" customHeight="1"/>
    <row r="25490" ht="15" hidden="1" customHeight="1"/>
    <row r="25491" ht="15" hidden="1" customHeight="1"/>
    <row r="25492" ht="15" hidden="1" customHeight="1"/>
    <row r="25493" ht="15" hidden="1" customHeight="1"/>
    <row r="25494" ht="15" hidden="1" customHeight="1"/>
    <row r="25495" ht="15" hidden="1" customHeight="1"/>
    <row r="25496" ht="15" hidden="1" customHeight="1"/>
    <row r="25497" ht="15" hidden="1" customHeight="1"/>
    <row r="25498" ht="15" hidden="1" customHeight="1"/>
    <row r="25499" ht="15" hidden="1" customHeight="1"/>
    <row r="25500" ht="15" hidden="1" customHeight="1"/>
    <row r="25501" ht="15" hidden="1" customHeight="1"/>
    <row r="25502" ht="15" hidden="1" customHeight="1"/>
    <row r="25503" ht="15" hidden="1" customHeight="1"/>
    <row r="25504" ht="15" hidden="1" customHeight="1"/>
    <row r="25505" ht="15" hidden="1" customHeight="1"/>
    <row r="25506" ht="15" hidden="1" customHeight="1"/>
    <row r="25507" ht="15" hidden="1" customHeight="1"/>
    <row r="25508" ht="15" hidden="1" customHeight="1"/>
    <row r="25509" ht="15" hidden="1" customHeight="1"/>
    <row r="25510" ht="15" hidden="1" customHeight="1"/>
    <row r="25511" ht="15" hidden="1" customHeight="1"/>
    <row r="25512" ht="15" hidden="1" customHeight="1"/>
    <row r="25513" ht="15" hidden="1" customHeight="1"/>
    <row r="25514" ht="15" hidden="1" customHeight="1"/>
    <row r="25515" ht="15" hidden="1" customHeight="1"/>
    <row r="25516" ht="15" hidden="1" customHeight="1"/>
    <row r="25517" ht="15" hidden="1" customHeight="1"/>
    <row r="25518" ht="15" hidden="1" customHeight="1"/>
    <row r="25519" ht="15" hidden="1" customHeight="1"/>
    <row r="25520" ht="15" hidden="1" customHeight="1"/>
    <row r="25521" ht="15" hidden="1" customHeight="1"/>
    <row r="25522" ht="15" hidden="1" customHeight="1"/>
    <row r="25523" ht="15" hidden="1" customHeight="1"/>
    <row r="25524" ht="15" hidden="1" customHeight="1"/>
    <row r="25525" ht="15" hidden="1" customHeight="1"/>
    <row r="25526" ht="15" hidden="1" customHeight="1"/>
    <row r="25527" ht="15" hidden="1" customHeight="1"/>
    <row r="25528" ht="15" hidden="1" customHeight="1"/>
    <row r="25529" ht="15" hidden="1" customHeight="1"/>
    <row r="25530" ht="15" hidden="1" customHeight="1"/>
    <row r="25531" ht="15" hidden="1" customHeight="1"/>
    <row r="25532" ht="15" hidden="1" customHeight="1"/>
    <row r="25533" ht="15" hidden="1" customHeight="1"/>
    <row r="25534" ht="15" hidden="1" customHeight="1"/>
    <row r="25535" ht="15" hidden="1" customHeight="1"/>
    <row r="25536" ht="15" hidden="1" customHeight="1"/>
    <row r="25537" ht="15" hidden="1" customHeight="1"/>
    <row r="25538" ht="15" hidden="1" customHeight="1"/>
    <row r="25539" ht="15" hidden="1" customHeight="1"/>
    <row r="25540" ht="15" hidden="1" customHeight="1"/>
    <row r="25541" ht="15" hidden="1" customHeight="1"/>
    <row r="25542" ht="15" hidden="1" customHeight="1"/>
    <row r="25543" ht="15" hidden="1" customHeight="1"/>
    <row r="25544" ht="15" hidden="1" customHeight="1"/>
    <row r="25545" ht="15" hidden="1" customHeight="1"/>
    <row r="25546" ht="15" hidden="1" customHeight="1"/>
    <row r="25547" ht="15" hidden="1" customHeight="1"/>
    <row r="25548" ht="15" hidden="1" customHeight="1"/>
    <row r="25549" ht="15" hidden="1" customHeight="1"/>
    <row r="25550" ht="15" hidden="1" customHeight="1"/>
    <row r="25551" ht="15" hidden="1" customHeight="1"/>
    <row r="25552" ht="15" hidden="1" customHeight="1"/>
    <row r="25553" ht="15" hidden="1" customHeight="1"/>
    <row r="25554" ht="15" hidden="1" customHeight="1"/>
    <row r="25555" ht="15" hidden="1" customHeight="1"/>
    <row r="25556" ht="15" hidden="1" customHeight="1"/>
    <row r="25557" ht="15" hidden="1" customHeight="1"/>
    <row r="25558" ht="15" hidden="1" customHeight="1"/>
    <row r="25559" ht="15" hidden="1" customHeight="1"/>
    <row r="25560" ht="15" hidden="1" customHeight="1"/>
    <row r="25561" ht="15" hidden="1" customHeight="1"/>
    <row r="25562" ht="15" hidden="1" customHeight="1"/>
    <row r="25563" ht="15" hidden="1" customHeight="1"/>
    <row r="25564" ht="15" hidden="1" customHeight="1"/>
    <row r="25565" ht="15" hidden="1" customHeight="1"/>
    <row r="25566" ht="15" hidden="1" customHeight="1"/>
    <row r="25567" ht="15" hidden="1" customHeight="1"/>
    <row r="25568" ht="15" hidden="1" customHeight="1"/>
    <row r="25569" ht="15" hidden="1" customHeight="1"/>
    <row r="25570" ht="15" hidden="1" customHeight="1"/>
    <row r="25571" ht="15" hidden="1" customHeight="1"/>
    <row r="25572" ht="15" hidden="1" customHeight="1"/>
    <row r="25573" ht="15" hidden="1" customHeight="1"/>
    <row r="25574" ht="15" hidden="1" customHeight="1"/>
    <row r="25575" ht="15" hidden="1" customHeight="1"/>
    <row r="25576" ht="15" hidden="1" customHeight="1"/>
    <row r="25577" ht="15" hidden="1" customHeight="1"/>
    <row r="25578" ht="15" hidden="1" customHeight="1"/>
    <row r="25579" ht="15" hidden="1" customHeight="1"/>
    <row r="25580" ht="15" hidden="1" customHeight="1"/>
    <row r="25581" ht="15" hidden="1" customHeight="1"/>
    <row r="25582" ht="15" hidden="1" customHeight="1"/>
    <row r="25583" ht="15" hidden="1" customHeight="1"/>
    <row r="25584" ht="15" hidden="1" customHeight="1"/>
    <row r="25585" ht="15" hidden="1" customHeight="1"/>
    <row r="25586" ht="15" hidden="1" customHeight="1"/>
    <row r="25587" ht="15" hidden="1" customHeight="1"/>
    <row r="25588" ht="15" hidden="1" customHeight="1"/>
    <row r="25589" ht="15" hidden="1" customHeight="1"/>
    <row r="25590" ht="15" hidden="1" customHeight="1"/>
    <row r="25591" ht="15" hidden="1" customHeight="1"/>
    <row r="25592" ht="15" hidden="1" customHeight="1"/>
    <row r="25593" ht="15" hidden="1" customHeight="1"/>
    <row r="25594" ht="15" hidden="1" customHeight="1"/>
    <row r="25595" ht="15" hidden="1" customHeight="1"/>
    <row r="25596" ht="15" hidden="1" customHeight="1"/>
    <row r="25597" ht="15" hidden="1" customHeight="1"/>
    <row r="25598" ht="15" hidden="1" customHeight="1"/>
    <row r="25599" ht="15" hidden="1" customHeight="1"/>
    <row r="25600" ht="15" hidden="1" customHeight="1"/>
    <row r="25601" ht="15" hidden="1" customHeight="1"/>
    <row r="25602" ht="15" hidden="1" customHeight="1"/>
    <row r="25603" ht="15" hidden="1" customHeight="1"/>
    <row r="25604" ht="15" hidden="1" customHeight="1"/>
    <row r="25605" ht="15" hidden="1" customHeight="1"/>
    <row r="25606" ht="15" hidden="1" customHeight="1"/>
    <row r="25607" ht="15" hidden="1" customHeight="1"/>
    <row r="25608" ht="15" hidden="1" customHeight="1"/>
    <row r="25609" ht="15" hidden="1" customHeight="1"/>
    <row r="25610" ht="15" hidden="1" customHeight="1"/>
    <row r="25611" ht="15" hidden="1" customHeight="1"/>
    <row r="25612" ht="15" hidden="1" customHeight="1"/>
    <row r="25613" ht="15" hidden="1" customHeight="1"/>
    <row r="25614" ht="15" hidden="1" customHeight="1"/>
    <row r="25615" ht="15" hidden="1" customHeight="1"/>
    <row r="25616" ht="15" hidden="1" customHeight="1"/>
    <row r="25617" ht="15" hidden="1" customHeight="1"/>
    <row r="25618" ht="15" hidden="1" customHeight="1"/>
    <row r="25619" ht="15" hidden="1" customHeight="1"/>
    <row r="25620" ht="15" hidden="1" customHeight="1"/>
    <row r="25621" ht="15" hidden="1" customHeight="1"/>
    <row r="25622" ht="15" hidden="1" customHeight="1"/>
    <row r="25623" ht="15" hidden="1" customHeight="1"/>
    <row r="25624" ht="15" hidden="1" customHeight="1"/>
    <row r="25625" ht="15" hidden="1" customHeight="1"/>
    <row r="25626" ht="15" hidden="1" customHeight="1"/>
    <row r="25627" ht="15" hidden="1" customHeight="1"/>
    <row r="25628" ht="15" hidden="1" customHeight="1"/>
    <row r="25629" ht="15" hidden="1" customHeight="1"/>
    <row r="25630" ht="15" hidden="1" customHeight="1"/>
    <row r="25631" ht="15" hidden="1" customHeight="1"/>
    <row r="25632" ht="15" hidden="1" customHeight="1"/>
    <row r="25633" ht="15" hidden="1" customHeight="1"/>
    <row r="25634" ht="15" hidden="1" customHeight="1"/>
    <row r="25635" ht="15" hidden="1" customHeight="1"/>
    <row r="25636" ht="15" hidden="1" customHeight="1"/>
    <row r="25637" ht="15" hidden="1" customHeight="1"/>
    <row r="25638" ht="15" hidden="1" customHeight="1"/>
    <row r="25639" ht="15" hidden="1" customHeight="1"/>
    <row r="25640" ht="15" hidden="1" customHeight="1"/>
    <row r="25641" ht="15" hidden="1" customHeight="1"/>
    <row r="25642" ht="15" hidden="1" customHeight="1"/>
    <row r="25643" ht="15" hidden="1" customHeight="1"/>
    <row r="25644" ht="15" hidden="1" customHeight="1"/>
    <row r="25645" ht="15" hidden="1" customHeight="1"/>
    <row r="25646" ht="15" hidden="1" customHeight="1"/>
    <row r="25647" ht="15" hidden="1" customHeight="1"/>
    <row r="25648" ht="15" hidden="1" customHeight="1"/>
    <row r="25649" ht="15" hidden="1" customHeight="1"/>
    <row r="25650" ht="15" hidden="1" customHeight="1"/>
    <row r="25651" ht="15" hidden="1" customHeight="1"/>
    <row r="25652" ht="15" hidden="1" customHeight="1"/>
    <row r="25653" ht="15" hidden="1" customHeight="1"/>
    <row r="25654" ht="15" hidden="1" customHeight="1"/>
    <row r="25655" ht="15" hidden="1" customHeight="1"/>
    <row r="25656" ht="15" hidden="1" customHeight="1"/>
    <row r="25657" ht="15" hidden="1" customHeight="1"/>
    <row r="25658" ht="15" hidden="1" customHeight="1"/>
    <row r="25659" ht="15" hidden="1" customHeight="1"/>
    <row r="25660" ht="15" hidden="1" customHeight="1"/>
    <row r="25661" ht="15" hidden="1" customHeight="1"/>
    <row r="25662" ht="15" hidden="1" customHeight="1"/>
    <row r="25663" ht="15" hidden="1" customHeight="1"/>
    <row r="25664" ht="15" hidden="1" customHeight="1"/>
    <row r="25665" ht="15" hidden="1" customHeight="1"/>
    <row r="25666" ht="15" hidden="1" customHeight="1"/>
    <row r="25667" ht="15" hidden="1" customHeight="1"/>
    <row r="25668" ht="15" hidden="1" customHeight="1"/>
    <row r="25669" ht="15" hidden="1" customHeight="1"/>
    <row r="25670" ht="15" hidden="1" customHeight="1"/>
    <row r="25671" ht="15" hidden="1" customHeight="1"/>
    <row r="25672" ht="15" hidden="1" customHeight="1"/>
    <row r="25673" ht="15" hidden="1" customHeight="1"/>
    <row r="25674" ht="15" hidden="1" customHeight="1"/>
    <row r="25675" ht="15" hidden="1" customHeight="1"/>
    <row r="25676" ht="15" hidden="1" customHeight="1"/>
    <row r="25677" ht="15" hidden="1" customHeight="1"/>
    <row r="25678" ht="15" hidden="1" customHeight="1"/>
    <row r="25679" ht="15" hidden="1" customHeight="1"/>
    <row r="25680" ht="15" hidden="1" customHeight="1"/>
    <row r="25681" ht="15" hidden="1" customHeight="1"/>
    <row r="25682" ht="15" hidden="1" customHeight="1"/>
    <row r="25683" ht="15" hidden="1" customHeight="1"/>
    <row r="25684" ht="15" hidden="1" customHeight="1"/>
    <row r="25685" ht="15" hidden="1" customHeight="1"/>
    <row r="25686" ht="15" hidden="1" customHeight="1"/>
    <row r="25687" ht="15" hidden="1" customHeight="1"/>
    <row r="25688" ht="15" hidden="1" customHeight="1"/>
    <row r="25689" ht="15" hidden="1" customHeight="1"/>
    <row r="25690" ht="15" hidden="1" customHeight="1"/>
    <row r="25691" ht="15" hidden="1" customHeight="1"/>
    <row r="25692" ht="15" hidden="1" customHeight="1"/>
    <row r="25693" ht="15" hidden="1" customHeight="1"/>
    <row r="25694" ht="15" hidden="1" customHeight="1"/>
    <row r="25695" ht="15" hidden="1" customHeight="1"/>
    <row r="25696" ht="15" hidden="1" customHeight="1"/>
    <row r="25697" ht="15" hidden="1" customHeight="1"/>
    <row r="25698" ht="15" hidden="1" customHeight="1"/>
    <row r="25699" ht="15" hidden="1" customHeight="1"/>
    <row r="25700" ht="15" hidden="1" customHeight="1"/>
    <row r="25701" ht="15" hidden="1" customHeight="1"/>
    <row r="25702" ht="15" hidden="1" customHeight="1"/>
    <row r="25703" ht="15" hidden="1" customHeight="1"/>
    <row r="25704" ht="15" hidden="1" customHeight="1"/>
    <row r="25705" ht="15" hidden="1" customHeight="1"/>
    <row r="25706" ht="15" hidden="1" customHeight="1"/>
    <row r="25707" ht="15" hidden="1" customHeight="1"/>
    <row r="25708" ht="15" hidden="1" customHeight="1"/>
    <row r="25709" ht="15" hidden="1" customHeight="1"/>
    <row r="25710" ht="15" hidden="1" customHeight="1"/>
    <row r="25711" ht="15" hidden="1" customHeight="1"/>
    <row r="25712" ht="15" hidden="1" customHeight="1"/>
    <row r="25713" ht="15" hidden="1" customHeight="1"/>
    <row r="25714" ht="15" hidden="1" customHeight="1"/>
    <row r="25715" ht="15" hidden="1" customHeight="1"/>
    <row r="25716" ht="15" hidden="1" customHeight="1"/>
    <row r="25717" ht="15" hidden="1" customHeight="1"/>
    <row r="25718" ht="15" hidden="1" customHeight="1"/>
    <row r="25719" ht="15" hidden="1" customHeight="1"/>
    <row r="25720" ht="15" hidden="1" customHeight="1"/>
    <row r="25721" ht="15" hidden="1" customHeight="1"/>
    <row r="25722" ht="15" hidden="1" customHeight="1"/>
    <row r="25723" ht="15" hidden="1" customHeight="1"/>
    <row r="25724" ht="15" hidden="1" customHeight="1"/>
    <row r="25725" ht="15" hidden="1" customHeight="1"/>
    <row r="25726" ht="15" hidden="1" customHeight="1"/>
    <row r="25727" ht="15" hidden="1" customHeight="1"/>
    <row r="25728" ht="15" hidden="1" customHeight="1"/>
    <row r="25729" ht="15" hidden="1" customHeight="1"/>
    <row r="25730" ht="15" hidden="1" customHeight="1"/>
    <row r="25731" ht="15" hidden="1" customHeight="1"/>
    <row r="25732" ht="15" hidden="1" customHeight="1"/>
    <row r="25733" ht="15" hidden="1" customHeight="1"/>
    <row r="25734" ht="15" hidden="1" customHeight="1"/>
    <row r="25735" ht="15" hidden="1" customHeight="1"/>
    <row r="25736" ht="15" hidden="1" customHeight="1"/>
    <row r="25737" ht="15" hidden="1" customHeight="1"/>
    <row r="25738" ht="15" hidden="1" customHeight="1"/>
    <row r="25739" ht="15" hidden="1" customHeight="1"/>
    <row r="25740" ht="15" hidden="1" customHeight="1"/>
    <row r="25741" ht="15" hidden="1" customHeight="1"/>
    <row r="25742" ht="15" hidden="1" customHeight="1"/>
    <row r="25743" ht="15" hidden="1" customHeight="1"/>
    <row r="25744" ht="15" hidden="1" customHeight="1"/>
    <row r="25745" ht="15" hidden="1" customHeight="1"/>
    <row r="25746" ht="15" hidden="1" customHeight="1"/>
    <row r="25747" ht="15" hidden="1" customHeight="1"/>
    <row r="25748" ht="15" hidden="1" customHeight="1"/>
    <row r="25749" ht="15" hidden="1" customHeight="1"/>
    <row r="25750" ht="15" hidden="1" customHeight="1"/>
    <row r="25751" ht="15" hidden="1" customHeight="1"/>
    <row r="25752" ht="15" hidden="1" customHeight="1"/>
    <row r="25753" ht="15" hidden="1" customHeight="1"/>
    <row r="25754" ht="15" hidden="1" customHeight="1"/>
    <row r="25755" ht="15" hidden="1" customHeight="1"/>
    <row r="25756" ht="15" hidden="1" customHeight="1"/>
    <row r="25757" ht="15" hidden="1" customHeight="1"/>
    <row r="25758" ht="15" hidden="1" customHeight="1"/>
    <row r="25759" ht="15" hidden="1" customHeight="1"/>
    <row r="25760" ht="15" hidden="1" customHeight="1"/>
    <row r="25761" ht="15" hidden="1" customHeight="1"/>
    <row r="25762" ht="15" hidden="1" customHeight="1"/>
    <row r="25763" ht="15" hidden="1" customHeight="1"/>
    <row r="25764" ht="15" hidden="1" customHeight="1"/>
    <row r="25765" ht="15" hidden="1" customHeight="1"/>
    <row r="25766" ht="15" hidden="1" customHeight="1"/>
    <row r="25767" ht="15" hidden="1" customHeight="1"/>
    <row r="25768" ht="15" hidden="1" customHeight="1"/>
    <row r="25769" ht="15" hidden="1" customHeight="1"/>
    <row r="25770" ht="15" hidden="1" customHeight="1"/>
    <row r="25771" ht="15" hidden="1" customHeight="1"/>
    <row r="25772" ht="15" hidden="1" customHeight="1"/>
    <row r="25773" ht="15" hidden="1" customHeight="1"/>
    <row r="25774" ht="15" hidden="1" customHeight="1"/>
    <row r="25775" ht="15" hidden="1" customHeight="1"/>
    <row r="25776" ht="15" hidden="1" customHeight="1"/>
    <row r="25777" ht="15" hidden="1" customHeight="1"/>
    <row r="25778" ht="15" hidden="1" customHeight="1"/>
    <row r="25779" ht="15" hidden="1" customHeight="1"/>
    <row r="25780" ht="15" hidden="1" customHeight="1"/>
    <row r="25781" ht="15" hidden="1" customHeight="1"/>
    <row r="25782" ht="15" hidden="1" customHeight="1"/>
    <row r="25783" ht="15" hidden="1" customHeight="1"/>
    <row r="25784" ht="15" hidden="1" customHeight="1"/>
    <row r="25785" ht="15" hidden="1" customHeight="1"/>
    <row r="25786" ht="15" hidden="1" customHeight="1"/>
    <row r="25787" ht="15" hidden="1" customHeight="1"/>
    <row r="25788" ht="15" hidden="1" customHeight="1"/>
    <row r="25789" ht="15" hidden="1" customHeight="1"/>
    <row r="25790" ht="15" hidden="1" customHeight="1"/>
    <row r="25791" ht="15" hidden="1" customHeight="1"/>
    <row r="25792" ht="15" hidden="1" customHeight="1"/>
    <row r="25793" ht="15" hidden="1" customHeight="1"/>
    <row r="25794" ht="15" hidden="1" customHeight="1"/>
    <row r="25795" ht="15" hidden="1" customHeight="1"/>
    <row r="25796" ht="15" hidden="1" customHeight="1"/>
    <row r="25797" ht="15" hidden="1" customHeight="1"/>
    <row r="25798" ht="15" hidden="1" customHeight="1"/>
    <row r="25799" ht="15" hidden="1" customHeight="1"/>
    <row r="25800" ht="15" hidden="1" customHeight="1"/>
    <row r="25801" ht="15" hidden="1" customHeight="1"/>
    <row r="25802" ht="15" hidden="1" customHeight="1"/>
    <row r="25803" ht="15" hidden="1" customHeight="1"/>
    <row r="25804" ht="15" hidden="1" customHeight="1"/>
    <row r="25805" ht="15" hidden="1" customHeight="1"/>
    <row r="25806" ht="15" hidden="1" customHeight="1"/>
    <row r="25807" ht="15" hidden="1" customHeight="1"/>
    <row r="25808" ht="15" hidden="1" customHeight="1"/>
    <row r="25809" ht="15" hidden="1" customHeight="1"/>
    <row r="25810" ht="15" hidden="1" customHeight="1"/>
    <row r="25811" ht="15" hidden="1" customHeight="1"/>
    <row r="25812" ht="15" hidden="1" customHeight="1"/>
    <row r="25813" ht="15" hidden="1" customHeight="1"/>
    <row r="25814" ht="15" hidden="1" customHeight="1"/>
    <row r="25815" ht="15" hidden="1" customHeight="1"/>
    <row r="25816" ht="15" hidden="1" customHeight="1"/>
    <row r="25817" ht="15" hidden="1" customHeight="1"/>
    <row r="25818" ht="15" hidden="1" customHeight="1"/>
    <row r="25819" ht="15" hidden="1" customHeight="1"/>
    <row r="25820" ht="15" hidden="1" customHeight="1"/>
    <row r="25821" ht="15" hidden="1" customHeight="1"/>
    <row r="25822" ht="15" hidden="1" customHeight="1"/>
    <row r="25823" ht="15" hidden="1" customHeight="1"/>
    <row r="25824" ht="15" hidden="1" customHeight="1"/>
    <row r="25825" ht="15" hidden="1" customHeight="1"/>
    <row r="25826" ht="15" hidden="1" customHeight="1"/>
    <row r="25827" ht="15" hidden="1" customHeight="1"/>
    <row r="25828" ht="15" hidden="1" customHeight="1"/>
    <row r="25829" ht="15" hidden="1" customHeight="1"/>
    <row r="25830" ht="15" hidden="1" customHeight="1"/>
    <row r="25831" ht="15" hidden="1" customHeight="1"/>
    <row r="25832" ht="15" hidden="1" customHeight="1"/>
    <row r="25833" ht="15" hidden="1" customHeight="1"/>
    <row r="25834" ht="15" hidden="1" customHeight="1"/>
    <row r="25835" ht="15" hidden="1" customHeight="1"/>
    <row r="25836" ht="15" hidden="1" customHeight="1"/>
    <row r="25837" ht="15" hidden="1" customHeight="1"/>
    <row r="25838" ht="15" hidden="1" customHeight="1"/>
    <row r="25839" ht="15" hidden="1" customHeight="1"/>
    <row r="25840" ht="15" hidden="1" customHeight="1"/>
    <row r="25841" ht="15" hidden="1" customHeight="1"/>
    <row r="25842" ht="15" hidden="1" customHeight="1"/>
    <row r="25843" ht="15" hidden="1" customHeight="1"/>
    <row r="25844" ht="15" hidden="1" customHeight="1"/>
    <row r="25845" ht="15" hidden="1" customHeight="1"/>
    <row r="25846" ht="15" hidden="1" customHeight="1"/>
    <row r="25847" ht="15" hidden="1" customHeight="1"/>
    <row r="25848" ht="15" hidden="1" customHeight="1"/>
    <row r="25849" ht="15" hidden="1" customHeight="1"/>
    <row r="25850" ht="15" hidden="1" customHeight="1"/>
    <row r="25851" ht="15" hidden="1" customHeight="1"/>
    <row r="25852" ht="15" hidden="1" customHeight="1"/>
    <row r="25853" ht="15" hidden="1" customHeight="1"/>
    <row r="25854" ht="15" hidden="1" customHeight="1"/>
    <row r="25855" ht="15" hidden="1" customHeight="1"/>
    <row r="25856" ht="15" hidden="1" customHeight="1"/>
    <row r="25857" ht="15" hidden="1" customHeight="1"/>
    <row r="25858" ht="15" hidden="1" customHeight="1"/>
    <row r="25859" ht="15" hidden="1" customHeight="1"/>
    <row r="25860" ht="15" hidden="1" customHeight="1"/>
    <row r="25861" ht="15" hidden="1" customHeight="1"/>
    <row r="25862" ht="15" hidden="1" customHeight="1"/>
    <row r="25863" ht="15" hidden="1" customHeight="1"/>
    <row r="25864" ht="15" hidden="1" customHeight="1"/>
    <row r="25865" ht="15" hidden="1" customHeight="1"/>
    <row r="25866" ht="15" hidden="1" customHeight="1"/>
    <row r="25867" ht="15" hidden="1" customHeight="1"/>
    <row r="25868" ht="15" hidden="1" customHeight="1"/>
    <row r="25869" ht="15" hidden="1" customHeight="1"/>
    <row r="25870" ht="15" hidden="1" customHeight="1"/>
    <row r="25871" ht="15" hidden="1" customHeight="1"/>
    <row r="25872" ht="15" hidden="1" customHeight="1"/>
    <row r="25873" ht="15" hidden="1" customHeight="1"/>
    <row r="25874" ht="15" hidden="1" customHeight="1"/>
    <row r="25875" ht="15" hidden="1" customHeight="1"/>
    <row r="25876" ht="15" hidden="1" customHeight="1"/>
    <row r="25877" ht="15" hidden="1" customHeight="1"/>
    <row r="25878" ht="15" hidden="1" customHeight="1"/>
    <row r="25879" ht="15" hidden="1" customHeight="1"/>
    <row r="25880" ht="15" hidden="1" customHeight="1"/>
    <row r="25881" ht="15" hidden="1" customHeight="1"/>
    <row r="25882" ht="15" hidden="1" customHeight="1"/>
    <row r="25883" ht="15" hidden="1" customHeight="1"/>
    <row r="25884" ht="15" hidden="1" customHeight="1"/>
    <row r="25885" ht="15" hidden="1" customHeight="1"/>
    <row r="25886" ht="15" hidden="1" customHeight="1"/>
    <row r="25887" ht="15" hidden="1" customHeight="1"/>
    <row r="25888" ht="15" hidden="1" customHeight="1"/>
    <row r="25889" ht="15" hidden="1" customHeight="1"/>
    <row r="25890" ht="15" hidden="1" customHeight="1"/>
    <row r="25891" ht="15" hidden="1" customHeight="1"/>
    <row r="25892" ht="15" hidden="1" customHeight="1"/>
    <row r="25893" ht="15" hidden="1" customHeight="1"/>
    <row r="25894" ht="15" hidden="1" customHeight="1"/>
    <row r="25895" ht="15" hidden="1" customHeight="1"/>
    <row r="25896" ht="15" hidden="1" customHeight="1"/>
    <row r="25897" ht="15" hidden="1" customHeight="1"/>
    <row r="25898" ht="15" hidden="1" customHeight="1"/>
    <row r="25899" ht="15" hidden="1" customHeight="1"/>
    <row r="25900" ht="15" hidden="1" customHeight="1"/>
    <row r="25901" ht="15" hidden="1" customHeight="1"/>
    <row r="25902" ht="15" hidden="1" customHeight="1"/>
    <row r="25903" ht="15" hidden="1" customHeight="1"/>
    <row r="25904" ht="15" hidden="1" customHeight="1"/>
    <row r="25905" ht="15" hidden="1" customHeight="1"/>
    <row r="25906" ht="15" hidden="1" customHeight="1"/>
    <row r="25907" ht="15" hidden="1" customHeight="1"/>
    <row r="25908" ht="15" hidden="1" customHeight="1"/>
    <row r="25909" ht="15" hidden="1" customHeight="1"/>
    <row r="25910" ht="15" hidden="1" customHeight="1"/>
    <row r="25911" ht="15" hidden="1" customHeight="1"/>
    <row r="25912" ht="15" hidden="1" customHeight="1"/>
    <row r="25913" ht="15" hidden="1" customHeight="1"/>
    <row r="25914" ht="15" hidden="1" customHeight="1"/>
    <row r="25915" ht="15" hidden="1" customHeight="1"/>
    <row r="25916" ht="15" hidden="1" customHeight="1"/>
    <row r="25917" ht="15" hidden="1" customHeight="1"/>
    <row r="25918" ht="15" hidden="1" customHeight="1"/>
    <row r="25919" ht="15" hidden="1" customHeight="1"/>
    <row r="25920" ht="15" hidden="1" customHeight="1"/>
    <row r="25921" ht="15" hidden="1" customHeight="1"/>
    <row r="25922" ht="15" hidden="1" customHeight="1"/>
    <row r="25923" ht="15" hidden="1" customHeight="1"/>
    <row r="25924" ht="15" hidden="1" customHeight="1"/>
    <row r="25925" ht="15" hidden="1" customHeight="1"/>
    <row r="25926" ht="15" hidden="1" customHeight="1"/>
    <row r="25927" ht="15" hidden="1" customHeight="1"/>
    <row r="25928" ht="15" hidden="1" customHeight="1"/>
    <row r="25929" ht="15" hidden="1" customHeight="1"/>
    <row r="25930" ht="15" hidden="1" customHeight="1"/>
    <row r="25931" ht="15" hidden="1" customHeight="1"/>
    <row r="25932" ht="15" hidden="1" customHeight="1"/>
    <row r="25933" ht="15" hidden="1" customHeight="1"/>
    <row r="25934" ht="15" hidden="1" customHeight="1"/>
    <row r="25935" ht="15" hidden="1" customHeight="1"/>
    <row r="25936" ht="15" hidden="1" customHeight="1"/>
    <row r="25937" ht="15" hidden="1" customHeight="1"/>
    <row r="25938" ht="15" hidden="1" customHeight="1"/>
    <row r="25939" ht="15" hidden="1" customHeight="1"/>
    <row r="25940" ht="15" hidden="1" customHeight="1"/>
    <row r="25941" ht="15" hidden="1" customHeight="1"/>
    <row r="25942" ht="15" hidden="1" customHeight="1"/>
    <row r="25943" ht="15" hidden="1" customHeight="1"/>
    <row r="25944" ht="15" hidden="1" customHeight="1"/>
    <row r="25945" ht="15" hidden="1" customHeight="1"/>
    <row r="25946" ht="15" hidden="1" customHeight="1"/>
    <row r="25947" ht="15" hidden="1" customHeight="1"/>
    <row r="25948" ht="15" hidden="1" customHeight="1"/>
    <row r="25949" ht="15" hidden="1" customHeight="1"/>
    <row r="25950" ht="15" hidden="1" customHeight="1"/>
    <row r="25951" ht="15" hidden="1" customHeight="1"/>
    <row r="25952" ht="15" hidden="1" customHeight="1"/>
    <row r="25953" ht="15" hidden="1" customHeight="1"/>
    <row r="25954" ht="15" hidden="1" customHeight="1"/>
    <row r="25955" ht="15" hidden="1" customHeight="1"/>
    <row r="25956" ht="15" hidden="1" customHeight="1"/>
    <row r="25957" ht="15" hidden="1" customHeight="1"/>
    <row r="25958" ht="15" hidden="1" customHeight="1"/>
    <row r="25959" ht="15" hidden="1" customHeight="1"/>
    <row r="25960" ht="15" hidden="1" customHeight="1"/>
    <row r="25961" ht="15" hidden="1" customHeight="1"/>
    <row r="25962" ht="15" hidden="1" customHeight="1"/>
    <row r="25963" ht="15" hidden="1" customHeight="1"/>
    <row r="25964" ht="15" hidden="1" customHeight="1"/>
    <row r="25965" ht="15" hidden="1" customHeight="1"/>
    <row r="25966" ht="15" hidden="1" customHeight="1"/>
    <row r="25967" ht="15" hidden="1" customHeight="1"/>
    <row r="25968" ht="15" hidden="1" customHeight="1"/>
    <row r="25969" ht="15" hidden="1" customHeight="1"/>
    <row r="25970" ht="15" hidden="1" customHeight="1"/>
    <row r="25971" ht="15" hidden="1" customHeight="1"/>
    <row r="25972" ht="15" hidden="1" customHeight="1"/>
    <row r="25973" ht="15" hidden="1" customHeight="1"/>
    <row r="25974" ht="15" hidden="1" customHeight="1"/>
    <row r="25975" ht="15" hidden="1" customHeight="1"/>
    <row r="25976" ht="15" hidden="1" customHeight="1"/>
    <row r="25977" ht="15" hidden="1" customHeight="1"/>
    <row r="25978" ht="15" hidden="1" customHeight="1"/>
    <row r="25979" ht="15" hidden="1" customHeight="1"/>
    <row r="25980" ht="15" hidden="1" customHeight="1"/>
    <row r="25981" ht="15" hidden="1" customHeight="1"/>
    <row r="25982" ht="15" hidden="1" customHeight="1"/>
    <row r="25983" ht="15" hidden="1" customHeight="1"/>
    <row r="25984" ht="15" hidden="1" customHeight="1"/>
    <row r="25985" ht="15" hidden="1" customHeight="1"/>
    <row r="25986" ht="15" hidden="1" customHeight="1"/>
    <row r="25987" ht="15" hidden="1" customHeight="1"/>
    <row r="25988" ht="15" hidden="1" customHeight="1"/>
    <row r="25989" ht="15" hidden="1" customHeight="1"/>
    <row r="25990" ht="15" hidden="1" customHeight="1"/>
    <row r="25991" ht="15" hidden="1" customHeight="1"/>
    <row r="25992" ht="15" hidden="1" customHeight="1"/>
    <row r="25993" ht="15" hidden="1" customHeight="1"/>
    <row r="25994" ht="15" hidden="1" customHeight="1"/>
    <row r="25995" ht="15" hidden="1" customHeight="1"/>
    <row r="25996" ht="15" hidden="1" customHeight="1"/>
    <row r="25997" ht="15" hidden="1" customHeight="1"/>
    <row r="25998" ht="15" hidden="1" customHeight="1"/>
    <row r="25999" ht="15" hidden="1" customHeight="1"/>
    <row r="26000" ht="15" hidden="1" customHeight="1"/>
    <row r="26001" ht="15" hidden="1" customHeight="1"/>
    <row r="26002" ht="15" hidden="1" customHeight="1"/>
    <row r="26003" ht="15" hidden="1" customHeight="1"/>
    <row r="26004" ht="15" hidden="1" customHeight="1"/>
    <row r="26005" ht="15" hidden="1" customHeight="1"/>
    <row r="26006" ht="15" hidden="1" customHeight="1"/>
    <row r="26007" ht="15" hidden="1" customHeight="1"/>
    <row r="26008" ht="15" hidden="1" customHeight="1"/>
    <row r="26009" ht="15" hidden="1" customHeight="1"/>
    <row r="26010" ht="15" hidden="1" customHeight="1"/>
    <row r="26011" ht="15" hidden="1" customHeight="1"/>
    <row r="26012" ht="15" hidden="1" customHeight="1"/>
    <row r="26013" ht="15" hidden="1" customHeight="1"/>
    <row r="26014" ht="15" hidden="1" customHeight="1"/>
    <row r="26015" ht="15" hidden="1" customHeight="1"/>
    <row r="26016" ht="15" hidden="1" customHeight="1"/>
    <row r="26017" ht="15" hidden="1" customHeight="1"/>
    <row r="26018" ht="15" hidden="1" customHeight="1"/>
    <row r="26019" ht="15" hidden="1" customHeight="1"/>
    <row r="26020" ht="15" hidden="1" customHeight="1"/>
    <row r="26021" ht="15" hidden="1" customHeight="1"/>
    <row r="26022" ht="15" hidden="1" customHeight="1"/>
    <row r="26023" ht="15" hidden="1" customHeight="1"/>
    <row r="26024" ht="15" hidden="1" customHeight="1"/>
    <row r="26025" ht="15" hidden="1" customHeight="1"/>
    <row r="26026" ht="15" hidden="1" customHeight="1"/>
    <row r="26027" ht="15" hidden="1" customHeight="1"/>
    <row r="26028" ht="15" hidden="1" customHeight="1"/>
    <row r="26029" ht="15" hidden="1" customHeight="1"/>
    <row r="26030" ht="15" hidden="1" customHeight="1"/>
    <row r="26031" ht="15" hidden="1" customHeight="1"/>
    <row r="26032" ht="15" hidden="1" customHeight="1"/>
    <row r="26033" ht="15" hidden="1" customHeight="1"/>
    <row r="26034" ht="15" hidden="1" customHeight="1"/>
    <row r="26035" ht="15" hidden="1" customHeight="1"/>
    <row r="26036" ht="15" hidden="1" customHeight="1"/>
    <row r="26037" ht="15" hidden="1" customHeight="1"/>
    <row r="26038" ht="15" hidden="1" customHeight="1"/>
    <row r="26039" ht="15" hidden="1" customHeight="1"/>
    <row r="26040" ht="15" hidden="1" customHeight="1"/>
    <row r="26041" ht="15" hidden="1" customHeight="1"/>
    <row r="26042" ht="15" hidden="1" customHeight="1"/>
    <row r="26043" ht="15" hidden="1" customHeight="1"/>
    <row r="26044" ht="15" hidden="1" customHeight="1"/>
    <row r="26045" ht="15" hidden="1" customHeight="1"/>
    <row r="26046" ht="15" hidden="1" customHeight="1"/>
    <row r="26047" ht="15" hidden="1" customHeight="1"/>
    <row r="26048" ht="15" hidden="1" customHeight="1"/>
    <row r="26049" ht="15" hidden="1" customHeight="1"/>
    <row r="26050" ht="15" hidden="1" customHeight="1"/>
    <row r="26051" ht="15" hidden="1" customHeight="1"/>
    <row r="26052" ht="15" hidden="1" customHeight="1"/>
    <row r="26053" ht="15" hidden="1" customHeight="1"/>
    <row r="26054" ht="15" hidden="1" customHeight="1"/>
    <row r="26055" ht="15" hidden="1" customHeight="1"/>
    <row r="26056" ht="15" hidden="1" customHeight="1"/>
    <row r="26057" ht="15" hidden="1" customHeight="1"/>
    <row r="26058" ht="15" hidden="1" customHeight="1"/>
    <row r="26059" ht="15" hidden="1" customHeight="1"/>
    <row r="26060" ht="15" hidden="1" customHeight="1"/>
    <row r="26061" ht="15" hidden="1" customHeight="1"/>
    <row r="26062" ht="15" hidden="1" customHeight="1"/>
    <row r="26063" ht="15" hidden="1" customHeight="1"/>
    <row r="26064" ht="15" hidden="1" customHeight="1"/>
    <row r="26065" ht="15" hidden="1" customHeight="1"/>
    <row r="26066" ht="15" hidden="1" customHeight="1"/>
    <row r="26067" ht="15" hidden="1" customHeight="1"/>
    <row r="26068" ht="15" hidden="1" customHeight="1"/>
    <row r="26069" ht="15" hidden="1" customHeight="1"/>
    <row r="26070" ht="15" hidden="1" customHeight="1"/>
    <row r="26071" ht="15" hidden="1" customHeight="1"/>
    <row r="26072" ht="15" hidden="1" customHeight="1"/>
    <row r="26073" ht="15" hidden="1" customHeight="1"/>
    <row r="26074" ht="15" hidden="1" customHeight="1"/>
    <row r="26075" ht="15" hidden="1" customHeight="1"/>
    <row r="26076" ht="15" hidden="1" customHeight="1"/>
    <row r="26077" ht="15" hidden="1" customHeight="1"/>
    <row r="26078" ht="15" hidden="1" customHeight="1"/>
    <row r="26079" ht="15" hidden="1" customHeight="1"/>
    <row r="26080" ht="15" hidden="1" customHeight="1"/>
    <row r="26081" ht="15" hidden="1" customHeight="1"/>
    <row r="26082" ht="15" hidden="1" customHeight="1"/>
    <row r="26083" ht="15" hidden="1" customHeight="1"/>
    <row r="26084" ht="15" hidden="1" customHeight="1"/>
    <row r="26085" ht="15" hidden="1" customHeight="1"/>
    <row r="26086" ht="15" hidden="1" customHeight="1"/>
    <row r="26087" ht="15" hidden="1" customHeight="1"/>
    <row r="26088" ht="15" hidden="1" customHeight="1"/>
    <row r="26089" ht="15" hidden="1" customHeight="1"/>
    <row r="26090" ht="15" hidden="1" customHeight="1"/>
    <row r="26091" ht="15" hidden="1" customHeight="1"/>
    <row r="26092" ht="15" hidden="1" customHeight="1"/>
    <row r="26093" ht="15" hidden="1" customHeight="1"/>
    <row r="26094" ht="15" hidden="1" customHeight="1"/>
    <row r="26095" ht="15" hidden="1" customHeight="1"/>
    <row r="26096" ht="15" hidden="1" customHeight="1"/>
    <row r="26097" ht="15" hidden="1" customHeight="1"/>
    <row r="26098" ht="15" hidden="1" customHeight="1"/>
    <row r="26099" ht="15" hidden="1" customHeight="1"/>
    <row r="26100" ht="15" hidden="1" customHeight="1"/>
    <row r="26101" ht="15" hidden="1" customHeight="1"/>
    <row r="26102" ht="15" hidden="1" customHeight="1"/>
    <row r="26103" ht="15" hidden="1" customHeight="1"/>
    <row r="26104" ht="15" hidden="1" customHeight="1"/>
    <row r="26105" ht="15" hidden="1" customHeight="1"/>
    <row r="26106" ht="15" hidden="1" customHeight="1"/>
    <row r="26107" ht="15" hidden="1" customHeight="1"/>
    <row r="26108" ht="15" hidden="1" customHeight="1"/>
    <row r="26109" ht="15" hidden="1" customHeight="1"/>
    <row r="26110" ht="15" hidden="1" customHeight="1"/>
    <row r="26111" ht="15" hidden="1" customHeight="1"/>
    <row r="26112" ht="15" hidden="1" customHeight="1"/>
    <row r="26113" ht="15" hidden="1" customHeight="1"/>
    <row r="26114" ht="15" hidden="1" customHeight="1"/>
    <row r="26115" ht="15" hidden="1" customHeight="1"/>
    <row r="26116" ht="15" hidden="1" customHeight="1"/>
    <row r="26117" ht="15" hidden="1" customHeight="1"/>
    <row r="26118" ht="15" hidden="1" customHeight="1"/>
    <row r="26119" ht="15" hidden="1" customHeight="1"/>
    <row r="26120" ht="15" hidden="1" customHeight="1"/>
    <row r="26121" ht="15" hidden="1" customHeight="1"/>
    <row r="26122" ht="15" hidden="1" customHeight="1"/>
    <row r="26123" ht="15" hidden="1" customHeight="1"/>
    <row r="26124" ht="15" hidden="1" customHeight="1"/>
    <row r="26125" ht="15" hidden="1" customHeight="1"/>
    <row r="26126" ht="15" hidden="1" customHeight="1"/>
    <row r="26127" ht="15" hidden="1" customHeight="1"/>
    <row r="26128" ht="15" hidden="1" customHeight="1"/>
    <row r="26129" ht="15" hidden="1" customHeight="1"/>
    <row r="26130" ht="15" hidden="1" customHeight="1"/>
    <row r="26131" ht="15" hidden="1" customHeight="1"/>
    <row r="26132" ht="15" hidden="1" customHeight="1"/>
    <row r="26133" ht="15" hidden="1" customHeight="1"/>
    <row r="26134" ht="15" hidden="1" customHeight="1"/>
    <row r="26135" ht="15" hidden="1" customHeight="1"/>
    <row r="26136" ht="15" hidden="1" customHeight="1"/>
    <row r="26137" ht="15" hidden="1" customHeight="1"/>
    <row r="26138" ht="15" hidden="1" customHeight="1"/>
    <row r="26139" ht="15" hidden="1" customHeight="1"/>
    <row r="26140" ht="15" hidden="1" customHeight="1"/>
    <row r="26141" ht="15" hidden="1" customHeight="1"/>
    <row r="26142" ht="15" hidden="1" customHeight="1"/>
    <row r="26143" ht="15" hidden="1" customHeight="1"/>
    <row r="26144" ht="15" hidden="1" customHeight="1"/>
    <row r="26145" ht="15" hidden="1" customHeight="1"/>
    <row r="26146" ht="15" hidden="1" customHeight="1"/>
    <row r="26147" ht="15" hidden="1" customHeight="1"/>
    <row r="26148" ht="15" hidden="1" customHeight="1"/>
    <row r="26149" ht="15" hidden="1" customHeight="1"/>
    <row r="26150" ht="15" hidden="1" customHeight="1"/>
    <row r="26151" ht="15" hidden="1" customHeight="1"/>
    <row r="26152" ht="15" hidden="1" customHeight="1"/>
    <row r="26153" ht="15" hidden="1" customHeight="1"/>
    <row r="26154" ht="15" hidden="1" customHeight="1"/>
    <row r="26155" ht="15" hidden="1" customHeight="1"/>
    <row r="26156" ht="15" hidden="1" customHeight="1"/>
    <row r="26157" ht="15" hidden="1" customHeight="1"/>
    <row r="26158" ht="15" hidden="1" customHeight="1"/>
    <row r="26159" ht="15" hidden="1" customHeight="1"/>
    <row r="26160" ht="15" hidden="1" customHeight="1"/>
    <row r="26161" ht="15" hidden="1" customHeight="1"/>
    <row r="26162" ht="15" hidden="1" customHeight="1"/>
    <row r="26163" ht="15" hidden="1" customHeight="1"/>
    <row r="26164" ht="15" hidden="1" customHeight="1"/>
    <row r="26165" ht="15" hidden="1" customHeight="1"/>
    <row r="26166" ht="15" hidden="1" customHeight="1"/>
    <row r="26167" ht="15" hidden="1" customHeight="1"/>
    <row r="26168" ht="15" hidden="1" customHeight="1"/>
    <row r="26169" ht="15" hidden="1" customHeight="1"/>
    <row r="26170" ht="15" hidden="1" customHeight="1"/>
    <row r="26171" ht="15" hidden="1" customHeight="1"/>
    <row r="26172" ht="15" hidden="1" customHeight="1"/>
    <row r="26173" ht="15" hidden="1" customHeight="1"/>
    <row r="26174" ht="15" hidden="1" customHeight="1"/>
    <row r="26175" ht="15" hidden="1" customHeight="1"/>
    <row r="26176" ht="15" hidden="1" customHeight="1"/>
    <row r="26177" ht="15" hidden="1" customHeight="1"/>
    <row r="26178" ht="15" hidden="1" customHeight="1"/>
    <row r="26179" ht="15" hidden="1" customHeight="1"/>
    <row r="26180" ht="15" hidden="1" customHeight="1"/>
    <row r="26181" ht="15" hidden="1" customHeight="1"/>
    <row r="26182" ht="15" hidden="1" customHeight="1"/>
    <row r="26183" ht="15" hidden="1" customHeight="1"/>
    <row r="26184" ht="15" hidden="1" customHeight="1"/>
    <row r="26185" ht="15" hidden="1" customHeight="1"/>
    <row r="26186" ht="15" hidden="1" customHeight="1"/>
    <row r="26187" ht="15" hidden="1" customHeight="1"/>
    <row r="26188" ht="15" hidden="1" customHeight="1"/>
    <row r="26189" ht="15" hidden="1" customHeight="1"/>
    <row r="26190" ht="15" hidden="1" customHeight="1"/>
    <row r="26191" ht="15" hidden="1" customHeight="1"/>
    <row r="26192" ht="15" hidden="1" customHeight="1"/>
    <row r="26193" ht="15" hidden="1" customHeight="1"/>
    <row r="26194" ht="15" hidden="1" customHeight="1"/>
    <row r="26195" ht="15" hidden="1" customHeight="1"/>
    <row r="26196" ht="15" hidden="1" customHeight="1"/>
    <row r="26197" ht="15" hidden="1" customHeight="1"/>
    <row r="26198" ht="15" hidden="1" customHeight="1"/>
    <row r="26199" ht="15" hidden="1" customHeight="1"/>
    <row r="26200" ht="15" hidden="1" customHeight="1"/>
    <row r="26201" ht="15" hidden="1" customHeight="1"/>
    <row r="26202" ht="15" hidden="1" customHeight="1"/>
    <row r="26203" ht="15" hidden="1" customHeight="1"/>
    <row r="26204" ht="15" hidden="1" customHeight="1"/>
    <row r="26205" ht="15" hidden="1" customHeight="1"/>
    <row r="26206" ht="15" hidden="1" customHeight="1"/>
    <row r="26207" ht="15" hidden="1" customHeight="1"/>
    <row r="26208" ht="15" hidden="1" customHeight="1"/>
    <row r="26209" ht="15" hidden="1" customHeight="1"/>
    <row r="26210" ht="15" hidden="1" customHeight="1"/>
    <row r="26211" ht="15" hidden="1" customHeight="1"/>
    <row r="26212" ht="15" hidden="1" customHeight="1"/>
    <row r="26213" ht="15" hidden="1" customHeight="1"/>
    <row r="26214" ht="15" hidden="1" customHeight="1"/>
    <row r="26215" ht="15" hidden="1" customHeight="1"/>
    <row r="26216" ht="15" hidden="1" customHeight="1"/>
    <row r="26217" ht="15" hidden="1" customHeight="1"/>
    <row r="26218" ht="15" hidden="1" customHeight="1"/>
    <row r="26219" ht="15" hidden="1" customHeight="1"/>
    <row r="26220" ht="15" hidden="1" customHeight="1"/>
    <row r="26221" ht="15" hidden="1" customHeight="1"/>
    <row r="26222" ht="15" hidden="1" customHeight="1"/>
    <row r="26223" ht="15" hidden="1" customHeight="1"/>
    <row r="26224" ht="15" hidden="1" customHeight="1"/>
    <row r="26225" ht="15" hidden="1" customHeight="1"/>
    <row r="26226" ht="15" hidden="1" customHeight="1"/>
    <row r="26227" ht="15" hidden="1" customHeight="1"/>
    <row r="26228" ht="15" hidden="1" customHeight="1"/>
    <row r="26229" ht="15" hidden="1" customHeight="1"/>
    <row r="26230" ht="15" hidden="1" customHeight="1"/>
    <row r="26231" ht="15" hidden="1" customHeight="1"/>
    <row r="26232" ht="15" hidden="1" customHeight="1"/>
    <row r="26233" ht="15" hidden="1" customHeight="1"/>
    <row r="26234" ht="15" hidden="1" customHeight="1"/>
    <row r="26235" ht="15" hidden="1" customHeight="1"/>
    <row r="26236" ht="15" hidden="1" customHeight="1"/>
    <row r="26237" ht="15" hidden="1" customHeight="1"/>
    <row r="26238" ht="15" hidden="1" customHeight="1"/>
    <row r="26239" ht="15" hidden="1" customHeight="1"/>
    <row r="26240" ht="15" hidden="1" customHeight="1"/>
    <row r="26241" ht="15" hidden="1" customHeight="1"/>
    <row r="26242" ht="15" hidden="1" customHeight="1"/>
    <row r="26243" ht="15" hidden="1" customHeight="1"/>
    <row r="26244" ht="15" hidden="1" customHeight="1"/>
    <row r="26245" ht="15" hidden="1" customHeight="1"/>
    <row r="26246" ht="15" hidden="1" customHeight="1"/>
    <row r="26247" ht="15" hidden="1" customHeight="1"/>
    <row r="26248" ht="15" hidden="1" customHeight="1"/>
    <row r="26249" ht="15" hidden="1" customHeight="1"/>
    <row r="26250" ht="15" hidden="1" customHeight="1"/>
    <row r="26251" ht="15" hidden="1" customHeight="1"/>
    <row r="26252" ht="15" hidden="1" customHeight="1"/>
    <row r="26253" ht="15" hidden="1" customHeight="1"/>
    <row r="26254" ht="15" hidden="1" customHeight="1"/>
    <row r="26255" ht="15" hidden="1" customHeight="1"/>
    <row r="26256" ht="15" hidden="1" customHeight="1"/>
    <row r="26257" ht="15" hidden="1" customHeight="1"/>
    <row r="26258" ht="15" hidden="1" customHeight="1"/>
    <row r="26259" ht="15" hidden="1" customHeight="1"/>
    <row r="26260" ht="15" hidden="1" customHeight="1"/>
    <row r="26261" ht="15" hidden="1" customHeight="1"/>
    <row r="26262" ht="15" hidden="1" customHeight="1"/>
    <row r="26263" ht="15" hidden="1" customHeight="1"/>
    <row r="26264" ht="15" hidden="1" customHeight="1"/>
    <row r="26265" ht="15" hidden="1" customHeight="1"/>
    <row r="26266" ht="15" hidden="1" customHeight="1"/>
    <row r="26267" ht="15" hidden="1" customHeight="1"/>
    <row r="26268" ht="15" hidden="1" customHeight="1"/>
    <row r="26269" ht="15" hidden="1" customHeight="1"/>
    <row r="26270" ht="15" hidden="1" customHeight="1"/>
    <row r="26271" ht="15" hidden="1" customHeight="1"/>
    <row r="26272" ht="15" hidden="1" customHeight="1"/>
    <row r="26273" ht="15" hidden="1" customHeight="1"/>
    <row r="26274" ht="15" hidden="1" customHeight="1"/>
    <row r="26275" ht="15" hidden="1" customHeight="1"/>
    <row r="26276" ht="15" hidden="1" customHeight="1"/>
    <row r="26277" ht="15" hidden="1" customHeight="1"/>
    <row r="26278" ht="15" hidden="1" customHeight="1"/>
    <row r="26279" ht="15" hidden="1" customHeight="1"/>
    <row r="26280" ht="15" hidden="1" customHeight="1"/>
    <row r="26281" ht="15" hidden="1" customHeight="1"/>
    <row r="26282" ht="15" hidden="1" customHeight="1"/>
    <row r="26283" ht="15" hidden="1" customHeight="1"/>
    <row r="26284" ht="15" hidden="1" customHeight="1"/>
    <row r="26285" ht="15" hidden="1" customHeight="1"/>
    <row r="26286" ht="15" hidden="1" customHeight="1"/>
    <row r="26287" ht="15" hidden="1" customHeight="1"/>
    <row r="26288" ht="15" hidden="1" customHeight="1"/>
    <row r="26289" ht="15" hidden="1" customHeight="1"/>
    <row r="26290" ht="15" hidden="1" customHeight="1"/>
    <row r="26291" ht="15" hidden="1" customHeight="1"/>
    <row r="26292" ht="15" hidden="1" customHeight="1"/>
    <row r="26293" ht="15" hidden="1" customHeight="1"/>
    <row r="26294" ht="15" hidden="1" customHeight="1"/>
    <row r="26295" ht="15" hidden="1" customHeight="1"/>
    <row r="26296" ht="15" hidden="1" customHeight="1"/>
    <row r="26297" ht="15" hidden="1" customHeight="1"/>
    <row r="26298" ht="15" hidden="1" customHeight="1"/>
    <row r="26299" ht="15" hidden="1" customHeight="1"/>
    <row r="26300" ht="15" hidden="1" customHeight="1"/>
    <row r="26301" ht="15" hidden="1" customHeight="1"/>
    <row r="26302" ht="15" hidden="1" customHeight="1"/>
    <row r="26303" ht="15" hidden="1" customHeight="1"/>
    <row r="26304" ht="15" hidden="1" customHeight="1"/>
    <row r="26305" ht="15" hidden="1" customHeight="1"/>
    <row r="26306" ht="15" hidden="1" customHeight="1"/>
    <row r="26307" ht="15" hidden="1" customHeight="1"/>
    <row r="26308" ht="15" hidden="1" customHeight="1"/>
    <row r="26309" ht="15" hidden="1" customHeight="1"/>
    <row r="26310" ht="15" hidden="1" customHeight="1"/>
    <row r="26311" ht="15" hidden="1" customHeight="1"/>
    <row r="26312" ht="15" hidden="1" customHeight="1"/>
    <row r="26313" ht="15" hidden="1" customHeight="1"/>
    <row r="26314" ht="15" hidden="1" customHeight="1"/>
    <row r="26315" ht="15" hidden="1" customHeight="1"/>
    <row r="26316" ht="15" hidden="1" customHeight="1"/>
    <row r="26317" ht="15" hidden="1" customHeight="1"/>
    <row r="26318" ht="15" hidden="1" customHeight="1"/>
    <row r="26319" ht="15" hidden="1" customHeight="1"/>
    <row r="26320" ht="15" hidden="1" customHeight="1"/>
    <row r="26321" ht="15" hidden="1" customHeight="1"/>
    <row r="26322" ht="15" hidden="1" customHeight="1"/>
    <row r="26323" ht="15" hidden="1" customHeight="1"/>
    <row r="26324" ht="15" hidden="1" customHeight="1"/>
    <row r="26325" ht="15" hidden="1" customHeight="1"/>
    <row r="26326" ht="15" hidden="1" customHeight="1"/>
    <row r="26327" ht="15" hidden="1" customHeight="1"/>
    <row r="26328" ht="15" hidden="1" customHeight="1"/>
    <row r="26329" ht="15" hidden="1" customHeight="1"/>
    <row r="26330" ht="15" hidden="1" customHeight="1"/>
    <row r="26331" ht="15" hidden="1" customHeight="1"/>
    <row r="26332" ht="15" hidden="1" customHeight="1"/>
    <row r="26333" ht="15" hidden="1" customHeight="1"/>
    <row r="26334" ht="15" hidden="1" customHeight="1"/>
    <row r="26335" ht="15" hidden="1" customHeight="1"/>
    <row r="26336" ht="15" hidden="1" customHeight="1"/>
    <row r="26337" ht="15" hidden="1" customHeight="1"/>
    <row r="26338" ht="15" hidden="1" customHeight="1"/>
    <row r="26339" ht="15" hidden="1" customHeight="1"/>
    <row r="26340" ht="15" hidden="1" customHeight="1"/>
    <row r="26341" ht="15" hidden="1" customHeight="1"/>
    <row r="26342" ht="15" hidden="1" customHeight="1"/>
    <row r="26343" ht="15" hidden="1" customHeight="1"/>
    <row r="26344" ht="15" hidden="1" customHeight="1"/>
    <row r="26345" ht="15" hidden="1" customHeight="1"/>
    <row r="26346" ht="15" hidden="1" customHeight="1"/>
    <row r="26347" ht="15" hidden="1" customHeight="1"/>
    <row r="26348" ht="15" hidden="1" customHeight="1"/>
    <row r="26349" ht="15" hidden="1" customHeight="1"/>
    <row r="26350" ht="15" hidden="1" customHeight="1"/>
    <row r="26351" ht="15" hidden="1" customHeight="1"/>
    <row r="26352" ht="15" hidden="1" customHeight="1"/>
    <row r="26353" ht="15" hidden="1" customHeight="1"/>
    <row r="26354" ht="15" hidden="1" customHeight="1"/>
    <row r="26355" ht="15" hidden="1" customHeight="1"/>
    <row r="26356" ht="15" hidden="1" customHeight="1"/>
    <row r="26357" ht="15" hidden="1" customHeight="1"/>
    <row r="26358" ht="15" hidden="1" customHeight="1"/>
    <row r="26359" ht="15" hidden="1" customHeight="1"/>
    <row r="26360" ht="15" hidden="1" customHeight="1"/>
    <row r="26361" ht="15" hidden="1" customHeight="1"/>
    <row r="26362" ht="15" hidden="1" customHeight="1"/>
    <row r="26363" ht="15" hidden="1" customHeight="1"/>
    <row r="26364" ht="15" hidden="1" customHeight="1"/>
    <row r="26365" ht="15" hidden="1" customHeight="1"/>
    <row r="26366" ht="15" hidden="1" customHeight="1"/>
    <row r="26367" ht="15" hidden="1" customHeight="1"/>
    <row r="26368" ht="15" hidden="1" customHeight="1"/>
    <row r="26369" ht="15" hidden="1" customHeight="1"/>
    <row r="26370" ht="15" hidden="1" customHeight="1"/>
    <row r="26371" ht="15" hidden="1" customHeight="1"/>
    <row r="26372" ht="15" hidden="1" customHeight="1"/>
    <row r="26373" ht="15" hidden="1" customHeight="1"/>
    <row r="26374" ht="15" hidden="1" customHeight="1"/>
    <row r="26375" ht="15" hidden="1" customHeight="1"/>
    <row r="26376" ht="15" hidden="1" customHeight="1"/>
    <row r="26377" ht="15" hidden="1" customHeight="1"/>
    <row r="26378" ht="15" hidden="1" customHeight="1"/>
    <row r="26379" ht="15" hidden="1" customHeight="1"/>
    <row r="26380" ht="15" hidden="1" customHeight="1"/>
    <row r="26381" ht="15" hidden="1" customHeight="1"/>
    <row r="26382" ht="15" hidden="1" customHeight="1"/>
    <row r="26383" ht="15" hidden="1" customHeight="1"/>
    <row r="26384" ht="15" hidden="1" customHeight="1"/>
    <row r="26385" ht="15" hidden="1" customHeight="1"/>
    <row r="26386" ht="15" hidden="1" customHeight="1"/>
    <row r="26387" ht="15" hidden="1" customHeight="1"/>
    <row r="26388" ht="15" hidden="1" customHeight="1"/>
    <row r="26389" ht="15" hidden="1" customHeight="1"/>
    <row r="26390" ht="15" hidden="1" customHeight="1"/>
    <row r="26391" ht="15" hidden="1" customHeight="1"/>
    <row r="26392" ht="15" hidden="1" customHeight="1"/>
    <row r="26393" ht="15" hidden="1" customHeight="1"/>
    <row r="26394" ht="15" hidden="1" customHeight="1"/>
    <row r="26395" ht="15" hidden="1" customHeight="1"/>
    <row r="26396" ht="15" hidden="1" customHeight="1"/>
    <row r="26397" ht="15" hidden="1" customHeight="1"/>
    <row r="26398" ht="15" hidden="1" customHeight="1"/>
    <row r="26399" ht="15" hidden="1" customHeight="1"/>
    <row r="26400" ht="15" hidden="1" customHeight="1"/>
    <row r="26401" ht="15" hidden="1" customHeight="1"/>
    <row r="26402" ht="15" hidden="1" customHeight="1"/>
    <row r="26403" ht="15" hidden="1" customHeight="1"/>
    <row r="26404" ht="15" hidden="1" customHeight="1"/>
    <row r="26405" ht="15" hidden="1" customHeight="1"/>
    <row r="26406" ht="15" hidden="1" customHeight="1"/>
    <row r="26407" ht="15" hidden="1" customHeight="1"/>
    <row r="26408" ht="15" hidden="1" customHeight="1"/>
    <row r="26409" ht="15" hidden="1" customHeight="1"/>
    <row r="26410" ht="15" hidden="1" customHeight="1"/>
    <row r="26411" ht="15" hidden="1" customHeight="1"/>
    <row r="26412" ht="15" hidden="1" customHeight="1"/>
    <row r="26413" ht="15" hidden="1" customHeight="1"/>
    <row r="26414" ht="15" hidden="1" customHeight="1"/>
    <row r="26415" ht="15" hidden="1" customHeight="1"/>
    <row r="26416" ht="15" hidden="1" customHeight="1"/>
    <row r="26417" ht="15" hidden="1" customHeight="1"/>
    <row r="26418" ht="15" hidden="1" customHeight="1"/>
    <row r="26419" ht="15" hidden="1" customHeight="1"/>
    <row r="26420" ht="15" hidden="1" customHeight="1"/>
    <row r="26421" ht="15" hidden="1" customHeight="1"/>
    <row r="26422" ht="15" hidden="1" customHeight="1"/>
    <row r="26423" ht="15" hidden="1" customHeight="1"/>
    <row r="26424" ht="15" hidden="1" customHeight="1"/>
    <row r="26425" ht="15" hidden="1" customHeight="1"/>
    <row r="26426" ht="15" hidden="1" customHeight="1"/>
    <row r="26427" ht="15" hidden="1" customHeight="1"/>
    <row r="26428" ht="15" hidden="1" customHeight="1"/>
    <row r="26429" ht="15" hidden="1" customHeight="1"/>
    <row r="26430" ht="15" hidden="1" customHeight="1"/>
    <row r="26431" ht="15" hidden="1" customHeight="1"/>
    <row r="26432" ht="15" hidden="1" customHeight="1"/>
    <row r="26433" ht="15" hidden="1" customHeight="1"/>
    <row r="26434" ht="15" hidden="1" customHeight="1"/>
    <row r="26435" ht="15" hidden="1" customHeight="1"/>
    <row r="26436" ht="15" hidden="1" customHeight="1"/>
    <row r="26437" ht="15" hidden="1" customHeight="1"/>
    <row r="26438" ht="15" hidden="1" customHeight="1"/>
    <row r="26439" ht="15" hidden="1" customHeight="1"/>
    <row r="26440" ht="15" hidden="1" customHeight="1"/>
    <row r="26441" ht="15" hidden="1" customHeight="1"/>
    <row r="26442" ht="15" hidden="1" customHeight="1"/>
    <row r="26443" ht="15" hidden="1" customHeight="1"/>
    <row r="26444" ht="15" hidden="1" customHeight="1"/>
    <row r="26445" ht="15" hidden="1" customHeight="1"/>
    <row r="26446" ht="15" hidden="1" customHeight="1"/>
    <row r="26447" ht="15" hidden="1" customHeight="1"/>
    <row r="26448" ht="15" hidden="1" customHeight="1"/>
    <row r="26449" ht="15" hidden="1" customHeight="1"/>
    <row r="26450" ht="15" hidden="1" customHeight="1"/>
    <row r="26451" ht="15" hidden="1" customHeight="1"/>
    <row r="26452" ht="15" hidden="1" customHeight="1"/>
    <row r="26453" ht="15" hidden="1" customHeight="1"/>
    <row r="26454" ht="15" hidden="1" customHeight="1"/>
    <row r="26455" ht="15" hidden="1" customHeight="1"/>
    <row r="26456" ht="15" hidden="1" customHeight="1"/>
    <row r="26457" ht="15" hidden="1" customHeight="1"/>
    <row r="26458" ht="15" hidden="1" customHeight="1"/>
    <row r="26459" ht="15" hidden="1" customHeight="1"/>
    <row r="26460" ht="15" hidden="1" customHeight="1"/>
    <row r="26461" ht="15" hidden="1" customHeight="1"/>
    <row r="26462" ht="15" hidden="1" customHeight="1"/>
    <row r="26463" ht="15" hidden="1" customHeight="1"/>
    <row r="26464" ht="15" hidden="1" customHeight="1"/>
    <row r="26465" ht="15" hidden="1" customHeight="1"/>
    <row r="26466" ht="15" hidden="1" customHeight="1"/>
    <row r="26467" ht="15" hidden="1" customHeight="1"/>
    <row r="26468" ht="15" hidden="1" customHeight="1"/>
    <row r="26469" ht="15" hidden="1" customHeight="1"/>
    <row r="26470" ht="15" hidden="1" customHeight="1"/>
    <row r="26471" ht="15" hidden="1" customHeight="1"/>
    <row r="26472" ht="15" hidden="1" customHeight="1"/>
    <row r="26473" ht="15" hidden="1" customHeight="1"/>
    <row r="26474" ht="15" hidden="1" customHeight="1"/>
    <row r="26475" ht="15" hidden="1" customHeight="1"/>
    <row r="26476" ht="15" hidden="1" customHeight="1"/>
    <row r="26477" ht="15" hidden="1" customHeight="1"/>
    <row r="26478" ht="15" hidden="1" customHeight="1"/>
    <row r="26479" ht="15" hidden="1" customHeight="1"/>
    <row r="26480" ht="15" hidden="1" customHeight="1"/>
    <row r="26481" ht="15" hidden="1" customHeight="1"/>
    <row r="26482" ht="15" hidden="1" customHeight="1"/>
    <row r="26483" ht="15" hidden="1" customHeight="1"/>
    <row r="26484" ht="15" hidden="1" customHeight="1"/>
    <row r="26485" ht="15" hidden="1" customHeight="1"/>
    <row r="26486" ht="15" hidden="1" customHeight="1"/>
    <row r="26487" ht="15" hidden="1" customHeight="1"/>
    <row r="26488" ht="15" hidden="1" customHeight="1"/>
    <row r="26489" ht="15" hidden="1" customHeight="1"/>
    <row r="26490" ht="15" hidden="1" customHeight="1"/>
    <row r="26491" ht="15" hidden="1" customHeight="1"/>
    <row r="26492" ht="15" hidden="1" customHeight="1"/>
    <row r="26493" ht="15" hidden="1" customHeight="1"/>
    <row r="26494" ht="15" hidden="1" customHeight="1"/>
    <row r="26495" ht="15" hidden="1" customHeight="1"/>
    <row r="26496" ht="15" hidden="1" customHeight="1"/>
    <row r="26497" ht="15" hidden="1" customHeight="1"/>
    <row r="26498" ht="15" hidden="1" customHeight="1"/>
    <row r="26499" ht="15" hidden="1" customHeight="1"/>
    <row r="26500" ht="15" hidden="1" customHeight="1"/>
    <row r="26501" ht="15" hidden="1" customHeight="1"/>
    <row r="26502" ht="15" hidden="1" customHeight="1"/>
    <row r="26503" ht="15" hidden="1" customHeight="1"/>
    <row r="26504" ht="15" hidden="1" customHeight="1"/>
    <row r="26505" ht="15" hidden="1" customHeight="1"/>
    <row r="26506" ht="15" hidden="1" customHeight="1"/>
    <row r="26507" ht="15" hidden="1" customHeight="1"/>
    <row r="26508" ht="15" hidden="1" customHeight="1"/>
    <row r="26509" ht="15" hidden="1" customHeight="1"/>
    <row r="26510" ht="15" hidden="1" customHeight="1"/>
    <row r="26511" ht="15" hidden="1" customHeight="1"/>
    <row r="26512" ht="15" hidden="1" customHeight="1"/>
    <row r="26513" ht="15" hidden="1" customHeight="1"/>
    <row r="26514" ht="15" hidden="1" customHeight="1"/>
    <row r="26515" ht="15" hidden="1" customHeight="1"/>
    <row r="26516" ht="15" hidden="1" customHeight="1"/>
    <row r="26517" ht="15" hidden="1" customHeight="1"/>
    <row r="26518" ht="15" hidden="1" customHeight="1"/>
    <row r="26519" ht="15" hidden="1" customHeight="1"/>
    <row r="26520" ht="15" hidden="1" customHeight="1"/>
    <row r="26521" ht="15" hidden="1" customHeight="1"/>
    <row r="26522" ht="15" hidden="1" customHeight="1"/>
    <row r="26523" ht="15" hidden="1" customHeight="1"/>
    <row r="26524" ht="15" hidden="1" customHeight="1"/>
    <row r="26525" ht="15" hidden="1" customHeight="1"/>
    <row r="26526" ht="15" hidden="1" customHeight="1"/>
    <row r="26527" ht="15" hidden="1" customHeight="1"/>
    <row r="26528" ht="15" hidden="1" customHeight="1"/>
    <row r="26529" ht="15" hidden="1" customHeight="1"/>
    <row r="26530" ht="15" hidden="1" customHeight="1"/>
    <row r="26531" ht="15" hidden="1" customHeight="1"/>
    <row r="26532" ht="15" hidden="1" customHeight="1"/>
    <row r="26533" ht="15" hidden="1" customHeight="1"/>
    <row r="26534" ht="15" hidden="1" customHeight="1"/>
    <row r="26535" ht="15" hidden="1" customHeight="1"/>
    <row r="26536" ht="15" hidden="1" customHeight="1"/>
    <row r="26537" ht="15" hidden="1" customHeight="1"/>
    <row r="26538" ht="15" hidden="1" customHeight="1"/>
    <row r="26539" ht="15" hidden="1" customHeight="1"/>
    <row r="26540" ht="15" hidden="1" customHeight="1"/>
    <row r="26541" ht="15" hidden="1" customHeight="1"/>
    <row r="26542" ht="15" hidden="1" customHeight="1"/>
    <row r="26543" ht="15" hidden="1" customHeight="1"/>
    <row r="26544" ht="15" hidden="1" customHeight="1"/>
    <row r="26545" ht="15" hidden="1" customHeight="1"/>
    <row r="26546" ht="15" hidden="1" customHeight="1"/>
    <row r="26547" ht="15" hidden="1" customHeight="1"/>
    <row r="26548" ht="15" hidden="1" customHeight="1"/>
    <row r="26549" ht="15" hidden="1" customHeight="1"/>
    <row r="26550" ht="15" hidden="1" customHeight="1"/>
    <row r="26551" ht="15" hidden="1" customHeight="1"/>
    <row r="26552" ht="15" hidden="1" customHeight="1"/>
    <row r="26553" ht="15" hidden="1" customHeight="1"/>
    <row r="26554" ht="15" hidden="1" customHeight="1"/>
    <row r="26555" ht="15" hidden="1" customHeight="1"/>
    <row r="26556" ht="15" hidden="1" customHeight="1"/>
    <row r="26557" ht="15" hidden="1" customHeight="1"/>
    <row r="26558" ht="15" hidden="1" customHeight="1"/>
    <row r="26559" ht="15" hidden="1" customHeight="1"/>
    <row r="26560" ht="15" hidden="1" customHeight="1"/>
    <row r="26561" ht="15" hidden="1" customHeight="1"/>
    <row r="26562" ht="15" hidden="1" customHeight="1"/>
    <row r="26563" ht="15" hidden="1" customHeight="1"/>
    <row r="26564" ht="15" hidden="1" customHeight="1"/>
    <row r="26565" ht="15" hidden="1" customHeight="1"/>
    <row r="26566" ht="15" hidden="1" customHeight="1"/>
    <row r="26567" ht="15" hidden="1" customHeight="1"/>
    <row r="26568" ht="15" hidden="1" customHeight="1"/>
    <row r="26569" ht="15" hidden="1" customHeight="1"/>
    <row r="26570" ht="15" hidden="1" customHeight="1"/>
    <row r="26571" ht="15" hidden="1" customHeight="1"/>
    <row r="26572" ht="15" hidden="1" customHeight="1"/>
    <row r="26573" ht="15" hidden="1" customHeight="1"/>
    <row r="26574" ht="15" hidden="1" customHeight="1"/>
    <row r="26575" ht="15" hidden="1" customHeight="1"/>
    <row r="26576" ht="15" hidden="1" customHeight="1"/>
    <row r="26577" ht="15" hidden="1" customHeight="1"/>
    <row r="26578" ht="15" hidden="1" customHeight="1"/>
    <row r="26579" ht="15" hidden="1" customHeight="1"/>
    <row r="26580" ht="15" hidden="1" customHeight="1"/>
    <row r="26581" ht="15" hidden="1" customHeight="1"/>
    <row r="26582" ht="15" hidden="1" customHeight="1"/>
    <row r="26583" ht="15" hidden="1" customHeight="1"/>
    <row r="26584" ht="15" hidden="1" customHeight="1"/>
    <row r="26585" ht="15" hidden="1" customHeight="1"/>
    <row r="26586" ht="15" hidden="1" customHeight="1"/>
    <row r="26587" ht="15" hidden="1" customHeight="1"/>
    <row r="26588" ht="15" hidden="1" customHeight="1"/>
    <row r="26589" ht="15" hidden="1" customHeight="1"/>
    <row r="26590" ht="15" hidden="1" customHeight="1"/>
    <row r="26591" ht="15" hidden="1" customHeight="1"/>
    <row r="26592" ht="15" hidden="1" customHeight="1"/>
    <row r="26593" ht="15" hidden="1" customHeight="1"/>
    <row r="26594" ht="15" hidden="1" customHeight="1"/>
    <row r="26595" ht="15" hidden="1" customHeight="1"/>
    <row r="26596" ht="15" hidden="1" customHeight="1"/>
    <row r="26597" ht="15" hidden="1" customHeight="1"/>
    <row r="26598" ht="15" hidden="1" customHeight="1"/>
    <row r="26599" ht="15" hidden="1" customHeight="1"/>
    <row r="26600" ht="15" hidden="1" customHeight="1"/>
    <row r="26601" ht="15" hidden="1" customHeight="1"/>
    <row r="26602" ht="15" hidden="1" customHeight="1"/>
    <row r="26603" ht="15" hidden="1" customHeight="1"/>
    <row r="26604" ht="15" hidden="1" customHeight="1"/>
    <row r="26605" ht="15" hidden="1" customHeight="1"/>
    <row r="26606" ht="15" hidden="1" customHeight="1"/>
    <row r="26607" ht="15" hidden="1" customHeight="1"/>
    <row r="26608" ht="15" hidden="1" customHeight="1"/>
    <row r="26609" ht="15" hidden="1" customHeight="1"/>
    <row r="26610" ht="15" hidden="1" customHeight="1"/>
    <row r="26611" ht="15" hidden="1" customHeight="1"/>
    <row r="26612" ht="15" hidden="1" customHeight="1"/>
    <row r="26613" ht="15" hidden="1" customHeight="1"/>
    <row r="26614" ht="15" hidden="1" customHeight="1"/>
    <row r="26615" ht="15" hidden="1" customHeight="1"/>
    <row r="26616" ht="15" hidden="1" customHeight="1"/>
    <row r="26617" ht="15" hidden="1" customHeight="1"/>
    <row r="26618" ht="15" hidden="1" customHeight="1"/>
    <row r="26619" ht="15" hidden="1" customHeight="1"/>
    <row r="26620" ht="15" hidden="1" customHeight="1"/>
    <row r="26621" ht="15" hidden="1" customHeight="1"/>
    <row r="26622" ht="15" hidden="1" customHeight="1"/>
    <row r="26623" ht="15" hidden="1" customHeight="1"/>
    <row r="26624" ht="15" hidden="1" customHeight="1"/>
    <row r="26625" ht="15" hidden="1" customHeight="1"/>
    <row r="26626" ht="15" hidden="1" customHeight="1"/>
    <row r="26627" ht="15" hidden="1" customHeight="1"/>
    <row r="26628" ht="15" hidden="1" customHeight="1"/>
    <row r="26629" ht="15" hidden="1" customHeight="1"/>
    <row r="26630" ht="15" hidden="1" customHeight="1"/>
    <row r="26631" ht="15" hidden="1" customHeight="1"/>
    <row r="26632" ht="15" hidden="1" customHeight="1"/>
    <row r="26633" ht="15" hidden="1" customHeight="1"/>
    <row r="26634" ht="15" hidden="1" customHeight="1"/>
    <row r="26635" ht="15" hidden="1" customHeight="1"/>
    <row r="26636" ht="15" hidden="1" customHeight="1"/>
    <row r="26637" ht="15" hidden="1" customHeight="1"/>
    <row r="26638" ht="15" hidden="1" customHeight="1"/>
    <row r="26639" ht="15" hidden="1" customHeight="1"/>
    <row r="26640" ht="15" hidden="1" customHeight="1"/>
    <row r="26641" ht="15" hidden="1" customHeight="1"/>
    <row r="26642" ht="15" hidden="1" customHeight="1"/>
    <row r="26643" ht="15" hidden="1" customHeight="1"/>
    <row r="26644" ht="15" hidden="1" customHeight="1"/>
    <row r="26645" ht="15" hidden="1" customHeight="1"/>
    <row r="26646" ht="15" hidden="1" customHeight="1"/>
    <row r="26647" ht="15" hidden="1" customHeight="1"/>
    <row r="26648" ht="15" hidden="1" customHeight="1"/>
    <row r="26649" ht="15" hidden="1" customHeight="1"/>
    <row r="26650" ht="15" hidden="1" customHeight="1"/>
    <row r="26651" ht="15" hidden="1" customHeight="1"/>
    <row r="26652" ht="15" hidden="1" customHeight="1"/>
    <row r="26653" ht="15" hidden="1" customHeight="1"/>
    <row r="26654" ht="15" hidden="1" customHeight="1"/>
    <row r="26655" ht="15" hidden="1" customHeight="1"/>
    <row r="26656" ht="15" hidden="1" customHeight="1"/>
    <row r="26657" ht="15" hidden="1" customHeight="1"/>
    <row r="26658" ht="15" hidden="1" customHeight="1"/>
    <row r="26659" ht="15" hidden="1" customHeight="1"/>
    <row r="26660" ht="15" hidden="1" customHeight="1"/>
    <row r="26661" ht="15" hidden="1" customHeight="1"/>
    <row r="26662" ht="15" hidden="1" customHeight="1"/>
    <row r="26663" ht="15" hidden="1" customHeight="1"/>
    <row r="26664" ht="15" hidden="1" customHeight="1"/>
    <row r="26665" ht="15" hidden="1" customHeight="1"/>
    <row r="26666" ht="15" hidden="1" customHeight="1"/>
    <row r="26667" ht="15" hidden="1" customHeight="1"/>
    <row r="26668" ht="15" hidden="1" customHeight="1"/>
    <row r="26669" ht="15" hidden="1" customHeight="1"/>
    <row r="26670" ht="15" hidden="1" customHeight="1"/>
    <row r="26671" ht="15" hidden="1" customHeight="1"/>
    <row r="26672" ht="15" hidden="1" customHeight="1"/>
    <row r="26673" ht="15" hidden="1" customHeight="1"/>
    <row r="26674" ht="15" hidden="1" customHeight="1"/>
    <row r="26675" ht="15" hidden="1" customHeight="1"/>
    <row r="26676" ht="15" hidden="1" customHeight="1"/>
    <row r="26677" ht="15" hidden="1" customHeight="1"/>
    <row r="26678" ht="15" hidden="1" customHeight="1"/>
    <row r="26679" ht="15" hidden="1" customHeight="1"/>
    <row r="26680" ht="15" hidden="1" customHeight="1"/>
    <row r="26681" ht="15" hidden="1" customHeight="1"/>
    <row r="26682" ht="15" hidden="1" customHeight="1"/>
    <row r="26683" ht="15" hidden="1" customHeight="1"/>
    <row r="26684" ht="15" hidden="1" customHeight="1"/>
    <row r="26685" ht="15" hidden="1" customHeight="1"/>
    <row r="26686" ht="15" hidden="1" customHeight="1"/>
    <row r="26687" ht="15" hidden="1" customHeight="1"/>
    <row r="26688" ht="15" hidden="1" customHeight="1"/>
    <row r="26689" ht="15" hidden="1" customHeight="1"/>
    <row r="26690" ht="15" hidden="1" customHeight="1"/>
    <row r="26691" ht="15" hidden="1" customHeight="1"/>
    <row r="26692" ht="15" hidden="1" customHeight="1"/>
    <row r="26693" ht="15" hidden="1" customHeight="1"/>
    <row r="26694" ht="15" hidden="1" customHeight="1"/>
    <row r="26695" ht="15" hidden="1" customHeight="1"/>
    <row r="26696" ht="15" hidden="1" customHeight="1"/>
    <row r="26697" ht="15" hidden="1" customHeight="1"/>
    <row r="26698" ht="15" hidden="1" customHeight="1"/>
    <row r="26699" ht="15" hidden="1" customHeight="1"/>
    <row r="26700" ht="15" hidden="1" customHeight="1"/>
    <row r="26701" ht="15" hidden="1" customHeight="1"/>
    <row r="26702" ht="15" hidden="1" customHeight="1"/>
    <row r="26703" ht="15" hidden="1" customHeight="1"/>
    <row r="26704" ht="15" hidden="1" customHeight="1"/>
    <row r="26705" ht="15" hidden="1" customHeight="1"/>
    <row r="26706" ht="15" hidden="1" customHeight="1"/>
    <row r="26707" ht="15" hidden="1" customHeight="1"/>
    <row r="26708" ht="15" hidden="1" customHeight="1"/>
    <row r="26709" ht="15" hidden="1" customHeight="1"/>
    <row r="26710" ht="15" hidden="1" customHeight="1"/>
    <row r="26711" ht="15" hidden="1" customHeight="1"/>
    <row r="26712" ht="15" hidden="1" customHeight="1"/>
    <row r="26713" ht="15" hidden="1" customHeight="1"/>
    <row r="26714" ht="15" hidden="1" customHeight="1"/>
    <row r="26715" ht="15" hidden="1" customHeight="1"/>
    <row r="26716" ht="15" hidden="1" customHeight="1"/>
    <row r="26717" ht="15" hidden="1" customHeight="1"/>
    <row r="26718" ht="15" hidden="1" customHeight="1"/>
    <row r="26719" ht="15" hidden="1" customHeight="1"/>
    <row r="26720" ht="15" hidden="1" customHeight="1"/>
    <row r="26721" ht="15" hidden="1" customHeight="1"/>
    <row r="26722" ht="15" hidden="1" customHeight="1"/>
    <row r="26723" ht="15" hidden="1" customHeight="1"/>
    <row r="26724" ht="15" hidden="1" customHeight="1"/>
    <row r="26725" ht="15" hidden="1" customHeight="1"/>
    <row r="26726" ht="15" hidden="1" customHeight="1"/>
    <row r="26727" ht="15" hidden="1" customHeight="1"/>
    <row r="26728" ht="15" hidden="1" customHeight="1"/>
    <row r="26729" ht="15" hidden="1" customHeight="1"/>
    <row r="26730" ht="15" hidden="1" customHeight="1"/>
    <row r="26731" ht="15" hidden="1" customHeight="1"/>
    <row r="26732" ht="15" hidden="1" customHeight="1"/>
    <row r="26733" ht="15" hidden="1" customHeight="1"/>
    <row r="26734" ht="15" hidden="1" customHeight="1"/>
    <row r="26735" ht="15" hidden="1" customHeight="1"/>
    <row r="26736" ht="15" hidden="1" customHeight="1"/>
    <row r="26737" ht="15" hidden="1" customHeight="1"/>
    <row r="26738" ht="15" hidden="1" customHeight="1"/>
    <row r="26739" ht="15" hidden="1" customHeight="1"/>
    <row r="26740" ht="15" hidden="1" customHeight="1"/>
    <row r="26741" ht="15" hidden="1" customHeight="1"/>
    <row r="26742" ht="15" hidden="1" customHeight="1"/>
    <row r="26743" ht="15" hidden="1" customHeight="1"/>
    <row r="26744" ht="15" hidden="1" customHeight="1"/>
    <row r="26745" ht="15" hidden="1" customHeight="1"/>
    <row r="26746" ht="15" hidden="1" customHeight="1"/>
    <row r="26747" ht="15" hidden="1" customHeight="1"/>
    <row r="26748" ht="15" hidden="1" customHeight="1"/>
    <row r="26749" ht="15" hidden="1" customHeight="1"/>
    <row r="26750" ht="15" hidden="1" customHeight="1"/>
    <row r="26751" ht="15" hidden="1" customHeight="1"/>
    <row r="26752" ht="15" hidden="1" customHeight="1"/>
    <row r="26753" ht="15" hidden="1" customHeight="1"/>
    <row r="26754" ht="15" hidden="1" customHeight="1"/>
    <row r="26755" ht="15" hidden="1" customHeight="1"/>
    <row r="26756" ht="15" hidden="1" customHeight="1"/>
    <row r="26757" ht="15" hidden="1" customHeight="1"/>
    <row r="26758" ht="15" hidden="1" customHeight="1"/>
    <row r="26759" ht="15" hidden="1" customHeight="1"/>
    <row r="26760" ht="15" hidden="1" customHeight="1"/>
    <row r="26761" ht="15" hidden="1" customHeight="1"/>
    <row r="26762" ht="15" hidden="1" customHeight="1"/>
    <row r="26763" ht="15" hidden="1" customHeight="1"/>
    <row r="26764" ht="15" hidden="1" customHeight="1"/>
    <row r="26765" ht="15" hidden="1" customHeight="1"/>
    <row r="26766" ht="15" hidden="1" customHeight="1"/>
    <row r="26767" ht="15" hidden="1" customHeight="1"/>
    <row r="26768" ht="15" hidden="1" customHeight="1"/>
    <row r="26769" ht="15" hidden="1" customHeight="1"/>
    <row r="26770" ht="15" hidden="1" customHeight="1"/>
    <row r="26771" ht="15" hidden="1" customHeight="1"/>
    <row r="26772" ht="15" hidden="1" customHeight="1"/>
    <row r="26773" ht="15" hidden="1" customHeight="1"/>
    <row r="26774" ht="15" hidden="1" customHeight="1"/>
    <row r="26775" ht="15" hidden="1" customHeight="1"/>
    <row r="26776" ht="15" hidden="1" customHeight="1"/>
    <row r="26777" ht="15" hidden="1" customHeight="1"/>
    <row r="26778" ht="15" hidden="1" customHeight="1"/>
    <row r="26779" ht="15" hidden="1" customHeight="1"/>
    <row r="26780" ht="15" hidden="1" customHeight="1"/>
    <row r="26781" ht="15" hidden="1" customHeight="1"/>
    <row r="26782" ht="15" hidden="1" customHeight="1"/>
    <row r="26783" ht="15" hidden="1" customHeight="1"/>
    <row r="26784" ht="15" hidden="1" customHeight="1"/>
    <row r="26785" ht="15" hidden="1" customHeight="1"/>
    <row r="26786" ht="15" hidden="1" customHeight="1"/>
    <row r="26787" ht="15" hidden="1" customHeight="1"/>
    <row r="26788" ht="15" hidden="1" customHeight="1"/>
    <row r="26789" ht="15" hidden="1" customHeight="1"/>
    <row r="26790" ht="15" hidden="1" customHeight="1"/>
    <row r="26791" ht="15" hidden="1" customHeight="1"/>
    <row r="26792" ht="15" hidden="1" customHeight="1"/>
    <row r="26793" ht="15" hidden="1" customHeight="1"/>
    <row r="26794" ht="15" hidden="1" customHeight="1"/>
    <row r="26795" ht="15" hidden="1" customHeight="1"/>
    <row r="26796" ht="15" hidden="1" customHeight="1"/>
    <row r="26797" ht="15" hidden="1" customHeight="1"/>
    <row r="26798" ht="15" hidden="1" customHeight="1"/>
    <row r="26799" ht="15" hidden="1" customHeight="1"/>
    <row r="26800" ht="15" hidden="1" customHeight="1"/>
    <row r="26801" ht="15" hidden="1" customHeight="1"/>
    <row r="26802" ht="15" hidden="1" customHeight="1"/>
    <row r="26803" ht="15" hidden="1" customHeight="1"/>
    <row r="26804" ht="15" hidden="1" customHeight="1"/>
    <row r="26805" ht="15" hidden="1" customHeight="1"/>
    <row r="26806" ht="15" hidden="1" customHeight="1"/>
    <row r="26807" ht="15" hidden="1" customHeight="1"/>
    <row r="26808" ht="15" hidden="1" customHeight="1"/>
    <row r="26809" ht="15" hidden="1" customHeight="1"/>
    <row r="26810" ht="15" hidden="1" customHeight="1"/>
    <row r="26811" ht="15" hidden="1" customHeight="1"/>
    <row r="26812" ht="15" hidden="1" customHeight="1"/>
    <row r="26813" ht="15" hidden="1" customHeight="1"/>
    <row r="26814" ht="15" hidden="1" customHeight="1"/>
    <row r="26815" ht="15" hidden="1" customHeight="1"/>
    <row r="26816" ht="15" hidden="1" customHeight="1"/>
    <row r="26817" ht="15" hidden="1" customHeight="1"/>
    <row r="26818" ht="15" hidden="1" customHeight="1"/>
    <row r="26819" ht="15" hidden="1" customHeight="1"/>
    <row r="26820" ht="15" hidden="1" customHeight="1"/>
    <row r="26821" ht="15" hidden="1" customHeight="1"/>
    <row r="26822" ht="15" hidden="1" customHeight="1"/>
    <row r="26823" ht="15" hidden="1" customHeight="1"/>
    <row r="26824" ht="15" hidden="1" customHeight="1"/>
    <row r="26825" ht="15" hidden="1" customHeight="1"/>
    <row r="26826" ht="15" hidden="1" customHeight="1"/>
    <row r="26827" ht="15" hidden="1" customHeight="1"/>
    <row r="26828" ht="15" hidden="1" customHeight="1"/>
    <row r="26829" ht="15" hidden="1" customHeight="1"/>
    <row r="26830" ht="15" hidden="1" customHeight="1"/>
    <row r="26831" ht="15" hidden="1" customHeight="1"/>
    <row r="26832" ht="15" hidden="1" customHeight="1"/>
    <row r="26833" ht="15" hidden="1" customHeight="1"/>
    <row r="26834" ht="15" hidden="1" customHeight="1"/>
    <row r="26835" ht="15" hidden="1" customHeight="1"/>
    <row r="26836" ht="15" hidden="1" customHeight="1"/>
    <row r="26837" ht="15" hidden="1" customHeight="1"/>
    <row r="26838" ht="15" hidden="1" customHeight="1"/>
    <row r="26839" ht="15" hidden="1" customHeight="1"/>
    <row r="26840" ht="15" hidden="1" customHeight="1"/>
    <row r="26841" ht="15" hidden="1" customHeight="1"/>
    <row r="26842" ht="15" hidden="1" customHeight="1"/>
    <row r="26843" ht="15" hidden="1" customHeight="1"/>
    <row r="26844" ht="15" hidden="1" customHeight="1"/>
    <row r="26845" ht="15" hidden="1" customHeight="1"/>
    <row r="26846" ht="15" hidden="1" customHeight="1"/>
    <row r="26847" ht="15" hidden="1" customHeight="1"/>
    <row r="26848" ht="15" hidden="1" customHeight="1"/>
    <row r="26849" ht="15" hidden="1" customHeight="1"/>
    <row r="26850" ht="15" hidden="1" customHeight="1"/>
    <row r="26851" ht="15" hidden="1" customHeight="1"/>
    <row r="26852" ht="15" hidden="1" customHeight="1"/>
    <row r="26853" ht="15" hidden="1" customHeight="1"/>
    <row r="26854" ht="15" hidden="1" customHeight="1"/>
    <row r="26855" ht="15" hidden="1" customHeight="1"/>
    <row r="26856" ht="15" hidden="1" customHeight="1"/>
    <row r="26857" ht="15" hidden="1" customHeight="1"/>
    <row r="26858" ht="15" hidden="1" customHeight="1"/>
    <row r="26859" ht="15" hidden="1" customHeight="1"/>
    <row r="26860" ht="15" hidden="1" customHeight="1"/>
    <row r="26861" ht="15" hidden="1" customHeight="1"/>
    <row r="26862" ht="15" hidden="1" customHeight="1"/>
    <row r="26863" ht="15" hidden="1" customHeight="1"/>
    <row r="26864" ht="15" hidden="1" customHeight="1"/>
    <row r="26865" ht="15" hidden="1" customHeight="1"/>
    <row r="26866" ht="15" hidden="1" customHeight="1"/>
    <row r="26867" ht="15" hidden="1" customHeight="1"/>
    <row r="26868" ht="15" hidden="1" customHeight="1"/>
    <row r="26869" ht="15" hidden="1" customHeight="1"/>
    <row r="26870" ht="15" hidden="1" customHeight="1"/>
    <row r="26871" ht="15" hidden="1" customHeight="1"/>
    <row r="26872" ht="15" hidden="1" customHeight="1"/>
    <row r="26873" ht="15" hidden="1" customHeight="1"/>
    <row r="26874" ht="15" hidden="1" customHeight="1"/>
    <row r="26875" ht="15" hidden="1" customHeight="1"/>
    <row r="26876" ht="15" hidden="1" customHeight="1"/>
    <row r="26877" ht="15" hidden="1" customHeight="1"/>
    <row r="26878" ht="15" hidden="1" customHeight="1"/>
    <row r="26879" ht="15" hidden="1" customHeight="1"/>
    <row r="26880" ht="15" hidden="1" customHeight="1"/>
    <row r="26881" ht="15" hidden="1" customHeight="1"/>
    <row r="26882" ht="15" hidden="1" customHeight="1"/>
    <row r="26883" ht="15" hidden="1" customHeight="1"/>
    <row r="26884" ht="15" hidden="1" customHeight="1"/>
    <row r="26885" ht="15" hidden="1" customHeight="1"/>
    <row r="26886" ht="15" hidden="1" customHeight="1"/>
    <row r="26887" ht="15" hidden="1" customHeight="1"/>
    <row r="26888" ht="15" hidden="1" customHeight="1"/>
    <row r="26889" ht="15" hidden="1" customHeight="1"/>
    <row r="26890" ht="15" hidden="1" customHeight="1"/>
    <row r="26891" ht="15" hidden="1" customHeight="1"/>
    <row r="26892" ht="15" hidden="1" customHeight="1"/>
    <row r="26893" ht="15" hidden="1" customHeight="1"/>
    <row r="26894" ht="15" hidden="1" customHeight="1"/>
    <row r="26895" ht="15" hidden="1" customHeight="1"/>
    <row r="26896" ht="15" hidden="1" customHeight="1"/>
    <row r="26897" ht="15" hidden="1" customHeight="1"/>
    <row r="26898" ht="15" hidden="1" customHeight="1"/>
    <row r="26899" ht="15" hidden="1" customHeight="1"/>
    <row r="26900" ht="15" hidden="1" customHeight="1"/>
    <row r="26901" ht="15" hidden="1" customHeight="1"/>
    <row r="26902" ht="15" hidden="1" customHeight="1"/>
    <row r="26903" ht="15" hidden="1" customHeight="1"/>
    <row r="26904" ht="15" hidden="1" customHeight="1"/>
    <row r="26905" ht="15" hidden="1" customHeight="1"/>
    <row r="26906" ht="15" hidden="1" customHeight="1"/>
    <row r="26907" ht="15" hidden="1" customHeight="1"/>
    <row r="26908" ht="15" hidden="1" customHeight="1"/>
    <row r="26909" ht="15" hidden="1" customHeight="1"/>
    <row r="26910" ht="15" hidden="1" customHeight="1"/>
    <row r="26911" ht="15" hidden="1" customHeight="1"/>
    <row r="26912" ht="15" hidden="1" customHeight="1"/>
    <row r="26913" ht="15" hidden="1" customHeight="1"/>
    <row r="26914" ht="15" hidden="1" customHeight="1"/>
    <row r="26915" ht="15" hidden="1" customHeight="1"/>
    <row r="26916" ht="15" hidden="1" customHeight="1"/>
    <row r="26917" ht="15" hidden="1" customHeight="1"/>
    <row r="26918" ht="15" hidden="1" customHeight="1"/>
    <row r="26919" ht="15" hidden="1" customHeight="1"/>
    <row r="26920" ht="15" hidden="1" customHeight="1"/>
    <row r="26921" ht="15" hidden="1" customHeight="1"/>
    <row r="26922" ht="15" hidden="1" customHeight="1"/>
    <row r="26923" ht="15" hidden="1" customHeight="1"/>
    <row r="26924" ht="15" hidden="1" customHeight="1"/>
    <row r="26925" ht="15" hidden="1" customHeight="1"/>
    <row r="26926" ht="15" hidden="1" customHeight="1"/>
    <row r="26927" ht="15" hidden="1" customHeight="1"/>
    <row r="26928" ht="15" hidden="1" customHeight="1"/>
    <row r="26929" ht="15" hidden="1" customHeight="1"/>
    <row r="26930" ht="15" hidden="1" customHeight="1"/>
    <row r="26931" ht="15" hidden="1" customHeight="1"/>
    <row r="26932" ht="15" hidden="1" customHeight="1"/>
    <row r="26933" ht="15" hidden="1" customHeight="1"/>
    <row r="26934" ht="15" hidden="1" customHeight="1"/>
    <row r="26935" ht="15" hidden="1" customHeight="1"/>
    <row r="26936" ht="15" hidden="1" customHeight="1"/>
    <row r="26937" ht="15" hidden="1" customHeight="1"/>
    <row r="26938" ht="15" hidden="1" customHeight="1"/>
    <row r="26939" ht="15" hidden="1" customHeight="1"/>
    <row r="26940" ht="15" hidden="1" customHeight="1"/>
    <row r="26941" ht="15" hidden="1" customHeight="1"/>
    <row r="26942" ht="15" hidden="1" customHeight="1"/>
    <row r="26943" ht="15" hidden="1" customHeight="1"/>
    <row r="26944" ht="15" hidden="1" customHeight="1"/>
    <row r="26945" ht="15" hidden="1" customHeight="1"/>
    <row r="26946" ht="15" hidden="1" customHeight="1"/>
    <row r="26947" ht="15" hidden="1" customHeight="1"/>
    <row r="26948" ht="15" hidden="1" customHeight="1"/>
    <row r="26949" ht="15" hidden="1" customHeight="1"/>
    <row r="26950" ht="15" hidden="1" customHeight="1"/>
    <row r="26951" ht="15" hidden="1" customHeight="1"/>
    <row r="26952" ht="15" hidden="1" customHeight="1"/>
    <row r="26953" ht="15" hidden="1" customHeight="1"/>
    <row r="26954" ht="15" hidden="1" customHeight="1"/>
    <row r="26955" ht="15" hidden="1" customHeight="1"/>
    <row r="26956" ht="15" hidden="1" customHeight="1"/>
    <row r="26957" ht="15" hidden="1" customHeight="1"/>
    <row r="26958" ht="15" hidden="1" customHeight="1"/>
    <row r="26959" ht="15" hidden="1" customHeight="1"/>
    <row r="26960" ht="15" hidden="1" customHeight="1"/>
    <row r="26961" ht="15" hidden="1" customHeight="1"/>
    <row r="26962" ht="15" hidden="1" customHeight="1"/>
    <row r="26963" ht="15" hidden="1" customHeight="1"/>
    <row r="26964" ht="15" hidden="1" customHeight="1"/>
    <row r="26965" ht="15" hidden="1" customHeight="1"/>
    <row r="26966" ht="15" hidden="1" customHeight="1"/>
    <row r="26967" ht="15" hidden="1" customHeight="1"/>
    <row r="26968" ht="15" hidden="1" customHeight="1"/>
    <row r="26969" ht="15" hidden="1" customHeight="1"/>
    <row r="26970" ht="15" hidden="1" customHeight="1"/>
    <row r="26971" ht="15" hidden="1" customHeight="1"/>
    <row r="26972" ht="15" hidden="1" customHeight="1"/>
    <row r="26973" ht="15" hidden="1" customHeight="1"/>
    <row r="26974" ht="15" hidden="1" customHeight="1"/>
    <row r="26975" ht="15" hidden="1" customHeight="1"/>
    <row r="26976" ht="15" hidden="1" customHeight="1"/>
    <row r="26977" ht="15" hidden="1" customHeight="1"/>
    <row r="26978" ht="15" hidden="1" customHeight="1"/>
    <row r="26979" ht="15" hidden="1" customHeight="1"/>
    <row r="26980" ht="15" hidden="1" customHeight="1"/>
    <row r="26981" ht="15" hidden="1" customHeight="1"/>
    <row r="26982" ht="15" hidden="1" customHeight="1"/>
    <row r="26983" ht="15" hidden="1" customHeight="1"/>
    <row r="26984" ht="15" hidden="1" customHeight="1"/>
    <row r="26985" ht="15" hidden="1" customHeight="1"/>
    <row r="26986" ht="15" hidden="1" customHeight="1"/>
    <row r="26987" ht="15" hidden="1" customHeight="1"/>
    <row r="26988" ht="15" hidden="1" customHeight="1"/>
    <row r="26989" ht="15" hidden="1" customHeight="1"/>
    <row r="26990" ht="15" hidden="1" customHeight="1"/>
    <row r="26991" ht="15" hidden="1" customHeight="1"/>
    <row r="26992" ht="15" hidden="1" customHeight="1"/>
    <row r="26993" ht="15" hidden="1" customHeight="1"/>
    <row r="26994" ht="15" hidden="1" customHeight="1"/>
    <row r="26995" ht="15" hidden="1" customHeight="1"/>
    <row r="26996" ht="15" hidden="1" customHeight="1"/>
    <row r="26997" ht="15" hidden="1" customHeight="1"/>
    <row r="26998" ht="15" hidden="1" customHeight="1"/>
    <row r="26999" ht="15" hidden="1" customHeight="1"/>
    <row r="27000" ht="15" hidden="1" customHeight="1"/>
    <row r="27001" ht="15" hidden="1" customHeight="1"/>
    <row r="27002" ht="15" hidden="1" customHeight="1"/>
    <row r="27003" ht="15" hidden="1" customHeight="1"/>
    <row r="27004" ht="15" hidden="1" customHeight="1"/>
    <row r="27005" ht="15" hidden="1" customHeight="1"/>
    <row r="27006" ht="15" hidden="1" customHeight="1"/>
    <row r="27007" ht="15" hidden="1" customHeight="1"/>
    <row r="27008" ht="15" hidden="1" customHeight="1"/>
    <row r="27009" ht="15" hidden="1" customHeight="1"/>
    <row r="27010" ht="15" hidden="1" customHeight="1"/>
    <row r="27011" ht="15" hidden="1" customHeight="1"/>
    <row r="27012" ht="15" hidden="1" customHeight="1"/>
    <row r="27013" ht="15" hidden="1" customHeight="1"/>
    <row r="27014" ht="15" hidden="1" customHeight="1"/>
    <row r="27015" ht="15" hidden="1" customHeight="1"/>
    <row r="27016" ht="15" hidden="1" customHeight="1"/>
    <row r="27017" ht="15" hidden="1" customHeight="1"/>
    <row r="27018" ht="15" hidden="1" customHeight="1"/>
    <row r="27019" ht="15" hidden="1" customHeight="1"/>
    <row r="27020" ht="15" hidden="1" customHeight="1"/>
    <row r="27021" ht="15" hidden="1" customHeight="1"/>
    <row r="27022" ht="15" hidden="1" customHeight="1"/>
    <row r="27023" ht="15" hidden="1" customHeight="1"/>
    <row r="27024" ht="15" hidden="1" customHeight="1"/>
    <row r="27025" ht="15" hidden="1" customHeight="1"/>
    <row r="27026" ht="15" hidden="1" customHeight="1"/>
    <row r="27027" ht="15" hidden="1" customHeight="1"/>
    <row r="27028" ht="15" hidden="1" customHeight="1"/>
    <row r="27029" ht="15" hidden="1" customHeight="1"/>
    <row r="27030" ht="15" hidden="1" customHeight="1"/>
    <row r="27031" ht="15" hidden="1" customHeight="1"/>
    <row r="27032" ht="15" hidden="1" customHeight="1"/>
    <row r="27033" ht="15" hidden="1" customHeight="1"/>
    <row r="27034" ht="15" hidden="1" customHeight="1"/>
    <row r="27035" ht="15" hidden="1" customHeight="1"/>
    <row r="27036" ht="15" hidden="1" customHeight="1"/>
    <row r="27037" ht="15" hidden="1" customHeight="1"/>
    <row r="27038" ht="15" hidden="1" customHeight="1"/>
    <row r="27039" ht="15" hidden="1" customHeight="1"/>
    <row r="27040" ht="15" hidden="1" customHeight="1"/>
    <row r="27041" ht="15" hidden="1" customHeight="1"/>
    <row r="27042" ht="15" hidden="1" customHeight="1"/>
    <row r="27043" ht="15" hidden="1" customHeight="1"/>
    <row r="27044" ht="15" hidden="1" customHeight="1"/>
    <row r="27045" ht="15" hidden="1" customHeight="1"/>
    <row r="27046" ht="15" hidden="1" customHeight="1"/>
    <row r="27047" ht="15" hidden="1" customHeight="1"/>
    <row r="27048" ht="15" hidden="1" customHeight="1"/>
    <row r="27049" ht="15" hidden="1" customHeight="1"/>
    <row r="27050" ht="15" hidden="1" customHeight="1"/>
    <row r="27051" ht="15" hidden="1" customHeight="1"/>
    <row r="27052" ht="15" hidden="1" customHeight="1"/>
    <row r="27053" ht="15" hidden="1" customHeight="1"/>
    <row r="27054" ht="15" hidden="1" customHeight="1"/>
    <row r="27055" ht="15" hidden="1" customHeight="1"/>
    <row r="27056" ht="15" hidden="1" customHeight="1"/>
    <row r="27057" ht="15" hidden="1" customHeight="1"/>
    <row r="27058" ht="15" hidden="1" customHeight="1"/>
    <row r="27059" ht="15" hidden="1" customHeight="1"/>
    <row r="27060" ht="15" hidden="1" customHeight="1"/>
    <row r="27061" ht="15" hidden="1" customHeight="1"/>
    <row r="27062" ht="15" hidden="1" customHeight="1"/>
    <row r="27063" ht="15" hidden="1" customHeight="1"/>
    <row r="27064" ht="15" hidden="1" customHeight="1"/>
    <row r="27065" ht="15" hidden="1" customHeight="1"/>
    <row r="27066" ht="15" hidden="1" customHeight="1"/>
    <row r="27067" ht="15" hidden="1" customHeight="1"/>
    <row r="27068" ht="15" hidden="1" customHeight="1"/>
    <row r="27069" ht="15" hidden="1" customHeight="1"/>
    <row r="27070" ht="15" hidden="1" customHeight="1"/>
    <row r="27071" ht="15" hidden="1" customHeight="1"/>
    <row r="27072" ht="15" hidden="1" customHeight="1"/>
    <row r="27073" ht="15" hidden="1" customHeight="1"/>
    <row r="27074" ht="15" hidden="1" customHeight="1"/>
    <row r="27075" ht="15" hidden="1" customHeight="1"/>
    <row r="27076" ht="15" hidden="1" customHeight="1"/>
    <row r="27077" ht="15" hidden="1" customHeight="1"/>
    <row r="27078" ht="15" hidden="1" customHeight="1"/>
    <row r="27079" ht="15" hidden="1" customHeight="1"/>
    <row r="27080" ht="15" hidden="1" customHeight="1"/>
    <row r="27081" ht="15" hidden="1" customHeight="1"/>
    <row r="27082" ht="15" hidden="1" customHeight="1"/>
    <row r="27083" ht="15" hidden="1" customHeight="1"/>
    <row r="27084" ht="15" hidden="1" customHeight="1"/>
    <row r="27085" ht="15" hidden="1" customHeight="1"/>
    <row r="27086" ht="15" hidden="1" customHeight="1"/>
    <row r="27087" ht="15" hidden="1" customHeight="1"/>
    <row r="27088" ht="15" hidden="1" customHeight="1"/>
    <row r="27089" ht="15" hidden="1" customHeight="1"/>
    <row r="27090" ht="15" hidden="1" customHeight="1"/>
    <row r="27091" ht="15" hidden="1" customHeight="1"/>
    <row r="27092" ht="15" hidden="1" customHeight="1"/>
    <row r="27093" ht="15" hidden="1" customHeight="1"/>
    <row r="27094" ht="15" hidden="1" customHeight="1"/>
    <row r="27095" ht="15" hidden="1" customHeight="1"/>
    <row r="27096" ht="15" hidden="1" customHeight="1"/>
    <row r="27097" ht="15" hidden="1" customHeight="1"/>
    <row r="27098" ht="15" hidden="1" customHeight="1"/>
    <row r="27099" ht="15" hidden="1" customHeight="1"/>
    <row r="27100" ht="15" hidden="1" customHeight="1"/>
    <row r="27101" ht="15" hidden="1" customHeight="1"/>
    <row r="27102" ht="15" hidden="1" customHeight="1"/>
    <row r="27103" ht="15" hidden="1" customHeight="1"/>
    <row r="27104" ht="15" hidden="1" customHeight="1"/>
    <row r="27105" ht="15" hidden="1" customHeight="1"/>
    <row r="27106" ht="15" hidden="1" customHeight="1"/>
    <row r="27107" ht="15" hidden="1" customHeight="1"/>
    <row r="27108" ht="15" hidden="1" customHeight="1"/>
    <row r="27109" ht="15" hidden="1" customHeight="1"/>
    <row r="27110" ht="15" hidden="1" customHeight="1"/>
    <row r="27111" ht="15" hidden="1" customHeight="1"/>
    <row r="27112" ht="15" hidden="1" customHeight="1"/>
    <row r="27113" ht="15" hidden="1" customHeight="1"/>
    <row r="27114" ht="15" hidden="1" customHeight="1"/>
    <row r="27115" ht="15" hidden="1" customHeight="1"/>
    <row r="27116" ht="15" hidden="1" customHeight="1"/>
    <row r="27117" ht="15" hidden="1" customHeight="1"/>
    <row r="27118" ht="15" hidden="1" customHeight="1"/>
    <row r="27119" ht="15" hidden="1" customHeight="1"/>
    <row r="27120" ht="15" hidden="1" customHeight="1"/>
    <row r="27121" ht="15" hidden="1" customHeight="1"/>
    <row r="27122" ht="15" hidden="1" customHeight="1"/>
    <row r="27123" ht="15" hidden="1" customHeight="1"/>
    <row r="27124" ht="15" hidden="1" customHeight="1"/>
    <row r="27125" ht="15" hidden="1" customHeight="1"/>
    <row r="27126" ht="15" hidden="1" customHeight="1"/>
    <row r="27127" ht="15" hidden="1" customHeight="1"/>
    <row r="27128" ht="15" hidden="1" customHeight="1"/>
    <row r="27129" ht="15" hidden="1" customHeight="1"/>
    <row r="27130" ht="15" hidden="1" customHeight="1"/>
    <row r="27131" ht="15" hidden="1" customHeight="1"/>
    <row r="27132" ht="15" hidden="1" customHeight="1"/>
    <row r="27133" ht="15" hidden="1" customHeight="1"/>
    <row r="27134" ht="15" hidden="1" customHeight="1"/>
    <row r="27135" ht="15" hidden="1" customHeight="1"/>
    <row r="27136" ht="15" hidden="1" customHeight="1"/>
    <row r="27137" ht="15" hidden="1" customHeight="1"/>
    <row r="27138" ht="15" hidden="1" customHeight="1"/>
    <row r="27139" ht="15" hidden="1" customHeight="1"/>
    <row r="27140" ht="15" hidden="1" customHeight="1"/>
    <row r="27141" ht="15" hidden="1" customHeight="1"/>
    <row r="27142" ht="15" hidden="1" customHeight="1"/>
    <row r="27143" ht="15" hidden="1" customHeight="1"/>
    <row r="27144" ht="15" hidden="1" customHeight="1"/>
    <row r="27145" ht="15" hidden="1" customHeight="1"/>
    <row r="27146" ht="15" hidden="1" customHeight="1"/>
    <row r="27147" ht="15" hidden="1" customHeight="1"/>
    <row r="27148" ht="15" hidden="1" customHeight="1"/>
    <row r="27149" ht="15" hidden="1" customHeight="1"/>
    <row r="27150" ht="15" hidden="1" customHeight="1"/>
    <row r="27151" ht="15" hidden="1" customHeight="1"/>
    <row r="27152" ht="15" hidden="1" customHeight="1"/>
    <row r="27153" ht="15" hidden="1" customHeight="1"/>
    <row r="27154" ht="15" hidden="1" customHeight="1"/>
    <row r="27155" ht="15" hidden="1" customHeight="1"/>
    <row r="27156" ht="15" hidden="1" customHeight="1"/>
    <row r="27157" ht="15" hidden="1" customHeight="1"/>
    <row r="27158" ht="15" hidden="1" customHeight="1"/>
    <row r="27159" ht="15" hidden="1" customHeight="1"/>
    <row r="27160" ht="15" hidden="1" customHeight="1"/>
    <row r="27161" ht="15" hidden="1" customHeight="1"/>
    <row r="27162" ht="15" hidden="1" customHeight="1"/>
    <row r="27163" ht="15" hidden="1" customHeight="1"/>
    <row r="27164" ht="15" hidden="1" customHeight="1"/>
    <row r="27165" ht="15" hidden="1" customHeight="1"/>
    <row r="27166" ht="15" hidden="1" customHeight="1"/>
    <row r="27167" ht="15" hidden="1" customHeight="1"/>
    <row r="27168" ht="15" hidden="1" customHeight="1"/>
    <row r="27169" ht="15" hidden="1" customHeight="1"/>
    <row r="27170" ht="15" hidden="1" customHeight="1"/>
    <row r="27171" ht="15" hidden="1" customHeight="1"/>
    <row r="27172" ht="15" hidden="1" customHeight="1"/>
    <row r="27173" ht="15" hidden="1" customHeight="1"/>
    <row r="27174" ht="15" hidden="1" customHeight="1"/>
    <row r="27175" ht="15" hidden="1" customHeight="1"/>
    <row r="27176" ht="15" hidden="1" customHeight="1"/>
    <row r="27177" ht="15" hidden="1" customHeight="1"/>
    <row r="27178" ht="15" hidden="1" customHeight="1"/>
    <row r="27179" ht="15" hidden="1" customHeight="1"/>
    <row r="27180" ht="15" hidden="1" customHeight="1"/>
    <row r="27181" ht="15" hidden="1" customHeight="1"/>
    <row r="27182" ht="15" hidden="1" customHeight="1"/>
    <row r="27183" ht="15" hidden="1" customHeight="1"/>
    <row r="27184" ht="15" hidden="1" customHeight="1"/>
    <row r="27185" ht="15" hidden="1" customHeight="1"/>
    <row r="27186" ht="15" hidden="1" customHeight="1"/>
    <row r="27187" ht="15" hidden="1" customHeight="1"/>
    <row r="27188" ht="15" hidden="1" customHeight="1"/>
    <row r="27189" ht="15" hidden="1" customHeight="1"/>
    <row r="27190" ht="15" hidden="1" customHeight="1"/>
    <row r="27191" ht="15" hidden="1" customHeight="1"/>
    <row r="27192" ht="15" hidden="1" customHeight="1"/>
    <row r="27193" ht="15" hidden="1" customHeight="1"/>
    <row r="27194" ht="15" hidden="1" customHeight="1"/>
    <row r="27195" ht="15" hidden="1" customHeight="1"/>
    <row r="27196" ht="15" hidden="1" customHeight="1"/>
    <row r="27197" ht="15" hidden="1" customHeight="1"/>
    <row r="27198" ht="15" hidden="1" customHeight="1"/>
    <row r="27199" ht="15" hidden="1" customHeight="1"/>
    <row r="27200" ht="15" hidden="1" customHeight="1"/>
    <row r="27201" ht="15" hidden="1" customHeight="1"/>
    <row r="27202" ht="15" hidden="1" customHeight="1"/>
    <row r="27203" ht="15" hidden="1" customHeight="1"/>
    <row r="27204" ht="15" hidden="1" customHeight="1"/>
    <row r="27205" ht="15" hidden="1" customHeight="1"/>
    <row r="27206" ht="15" hidden="1" customHeight="1"/>
    <row r="27207" ht="15" hidden="1" customHeight="1"/>
    <row r="27208" ht="15" hidden="1" customHeight="1"/>
    <row r="27209" ht="15" hidden="1" customHeight="1"/>
    <row r="27210" ht="15" hidden="1" customHeight="1"/>
    <row r="27211" ht="15" hidden="1" customHeight="1"/>
    <row r="27212" ht="15" hidden="1" customHeight="1"/>
    <row r="27213" ht="15" hidden="1" customHeight="1"/>
    <row r="27214" ht="15" hidden="1" customHeight="1"/>
    <row r="27215" ht="15" hidden="1" customHeight="1"/>
    <row r="27216" ht="15" hidden="1" customHeight="1"/>
    <row r="27217" ht="15" hidden="1" customHeight="1"/>
    <row r="27218" ht="15" hidden="1" customHeight="1"/>
    <row r="27219" ht="15" hidden="1" customHeight="1"/>
    <row r="27220" ht="15" hidden="1" customHeight="1"/>
    <row r="27221" ht="15" hidden="1" customHeight="1"/>
    <row r="27222" ht="15" hidden="1" customHeight="1"/>
    <row r="27223" ht="15" hidden="1" customHeight="1"/>
    <row r="27224" ht="15" hidden="1" customHeight="1"/>
    <row r="27225" ht="15" hidden="1" customHeight="1"/>
    <row r="27226" ht="15" hidden="1" customHeight="1"/>
    <row r="27227" ht="15" hidden="1" customHeight="1"/>
    <row r="27228" ht="15" hidden="1" customHeight="1"/>
    <row r="27229" ht="15" hidden="1" customHeight="1"/>
    <row r="27230" ht="15" hidden="1" customHeight="1"/>
    <row r="27231" ht="15" hidden="1" customHeight="1"/>
    <row r="27232" ht="15" hidden="1" customHeight="1"/>
    <row r="27233" ht="15" hidden="1" customHeight="1"/>
    <row r="27234" ht="15" hidden="1" customHeight="1"/>
    <row r="27235" ht="15" hidden="1" customHeight="1"/>
    <row r="27236" ht="15" hidden="1" customHeight="1"/>
    <row r="27237" ht="15" hidden="1" customHeight="1"/>
    <row r="27238" ht="15" hidden="1" customHeight="1"/>
    <row r="27239" ht="15" hidden="1" customHeight="1"/>
    <row r="27240" ht="15" hidden="1" customHeight="1"/>
    <row r="27241" ht="15" hidden="1" customHeight="1"/>
    <row r="27242" ht="15" hidden="1" customHeight="1"/>
    <row r="27243" ht="15" hidden="1" customHeight="1"/>
    <row r="27244" ht="15" hidden="1" customHeight="1"/>
    <row r="27245" ht="15" hidden="1" customHeight="1"/>
    <row r="27246" ht="15" hidden="1" customHeight="1"/>
    <row r="27247" ht="15" hidden="1" customHeight="1"/>
    <row r="27248" ht="15" hidden="1" customHeight="1"/>
    <row r="27249" ht="15" hidden="1" customHeight="1"/>
    <row r="27250" ht="15" hidden="1" customHeight="1"/>
    <row r="27251" ht="15" hidden="1" customHeight="1"/>
    <row r="27252" ht="15" hidden="1" customHeight="1"/>
    <row r="27253" ht="15" hidden="1" customHeight="1"/>
    <row r="27254" ht="15" hidden="1" customHeight="1"/>
    <row r="27255" ht="15" hidden="1" customHeight="1"/>
    <row r="27256" ht="15" hidden="1" customHeight="1"/>
    <row r="27257" ht="15" hidden="1" customHeight="1"/>
    <row r="27258" ht="15" hidden="1" customHeight="1"/>
    <row r="27259" ht="15" hidden="1" customHeight="1"/>
    <row r="27260" ht="15" hidden="1" customHeight="1"/>
    <row r="27261" ht="15" hidden="1" customHeight="1"/>
    <row r="27262" ht="15" hidden="1" customHeight="1"/>
    <row r="27263" ht="15" hidden="1" customHeight="1"/>
    <row r="27264" ht="15" hidden="1" customHeight="1"/>
    <row r="27265" ht="15" hidden="1" customHeight="1"/>
    <row r="27266" ht="15" hidden="1" customHeight="1"/>
    <row r="27267" ht="15" hidden="1" customHeight="1"/>
    <row r="27268" ht="15" hidden="1" customHeight="1"/>
    <row r="27269" ht="15" hidden="1" customHeight="1"/>
    <row r="27270" ht="15" hidden="1" customHeight="1"/>
    <row r="27271" ht="15" hidden="1" customHeight="1"/>
    <row r="27272" ht="15" hidden="1" customHeight="1"/>
    <row r="27273" ht="15" hidden="1" customHeight="1"/>
    <row r="27274" ht="15" hidden="1" customHeight="1"/>
    <row r="27275" ht="15" hidden="1" customHeight="1"/>
    <row r="27276" ht="15" hidden="1" customHeight="1"/>
    <row r="27277" ht="15" hidden="1" customHeight="1"/>
    <row r="27278" ht="15" hidden="1" customHeight="1"/>
    <row r="27279" ht="15" hidden="1" customHeight="1"/>
    <row r="27280" ht="15" hidden="1" customHeight="1"/>
    <row r="27281" ht="15" hidden="1" customHeight="1"/>
    <row r="27282" ht="15" hidden="1" customHeight="1"/>
    <row r="27283" ht="15" hidden="1" customHeight="1"/>
    <row r="27284" ht="15" hidden="1" customHeight="1"/>
    <row r="27285" ht="15" hidden="1" customHeight="1"/>
    <row r="27286" ht="15" hidden="1" customHeight="1"/>
    <row r="27287" ht="15" hidden="1" customHeight="1"/>
    <row r="27288" ht="15" hidden="1" customHeight="1"/>
    <row r="27289" ht="15" hidden="1" customHeight="1"/>
    <row r="27290" ht="15" hidden="1" customHeight="1"/>
    <row r="27291" ht="15" hidden="1" customHeight="1"/>
    <row r="27292" ht="15" hidden="1" customHeight="1"/>
    <row r="27293" ht="15" hidden="1" customHeight="1"/>
    <row r="27294" ht="15" hidden="1" customHeight="1"/>
    <row r="27295" ht="15" hidden="1" customHeight="1"/>
    <row r="27296" ht="15" hidden="1" customHeight="1"/>
    <row r="27297" ht="15" hidden="1" customHeight="1"/>
    <row r="27298" ht="15" hidden="1" customHeight="1"/>
    <row r="27299" ht="15" hidden="1" customHeight="1"/>
    <row r="27300" ht="15" hidden="1" customHeight="1"/>
    <row r="27301" ht="15" hidden="1" customHeight="1"/>
    <row r="27302" ht="15" hidden="1" customHeight="1"/>
    <row r="27303" ht="15" hidden="1" customHeight="1"/>
    <row r="27304" ht="15" hidden="1" customHeight="1"/>
    <row r="27305" ht="15" hidden="1" customHeight="1"/>
    <row r="27306" ht="15" hidden="1" customHeight="1"/>
    <row r="27307" ht="15" hidden="1" customHeight="1"/>
    <row r="27308" ht="15" hidden="1" customHeight="1"/>
    <row r="27309" ht="15" hidden="1" customHeight="1"/>
    <row r="27310" ht="15" hidden="1" customHeight="1"/>
    <row r="27311" ht="15" hidden="1" customHeight="1"/>
    <row r="27312" ht="15" hidden="1" customHeight="1"/>
    <row r="27313" ht="15" hidden="1" customHeight="1"/>
    <row r="27314" ht="15" hidden="1" customHeight="1"/>
    <row r="27315" ht="15" hidden="1" customHeight="1"/>
    <row r="27316" ht="15" hidden="1" customHeight="1"/>
    <row r="27317" ht="15" hidden="1" customHeight="1"/>
    <row r="27318" ht="15" hidden="1" customHeight="1"/>
    <row r="27319" ht="15" hidden="1" customHeight="1"/>
    <row r="27320" ht="15" hidden="1" customHeight="1"/>
    <row r="27321" ht="15" hidden="1" customHeight="1"/>
    <row r="27322" ht="15" hidden="1" customHeight="1"/>
    <row r="27323" ht="15" hidden="1" customHeight="1"/>
    <row r="27324" ht="15" hidden="1" customHeight="1"/>
    <row r="27325" ht="15" hidden="1" customHeight="1"/>
    <row r="27326" ht="15" hidden="1" customHeight="1"/>
    <row r="27327" ht="15" hidden="1" customHeight="1"/>
    <row r="27328" ht="15" hidden="1" customHeight="1"/>
    <row r="27329" ht="15" hidden="1" customHeight="1"/>
    <row r="27330" ht="15" hidden="1" customHeight="1"/>
    <row r="27331" ht="15" hidden="1" customHeight="1"/>
    <row r="27332" ht="15" hidden="1" customHeight="1"/>
    <row r="27333" ht="15" hidden="1" customHeight="1"/>
    <row r="27334" ht="15" hidden="1" customHeight="1"/>
    <row r="27335" ht="15" hidden="1" customHeight="1"/>
    <row r="27336" ht="15" hidden="1" customHeight="1"/>
    <row r="27337" ht="15" hidden="1" customHeight="1"/>
    <row r="27338" ht="15" hidden="1" customHeight="1"/>
    <row r="27339" ht="15" hidden="1" customHeight="1"/>
    <row r="27340" ht="15" hidden="1" customHeight="1"/>
    <row r="27341" ht="15" hidden="1" customHeight="1"/>
    <row r="27342" ht="15" hidden="1" customHeight="1"/>
    <row r="27343" ht="15" hidden="1" customHeight="1"/>
    <row r="27344" ht="15" hidden="1" customHeight="1"/>
    <row r="27345" ht="15" hidden="1" customHeight="1"/>
    <row r="27346" ht="15" hidden="1" customHeight="1"/>
    <row r="27347" ht="15" hidden="1" customHeight="1"/>
    <row r="27348" ht="15" hidden="1" customHeight="1"/>
    <row r="27349" ht="15" hidden="1" customHeight="1"/>
    <row r="27350" ht="15" hidden="1" customHeight="1"/>
    <row r="27351" ht="15" hidden="1" customHeight="1"/>
    <row r="27352" ht="15" hidden="1" customHeight="1"/>
    <row r="27353" ht="15" hidden="1" customHeight="1"/>
    <row r="27354" ht="15" hidden="1" customHeight="1"/>
    <row r="27355" ht="15" hidden="1" customHeight="1"/>
    <row r="27356" ht="15" hidden="1" customHeight="1"/>
    <row r="27357" ht="15" hidden="1" customHeight="1"/>
    <row r="27358" ht="15" hidden="1" customHeight="1"/>
    <row r="27359" ht="15" hidden="1" customHeight="1"/>
    <row r="27360" ht="15" hidden="1" customHeight="1"/>
    <row r="27361" ht="15" hidden="1" customHeight="1"/>
    <row r="27362" ht="15" hidden="1" customHeight="1"/>
    <row r="27363" ht="15" hidden="1" customHeight="1"/>
    <row r="27364" ht="15" hidden="1" customHeight="1"/>
    <row r="27365" ht="15" hidden="1" customHeight="1"/>
    <row r="27366" ht="15" hidden="1" customHeight="1"/>
    <row r="27367" ht="15" hidden="1" customHeight="1"/>
    <row r="27368" ht="15" hidden="1" customHeight="1"/>
    <row r="27369" ht="15" hidden="1" customHeight="1"/>
    <row r="27370" ht="15" hidden="1" customHeight="1"/>
    <row r="27371" ht="15" hidden="1" customHeight="1"/>
    <row r="27372" ht="15" hidden="1" customHeight="1"/>
    <row r="27373" ht="15" hidden="1" customHeight="1"/>
    <row r="27374" ht="15" hidden="1" customHeight="1"/>
    <row r="27375" ht="15" hidden="1" customHeight="1"/>
    <row r="27376" ht="15" hidden="1" customHeight="1"/>
    <row r="27377" ht="15" hidden="1" customHeight="1"/>
    <row r="27378" ht="15" hidden="1" customHeight="1"/>
    <row r="27379" ht="15" hidden="1" customHeight="1"/>
    <row r="27380" ht="15" hidden="1" customHeight="1"/>
    <row r="27381" ht="15" hidden="1" customHeight="1"/>
    <row r="27382" ht="15" hidden="1" customHeight="1"/>
    <row r="27383" ht="15" hidden="1" customHeight="1"/>
    <row r="27384" ht="15" hidden="1" customHeight="1"/>
    <row r="27385" ht="15" hidden="1" customHeight="1"/>
    <row r="27386" ht="15" hidden="1" customHeight="1"/>
    <row r="27387" ht="15" hidden="1" customHeight="1"/>
    <row r="27388" ht="15" hidden="1" customHeight="1"/>
    <row r="27389" ht="15" hidden="1" customHeight="1"/>
    <row r="27390" ht="15" hidden="1" customHeight="1"/>
    <row r="27391" ht="15" hidden="1" customHeight="1"/>
    <row r="27392" ht="15" hidden="1" customHeight="1"/>
    <row r="27393" ht="15" hidden="1" customHeight="1"/>
    <row r="27394" ht="15" hidden="1" customHeight="1"/>
    <row r="27395" ht="15" hidden="1" customHeight="1"/>
    <row r="27396" ht="15" hidden="1" customHeight="1"/>
    <row r="27397" ht="15" hidden="1" customHeight="1"/>
    <row r="27398" ht="15" hidden="1" customHeight="1"/>
    <row r="27399" ht="15" hidden="1" customHeight="1"/>
    <row r="27400" ht="15" hidden="1" customHeight="1"/>
    <row r="27401" ht="15" hidden="1" customHeight="1"/>
    <row r="27402" ht="15" hidden="1" customHeight="1"/>
    <row r="27403" ht="15" hidden="1" customHeight="1"/>
    <row r="27404" ht="15" hidden="1" customHeight="1"/>
    <row r="27405" ht="15" hidden="1" customHeight="1"/>
    <row r="27406" ht="15" hidden="1" customHeight="1"/>
    <row r="27407" ht="15" hidden="1" customHeight="1"/>
    <row r="27408" ht="15" hidden="1" customHeight="1"/>
    <row r="27409" ht="15" hidden="1" customHeight="1"/>
    <row r="27410" ht="15" hidden="1" customHeight="1"/>
    <row r="27411" ht="15" hidden="1" customHeight="1"/>
    <row r="27412" ht="15" hidden="1" customHeight="1"/>
    <row r="27413" ht="15" hidden="1" customHeight="1"/>
    <row r="27414" ht="15" hidden="1" customHeight="1"/>
    <row r="27415" ht="15" hidden="1" customHeight="1"/>
    <row r="27416" ht="15" hidden="1" customHeight="1"/>
    <row r="27417" ht="15" hidden="1" customHeight="1"/>
    <row r="27418" ht="15" hidden="1" customHeight="1"/>
    <row r="27419" ht="15" hidden="1" customHeight="1"/>
    <row r="27420" ht="15" hidden="1" customHeight="1"/>
    <row r="27421" ht="15" hidden="1" customHeight="1"/>
    <row r="27422" ht="15" hidden="1" customHeight="1"/>
    <row r="27423" ht="15" hidden="1" customHeight="1"/>
    <row r="27424" ht="15" hidden="1" customHeight="1"/>
    <row r="27425" ht="15" hidden="1" customHeight="1"/>
    <row r="27426" ht="15" hidden="1" customHeight="1"/>
    <row r="27427" ht="15" hidden="1" customHeight="1"/>
    <row r="27428" ht="15" hidden="1" customHeight="1"/>
    <row r="27429" ht="15" hidden="1" customHeight="1"/>
    <row r="27430" ht="15" hidden="1" customHeight="1"/>
    <row r="27431" ht="15" hidden="1" customHeight="1"/>
    <row r="27432" ht="15" hidden="1" customHeight="1"/>
    <row r="27433" ht="15" hidden="1" customHeight="1"/>
    <row r="27434" ht="15" hidden="1" customHeight="1"/>
    <row r="27435" ht="15" hidden="1" customHeight="1"/>
    <row r="27436" ht="15" hidden="1" customHeight="1"/>
    <row r="27437" ht="15" hidden="1" customHeight="1"/>
    <row r="27438" ht="15" hidden="1" customHeight="1"/>
    <row r="27439" ht="15" hidden="1" customHeight="1"/>
    <row r="27440" ht="15" hidden="1" customHeight="1"/>
    <row r="27441" ht="15" hidden="1" customHeight="1"/>
    <row r="27442" ht="15" hidden="1" customHeight="1"/>
    <row r="27443" ht="15" hidden="1" customHeight="1"/>
    <row r="27444" ht="15" hidden="1" customHeight="1"/>
    <row r="27445" ht="15" hidden="1" customHeight="1"/>
    <row r="27446" ht="15" hidden="1" customHeight="1"/>
    <row r="27447" ht="15" hidden="1" customHeight="1"/>
    <row r="27448" ht="15" hidden="1" customHeight="1"/>
    <row r="27449" ht="15" hidden="1" customHeight="1"/>
    <row r="27450" ht="15" hidden="1" customHeight="1"/>
    <row r="27451" ht="15" hidden="1" customHeight="1"/>
    <row r="27452" ht="15" hidden="1" customHeight="1"/>
    <row r="27453" ht="15" hidden="1" customHeight="1"/>
    <row r="27454" ht="15" hidden="1" customHeight="1"/>
    <row r="27455" ht="15" hidden="1" customHeight="1"/>
    <row r="27456" ht="15" hidden="1" customHeight="1"/>
    <row r="27457" ht="15" hidden="1" customHeight="1"/>
    <row r="27458" ht="15" hidden="1" customHeight="1"/>
    <row r="27459" ht="15" hidden="1" customHeight="1"/>
    <row r="27460" ht="15" hidden="1" customHeight="1"/>
    <row r="27461" ht="15" hidden="1" customHeight="1"/>
    <row r="27462" ht="15" hidden="1" customHeight="1"/>
    <row r="27463" ht="15" hidden="1" customHeight="1"/>
    <row r="27464" ht="15" hidden="1" customHeight="1"/>
    <row r="27465" ht="15" hidden="1" customHeight="1"/>
    <row r="27466" ht="15" hidden="1" customHeight="1"/>
    <row r="27467" ht="15" hidden="1" customHeight="1"/>
    <row r="27468" ht="15" hidden="1" customHeight="1"/>
    <row r="27469" ht="15" hidden="1" customHeight="1"/>
    <row r="27470" ht="15" hidden="1" customHeight="1"/>
    <row r="27471" ht="15" hidden="1" customHeight="1"/>
    <row r="27472" ht="15" hidden="1" customHeight="1"/>
    <row r="27473" ht="15" hidden="1" customHeight="1"/>
    <row r="27474" ht="15" hidden="1" customHeight="1"/>
    <row r="27475" ht="15" hidden="1" customHeight="1"/>
    <row r="27476" ht="15" hidden="1" customHeight="1"/>
    <row r="27477" ht="15" hidden="1" customHeight="1"/>
    <row r="27478" ht="15" hidden="1" customHeight="1"/>
    <row r="27479" ht="15" hidden="1" customHeight="1"/>
    <row r="27480" ht="15" hidden="1" customHeight="1"/>
    <row r="27481" ht="15" hidden="1" customHeight="1"/>
    <row r="27482" ht="15" hidden="1" customHeight="1"/>
    <row r="27483" ht="15" hidden="1" customHeight="1"/>
    <row r="27484" ht="15" hidden="1" customHeight="1"/>
    <row r="27485" ht="15" hidden="1" customHeight="1"/>
    <row r="27486" ht="15" hidden="1" customHeight="1"/>
    <row r="27487" ht="15" hidden="1" customHeight="1"/>
    <row r="27488" ht="15" hidden="1" customHeight="1"/>
    <row r="27489" ht="15" hidden="1" customHeight="1"/>
    <row r="27490" ht="15" hidden="1" customHeight="1"/>
    <row r="27491" ht="15" hidden="1" customHeight="1"/>
    <row r="27492" ht="15" hidden="1" customHeight="1"/>
    <row r="27493" ht="15" hidden="1" customHeight="1"/>
    <row r="27494" ht="15" hidden="1" customHeight="1"/>
    <row r="27495" ht="15" hidden="1" customHeight="1"/>
    <row r="27496" ht="15" hidden="1" customHeight="1"/>
    <row r="27497" ht="15" hidden="1" customHeight="1"/>
    <row r="27498" ht="15" hidden="1" customHeight="1"/>
    <row r="27499" ht="15" hidden="1" customHeight="1"/>
    <row r="27500" ht="15" hidden="1" customHeight="1"/>
    <row r="27501" ht="15" hidden="1" customHeight="1"/>
    <row r="27502" ht="15" hidden="1" customHeight="1"/>
    <row r="27503" ht="15" hidden="1" customHeight="1"/>
    <row r="27504" ht="15" hidden="1" customHeight="1"/>
    <row r="27505" ht="15" hidden="1" customHeight="1"/>
    <row r="27506" ht="15" hidden="1" customHeight="1"/>
    <row r="27507" ht="15" hidden="1" customHeight="1"/>
    <row r="27508" ht="15" hidden="1" customHeight="1"/>
    <row r="27509" ht="15" hidden="1" customHeight="1"/>
    <row r="27510" ht="15" hidden="1" customHeight="1"/>
    <row r="27511" ht="15" hidden="1" customHeight="1"/>
    <row r="27512" ht="15" hidden="1" customHeight="1"/>
    <row r="27513" ht="15" hidden="1" customHeight="1"/>
    <row r="27514" ht="15" hidden="1" customHeight="1"/>
    <row r="27515" ht="15" hidden="1" customHeight="1"/>
    <row r="27516" ht="15" hidden="1" customHeight="1"/>
    <row r="27517" ht="15" hidden="1" customHeight="1"/>
    <row r="27518" ht="15" hidden="1" customHeight="1"/>
    <row r="27519" ht="15" hidden="1" customHeight="1"/>
    <row r="27520" ht="15" hidden="1" customHeight="1"/>
    <row r="27521" ht="15" hidden="1" customHeight="1"/>
    <row r="27522" ht="15" hidden="1" customHeight="1"/>
    <row r="27523" ht="15" hidden="1" customHeight="1"/>
    <row r="27524" ht="15" hidden="1" customHeight="1"/>
    <row r="27525" ht="15" hidden="1" customHeight="1"/>
    <row r="27526" ht="15" hidden="1" customHeight="1"/>
    <row r="27527" ht="15" hidden="1" customHeight="1"/>
    <row r="27528" ht="15" hidden="1" customHeight="1"/>
    <row r="27529" ht="15" hidden="1" customHeight="1"/>
    <row r="27530" ht="15" hidden="1" customHeight="1"/>
    <row r="27531" ht="15" hidden="1" customHeight="1"/>
    <row r="27532" ht="15" hidden="1" customHeight="1"/>
    <row r="27533" ht="15" hidden="1" customHeight="1"/>
    <row r="27534" ht="15" hidden="1" customHeight="1"/>
    <row r="27535" ht="15" hidden="1" customHeight="1"/>
    <row r="27536" ht="15" hidden="1" customHeight="1"/>
    <row r="27537" ht="15" hidden="1" customHeight="1"/>
    <row r="27538" ht="15" hidden="1" customHeight="1"/>
    <row r="27539" ht="15" hidden="1" customHeight="1"/>
    <row r="27540" ht="15" hidden="1" customHeight="1"/>
    <row r="27541" ht="15" hidden="1" customHeight="1"/>
    <row r="27542" ht="15" hidden="1" customHeight="1"/>
    <row r="27543" ht="15" hidden="1" customHeight="1"/>
    <row r="27544" ht="15" hidden="1" customHeight="1"/>
    <row r="27545" ht="15" hidden="1" customHeight="1"/>
    <row r="27546" ht="15" hidden="1" customHeight="1"/>
    <row r="27547" ht="15" hidden="1" customHeight="1"/>
    <row r="27548" ht="15" hidden="1" customHeight="1"/>
    <row r="27549" ht="15" hidden="1" customHeight="1"/>
    <row r="27550" ht="15" hidden="1" customHeight="1"/>
    <row r="27551" ht="15" hidden="1" customHeight="1"/>
    <row r="27552" ht="15" hidden="1" customHeight="1"/>
    <row r="27553" ht="15" hidden="1" customHeight="1"/>
    <row r="27554" ht="15" hidden="1" customHeight="1"/>
    <row r="27555" ht="15" hidden="1" customHeight="1"/>
    <row r="27556" ht="15" hidden="1" customHeight="1"/>
    <row r="27557" ht="15" hidden="1" customHeight="1"/>
    <row r="27558" ht="15" hidden="1" customHeight="1"/>
    <row r="27559" ht="15" hidden="1" customHeight="1"/>
    <row r="27560" ht="15" hidden="1" customHeight="1"/>
    <row r="27561" ht="15" hidden="1" customHeight="1"/>
    <row r="27562" ht="15" hidden="1" customHeight="1"/>
    <row r="27563" ht="15" hidden="1" customHeight="1"/>
    <row r="27564" ht="15" hidden="1" customHeight="1"/>
    <row r="27565" ht="15" hidden="1" customHeight="1"/>
    <row r="27566" ht="15" hidden="1" customHeight="1"/>
    <row r="27567" ht="15" hidden="1" customHeight="1"/>
    <row r="27568" ht="15" hidden="1" customHeight="1"/>
    <row r="27569" ht="15" hidden="1" customHeight="1"/>
    <row r="27570" ht="15" hidden="1" customHeight="1"/>
    <row r="27571" ht="15" hidden="1" customHeight="1"/>
    <row r="27572" ht="15" hidden="1" customHeight="1"/>
    <row r="27573" ht="15" hidden="1" customHeight="1"/>
    <row r="27574" ht="15" hidden="1" customHeight="1"/>
    <row r="27575" ht="15" hidden="1" customHeight="1"/>
    <row r="27576" ht="15" hidden="1" customHeight="1"/>
    <row r="27577" ht="15" hidden="1" customHeight="1"/>
    <row r="27578" ht="15" hidden="1" customHeight="1"/>
    <row r="27579" ht="15" hidden="1" customHeight="1"/>
    <row r="27580" ht="15" hidden="1" customHeight="1"/>
    <row r="27581" ht="15" hidden="1" customHeight="1"/>
    <row r="27582" ht="15" hidden="1" customHeight="1"/>
    <row r="27583" ht="15" hidden="1" customHeight="1"/>
    <row r="27584" ht="15" hidden="1" customHeight="1"/>
    <row r="27585" ht="15" hidden="1" customHeight="1"/>
    <row r="27586" ht="15" hidden="1" customHeight="1"/>
    <row r="27587" ht="15" hidden="1" customHeight="1"/>
    <row r="27588" ht="15" hidden="1" customHeight="1"/>
    <row r="27589" ht="15" hidden="1" customHeight="1"/>
    <row r="27590" ht="15" hidden="1" customHeight="1"/>
    <row r="27591" ht="15" hidden="1" customHeight="1"/>
    <row r="27592" ht="15" hidden="1" customHeight="1"/>
    <row r="27593" ht="15" hidden="1" customHeight="1"/>
    <row r="27594" ht="15" hidden="1" customHeight="1"/>
    <row r="27595" ht="15" hidden="1" customHeight="1"/>
    <row r="27596" ht="15" hidden="1" customHeight="1"/>
    <row r="27597" ht="15" hidden="1" customHeight="1"/>
    <row r="27598" ht="15" hidden="1" customHeight="1"/>
    <row r="27599" ht="15" hidden="1" customHeight="1"/>
    <row r="27600" ht="15" hidden="1" customHeight="1"/>
    <row r="27601" ht="15" hidden="1" customHeight="1"/>
    <row r="27602" ht="15" hidden="1" customHeight="1"/>
    <row r="27603" ht="15" hidden="1" customHeight="1"/>
    <row r="27604" ht="15" hidden="1" customHeight="1"/>
    <row r="27605" ht="15" hidden="1" customHeight="1"/>
    <row r="27606" ht="15" hidden="1" customHeight="1"/>
    <row r="27607" ht="15" hidden="1" customHeight="1"/>
    <row r="27608" ht="15" hidden="1" customHeight="1"/>
    <row r="27609" ht="15" hidden="1" customHeight="1"/>
    <row r="27610" ht="15" hidden="1" customHeight="1"/>
    <row r="27611" ht="15" hidden="1" customHeight="1"/>
    <row r="27612" ht="15" hidden="1" customHeight="1"/>
    <row r="27613" ht="15" hidden="1" customHeight="1"/>
    <row r="27614" ht="15" hidden="1" customHeight="1"/>
    <row r="27615" ht="15" hidden="1" customHeight="1"/>
    <row r="27616" ht="15" hidden="1" customHeight="1"/>
    <row r="27617" ht="15" hidden="1" customHeight="1"/>
    <row r="27618" ht="15" hidden="1" customHeight="1"/>
    <row r="27619" ht="15" hidden="1" customHeight="1"/>
    <row r="27620" ht="15" hidden="1" customHeight="1"/>
    <row r="27621" ht="15" hidden="1" customHeight="1"/>
    <row r="27622" ht="15" hidden="1" customHeight="1"/>
    <row r="27623" ht="15" hidden="1" customHeight="1"/>
    <row r="27624" ht="15" hidden="1" customHeight="1"/>
    <row r="27625" ht="15" hidden="1" customHeight="1"/>
    <row r="27626" ht="15" hidden="1" customHeight="1"/>
    <row r="27627" ht="15" hidden="1" customHeight="1"/>
    <row r="27628" ht="15" hidden="1" customHeight="1"/>
    <row r="27629" ht="15" hidden="1" customHeight="1"/>
    <row r="27630" ht="15" hidden="1" customHeight="1"/>
    <row r="27631" ht="15" hidden="1" customHeight="1"/>
    <row r="27632" ht="15" hidden="1" customHeight="1"/>
    <row r="27633" ht="15" hidden="1" customHeight="1"/>
    <row r="27634" ht="15" hidden="1" customHeight="1"/>
    <row r="27635" ht="15" hidden="1" customHeight="1"/>
    <row r="27636" ht="15" hidden="1" customHeight="1"/>
    <row r="27637" ht="15" hidden="1" customHeight="1"/>
    <row r="27638" ht="15" hidden="1" customHeight="1"/>
    <row r="27639" ht="15" hidden="1" customHeight="1"/>
    <row r="27640" ht="15" hidden="1" customHeight="1"/>
    <row r="27641" ht="15" hidden="1" customHeight="1"/>
    <row r="27642" ht="15" hidden="1" customHeight="1"/>
    <row r="27643" ht="15" hidden="1" customHeight="1"/>
    <row r="27644" ht="15" hidden="1" customHeight="1"/>
    <row r="27645" ht="15" hidden="1" customHeight="1"/>
    <row r="27646" ht="15" hidden="1" customHeight="1"/>
    <row r="27647" ht="15" hidden="1" customHeight="1"/>
    <row r="27648" ht="15" hidden="1" customHeight="1"/>
    <row r="27649" ht="15" hidden="1" customHeight="1"/>
    <row r="27650" ht="15" hidden="1" customHeight="1"/>
    <row r="27651" ht="15" hidden="1" customHeight="1"/>
    <row r="27652" ht="15" hidden="1" customHeight="1"/>
    <row r="27653" ht="15" hidden="1" customHeight="1"/>
    <row r="27654" ht="15" hidden="1" customHeight="1"/>
    <row r="27655" ht="15" hidden="1" customHeight="1"/>
    <row r="27656" ht="15" hidden="1" customHeight="1"/>
    <row r="27657" ht="15" hidden="1" customHeight="1"/>
    <row r="27658" ht="15" hidden="1" customHeight="1"/>
    <row r="27659" ht="15" hidden="1" customHeight="1"/>
    <row r="27660" ht="15" hidden="1" customHeight="1"/>
    <row r="27661" ht="15" hidden="1" customHeight="1"/>
    <row r="27662" ht="15" hidden="1" customHeight="1"/>
    <row r="27663" ht="15" hidden="1" customHeight="1"/>
    <row r="27664" ht="15" hidden="1" customHeight="1"/>
    <row r="27665" ht="15" hidden="1" customHeight="1"/>
    <row r="27666" ht="15" hidden="1" customHeight="1"/>
    <row r="27667" ht="15" hidden="1" customHeight="1"/>
    <row r="27668" ht="15" hidden="1" customHeight="1"/>
    <row r="27669" ht="15" hidden="1" customHeight="1"/>
    <row r="27670" ht="15" hidden="1" customHeight="1"/>
    <row r="27671" ht="15" hidden="1" customHeight="1"/>
    <row r="27672" ht="15" hidden="1" customHeight="1"/>
    <row r="27673" ht="15" hidden="1" customHeight="1"/>
    <row r="27674" ht="15" hidden="1" customHeight="1"/>
    <row r="27675" ht="15" hidden="1" customHeight="1"/>
    <row r="27676" ht="15" hidden="1" customHeight="1"/>
    <row r="27677" ht="15" hidden="1" customHeight="1"/>
    <row r="27678" ht="15" hidden="1" customHeight="1"/>
    <row r="27679" ht="15" hidden="1" customHeight="1"/>
    <row r="27680" ht="15" hidden="1" customHeight="1"/>
    <row r="27681" ht="15" hidden="1" customHeight="1"/>
    <row r="27682" ht="15" hidden="1" customHeight="1"/>
    <row r="27683" ht="15" hidden="1" customHeight="1"/>
    <row r="27684" ht="15" hidden="1" customHeight="1"/>
    <row r="27685" ht="15" hidden="1" customHeight="1"/>
    <row r="27686" ht="15" hidden="1" customHeight="1"/>
    <row r="27687" ht="15" hidden="1" customHeight="1"/>
    <row r="27688" ht="15" hidden="1" customHeight="1"/>
    <row r="27689" ht="15" hidden="1" customHeight="1"/>
    <row r="27690" ht="15" hidden="1" customHeight="1"/>
    <row r="27691" ht="15" hidden="1" customHeight="1"/>
    <row r="27692" ht="15" hidden="1" customHeight="1"/>
    <row r="27693" ht="15" hidden="1" customHeight="1"/>
    <row r="27694" ht="15" hidden="1" customHeight="1"/>
    <row r="27695" ht="15" hidden="1" customHeight="1"/>
    <row r="27696" ht="15" hidden="1" customHeight="1"/>
    <row r="27697" ht="15" hidden="1" customHeight="1"/>
    <row r="27698" ht="15" hidden="1" customHeight="1"/>
    <row r="27699" ht="15" hidden="1" customHeight="1"/>
    <row r="27700" ht="15" hidden="1" customHeight="1"/>
    <row r="27701" ht="15" hidden="1" customHeight="1"/>
    <row r="27702" ht="15" hidden="1" customHeight="1"/>
    <row r="27703" ht="15" hidden="1" customHeight="1"/>
    <row r="27704" ht="15" hidden="1" customHeight="1"/>
    <row r="27705" ht="15" hidden="1" customHeight="1"/>
    <row r="27706" ht="15" hidden="1" customHeight="1"/>
    <row r="27707" ht="15" hidden="1" customHeight="1"/>
    <row r="27708" ht="15" hidden="1" customHeight="1"/>
    <row r="27709" ht="15" hidden="1" customHeight="1"/>
    <row r="27710" ht="15" hidden="1" customHeight="1"/>
    <row r="27711" ht="15" hidden="1" customHeight="1"/>
    <row r="27712" ht="15" hidden="1" customHeight="1"/>
    <row r="27713" ht="15" hidden="1" customHeight="1"/>
    <row r="27714" ht="15" hidden="1" customHeight="1"/>
    <row r="27715" ht="15" hidden="1" customHeight="1"/>
    <row r="27716" ht="15" hidden="1" customHeight="1"/>
    <row r="27717" ht="15" hidden="1" customHeight="1"/>
    <row r="27718" ht="15" hidden="1" customHeight="1"/>
    <row r="27719" ht="15" hidden="1" customHeight="1"/>
    <row r="27720" ht="15" hidden="1" customHeight="1"/>
    <row r="27721" ht="15" hidden="1" customHeight="1"/>
    <row r="27722" ht="15" hidden="1" customHeight="1"/>
    <row r="27723" ht="15" hidden="1" customHeight="1"/>
    <row r="27724" ht="15" hidden="1" customHeight="1"/>
    <row r="27725" ht="15" hidden="1" customHeight="1"/>
    <row r="27726" ht="15" hidden="1" customHeight="1"/>
    <row r="27727" ht="15" hidden="1" customHeight="1"/>
    <row r="27728" ht="15" hidden="1" customHeight="1"/>
    <row r="27729" ht="15" hidden="1" customHeight="1"/>
    <row r="27730" ht="15" hidden="1" customHeight="1"/>
    <row r="27731" ht="15" hidden="1" customHeight="1"/>
    <row r="27732" ht="15" hidden="1" customHeight="1"/>
    <row r="27733" ht="15" hidden="1" customHeight="1"/>
    <row r="27734" ht="15" hidden="1" customHeight="1"/>
    <row r="27735" ht="15" hidden="1" customHeight="1"/>
    <row r="27736" ht="15" hidden="1" customHeight="1"/>
    <row r="27737" ht="15" hidden="1" customHeight="1"/>
    <row r="27738" ht="15" hidden="1" customHeight="1"/>
    <row r="27739" ht="15" hidden="1" customHeight="1"/>
    <row r="27740" ht="15" hidden="1" customHeight="1"/>
    <row r="27741" ht="15" hidden="1" customHeight="1"/>
    <row r="27742" ht="15" hidden="1" customHeight="1"/>
    <row r="27743" ht="15" hidden="1" customHeight="1"/>
    <row r="27744" ht="15" hidden="1" customHeight="1"/>
    <row r="27745" ht="15" hidden="1" customHeight="1"/>
    <row r="27746" ht="15" hidden="1" customHeight="1"/>
    <row r="27747" ht="15" hidden="1" customHeight="1"/>
    <row r="27748" ht="15" hidden="1" customHeight="1"/>
    <row r="27749" ht="15" hidden="1" customHeight="1"/>
    <row r="27750" ht="15" hidden="1" customHeight="1"/>
    <row r="27751" ht="15" hidden="1" customHeight="1"/>
    <row r="27752" ht="15" hidden="1" customHeight="1"/>
    <row r="27753" ht="15" hidden="1" customHeight="1"/>
    <row r="27754" ht="15" hidden="1" customHeight="1"/>
    <row r="27755" ht="15" hidden="1" customHeight="1"/>
    <row r="27756" ht="15" hidden="1" customHeight="1"/>
    <row r="27757" ht="15" hidden="1" customHeight="1"/>
    <row r="27758" ht="15" hidden="1" customHeight="1"/>
    <row r="27759" ht="15" hidden="1" customHeight="1"/>
    <row r="27760" ht="15" hidden="1" customHeight="1"/>
    <row r="27761" ht="15" hidden="1" customHeight="1"/>
    <row r="27762" ht="15" hidden="1" customHeight="1"/>
    <row r="27763" ht="15" hidden="1" customHeight="1"/>
    <row r="27764" ht="15" hidden="1" customHeight="1"/>
    <row r="27765" ht="15" hidden="1" customHeight="1"/>
    <row r="27766" ht="15" hidden="1" customHeight="1"/>
    <row r="27767" ht="15" hidden="1" customHeight="1"/>
    <row r="27768" ht="15" hidden="1" customHeight="1"/>
    <row r="27769" ht="15" hidden="1" customHeight="1"/>
    <row r="27770" ht="15" hidden="1" customHeight="1"/>
    <row r="27771" ht="15" hidden="1" customHeight="1"/>
    <row r="27772" ht="15" hidden="1" customHeight="1"/>
    <row r="27773" ht="15" hidden="1" customHeight="1"/>
    <row r="27774" ht="15" hidden="1" customHeight="1"/>
    <row r="27775" ht="15" hidden="1" customHeight="1"/>
    <row r="27776" ht="15" hidden="1" customHeight="1"/>
    <row r="27777" ht="15" hidden="1" customHeight="1"/>
    <row r="27778" ht="15" hidden="1" customHeight="1"/>
    <row r="27779" ht="15" hidden="1" customHeight="1"/>
    <row r="27780" ht="15" hidden="1" customHeight="1"/>
    <row r="27781" ht="15" hidden="1" customHeight="1"/>
    <row r="27782" ht="15" hidden="1" customHeight="1"/>
    <row r="27783" ht="15" hidden="1" customHeight="1"/>
    <row r="27784" ht="15" hidden="1" customHeight="1"/>
    <row r="27785" ht="15" hidden="1" customHeight="1"/>
    <row r="27786" ht="15" hidden="1" customHeight="1"/>
    <row r="27787" ht="15" hidden="1" customHeight="1"/>
    <row r="27788" ht="15" hidden="1" customHeight="1"/>
    <row r="27789" ht="15" hidden="1" customHeight="1"/>
    <row r="27790" ht="15" hidden="1" customHeight="1"/>
    <row r="27791" ht="15" hidden="1" customHeight="1"/>
    <row r="27792" ht="15" hidden="1" customHeight="1"/>
    <row r="27793" ht="15" hidden="1" customHeight="1"/>
    <row r="27794" ht="15" hidden="1" customHeight="1"/>
    <row r="27795" ht="15" hidden="1" customHeight="1"/>
    <row r="27796" ht="15" hidden="1" customHeight="1"/>
    <row r="27797" ht="15" hidden="1" customHeight="1"/>
    <row r="27798" ht="15" hidden="1" customHeight="1"/>
    <row r="27799" ht="15" hidden="1" customHeight="1"/>
    <row r="27800" ht="15" hidden="1" customHeight="1"/>
    <row r="27801" ht="15" hidden="1" customHeight="1"/>
    <row r="27802" ht="15" hidden="1" customHeight="1"/>
    <row r="27803" ht="15" hidden="1" customHeight="1"/>
    <row r="27804" ht="15" hidden="1" customHeight="1"/>
    <row r="27805" ht="15" hidden="1" customHeight="1"/>
    <row r="27806" ht="15" hidden="1" customHeight="1"/>
    <row r="27807" ht="15" hidden="1" customHeight="1"/>
    <row r="27808" ht="15" hidden="1" customHeight="1"/>
    <row r="27809" ht="15" hidden="1" customHeight="1"/>
    <row r="27810" ht="15" hidden="1" customHeight="1"/>
    <row r="27811" ht="15" hidden="1" customHeight="1"/>
    <row r="27812" ht="15" hidden="1" customHeight="1"/>
    <row r="27813" ht="15" hidden="1" customHeight="1"/>
    <row r="27814" ht="15" hidden="1" customHeight="1"/>
    <row r="27815" ht="15" hidden="1" customHeight="1"/>
    <row r="27816" ht="15" hidden="1" customHeight="1"/>
    <row r="27817" ht="15" hidden="1" customHeight="1"/>
    <row r="27818" ht="15" hidden="1" customHeight="1"/>
    <row r="27819" ht="15" hidden="1" customHeight="1"/>
    <row r="27820" ht="15" hidden="1" customHeight="1"/>
    <row r="27821" ht="15" hidden="1" customHeight="1"/>
    <row r="27822" ht="15" hidden="1" customHeight="1"/>
    <row r="27823" ht="15" hidden="1" customHeight="1"/>
    <row r="27824" ht="15" hidden="1" customHeight="1"/>
    <row r="27825" ht="15" hidden="1" customHeight="1"/>
    <row r="27826" ht="15" hidden="1" customHeight="1"/>
    <row r="27827" ht="15" hidden="1" customHeight="1"/>
    <row r="27828" ht="15" hidden="1" customHeight="1"/>
    <row r="27829" ht="15" hidden="1" customHeight="1"/>
    <row r="27830" ht="15" hidden="1" customHeight="1"/>
    <row r="27831" ht="15" hidden="1" customHeight="1"/>
    <row r="27832" ht="15" hidden="1" customHeight="1"/>
    <row r="27833" ht="15" hidden="1" customHeight="1"/>
    <row r="27834" ht="15" hidden="1" customHeight="1"/>
    <row r="27835" ht="15" hidden="1" customHeight="1"/>
    <row r="27836" ht="15" hidden="1" customHeight="1"/>
    <row r="27837" ht="15" hidden="1" customHeight="1"/>
    <row r="27838" ht="15" hidden="1" customHeight="1"/>
    <row r="27839" ht="15" hidden="1" customHeight="1"/>
    <row r="27840" ht="15" hidden="1" customHeight="1"/>
    <row r="27841" ht="15" hidden="1" customHeight="1"/>
    <row r="27842" ht="15" hidden="1" customHeight="1"/>
    <row r="27843" ht="15" hidden="1" customHeight="1"/>
    <row r="27844" ht="15" hidden="1" customHeight="1"/>
    <row r="27845" ht="15" hidden="1" customHeight="1"/>
    <row r="27846" ht="15" hidden="1" customHeight="1"/>
    <row r="27847" ht="15" hidden="1" customHeight="1"/>
    <row r="27848" ht="15" hidden="1" customHeight="1"/>
    <row r="27849" ht="15" hidden="1" customHeight="1"/>
    <row r="27850" ht="15" hidden="1" customHeight="1"/>
    <row r="27851" ht="15" hidden="1" customHeight="1"/>
    <row r="27852" ht="15" hidden="1" customHeight="1"/>
    <row r="27853" ht="15" hidden="1" customHeight="1"/>
    <row r="27854" ht="15" hidden="1" customHeight="1"/>
    <row r="27855" ht="15" hidden="1" customHeight="1"/>
    <row r="27856" ht="15" hidden="1" customHeight="1"/>
    <row r="27857" ht="15" hidden="1" customHeight="1"/>
    <row r="27858" ht="15" hidden="1" customHeight="1"/>
    <row r="27859" ht="15" hidden="1" customHeight="1"/>
    <row r="27860" ht="15" hidden="1" customHeight="1"/>
    <row r="27861" ht="15" hidden="1" customHeight="1"/>
    <row r="27862" ht="15" hidden="1" customHeight="1"/>
    <row r="27863" ht="15" hidden="1" customHeight="1"/>
    <row r="27864" ht="15" hidden="1" customHeight="1"/>
    <row r="27865" ht="15" hidden="1" customHeight="1"/>
    <row r="27866" ht="15" hidden="1" customHeight="1"/>
    <row r="27867" ht="15" hidden="1" customHeight="1"/>
    <row r="27868" ht="15" hidden="1" customHeight="1"/>
    <row r="27869" ht="15" hidden="1" customHeight="1"/>
    <row r="27870" ht="15" hidden="1" customHeight="1"/>
    <row r="27871" ht="15" hidden="1" customHeight="1"/>
    <row r="27872" ht="15" hidden="1" customHeight="1"/>
    <row r="27873" ht="15" hidden="1" customHeight="1"/>
    <row r="27874" ht="15" hidden="1" customHeight="1"/>
    <row r="27875" ht="15" hidden="1" customHeight="1"/>
    <row r="27876" ht="15" hidden="1" customHeight="1"/>
    <row r="27877" ht="15" hidden="1" customHeight="1"/>
    <row r="27878" ht="15" hidden="1" customHeight="1"/>
    <row r="27879" ht="15" hidden="1" customHeight="1"/>
    <row r="27880" ht="15" hidden="1" customHeight="1"/>
    <row r="27881" ht="15" hidden="1" customHeight="1"/>
    <row r="27882" ht="15" hidden="1" customHeight="1"/>
    <row r="27883" ht="15" hidden="1" customHeight="1"/>
    <row r="27884" ht="15" hidden="1" customHeight="1"/>
    <row r="27885" ht="15" hidden="1" customHeight="1"/>
    <row r="27886" ht="15" hidden="1" customHeight="1"/>
    <row r="27887" ht="15" hidden="1" customHeight="1"/>
    <row r="27888" ht="15" hidden="1" customHeight="1"/>
    <row r="27889" ht="15" hidden="1" customHeight="1"/>
    <row r="27890" ht="15" hidden="1" customHeight="1"/>
    <row r="27891" ht="15" hidden="1" customHeight="1"/>
    <row r="27892" ht="15" hidden="1" customHeight="1"/>
    <row r="27893" ht="15" hidden="1" customHeight="1"/>
    <row r="27894" ht="15" hidden="1" customHeight="1"/>
    <row r="27895" ht="15" hidden="1" customHeight="1"/>
    <row r="27896" ht="15" hidden="1" customHeight="1"/>
    <row r="27897" ht="15" hidden="1" customHeight="1"/>
    <row r="27898" ht="15" hidden="1" customHeight="1"/>
    <row r="27899" ht="15" hidden="1" customHeight="1"/>
    <row r="27900" ht="15" hidden="1" customHeight="1"/>
    <row r="27901" ht="15" hidden="1" customHeight="1"/>
    <row r="27902" ht="15" hidden="1" customHeight="1"/>
    <row r="27903" ht="15" hidden="1" customHeight="1"/>
    <row r="27904" ht="15" hidden="1" customHeight="1"/>
    <row r="27905" ht="15" hidden="1" customHeight="1"/>
    <row r="27906" ht="15" hidden="1" customHeight="1"/>
    <row r="27907" ht="15" hidden="1" customHeight="1"/>
    <row r="27908" ht="15" hidden="1" customHeight="1"/>
    <row r="27909" ht="15" hidden="1" customHeight="1"/>
    <row r="27910" ht="15" hidden="1" customHeight="1"/>
    <row r="27911" ht="15" hidden="1" customHeight="1"/>
    <row r="27912" ht="15" hidden="1" customHeight="1"/>
    <row r="27913" ht="15" hidden="1" customHeight="1"/>
    <row r="27914" ht="15" hidden="1" customHeight="1"/>
    <row r="27915" ht="15" hidden="1" customHeight="1"/>
    <row r="27916" ht="15" hidden="1" customHeight="1"/>
    <row r="27917" ht="15" hidden="1" customHeight="1"/>
    <row r="27918" ht="15" hidden="1" customHeight="1"/>
    <row r="27919" ht="15" hidden="1" customHeight="1"/>
    <row r="27920" ht="15" hidden="1" customHeight="1"/>
    <row r="27921" ht="15" hidden="1" customHeight="1"/>
    <row r="27922" ht="15" hidden="1" customHeight="1"/>
    <row r="27923" ht="15" hidden="1" customHeight="1"/>
    <row r="27924" ht="15" hidden="1" customHeight="1"/>
    <row r="27925" ht="15" hidden="1" customHeight="1"/>
    <row r="27926" ht="15" hidden="1" customHeight="1"/>
    <row r="27927" ht="15" hidden="1" customHeight="1"/>
    <row r="27928" ht="15" hidden="1" customHeight="1"/>
    <row r="27929" ht="15" hidden="1" customHeight="1"/>
    <row r="27930" ht="15" hidden="1" customHeight="1"/>
    <row r="27931" ht="15" hidden="1" customHeight="1"/>
    <row r="27932" ht="15" hidden="1" customHeight="1"/>
    <row r="27933" ht="15" hidden="1" customHeight="1"/>
    <row r="27934" ht="15" hidden="1" customHeight="1"/>
    <row r="27935" ht="15" hidden="1" customHeight="1"/>
    <row r="27936" ht="15" hidden="1" customHeight="1"/>
    <row r="27937" ht="15" hidden="1" customHeight="1"/>
    <row r="27938" ht="15" hidden="1" customHeight="1"/>
    <row r="27939" ht="15" hidden="1" customHeight="1"/>
    <row r="27940" ht="15" hidden="1" customHeight="1"/>
    <row r="27941" ht="15" hidden="1" customHeight="1"/>
    <row r="27942" ht="15" hidden="1" customHeight="1"/>
    <row r="27943" ht="15" hidden="1" customHeight="1"/>
    <row r="27944" ht="15" hidden="1" customHeight="1"/>
    <row r="27945" ht="15" hidden="1" customHeight="1"/>
    <row r="27946" ht="15" hidden="1" customHeight="1"/>
    <row r="27947" ht="15" hidden="1" customHeight="1"/>
    <row r="27948" ht="15" hidden="1" customHeight="1"/>
    <row r="27949" ht="15" hidden="1" customHeight="1"/>
    <row r="27950" ht="15" hidden="1" customHeight="1"/>
    <row r="27951" ht="15" hidden="1" customHeight="1"/>
    <row r="27952" ht="15" hidden="1" customHeight="1"/>
    <row r="27953" ht="15" hidden="1" customHeight="1"/>
    <row r="27954" ht="15" hidden="1" customHeight="1"/>
    <row r="27955" ht="15" hidden="1" customHeight="1"/>
    <row r="27956" ht="15" hidden="1" customHeight="1"/>
    <row r="27957" ht="15" hidden="1" customHeight="1"/>
    <row r="27958" ht="15" hidden="1" customHeight="1"/>
    <row r="27959" ht="15" hidden="1" customHeight="1"/>
    <row r="27960" ht="15" hidden="1" customHeight="1"/>
    <row r="27961" ht="15" hidden="1" customHeight="1"/>
    <row r="27962" ht="15" hidden="1" customHeight="1"/>
    <row r="27963" ht="15" hidden="1" customHeight="1"/>
    <row r="27964" ht="15" hidden="1" customHeight="1"/>
    <row r="27965" ht="15" hidden="1" customHeight="1"/>
    <row r="27966" ht="15" hidden="1" customHeight="1"/>
    <row r="27967" ht="15" hidden="1" customHeight="1"/>
    <row r="27968" ht="15" hidden="1" customHeight="1"/>
    <row r="27969" ht="15" hidden="1" customHeight="1"/>
    <row r="27970" ht="15" hidden="1" customHeight="1"/>
    <row r="27971" ht="15" hidden="1" customHeight="1"/>
    <row r="27972" ht="15" hidden="1" customHeight="1"/>
    <row r="27973" ht="15" hidden="1" customHeight="1"/>
    <row r="27974" ht="15" hidden="1" customHeight="1"/>
    <row r="27975" ht="15" hidden="1" customHeight="1"/>
    <row r="27976" ht="15" hidden="1" customHeight="1"/>
    <row r="27977" ht="15" hidden="1" customHeight="1"/>
    <row r="27978" ht="15" hidden="1" customHeight="1"/>
    <row r="27979" ht="15" hidden="1" customHeight="1"/>
    <row r="27980" ht="15" hidden="1" customHeight="1"/>
    <row r="27981" ht="15" hidden="1" customHeight="1"/>
    <row r="27982" ht="15" hidden="1" customHeight="1"/>
    <row r="27983" ht="15" hidden="1" customHeight="1"/>
    <row r="27984" ht="15" hidden="1" customHeight="1"/>
    <row r="27985" ht="15" hidden="1" customHeight="1"/>
    <row r="27986" ht="15" hidden="1" customHeight="1"/>
    <row r="27987" ht="15" hidden="1" customHeight="1"/>
    <row r="27988" ht="15" hidden="1" customHeight="1"/>
    <row r="27989" ht="15" hidden="1" customHeight="1"/>
    <row r="27990" ht="15" hidden="1" customHeight="1"/>
    <row r="27991" ht="15" hidden="1" customHeight="1"/>
    <row r="27992" ht="15" hidden="1" customHeight="1"/>
    <row r="27993" ht="15" hidden="1" customHeight="1"/>
    <row r="27994" ht="15" hidden="1" customHeight="1"/>
    <row r="27995" ht="15" hidden="1" customHeight="1"/>
    <row r="27996" ht="15" hidden="1" customHeight="1"/>
    <row r="27997" ht="15" hidden="1" customHeight="1"/>
    <row r="27998" ht="15" hidden="1" customHeight="1"/>
    <row r="27999" ht="15" hidden="1" customHeight="1"/>
    <row r="28000" ht="15" hidden="1" customHeight="1"/>
    <row r="28001" ht="15" hidden="1" customHeight="1"/>
    <row r="28002" ht="15" hidden="1" customHeight="1"/>
    <row r="28003" ht="15" hidden="1" customHeight="1"/>
    <row r="28004" ht="15" hidden="1" customHeight="1"/>
    <row r="28005" ht="15" hidden="1" customHeight="1"/>
    <row r="28006" ht="15" hidden="1" customHeight="1"/>
    <row r="28007" ht="15" hidden="1" customHeight="1"/>
    <row r="28008" ht="15" hidden="1" customHeight="1"/>
    <row r="28009" ht="15" hidden="1" customHeight="1"/>
    <row r="28010" ht="15" hidden="1" customHeight="1"/>
    <row r="28011" ht="15" hidden="1" customHeight="1"/>
    <row r="28012" ht="15" hidden="1" customHeight="1"/>
    <row r="28013" ht="15" hidden="1" customHeight="1"/>
    <row r="28014" ht="15" hidden="1" customHeight="1"/>
    <row r="28015" ht="15" hidden="1" customHeight="1"/>
    <row r="28016" ht="15" hidden="1" customHeight="1"/>
    <row r="28017" ht="15" hidden="1" customHeight="1"/>
    <row r="28018" ht="15" hidden="1" customHeight="1"/>
    <row r="28019" ht="15" hidden="1" customHeight="1"/>
    <row r="28020" ht="15" hidden="1" customHeight="1"/>
    <row r="28021" ht="15" hidden="1" customHeight="1"/>
    <row r="28022" ht="15" hidden="1" customHeight="1"/>
    <row r="28023" ht="15" hidden="1" customHeight="1"/>
    <row r="28024" ht="15" hidden="1" customHeight="1"/>
    <row r="28025" ht="15" hidden="1" customHeight="1"/>
    <row r="28026" ht="15" hidden="1" customHeight="1"/>
    <row r="28027" ht="15" hidden="1" customHeight="1"/>
    <row r="28028" ht="15" hidden="1" customHeight="1"/>
    <row r="28029" ht="15" hidden="1" customHeight="1"/>
    <row r="28030" ht="15" hidden="1" customHeight="1"/>
    <row r="28031" ht="15" hidden="1" customHeight="1"/>
    <row r="28032" ht="15" hidden="1" customHeight="1"/>
    <row r="28033" ht="15" hidden="1" customHeight="1"/>
    <row r="28034" ht="15" hidden="1" customHeight="1"/>
    <row r="28035" ht="15" hidden="1" customHeight="1"/>
    <row r="28036" ht="15" hidden="1" customHeight="1"/>
    <row r="28037" ht="15" hidden="1" customHeight="1"/>
    <row r="28038" ht="15" hidden="1" customHeight="1"/>
    <row r="28039" ht="15" hidden="1" customHeight="1"/>
    <row r="28040" ht="15" hidden="1" customHeight="1"/>
    <row r="28041" ht="15" hidden="1" customHeight="1"/>
    <row r="28042" ht="15" hidden="1" customHeight="1"/>
    <row r="28043" ht="15" hidden="1" customHeight="1"/>
    <row r="28044" ht="15" hidden="1" customHeight="1"/>
    <row r="28045" ht="15" hidden="1" customHeight="1"/>
    <row r="28046" ht="15" hidden="1" customHeight="1"/>
    <row r="28047" ht="15" hidden="1" customHeight="1"/>
    <row r="28048" ht="15" hidden="1" customHeight="1"/>
    <row r="28049" ht="15" hidden="1" customHeight="1"/>
    <row r="28050" ht="15" hidden="1" customHeight="1"/>
    <row r="28051" ht="15" hidden="1" customHeight="1"/>
    <row r="28052" ht="15" hidden="1" customHeight="1"/>
    <row r="28053" ht="15" hidden="1" customHeight="1"/>
    <row r="28054" ht="15" hidden="1" customHeight="1"/>
    <row r="28055" ht="15" hidden="1" customHeight="1"/>
    <row r="28056" ht="15" hidden="1" customHeight="1"/>
    <row r="28057" ht="15" hidden="1" customHeight="1"/>
    <row r="28058" ht="15" hidden="1" customHeight="1"/>
    <row r="28059" ht="15" hidden="1" customHeight="1"/>
    <row r="28060" ht="15" hidden="1" customHeight="1"/>
    <row r="28061" ht="15" hidden="1" customHeight="1"/>
    <row r="28062" ht="15" hidden="1" customHeight="1"/>
    <row r="28063" ht="15" hidden="1" customHeight="1"/>
    <row r="28064" ht="15" hidden="1" customHeight="1"/>
    <row r="28065" ht="15" hidden="1" customHeight="1"/>
    <row r="28066" ht="15" hidden="1" customHeight="1"/>
    <row r="28067" ht="15" hidden="1" customHeight="1"/>
    <row r="28068" ht="15" hidden="1" customHeight="1"/>
    <row r="28069" ht="15" hidden="1" customHeight="1"/>
    <row r="28070" ht="15" hidden="1" customHeight="1"/>
    <row r="28071" ht="15" hidden="1" customHeight="1"/>
    <row r="28072" ht="15" hidden="1" customHeight="1"/>
    <row r="28073" ht="15" hidden="1" customHeight="1"/>
    <row r="28074" ht="15" hidden="1" customHeight="1"/>
    <row r="28075" ht="15" hidden="1" customHeight="1"/>
    <row r="28076" ht="15" hidden="1" customHeight="1"/>
    <row r="28077" ht="15" hidden="1" customHeight="1"/>
    <row r="28078" ht="15" hidden="1" customHeight="1"/>
    <row r="28079" ht="15" hidden="1" customHeight="1"/>
    <row r="28080" ht="15" hidden="1" customHeight="1"/>
    <row r="28081" ht="15" hidden="1" customHeight="1"/>
    <row r="28082" ht="15" hidden="1" customHeight="1"/>
    <row r="28083" ht="15" hidden="1" customHeight="1"/>
    <row r="28084" ht="15" hidden="1" customHeight="1"/>
    <row r="28085" ht="15" hidden="1" customHeight="1"/>
    <row r="28086" ht="15" hidden="1" customHeight="1"/>
    <row r="28087" ht="15" hidden="1" customHeight="1"/>
    <row r="28088" ht="15" hidden="1" customHeight="1"/>
    <row r="28089" ht="15" hidden="1" customHeight="1"/>
    <row r="28090" ht="15" hidden="1" customHeight="1"/>
    <row r="28091" ht="15" hidden="1" customHeight="1"/>
    <row r="28092" ht="15" hidden="1" customHeight="1"/>
    <row r="28093" ht="15" hidden="1" customHeight="1"/>
    <row r="28094" ht="15" hidden="1" customHeight="1"/>
    <row r="28095" ht="15" hidden="1" customHeight="1"/>
    <row r="28096" ht="15" hidden="1" customHeight="1"/>
    <row r="28097" ht="15" hidden="1" customHeight="1"/>
    <row r="28098" ht="15" hidden="1" customHeight="1"/>
    <row r="28099" ht="15" hidden="1" customHeight="1"/>
    <row r="28100" ht="15" hidden="1" customHeight="1"/>
    <row r="28101" ht="15" hidden="1" customHeight="1"/>
    <row r="28102" ht="15" hidden="1" customHeight="1"/>
    <row r="28103" ht="15" hidden="1" customHeight="1"/>
    <row r="28104" ht="15" hidden="1" customHeight="1"/>
    <row r="28105" ht="15" hidden="1" customHeight="1"/>
    <row r="28106" ht="15" hidden="1" customHeight="1"/>
    <row r="28107" ht="15" hidden="1" customHeight="1"/>
    <row r="28108" ht="15" hidden="1" customHeight="1"/>
    <row r="28109" ht="15" hidden="1" customHeight="1"/>
    <row r="28110" ht="15" hidden="1" customHeight="1"/>
    <row r="28111" ht="15" hidden="1" customHeight="1"/>
    <row r="28112" ht="15" hidden="1" customHeight="1"/>
    <row r="28113" ht="15" hidden="1" customHeight="1"/>
    <row r="28114" ht="15" hidden="1" customHeight="1"/>
    <row r="28115" ht="15" hidden="1" customHeight="1"/>
    <row r="28116" ht="15" hidden="1" customHeight="1"/>
    <row r="28117" ht="15" hidden="1" customHeight="1"/>
    <row r="28118" ht="15" hidden="1" customHeight="1"/>
    <row r="28119" ht="15" hidden="1" customHeight="1"/>
    <row r="28120" ht="15" hidden="1" customHeight="1"/>
    <row r="28121" ht="15" hidden="1" customHeight="1"/>
    <row r="28122" ht="15" hidden="1" customHeight="1"/>
    <row r="28123" ht="15" hidden="1" customHeight="1"/>
    <row r="28124" ht="15" hidden="1" customHeight="1"/>
    <row r="28125" ht="15" hidden="1" customHeight="1"/>
    <row r="28126" ht="15" hidden="1" customHeight="1"/>
    <row r="28127" ht="15" hidden="1" customHeight="1"/>
    <row r="28128" ht="15" hidden="1" customHeight="1"/>
    <row r="28129" ht="15" hidden="1" customHeight="1"/>
    <row r="28130" ht="15" hidden="1" customHeight="1"/>
    <row r="28131" ht="15" hidden="1" customHeight="1"/>
    <row r="28132" ht="15" hidden="1" customHeight="1"/>
    <row r="28133" ht="15" hidden="1" customHeight="1"/>
    <row r="28134" ht="15" hidden="1" customHeight="1"/>
    <row r="28135" ht="15" hidden="1" customHeight="1"/>
    <row r="28136" ht="15" hidden="1" customHeight="1"/>
    <row r="28137" ht="15" hidden="1" customHeight="1"/>
    <row r="28138" ht="15" hidden="1" customHeight="1"/>
    <row r="28139" ht="15" hidden="1" customHeight="1"/>
    <row r="28140" ht="15" hidden="1" customHeight="1"/>
    <row r="28141" ht="15" hidden="1" customHeight="1"/>
    <row r="28142" ht="15" hidden="1" customHeight="1"/>
    <row r="28143" ht="15" hidden="1" customHeight="1"/>
    <row r="28144" ht="15" hidden="1" customHeight="1"/>
    <row r="28145" ht="15" hidden="1" customHeight="1"/>
    <row r="28146" ht="15" hidden="1" customHeight="1"/>
    <row r="28147" ht="15" hidden="1" customHeight="1"/>
    <row r="28148" ht="15" hidden="1" customHeight="1"/>
    <row r="28149" ht="15" hidden="1" customHeight="1"/>
    <row r="28150" ht="15" hidden="1" customHeight="1"/>
    <row r="28151" ht="15" hidden="1" customHeight="1"/>
    <row r="28152" ht="15" hidden="1" customHeight="1"/>
    <row r="28153" ht="15" hidden="1" customHeight="1"/>
    <row r="28154" ht="15" hidden="1" customHeight="1"/>
    <row r="28155" ht="15" hidden="1" customHeight="1"/>
    <row r="28156" ht="15" hidden="1" customHeight="1"/>
    <row r="28157" ht="15" hidden="1" customHeight="1"/>
    <row r="28158" ht="15" hidden="1" customHeight="1"/>
    <row r="28159" ht="15" hidden="1" customHeight="1"/>
    <row r="28160" ht="15" hidden="1" customHeight="1"/>
    <row r="28161" ht="15" hidden="1" customHeight="1"/>
    <row r="28162" ht="15" hidden="1" customHeight="1"/>
    <row r="28163" ht="15" hidden="1" customHeight="1"/>
    <row r="28164" ht="15" hidden="1" customHeight="1"/>
    <row r="28165" ht="15" hidden="1" customHeight="1"/>
    <row r="28166" ht="15" hidden="1" customHeight="1"/>
    <row r="28167" ht="15" hidden="1" customHeight="1"/>
    <row r="28168" ht="15" hidden="1" customHeight="1"/>
    <row r="28169" ht="15" hidden="1" customHeight="1"/>
    <row r="28170" ht="15" hidden="1" customHeight="1"/>
    <row r="28171" ht="15" hidden="1" customHeight="1"/>
    <row r="28172" ht="15" hidden="1" customHeight="1"/>
    <row r="28173" ht="15" hidden="1" customHeight="1"/>
    <row r="28174" ht="15" hidden="1" customHeight="1"/>
    <row r="28175" ht="15" hidden="1" customHeight="1"/>
    <row r="28176" ht="15" hidden="1" customHeight="1"/>
    <row r="28177" ht="15" hidden="1" customHeight="1"/>
    <row r="28178" ht="15" hidden="1" customHeight="1"/>
    <row r="28179" ht="15" hidden="1" customHeight="1"/>
    <row r="28180" ht="15" hidden="1" customHeight="1"/>
    <row r="28181" ht="15" hidden="1" customHeight="1"/>
    <row r="28182" ht="15" hidden="1" customHeight="1"/>
    <row r="28183" ht="15" hidden="1" customHeight="1"/>
    <row r="28184" ht="15" hidden="1" customHeight="1"/>
    <row r="28185" ht="15" hidden="1" customHeight="1"/>
    <row r="28186" ht="15" hidden="1" customHeight="1"/>
    <row r="28187" ht="15" hidden="1" customHeight="1"/>
    <row r="28188" ht="15" hidden="1" customHeight="1"/>
    <row r="28189" ht="15" hidden="1" customHeight="1"/>
    <row r="28190" ht="15" hidden="1" customHeight="1"/>
    <row r="28191" ht="15" hidden="1" customHeight="1"/>
    <row r="28192" ht="15" hidden="1" customHeight="1"/>
    <row r="28193" ht="15" hidden="1" customHeight="1"/>
    <row r="28194" ht="15" hidden="1" customHeight="1"/>
    <row r="28195" ht="15" hidden="1" customHeight="1"/>
    <row r="28196" ht="15" hidden="1" customHeight="1"/>
    <row r="28197" ht="15" hidden="1" customHeight="1"/>
    <row r="28198" ht="15" hidden="1" customHeight="1"/>
    <row r="28199" ht="15" hidden="1" customHeight="1"/>
    <row r="28200" ht="15" hidden="1" customHeight="1"/>
    <row r="28201" ht="15" hidden="1" customHeight="1"/>
    <row r="28202" ht="15" hidden="1" customHeight="1"/>
    <row r="28203" ht="15" hidden="1" customHeight="1"/>
    <row r="28204" ht="15" hidden="1" customHeight="1"/>
    <row r="28205" ht="15" hidden="1" customHeight="1"/>
    <row r="28206" ht="15" hidden="1" customHeight="1"/>
    <row r="28207" ht="15" hidden="1" customHeight="1"/>
    <row r="28208" ht="15" hidden="1" customHeight="1"/>
    <row r="28209" ht="15" hidden="1" customHeight="1"/>
    <row r="28210" ht="15" hidden="1" customHeight="1"/>
    <row r="28211" ht="15" hidden="1" customHeight="1"/>
    <row r="28212" ht="15" hidden="1" customHeight="1"/>
    <row r="28213" ht="15" hidden="1" customHeight="1"/>
    <row r="28214" ht="15" hidden="1" customHeight="1"/>
    <row r="28215" ht="15" hidden="1" customHeight="1"/>
    <row r="28216" ht="15" hidden="1" customHeight="1"/>
    <row r="28217" ht="15" hidden="1" customHeight="1"/>
    <row r="28218" ht="15" hidden="1" customHeight="1"/>
    <row r="28219" ht="15" hidden="1" customHeight="1"/>
    <row r="28220" ht="15" hidden="1" customHeight="1"/>
    <row r="28221" ht="15" hidden="1" customHeight="1"/>
    <row r="28222" ht="15" hidden="1" customHeight="1"/>
    <row r="28223" ht="15" hidden="1" customHeight="1"/>
    <row r="28224" ht="15" hidden="1" customHeight="1"/>
    <row r="28225" ht="15" hidden="1" customHeight="1"/>
    <row r="28226" ht="15" hidden="1" customHeight="1"/>
    <row r="28227" ht="15" hidden="1" customHeight="1"/>
    <row r="28228" ht="15" hidden="1" customHeight="1"/>
    <row r="28229" ht="15" hidden="1" customHeight="1"/>
    <row r="28230" ht="15" hidden="1" customHeight="1"/>
    <row r="28231" ht="15" hidden="1" customHeight="1"/>
    <row r="28232" ht="15" hidden="1" customHeight="1"/>
    <row r="28233" ht="15" hidden="1" customHeight="1"/>
    <row r="28234" ht="15" hidden="1" customHeight="1"/>
    <row r="28235" ht="15" hidden="1" customHeight="1"/>
    <row r="28236" ht="15" hidden="1" customHeight="1"/>
    <row r="28237" ht="15" hidden="1" customHeight="1"/>
    <row r="28238" ht="15" hidden="1" customHeight="1"/>
    <row r="28239" ht="15" hidden="1" customHeight="1"/>
    <row r="28240" ht="15" hidden="1" customHeight="1"/>
    <row r="28241" ht="15" hidden="1" customHeight="1"/>
    <row r="28242" ht="15" hidden="1" customHeight="1"/>
    <row r="28243" ht="15" hidden="1" customHeight="1"/>
    <row r="28244" ht="15" hidden="1" customHeight="1"/>
    <row r="28245" ht="15" hidden="1" customHeight="1"/>
    <row r="28246" ht="15" hidden="1" customHeight="1"/>
    <row r="28247" ht="15" hidden="1" customHeight="1"/>
    <row r="28248" ht="15" hidden="1" customHeight="1"/>
    <row r="28249" ht="15" hidden="1" customHeight="1"/>
    <row r="28250" ht="15" hidden="1" customHeight="1"/>
    <row r="28251" ht="15" hidden="1" customHeight="1"/>
    <row r="28252" ht="15" hidden="1" customHeight="1"/>
    <row r="28253" ht="15" hidden="1" customHeight="1"/>
    <row r="28254" ht="15" hidden="1" customHeight="1"/>
    <row r="28255" ht="15" hidden="1" customHeight="1"/>
    <row r="28256" ht="15" hidden="1" customHeight="1"/>
    <row r="28257" ht="15" hidden="1" customHeight="1"/>
    <row r="28258" ht="15" hidden="1" customHeight="1"/>
    <row r="28259" ht="15" hidden="1" customHeight="1"/>
    <row r="28260" ht="15" hidden="1" customHeight="1"/>
    <row r="28261" ht="15" hidden="1" customHeight="1"/>
    <row r="28262" ht="15" hidden="1" customHeight="1"/>
    <row r="28263" ht="15" hidden="1" customHeight="1"/>
    <row r="28264" ht="15" hidden="1" customHeight="1"/>
    <row r="28265" ht="15" hidden="1" customHeight="1"/>
    <row r="28266" ht="15" hidden="1" customHeight="1"/>
    <row r="28267" ht="15" hidden="1" customHeight="1"/>
    <row r="28268" ht="15" hidden="1" customHeight="1"/>
    <row r="28269" ht="15" hidden="1" customHeight="1"/>
    <row r="28270" ht="15" hidden="1" customHeight="1"/>
    <row r="28271" ht="15" hidden="1" customHeight="1"/>
    <row r="28272" ht="15" hidden="1" customHeight="1"/>
    <row r="28273" ht="15" hidden="1" customHeight="1"/>
    <row r="28274" ht="15" hidden="1" customHeight="1"/>
    <row r="28275" ht="15" hidden="1" customHeight="1"/>
    <row r="28276" ht="15" hidden="1" customHeight="1"/>
    <row r="28277" ht="15" hidden="1" customHeight="1"/>
    <row r="28278" ht="15" hidden="1" customHeight="1"/>
    <row r="28279" ht="15" hidden="1" customHeight="1"/>
    <row r="28280" ht="15" hidden="1" customHeight="1"/>
    <row r="28281" ht="15" hidden="1" customHeight="1"/>
    <row r="28282" ht="15" hidden="1" customHeight="1"/>
    <row r="28283" ht="15" hidden="1" customHeight="1"/>
    <row r="28284" ht="15" hidden="1" customHeight="1"/>
    <row r="28285" ht="15" hidden="1" customHeight="1"/>
    <row r="28286" ht="15" hidden="1" customHeight="1"/>
    <row r="28287" ht="15" hidden="1" customHeight="1"/>
    <row r="28288" ht="15" hidden="1" customHeight="1"/>
    <row r="28289" ht="15" hidden="1" customHeight="1"/>
    <row r="28290" ht="15" hidden="1" customHeight="1"/>
    <row r="28291" ht="15" hidden="1" customHeight="1"/>
    <row r="28292" ht="15" hidden="1" customHeight="1"/>
    <row r="28293" ht="15" hidden="1" customHeight="1"/>
    <row r="28294" ht="15" hidden="1" customHeight="1"/>
    <row r="28295" ht="15" hidden="1" customHeight="1"/>
    <row r="28296" ht="15" hidden="1" customHeight="1"/>
    <row r="28297" ht="15" hidden="1" customHeight="1"/>
    <row r="28298" ht="15" hidden="1" customHeight="1"/>
    <row r="28299" ht="15" hidden="1" customHeight="1"/>
    <row r="28300" ht="15" hidden="1" customHeight="1"/>
    <row r="28301" ht="15" hidden="1" customHeight="1"/>
    <row r="28302" ht="15" hidden="1" customHeight="1"/>
    <row r="28303" ht="15" hidden="1" customHeight="1"/>
    <row r="28304" ht="15" hidden="1" customHeight="1"/>
    <row r="28305" ht="15" hidden="1" customHeight="1"/>
    <row r="28306" ht="15" hidden="1" customHeight="1"/>
    <row r="28307" ht="15" hidden="1" customHeight="1"/>
    <row r="28308" ht="15" hidden="1" customHeight="1"/>
    <row r="28309" ht="15" hidden="1" customHeight="1"/>
    <row r="28310" ht="15" hidden="1" customHeight="1"/>
    <row r="28311" ht="15" hidden="1" customHeight="1"/>
    <row r="28312" ht="15" hidden="1" customHeight="1"/>
    <row r="28313" ht="15" hidden="1" customHeight="1"/>
    <row r="28314" ht="15" hidden="1" customHeight="1"/>
    <row r="28315" ht="15" hidden="1" customHeight="1"/>
    <row r="28316" ht="15" hidden="1" customHeight="1"/>
    <row r="28317" ht="15" hidden="1" customHeight="1"/>
    <row r="28318" ht="15" hidden="1" customHeight="1"/>
    <row r="28319" ht="15" hidden="1" customHeight="1"/>
    <row r="28320" ht="15" hidden="1" customHeight="1"/>
    <row r="28321" ht="15" hidden="1" customHeight="1"/>
    <row r="28322" ht="15" hidden="1" customHeight="1"/>
    <row r="28323" ht="15" hidden="1" customHeight="1"/>
    <row r="28324" ht="15" hidden="1" customHeight="1"/>
    <row r="28325" ht="15" hidden="1" customHeight="1"/>
    <row r="28326" ht="15" hidden="1" customHeight="1"/>
    <row r="28327" ht="15" hidden="1" customHeight="1"/>
    <row r="28328" ht="15" hidden="1" customHeight="1"/>
    <row r="28329" ht="15" hidden="1" customHeight="1"/>
    <row r="28330" ht="15" hidden="1" customHeight="1"/>
    <row r="28331" ht="15" hidden="1" customHeight="1"/>
    <row r="28332" ht="15" hidden="1" customHeight="1"/>
    <row r="28333" ht="15" hidden="1" customHeight="1"/>
    <row r="28334" ht="15" hidden="1" customHeight="1"/>
    <row r="28335" ht="15" hidden="1" customHeight="1"/>
    <row r="28336" ht="15" hidden="1" customHeight="1"/>
    <row r="28337" ht="15" hidden="1" customHeight="1"/>
    <row r="28338" ht="15" hidden="1" customHeight="1"/>
    <row r="28339" ht="15" hidden="1" customHeight="1"/>
    <row r="28340" ht="15" hidden="1" customHeight="1"/>
    <row r="28341" ht="15" hidden="1" customHeight="1"/>
    <row r="28342" ht="15" hidden="1" customHeight="1"/>
    <row r="28343" ht="15" hidden="1" customHeight="1"/>
    <row r="28344" ht="15" hidden="1" customHeight="1"/>
    <row r="28345" ht="15" hidden="1" customHeight="1"/>
    <row r="28346" ht="15" hidden="1" customHeight="1"/>
    <row r="28347" ht="15" hidden="1" customHeight="1"/>
    <row r="28348" ht="15" hidden="1" customHeight="1"/>
    <row r="28349" ht="15" hidden="1" customHeight="1"/>
    <row r="28350" ht="15" hidden="1" customHeight="1"/>
    <row r="28351" ht="15" hidden="1" customHeight="1"/>
    <row r="28352" ht="15" hidden="1" customHeight="1"/>
    <row r="28353" ht="15" hidden="1" customHeight="1"/>
    <row r="28354" ht="15" hidden="1" customHeight="1"/>
    <row r="28355" ht="15" hidden="1" customHeight="1"/>
    <row r="28356" ht="15" hidden="1" customHeight="1"/>
    <row r="28357" ht="15" hidden="1" customHeight="1"/>
    <row r="28358" ht="15" hidden="1" customHeight="1"/>
    <row r="28359" ht="15" hidden="1" customHeight="1"/>
    <row r="28360" ht="15" hidden="1" customHeight="1"/>
    <row r="28361" ht="15" hidden="1" customHeight="1"/>
    <row r="28362" ht="15" hidden="1" customHeight="1"/>
    <row r="28363" ht="15" hidden="1" customHeight="1"/>
    <row r="28364" ht="15" hidden="1" customHeight="1"/>
    <row r="28365" ht="15" hidden="1" customHeight="1"/>
    <row r="28366" ht="15" hidden="1" customHeight="1"/>
    <row r="28367" ht="15" hidden="1" customHeight="1"/>
    <row r="28368" ht="15" hidden="1" customHeight="1"/>
    <row r="28369" ht="15" hidden="1" customHeight="1"/>
    <row r="28370" ht="15" hidden="1" customHeight="1"/>
    <row r="28371" ht="15" hidden="1" customHeight="1"/>
    <row r="28372" ht="15" hidden="1" customHeight="1"/>
    <row r="28373" ht="15" hidden="1" customHeight="1"/>
    <row r="28374" ht="15" hidden="1" customHeight="1"/>
    <row r="28375" ht="15" hidden="1" customHeight="1"/>
    <row r="28376" ht="15" hidden="1" customHeight="1"/>
    <row r="28377" ht="15" hidden="1" customHeight="1"/>
    <row r="28378" ht="15" hidden="1" customHeight="1"/>
    <row r="28379" ht="15" hidden="1" customHeight="1"/>
    <row r="28380" ht="15" hidden="1" customHeight="1"/>
    <row r="28381" ht="15" hidden="1" customHeight="1"/>
    <row r="28382" ht="15" hidden="1" customHeight="1"/>
    <row r="28383" ht="15" hidden="1" customHeight="1"/>
    <row r="28384" ht="15" hidden="1" customHeight="1"/>
    <row r="28385" ht="15" hidden="1" customHeight="1"/>
    <row r="28386" ht="15" hidden="1" customHeight="1"/>
    <row r="28387" ht="15" hidden="1" customHeight="1"/>
    <row r="28388" ht="15" hidden="1" customHeight="1"/>
    <row r="28389" ht="15" hidden="1" customHeight="1"/>
    <row r="28390" ht="15" hidden="1" customHeight="1"/>
    <row r="28391" ht="15" hidden="1" customHeight="1"/>
    <row r="28392" ht="15" hidden="1" customHeight="1"/>
    <row r="28393" ht="15" hidden="1" customHeight="1"/>
    <row r="28394" ht="15" hidden="1" customHeight="1"/>
    <row r="28395" ht="15" hidden="1" customHeight="1"/>
    <row r="28396" ht="15" hidden="1" customHeight="1"/>
    <row r="28397" ht="15" hidden="1" customHeight="1"/>
    <row r="28398" ht="15" hidden="1" customHeight="1"/>
    <row r="28399" ht="15" hidden="1" customHeight="1"/>
    <row r="28400" ht="15" hidden="1" customHeight="1"/>
    <row r="28401" ht="15" hidden="1" customHeight="1"/>
    <row r="28402" ht="15" hidden="1" customHeight="1"/>
    <row r="28403" ht="15" hidden="1" customHeight="1"/>
    <row r="28404" ht="15" hidden="1" customHeight="1"/>
    <row r="28405" ht="15" hidden="1" customHeight="1"/>
    <row r="28406" ht="15" hidden="1" customHeight="1"/>
    <row r="28407" ht="15" hidden="1" customHeight="1"/>
    <row r="28408" ht="15" hidden="1" customHeight="1"/>
    <row r="28409" ht="15" hidden="1" customHeight="1"/>
    <row r="28410" ht="15" hidden="1" customHeight="1"/>
    <row r="28411" ht="15" hidden="1" customHeight="1"/>
    <row r="28412" ht="15" hidden="1" customHeight="1"/>
    <row r="28413" ht="15" hidden="1" customHeight="1"/>
    <row r="28414" ht="15" hidden="1" customHeight="1"/>
    <row r="28415" ht="15" hidden="1" customHeight="1"/>
    <row r="28416" ht="15" hidden="1" customHeight="1"/>
    <row r="28417" ht="15" hidden="1" customHeight="1"/>
    <row r="28418" ht="15" hidden="1" customHeight="1"/>
    <row r="28419" ht="15" hidden="1" customHeight="1"/>
    <row r="28420" ht="15" hidden="1" customHeight="1"/>
    <row r="28421" ht="15" hidden="1" customHeight="1"/>
    <row r="28422" ht="15" hidden="1" customHeight="1"/>
    <row r="28423" ht="15" hidden="1" customHeight="1"/>
    <row r="28424" ht="15" hidden="1" customHeight="1"/>
    <row r="28425" ht="15" hidden="1" customHeight="1"/>
    <row r="28426" ht="15" hidden="1" customHeight="1"/>
    <row r="28427" ht="15" hidden="1" customHeight="1"/>
    <row r="28428" ht="15" hidden="1" customHeight="1"/>
    <row r="28429" ht="15" hidden="1" customHeight="1"/>
    <row r="28430" ht="15" hidden="1" customHeight="1"/>
    <row r="28431" ht="15" hidden="1" customHeight="1"/>
    <row r="28432" ht="15" hidden="1" customHeight="1"/>
    <row r="28433" ht="15" hidden="1" customHeight="1"/>
    <row r="28434" ht="15" hidden="1" customHeight="1"/>
    <row r="28435" ht="15" hidden="1" customHeight="1"/>
    <row r="28436" ht="15" hidden="1" customHeight="1"/>
    <row r="28437" ht="15" hidden="1" customHeight="1"/>
    <row r="28438" ht="15" hidden="1" customHeight="1"/>
    <row r="28439" ht="15" hidden="1" customHeight="1"/>
    <row r="28440" ht="15" hidden="1" customHeight="1"/>
    <row r="28441" ht="15" hidden="1" customHeight="1"/>
    <row r="28442" ht="15" hidden="1" customHeight="1"/>
    <row r="28443" ht="15" hidden="1" customHeight="1"/>
    <row r="28444" ht="15" hidden="1" customHeight="1"/>
    <row r="28445" ht="15" hidden="1" customHeight="1"/>
    <row r="28446" ht="15" hidden="1" customHeight="1"/>
    <row r="28447" ht="15" hidden="1" customHeight="1"/>
    <row r="28448" ht="15" hidden="1" customHeight="1"/>
    <row r="28449" ht="15" hidden="1" customHeight="1"/>
    <row r="28450" ht="15" hidden="1" customHeight="1"/>
    <row r="28451" ht="15" hidden="1" customHeight="1"/>
    <row r="28452" ht="15" hidden="1" customHeight="1"/>
    <row r="28453" ht="15" hidden="1" customHeight="1"/>
    <row r="28454" ht="15" hidden="1" customHeight="1"/>
    <row r="28455" ht="15" hidden="1" customHeight="1"/>
    <row r="28456" ht="15" hidden="1" customHeight="1"/>
    <row r="28457" ht="15" hidden="1" customHeight="1"/>
    <row r="28458" ht="15" hidden="1" customHeight="1"/>
    <row r="28459" ht="15" hidden="1" customHeight="1"/>
    <row r="28460" ht="15" hidden="1" customHeight="1"/>
    <row r="28461" ht="15" hidden="1" customHeight="1"/>
    <row r="28462" ht="15" hidden="1" customHeight="1"/>
    <row r="28463" ht="15" hidden="1" customHeight="1"/>
    <row r="28464" ht="15" hidden="1" customHeight="1"/>
    <row r="28465" ht="15" hidden="1" customHeight="1"/>
    <row r="28466" ht="15" hidden="1" customHeight="1"/>
    <row r="28467" ht="15" hidden="1" customHeight="1"/>
    <row r="28468" ht="15" hidden="1" customHeight="1"/>
    <row r="28469" ht="15" hidden="1" customHeight="1"/>
    <row r="28470" ht="15" hidden="1" customHeight="1"/>
    <row r="28471" ht="15" hidden="1" customHeight="1"/>
    <row r="28472" ht="15" hidden="1" customHeight="1"/>
    <row r="28473" ht="15" hidden="1" customHeight="1"/>
    <row r="28474" ht="15" hidden="1" customHeight="1"/>
    <row r="28475" ht="15" hidden="1" customHeight="1"/>
    <row r="28476" ht="15" hidden="1" customHeight="1"/>
    <row r="28477" ht="15" hidden="1" customHeight="1"/>
    <row r="28478" ht="15" hidden="1" customHeight="1"/>
    <row r="28479" ht="15" hidden="1" customHeight="1"/>
    <row r="28480" ht="15" hidden="1" customHeight="1"/>
    <row r="28481" ht="15" hidden="1" customHeight="1"/>
    <row r="28482" ht="15" hidden="1" customHeight="1"/>
    <row r="28483" ht="15" hidden="1" customHeight="1"/>
    <row r="28484" ht="15" hidden="1" customHeight="1"/>
    <row r="28485" ht="15" hidden="1" customHeight="1"/>
    <row r="28486" ht="15" hidden="1" customHeight="1"/>
    <row r="28487" ht="15" hidden="1" customHeight="1"/>
    <row r="28488" ht="15" hidden="1" customHeight="1"/>
    <row r="28489" ht="15" hidden="1" customHeight="1"/>
    <row r="28490" ht="15" hidden="1" customHeight="1"/>
    <row r="28491" ht="15" hidden="1" customHeight="1"/>
    <row r="28492" ht="15" hidden="1" customHeight="1"/>
    <row r="28493" ht="15" hidden="1" customHeight="1"/>
    <row r="28494" ht="15" hidden="1" customHeight="1"/>
    <row r="28495" ht="15" hidden="1" customHeight="1"/>
    <row r="28496" ht="15" hidden="1" customHeight="1"/>
    <row r="28497" ht="15" hidden="1" customHeight="1"/>
    <row r="28498" ht="15" hidden="1" customHeight="1"/>
    <row r="28499" ht="15" hidden="1" customHeight="1"/>
    <row r="28500" ht="15" hidden="1" customHeight="1"/>
    <row r="28501" ht="15" hidden="1" customHeight="1"/>
    <row r="28502" ht="15" hidden="1" customHeight="1"/>
    <row r="28503" ht="15" hidden="1" customHeight="1"/>
    <row r="28504" ht="15" hidden="1" customHeight="1"/>
    <row r="28505" ht="15" hidden="1" customHeight="1"/>
    <row r="28506" ht="15" hidden="1" customHeight="1"/>
    <row r="28507" ht="15" hidden="1" customHeight="1"/>
    <row r="28508" ht="15" hidden="1" customHeight="1"/>
    <row r="28509" ht="15" hidden="1" customHeight="1"/>
    <row r="28510" ht="15" hidden="1" customHeight="1"/>
    <row r="28511" ht="15" hidden="1" customHeight="1"/>
    <row r="28512" ht="15" hidden="1" customHeight="1"/>
    <row r="28513" ht="15" hidden="1" customHeight="1"/>
    <row r="28514" ht="15" hidden="1" customHeight="1"/>
    <row r="28515" ht="15" hidden="1" customHeight="1"/>
    <row r="28516" ht="15" hidden="1" customHeight="1"/>
    <row r="28517" ht="15" hidden="1" customHeight="1"/>
    <row r="28518" ht="15" hidden="1" customHeight="1"/>
    <row r="28519" ht="15" hidden="1" customHeight="1"/>
    <row r="28520" ht="15" hidden="1" customHeight="1"/>
    <row r="28521" ht="15" hidden="1" customHeight="1"/>
    <row r="28522" ht="15" hidden="1" customHeight="1"/>
    <row r="28523" ht="15" hidden="1" customHeight="1"/>
    <row r="28524" ht="15" hidden="1" customHeight="1"/>
    <row r="28525" ht="15" hidden="1" customHeight="1"/>
    <row r="28526" ht="15" hidden="1" customHeight="1"/>
    <row r="28527" ht="15" hidden="1" customHeight="1"/>
    <row r="28528" ht="15" hidden="1" customHeight="1"/>
    <row r="28529" ht="15" hidden="1" customHeight="1"/>
    <row r="28530" ht="15" hidden="1" customHeight="1"/>
    <row r="28531" ht="15" hidden="1" customHeight="1"/>
    <row r="28532" ht="15" hidden="1" customHeight="1"/>
    <row r="28533" ht="15" hidden="1" customHeight="1"/>
    <row r="28534" ht="15" hidden="1" customHeight="1"/>
    <row r="28535" ht="15" hidden="1" customHeight="1"/>
    <row r="28536" ht="15" hidden="1" customHeight="1"/>
    <row r="28537" ht="15" hidden="1" customHeight="1"/>
    <row r="28538" ht="15" hidden="1" customHeight="1"/>
    <row r="28539" ht="15" hidden="1" customHeight="1"/>
    <row r="28540" ht="15" hidden="1" customHeight="1"/>
    <row r="28541" ht="15" hidden="1" customHeight="1"/>
    <row r="28542" ht="15" hidden="1" customHeight="1"/>
    <row r="28543" ht="15" hidden="1" customHeight="1"/>
    <row r="28544" ht="15" hidden="1" customHeight="1"/>
    <row r="28545" ht="15" hidden="1" customHeight="1"/>
    <row r="28546" ht="15" hidden="1" customHeight="1"/>
    <row r="28547" ht="15" hidden="1" customHeight="1"/>
    <row r="28548" ht="15" hidden="1" customHeight="1"/>
    <row r="28549" ht="15" hidden="1" customHeight="1"/>
    <row r="28550" ht="15" hidden="1" customHeight="1"/>
    <row r="28551" ht="15" hidden="1" customHeight="1"/>
    <row r="28552" ht="15" hidden="1" customHeight="1"/>
    <row r="28553" ht="15" hidden="1" customHeight="1"/>
    <row r="28554" ht="15" hidden="1" customHeight="1"/>
    <row r="28555" ht="15" hidden="1" customHeight="1"/>
    <row r="28556" ht="15" hidden="1" customHeight="1"/>
    <row r="28557" ht="15" hidden="1" customHeight="1"/>
    <row r="28558" ht="15" hidden="1" customHeight="1"/>
    <row r="28559" ht="15" hidden="1" customHeight="1"/>
    <row r="28560" ht="15" hidden="1" customHeight="1"/>
    <row r="28561" ht="15" hidden="1" customHeight="1"/>
    <row r="28562" ht="15" hidden="1" customHeight="1"/>
    <row r="28563" ht="15" hidden="1" customHeight="1"/>
    <row r="28564" ht="15" hidden="1" customHeight="1"/>
    <row r="28565" ht="15" hidden="1" customHeight="1"/>
    <row r="28566" ht="15" hidden="1" customHeight="1"/>
    <row r="28567" ht="15" hidden="1" customHeight="1"/>
    <row r="28568" ht="15" hidden="1" customHeight="1"/>
    <row r="28569" ht="15" hidden="1" customHeight="1"/>
    <row r="28570" ht="15" hidden="1" customHeight="1"/>
    <row r="28571" ht="15" hidden="1" customHeight="1"/>
    <row r="28572" ht="15" hidden="1" customHeight="1"/>
    <row r="28573" ht="15" hidden="1" customHeight="1"/>
    <row r="28574" ht="15" hidden="1" customHeight="1"/>
    <row r="28575" ht="15" hidden="1" customHeight="1"/>
    <row r="28576" ht="15" hidden="1" customHeight="1"/>
    <row r="28577" ht="15" hidden="1" customHeight="1"/>
    <row r="28578" ht="15" hidden="1" customHeight="1"/>
    <row r="28579" ht="15" hidden="1" customHeight="1"/>
    <row r="28580" ht="15" hidden="1" customHeight="1"/>
    <row r="28581" ht="15" hidden="1" customHeight="1"/>
    <row r="28582" ht="15" hidden="1" customHeight="1"/>
    <row r="28583" ht="15" hidden="1" customHeight="1"/>
    <row r="28584" ht="15" hidden="1" customHeight="1"/>
    <row r="28585" ht="15" hidden="1" customHeight="1"/>
    <row r="28586" ht="15" hidden="1" customHeight="1"/>
    <row r="28587" ht="15" hidden="1" customHeight="1"/>
    <row r="28588" ht="15" hidden="1" customHeight="1"/>
    <row r="28589" ht="15" hidden="1" customHeight="1"/>
    <row r="28590" ht="15" hidden="1" customHeight="1"/>
    <row r="28591" ht="15" hidden="1" customHeight="1"/>
    <row r="28592" ht="15" hidden="1" customHeight="1"/>
    <row r="28593" ht="15" hidden="1" customHeight="1"/>
    <row r="28594" ht="15" hidden="1" customHeight="1"/>
    <row r="28595" ht="15" hidden="1" customHeight="1"/>
    <row r="28596" ht="15" hidden="1" customHeight="1"/>
    <row r="28597" ht="15" hidden="1" customHeight="1"/>
    <row r="28598" ht="15" hidden="1" customHeight="1"/>
    <row r="28599" ht="15" hidden="1" customHeight="1"/>
    <row r="28600" ht="15" hidden="1" customHeight="1"/>
    <row r="28601" ht="15" hidden="1" customHeight="1"/>
    <row r="28602" ht="15" hidden="1" customHeight="1"/>
    <row r="28603" ht="15" hidden="1" customHeight="1"/>
    <row r="28604" ht="15" hidden="1" customHeight="1"/>
    <row r="28605" ht="15" hidden="1" customHeight="1"/>
    <row r="28606" ht="15" hidden="1" customHeight="1"/>
    <row r="28607" ht="15" hidden="1" customHeight="1"/>
    <row r="28608" ht="15" hidden="1" customHeight="1"/>
    <row r="28609" ht="15" hidden="1" customHeight="1"/>
    <row r="28610" ht="15" hidden="1" customHeight="1"/>
    <row r="28611" ht="15" hidden="1" customHeight="1"/>
    <row r="28612" ht="15" hidden="1" customHeight="1"/>
    <row r="28613" ht="15" hidden="1" customHeight="1"/>
    <row r="28614" ht="15" hidden="1" customHeight="1"/>
    <row r="28615" ht="15" hidden="1" customHeight="1"/>
    <row r="28616" ht="15" hidden="1" customHeight="1"/>
    <row r="28617" ht="15" hidden="1" customHeight="1"/>
    <row r="28618" ht="15" hidden="1" customHeight="1"/>
    <row r="28619" ht="15" hidden="1" customHeight="1"/>
    <row r="28620" ht="15" hidden="1" customHeight="1"/>
    <row r="28621" ht="15" hidden="1" customHeight="1"/>
    <row r="28622" ht="15" hidden="1" customHeight="1"/>
    <row r="28623" ht="15" hidden="1" customHeight="1"/>
    <row r="28624" ht="15" hidden="1" customHeight="1"/>
    <row r="28625" ht="15" hidden="1" customHeight="1"/>
    <row r="28626" ht="15" hidden="1" customHeight="1"/>
    <row r="28627" ht="15" hidden="1" customHeight="1"/>
    <row r="28628" ht="15" hidden="1" customHeight="1"/>
    <row r="28629" ht="15" hidden="1" customHeight="1"/>
    <row r="28630" ht="15" hidden="1" customHeight="1"/>
    <row r="28631" ht="15" hidden="1" customHeight="1"/>
    <row r="28632" ht="15" hidden="1" customHeight="1"/>
    <row r="28633" ht="15" hidden="1" customHeight="1"/>
    <row r="28634" ht="15" hidden="1" customHeight="1"/>
    <row r="28635" ht="15" hidden="1" customHeight="1"/>
    <row r="28636" ht="15" hidden="1" customHeight="1"/>
    <row r="28637" ht="15" hidden="1" customHeight="1"/>
    <row r="28638" ht="15" hidden="1" customHeight="1"/>
    <row r="28639" ht="15" hidden="1" customHeight="1"/>
    <row r="28640" ht="15" hidden="1" customHeight="1"/>
    <row r="28641" ht="15" hidden="1" customHeight="1"/>
    <row r="28642" ht="15" hidden="1" customHeight="1"/>
    <row r="28643" ht="15" hidden="1" customHeight="1"/>
    <row r="28644" ht="15" hidden="1" customHeight="1"/>
    <row r="28645" ht="15" hidden="1" customHeight="1"/>
    <row r="28646" ht="15" hidden="1" customHeight="1"/>
    <row r="28647" ht="15" hidden="1" customHeight="1"/>
    <row r="28648" ht="15" hidden="1" customHeight="1"/>
    <row r="28649" ht="15" hidden="1" customHeight="1"/>
    <row r="28650" ht="15" hidden="1" customHeight="1"/>
    <row r="28651" ht="15" hidden="1" customHeight="1"/>
    <row r="28652" ht="15" hidden="1" customHeight="1"/>
    <row r="28653" ht="15" hidden="1" customHeight="1"/>
    <row r="28654" ht="15" hidden="1" customHeight="1"/>
    <row r="28655" ht="15" hidden="1" customHeight="1"/>
    <row r="28656" ht="15" hidden="1" customHeight="1"/>
    <row r="28657" ht="15" hidden="1" customHeight="1"/>
    <row r="28658" ht="15" hidden="1" customHeight="1"/>
    <row r="28659" ht="15" hidden="1" customHeight="1"/>
    <row r="28660" ht="15" hidden="1" customHeight="1"/>
    <row r="28661" ht="15" hidden="1" customHeight="1"/>
    <row r="28662" ht="15" hidden="1" customHeight="1"/>
    <row r="28663" ht="15" hidden="1" customHeight="1"/>
    <row r="28664" ht="15" hidden="1" customHeight="1"/>
    <row r="28665" ht="15" hidden="1" customHeight="1"/>
    <row r="28666" ht="15" hidden="1" customHeight="1"/>
    <row r="28667" ht="15" hidden="1" customHeight="1"/>
    <row r="28668" ht="15" hidden="1" customHeight="1"/>
    <row r="28669" ht="15" hidden="1" customHeight="1"/>
    <row r="28670" ht="15" hidden="1" customHeight="1"/>
    <row r="28671" ht="15" hidden="1" customHeight="1"/>
    <row r="28672" ht="15" hidden="1" customHeight="1"/>
    <row r="28673" ht="15" hidden="1" customHeight="1"/>
    <row r="28674" ht="15" hidden="1" customHeight="1"/>
    <row r="28675" ht="15" hidden="1" customHeight="1"/>
    <row r="28676" ht="15" hidden="1" customHeight="1"/>
    <row r="28677" ht="15" hidden="1" customHeight="1"/>
    <row r="28678" ht="15" hidden="1" customHeight="1"/>
    <row r="28679" ht="15" hidden="1" customHeight="1"/>
    <row r="28680" ht="15" hidden="1" customHeight="1"/>
    <row r="28681" ht="15" hidden="1" customHeight="1"/>
    <row r="28682" ht="15" hidden="1" customHeight="1"/>
    <row r="28683" ht="15" hidden="1" customHeight="1"/>
    <row r="28684" ht="15" hidden="1" customHeight="1"/>
    <row r="28685" ht="15" hidden="1" customHeight="1"/>
    <row r="28686" ht="15" hidden="1" customHeight="1"/>
    <row r="28687" ht="15" hidden="1" customHeight="1"/>
    <row r="28688" ht="15" hidden="1" customHeight="1"/>
    <row r="28689" ht="15" hidden="1" customHeight="1"/>
    <row r="28690" ht="15" hidden="1" customHeight="1"/>
    <row r="28691" ht="15" hidden="1" customHeight="1"/>
    <row r="28692" ht="15" hidden="1" customHeight="1"/>
    <row r="28693" ht="15" hidden="1" customHeight="1"/>
    <row r="28694" ht="15" hidden="1" customHeight="1"/>
    <row r="28695" ht="15" hidden="1" customHeight="1"/>
    <row r="28696" ht="15" hidden="1" customHeight="1"/>
    <row r="28697" ht="15" hidden="1" customHeight="1"/>
    <row r="28698" ht="15" hidden="1" customHeight="1"/>
    <row r="28699" ht="15" hidden="1" customHeight="1"/>
    <row r="28700" ht="15" hidden="1" customHeight="1"/>
    <row r="28701" ht="15" hidden="1" customHeight="1"/>
    <row r="28702" ht="15" hidden="1" customHeight="1"/>
    <row r="28703" ht="15" hidden="1" customHeight="1"/>
    <row r="28704" ht="15" hidden="1" customHeight="1"/>
    <row r="28705" ht="15" hidden="1" customHeight="1"/>
    <row r="28706" ht="15" hidden="1" customHeight="1"/>
    <row r="28707" ht="15" hidden="1" customHeight="1"/>
    <row r="28708" ht="15" hidden="1" customHeight="1"/>
    <row r="28709" ht="15" hidden="1" customHeight="1"/>
    <row r="28710" ht="15" hidden="1" customHeight="1"/>
    <row r="28711" ht="15" hidden="1" customHeight="1"/>
    <row r="28712" ht="15" hidden="1" customHeight="1"/>
    <row r="28713" ht="15" hidden="1" customHeight="1"/>
    <row r="28714" ht="15" hidden="1" customHeight="1"/>
    <row r="28715" ht="15" hidden="1" customHeight="1"/>
    <row r="28716" ht="15" hidden="1" customHeight="1"/>
    <row r="28717" ht="15" hidden="1" customHeight="1"/>
    <row r="28718" ht="15" hidden="1" customHeight="1"/>
    <row r="28719" ht="15" hidden="1" customHeight="1"/>
    <row r="28720" ht="15" hidden="1" customHeight="1"/>
    <row r="28721" ht="15" hidden="1" customHeight="1"/>
    <row r="28722" ht="15" hidden="1" customHeight="1"/>
    <row r="28723" ht="15" hidden="1" customHeight="1"/>
    <row r="28724" ht="15" hidden="1" customHeight="1"/>
    <row r="28725" ht="15" hidden="1" customHeight="1"/>
    <row r="28726" ht="15" hidden="1" customHeight="1"/>
    <row r="28727" ht="15" hidden="1" customHeight="1"/>
    <row r="28728" ht="15" hidden="1" customHeight="1"/>
    <row r="28729" ht="15" hidden="1" customHeight="1"/>
    <row r="28730" ht="15" hidden="1" customHeight="1"/>
    <row r="28731" ht="15" hidden="1" customHeight="1"/>
    <row r="28732" ht="15" hidden="1" customHeight="1"/>
    <row r="28733" ht="15" hidden="1" customHeight="1"/>
    <row r="28734" ht="15" hidden="1" customHeight="1"/>
    <row r="28735" ht="15" hidden="1" customHeight="1"/>
    <row r="28736" ht="15" hidden="1" customHeight="1"/>
    <row r="28737" ht="15" hidden="1" customHeight="1"/>
    <row r="28738" ht="15" hidden="1" customHeight="1"/>
    <row r="28739" ht="15" hidden="1" customHeight="1"/>
    <row r="28740" ht="15" hidden="1" customHeight="1"/>
    <row r="28741" ht="15" hidden="1" customHeight="1"/>
    <row r="28742" ht="15" hidden="1" customHeight="1"/>
    <row r="28743" ht="15" hidden="1" customHeight="1"/>
    <row r="28744" ht="15" hidden="1" customHeight="1"/>
    <row r="28745" ht="15" hidden="1" customHeight="1"/>
    <row r="28746" ht="15" hidden="1" customHeight="1"/>
    <row r="28747" ht="15" hidden="1" customHeight="1"/>
    <row r="28748" ht="15" hidden="1" customHeight="1"/>
    <row r="28749" ht="15" hidden="1" customHeight="1"/>
    <row r="28750" ht="15" hidden="1" customHeight="1"/>
    <row r="28751" ht="15" hidden="1" customHeight="1"/>
    <row r="28752" ht="15" hidden="1" customHeight="1"/>
    <row r="28753" ht="15" hidden="1" customHeight="1"/>
    <row r="28754" ht="15" hidden="1" customHeight="1"/>
    <row r="28755" ht="15" hidden="1" customHeight="1"/>
    <row r="28756" ht="15" hidden="1" customHeight="1"/>
    <row r="28757" ht="15" hidden="1" customHeight="1"/>
    <row r="28758" ht="15" hidden="1" customHeight="1"/>
    <row r="28759" ht="15" hidden="1" customHeight="1"/>
    <row r="28760" ht="15" hidden="1" customHeight="1"/>
    <row r="28761" ht="15" hidden="1" customHeight="1"/>
    <row r="28762" ht="15" hidden="1" customHeight="1"/>
    <row r="28763" ht="15" hidden="1" customHeight="1"/>
    <row r="28764" ht="15" hidden="1" customHeight="1"/>
    <row r="28765" ht="15" hidden="1" customHeight="1"/>
    <row r="28766" ht="15" hidden="1" customHeight="1"/>
    <row r="28767" ht="15" hidden="1" customHeight="1"/>
    <row r="28768" ht="15" hidden="1" customHeight="1"/>
    <row r="28769" ht="15" hidden="1" customHeight="1"/>
    <row r="28770" ht="15" hidden="1" customHeight="1"/>
    <row r="28771" ht="15" hidden="1" customHeight="1"/>
    <row r="28772" ht="15" hidden="1" customHeight="1"/>
    <row r="28773" ht="15" hidden="1" customHeight="1"/>
    <row r="28774" ht="15" hidden="1" customHeight="1"/>
    <row r="28775" ht="15" hidden="1" customHeight="1"/>
    <row r="28776" ht="15" hidden="1" customHeight="1"/>
    <row r="28777" ht="15" hidden="1" customHeight="1"/>
    <row r="28778" ht="15" hidden="1" customHeight="1"/>
    <row r="28779" ht="15" hidden="1" customHeight="1"/>
    <row r="28780" ht="15" hidden="1" customHeight="1"/>
    <row r="28781" ht="15" hidden="1" customHeight="1"/>
    <row r="28782" ht="15" hidden="1" customHeight="1"/>
    <row r="28783" ht="15" hidden="1" customHeight="1"/>
    <row r="28784" ht="15" hidden="1" customHeight="1"/>
    <row r="28785" ht="15" hidden="1" customHeight="1"/>
    <row r="28786" ht="15" hidden="1" customHeight="1"/>
    <row r="28787" ht="15" hidden="1" customHeight="1"/>
    <row r="28788" ht="15" hidden="1" customHeight="1"/>
    <row r="28789" ht="15" hidden="1" customHeight="1"/>
    <row r="28790" ht="15" hidden="1" customHeight="1"/>
    <row r="28791" ht="15" hidden="1" customHeight="1"/>
    <row r="28792" ht="15" hidden="1" customHeight="1"/>
    <row r="28793" ht="15" hidden="1" customHeight="1"/>
    <row r="28794" ht="15" hidden="1" customHeight="1"/>
    <row r="28795" ht="15" hidden="1" customHeight="1"/>
    <row r="28796" ht="15" hidden="1" customHeight="1"/>
    <row r="28797" ht="15" hidden="1" customHeight="1"/>
    <row r="28798" ht="15" hidden="1" customHeight="1"/>
    <row r="28799" ht="15" hidden="1" customHeight="1"/>
    <row r="28800" ht="15" hidden="1" customHeight="1"/>
    <row r="28801" ht="15" hidden="1" customHeight="1"/>
    <row r="28802" ht="15" hidden="1" customHeight="1"/>
    <row r="28803" ht="15" hidden="1" customHeight="1"/>
    <row r="28804" ht="15" hidden="1" customHeight="1"/>
    <row r="28805" ht="15" hidden="1" customHeight="1"/>
    <row r="28806" ht="15" hidden="1" customHeight="1"/>
    <row r="28807" ht="15" hidden="1" customHeight="1"/>
    <row r="28808" ht="15" hidden="1" customHeight="1"/>
    <row r="28809" ht="15" hidden="1" customHeight="1"/>
    <row r="28810" ht="15" hidden="1" customHeight="1"/>
    <row r="28811" ht="15" hidden="1" customHeight="1"/>
    <row r="28812" ht="15" hidden="1" customHeight="1"/>
    <row r="28813" ht="15" hidden="1" customHeight="1"/>
    <row r="28814" ht="15" hidden="1" customHeight="1"/>
    <row r="28815" ht="15" hidden="1" customHeight="1"/>
    <row r="28816" ht="15" hidden="1" customHeight="1"/>
    <row r="28817" ht="15" hidden="1" customHeight="1"/>
    <row r="28818" ht="15" hidden="1" customHeight="1"/>
    <row r="28819" ht="15" hidden="1" customHeight="1"/>
    <row r="28820" ht="15" hidden="1" customHeight="1"/>
    <row r="28821" ht="15" hidden="1" customHeight="1"/>
    <row r="28822" ht="15" hidden="1" customHeight="1"/>
    <row r="28823" ht="15" hidden="1" customHeight="1"/>
    <row r="28824" ht="15" hidden="1" customHeight="1"/>
    <row r="28825" ht="15" hidden="1" customHeight="1"/>
    <row r="28826" ht="15" hidden="1" customHeight="1"/>
    <row r="28827" ht="15" hidden="1" customHeight="1"/>
    <row r="28828" ht="15" hidden="1" customHeight="1"/>
    <row r="28829" ht="15" hidden="1" customHeight="1"/>
    <row r="28830" ht="15" hidden="1" customHeight="1"/>
    <row r="28831" ht="15" hidden="1" customHeight="1"/>
    <row r="28832" ht="15" hidden="1" customHeight="1"/>
    <row r="28833" ht="15" hidden="1" customHeight="1"/>
    <row r="28834" ht="15" hidden="1" customHeight="1"/>
    <row r="28835" ht="15" hidden="1" customHeight="1"/>
    <row r="28836" ht="15" hidden="1" customHeight="1"/>
    <row r="28837" ht="15" hidden="1" customHeight="1"/>
    <row r="28838" ht="15" hidden="1" customHeight="1"/>
    <row r="28839" ht="15" hidden="1" customHeight="1"/>
    <row r="28840" ht="15" hidden="1" customHeight="1"/>
    <row r="28841" ht="15" hidden="1" customHeight="1"/>
    <row r="28842" ht="15" hidden="1" customHeight="1"/>
    <row r="28843" ht="15" hidden="1" customHeight="1"/>
    <row r="28844" ht="15" hidden="1" customHeight="1"/>
    <row r="28845" ht="15" hidden="1" customHeight="1"/>
    <row r="28846" ht="15" hidden="1" customHeight="1"/>
    <row r="28847" ht="15" hidden="1" customHeight="1"/>
    <row r="28848" ht="15" hidden="1" customHeight="1"/>
    <row r="28849" ht="15" hidden="1" customHeight="1"/>
    <row r="28850" ht="15" hidden="1" customHeight="1"/>
    <row r="28851" ht="15" hidden="1" customHeight="1"/>
    <row r="28852" ht="15" hidden="1" customHeight="1"/>
    <row r="28853" ht="15" hidden="1" customHeight="1"/>
    <row r="28854" ht="15" hidden="1" customHeight="1"/>
    <row r="28855" ht="15" hidden="1" customHeight="1"/>
    <row r="28856" ht="15" hidden="1" customHeight="1"/>
    <row r="28857" ht="15" hidden="1" customHeight="1"/>
    <row r="28858" ht="15" hidden="1" customHeight="1"/>
    <row r="28859" ht="15" hidden="1" customHeight="1"/>
    <row r="28860" ht="15" hidden="1" customHeight="1"/>
    <row r="28861" ht="15" hidden="1" customHeight="1"/>
    <row r="28862" ht="15" hidden="1" customHeight="1"/>
    <row r="28863" ht="15" hidden="1" customHeight="1"/>
    <row r="28864" ht="15" hidden="1" customHeight="1"/>
    <row r="28865" ht="15" hidden="1" customHeight="1"/>
    <row r="28866" ht="15" hidden="1" customHeight="1"/>
    <row r="28867" ht="15" hidden="1" customHeight="1"/>
    <row r="28868" ht="15" hidden="1" customHeight="1"/>
    <row r="28869" ht="15" hidden="1" customHeight="1"/>
    <row r="28870" ht="15" hidden="1" customHeight="1"/>
    <row r="28871" ht="15" hidden="1" customHeight="1"/>
    <row r="28872" ht="15" hidden="1" customHeight="1"/>
    <row r="28873" ht="15" hidden="1" customHeight="1"/>
    <row r="28874" ht="15" hidden="1" customHeight="1"/>
    <row r="28875" ht="15" hidden="1" customHeight="1"/>
    <row r="28876" ht="15" hidden="1" customHeight="1"/>
    <row r="28877" ht="15" hidden="1" customHeight="1"/>
    <row r="28878" ht="15" hidden="1" customHeight="1"/>
    <row r="28879" ht="15" hidden="1" customHeight="1"/>
    <row r="28880" ht="15" hidden="1" customHeight="1"/>
    <row r="28881" ht="15" hidden="1" customHeight="1"/>
    <row r="28882" ht="15" hidden="1" customHeight="1"/>
    <row r="28883" ht="15" hidden="1" customHeight="1"/>
    <row r="28884" ht="15" hidden="1" customHeight="1"/>
    <row r="28885" ht="15" hidden="1" customHeight="1"/>
    <row r="28886" ht="15" hidden="1" customHeight="1"/>
    <row r="28887" ht="15" hidden="1" customHeight="1"/>
    <row r="28888" ht="15" hidden="1" customHeight="1"/>
    <row r="28889" ht="15" hidden="1" customHeight="1"/>
    <row r="28890" ht="15" hidden="1" customHeight="1"/>
    <row r="28891" ht="15" hidden="1" customHeight="1"/>
    <row r="28892" ht="15" hidden="1" customHeight="1"/>
    <row r="28893" ht="15" hidden="1" customHeight="1"/>
    <row r="28894" ht="15" hidden="1" customHeight="1"/>
    <row r="28895" ht="15" hidden="1" customHeight="1"/>
    <row r="28896" ht="15" hidden="1" customHeight="1"/>
    <row r="28897" ht="15" hidden="1" customHeight="1"/>
    <row r="28898" ht="15" hidden="1" customHeight="1"/>
    <row r="28899" ht="15" hidden="1" customHeight="1"/>
    <row r="28900" ht="15" hidden="1" customHeight="1"/>
    <row r="28901" ht="15" hidden="1" customHeight="1"/>
    <row r="28902" ht="15" hidden="1" customHeight="1"/>
    <row r="28903" ht="15" hidden="1" customHeight="1"/>
    <row r="28904" ht="15" hidden="1" customHeight="1"/>
    <row r="28905" ht="15" hidden="1" customHeight="1"/>
    <row r="28906" ht="15" hidden="1" customHeight="1"/>
    <row r="28907" ht="15" hidden="1" customHeight="1"/>
    <row r="28908" ht="15" hidden="1" customHeight="1"/>
    <row r="28909" ht="15" hidden="1" customHeight="1"/>
    <row r="28910" ht="15" hidden="1" customHeight="1"/>
    <row r="28911" ht="15" hidden="1" customHeight="1"/>
    <row r="28912" ht="15" hidden="1" customHeight="1"/>
    <row r="28913" ht="15" hidden="1" customHeight="1"/>
    <row r="28914" ht="15" hidden="1" customHeight="1"/>
    <row r="28915" ht="15" hidden="1" customHeight="1"/>
    <row r="28916" ht="15" hidden="1" customHeight="1"/>
    <row r="28917" ht="15" hidden="1" customHeight="1"/>
    <row r="28918" ht="15" hidden="1" customHeight="1"/>
    <row r="28919" ht="15" hidden="1" customHeight="1"/>
    <row r="28920" ht="15" hidden="1" customHeight="1"/>
    <row r="28921" ht="15" hidden="1" customHeight="1"/>
    <row r="28922" ht="15" hidden="1" customHeight="1"/>
    <row r="28923" ht="15" hidden="1" customHeight="1"/>
    <row r="28924" ht="15" hidden="1" customHeight="1"/>
    <row r="28925" ht="15" hidden="1" customHeight="1"/>
    <row r="28926" ht="15" hidden="1" customHeight="1"/>
    <row r="28927" ht="15" hidden="1" customHeight="1"/>
    <row r="28928" ht="15" hidden="1" customHeight="1"/>
    <row r="28929" ht="15" hidden="1" customHeight="1"/>
    <row r="28930" ht="15" hidden="1" customHeight="1"/>
    <row r="28931" ht="15" hidden="1" customHeight="1"/>
    <row r="28932" ht="15" hidden="1" customHeight="1"/>
    <row r="28933" ht="15" hidden="1" customHeight="1"/>
    <row r="28934" ht="15" hidden="1" customHeight="1"/>
    <row r="28935" ht="15" hidden="1" customHeight="1"/>
    <row r="28936" ht="15" hidden="1" customHeight="1"/>
    <row r="28937" ht="15" hidden="1" customHeight="1"/>
    <row r="28938" ht="15" hidden="1" customHeight="1"/>
    <row r="28939" ht="15" hidden="1" customHeight="1"/>
    <row r="28940" ht="15" hidden="1" customHeight="1"/>
    <row r="28941" ht="15" hidden="1" customHeight="1"/>
    <row r="28942" ht="15" hidden="1" customHeight="1"/>
    <row r="28943" ht="15" hidden="1" customHeight="1"/>
    <row r="28944" ht="15" hidden="1" customHeight="1"/>
    <row r="28945" ht="15" hidden="1" customHeight="1"/>
    <row r="28946" ht="15" hidden="1" customHeight="1"/>
    <row r="28947" ht="15" hidden="1" customHeight="1"/>
    <row r="28948" ht="15" hidden="1" customHeight="1"/>
    <row r="28949" ht="15" hidden="1" customHeight="1"/>
    <row r="28950" ht="15" hidden="1" customHeight="1"/>
    <row r="28951" ht="15" hidden="1" customHeight="1"/>
    <row r="28952" ht="15" hidden="1" customHeight="1"/>
    <row r="28953" ht="15" hidden="1" customHeight="1"/>
    <row r="28954" ht="15" hidden="1" customHeight="1"/>
    <row r="28955" ht="15" hidden="1" customHeight="1"/>
    <row r="28956" ht="15" hidden="1" customHeight="1"/>
    <row r="28957" ht="15" hidden="1" customHeight="1"/>
    <row r="28958" ht="15" hidden="1" customHeight="1"/>
    <row r="28959" ht="15" hidden="1" customHeight="1"/>
    <row r="28960" ht="15" hidden="1" customHeight="1"/>
    <row r="28961" ht="15" hidden="1" customHeight="1"/>
    <row r="28962" ht="15" hidden="1" customHeight="1"/>
    <row r="28963" ht="15" hidden="1" customHeight="1"/>
    <row r="28964" ht="15" hidden="1" customHeight="1"/>
    <row r="28965" ht="15" hidden="1" customHeight="1"/>
    <row r="28966" ht="15" hidden="1" customHeight="1"/>
    <row r="28967" ht="15" hidden="1" customHeight="1"/>
    <row r="28968" ht="15" hidden="1" customHeight="1"/>
    <row r="28969" ht="15" hidden="1" customHeight="1"/>
    <row r="28970" ht="15" hidden="1" customHeight="1"/>
    <row r="28971" ht="15" hidden="1" customHeight="1"/>
    <row r="28972" ht="15" hidden="1" customHeight="1"/>
    <row r="28973" ht="15" hidden="1" customHeight="1"/>
    <row r="28974" ht="15" hidden="1" customHeight="1"/>
    <row r="28975" ht="15" hidden="1" customHeight="1"/>
    <row r="28976" ht="15" hidden="1" customHeight="1"/>
    <row r="28977" ht="15" hidden="1" customHeight="1"/>
    <row r="28978" ht="15" hidden="1" customHeight="1"/>
    <row r="28979" ht="15" hidden="1" customHeight="1"/>
    <row r="28980" ht="15" hidden="1" customHeight="1"/>
    <row r="28981" ht="15" hidden="1" customHeight="1"/>
    <row r="28982" ht="15" hidden="1" customHeight="1"/>
    <row r="28983" ht="15" hidden="1" customHeight="1"/>
    <row r="28984" ht="15" hidden="1" customHeight="1"/>
    <row r="28985" ht="15" hidden="1" customHeight="1"/>
    <row r="28986" ht="15" hidden="1" customHeight="1"/>
    <row r="28987" ht="15" hidden="1" customHeight="1"/>
    <row r="28988" ht="15" hidden="1" customHeight="1"/>
    <row r="28989" ht="15" hidden="1" customHeight="1"/>
    <row r="28990" ht="15" hidden="1" customHeight="1"/>
    <row r="28991" ht="15" hidden="1" customHeight="1"/>
    <row r="28992" ht="15" hidden="1" customHeight="1"/>
    <row r="28993" ht="15" hidden="1" customHeight="1"/>
    <row r="28994" ht="15" hidden="1" customHeight="1"/>
    <row r="28995" ht="15" hidden="1" customHeight="1"/>
    <row r="28996" ht="15" hidden="1" customHeight="1"/>
    <row r="28997" ht="15" hidden="1" customHeight="1"/>
    <row r="28998" ht="15" hidden="1" customHeight="1"/>
    <row r="28999" ht="15" hidden="1" customHeight="1"/>
    <row r="29000" ht="15" hidden="1" customHeight="1"/>
    <row r="29001" ht="15" hidden="1" customHeight="1"/>
    <row r="29002" ht="15" hidden="1" customHeight="1"/>
    <row r="29003" ht="15" hidden="1" customHeight="1"/>
    <row r="29004" ht="15" hidden="1" customHeight="1"/>
    <row r="29005" ht="15" hidden="1" customHeight="1"/>
    <row r="29006" ht="15" hidden="1" customHeight="1"/>
    <row r="29007" ht="15" hidden="1" customHeight="1"/>
    <row r="29008" ht="15" hidden="1" customHeight="1"/>
    <row r="29009" ht="15" hidden="1" customHeight="1"/>
    <row r="29010" ht="15" hidden="1" customHeight="1"/>
    <row r="29011" ht="15" hidden="1" customHeight="1"/>
    <row r="29012" ht="15" hidden="1" customHeight="1"/>
    <row r="29013" ht="15" hidden="1" customHeight="1"/>
    <row r="29014" ht="15" hidden="1" customHeight="1"/>
    <row r="29015" ht="15" hidden="1" customHeight="1"/>
    <row r="29016" ht="15" hidden="1" customHeight="1"/>
    <row r="29017" ht="15" hidden="1" customHeight="1"/>
    <row r="29018" ht="15" hidden="1" customHeight="1"/>
    <row r="29019" ht="15" hidden="1" customHeight="1"/>
    <row r="29020" ht="15" hidden="1" customHeight="1"/>
    <row r="29021" ht="15" hidden="1" customHeight="1"/>
    <row r="29022" ht="15" hidden="1" customHeight="1"/>
    <row r="29023" ht="15" hidden="1" customHeight="1"/>
    <row r="29024" ht="15" hidden="1" customHeight="1"/>
    <row r="29025" ht="15" hidden="1" customHeight="1"/>
    <row r="29026" ht="15" hidden="1" customHeight="1"/>
    <row r="29027" ht="15" hidden="1" customHeight="1"/>
    <row r="29028" ht="15" hidden="1" customHeight="1"/>
    <row r="29029" ht="15" hidden="1" customHeight="1"/>
    <row r="29030" ht="15" hidden="1" customHeight="1"/>
    <row r="29031" ht="15" hidden="1" customHeight="1"/>
    <row r="29032" ht="15" hidden="1" customHeight="1"/>
    <row r="29033" ht="15" hidden="1" customHeight="1"/>
    <row r="29034" ht="15" hidden="1" customHeight="1"/>
    <row r="29035" ht="15" hidden="1" customHeight="1"/>
    <row r="29036" ht="15" hidden="1" customHeight="1"/>
    <row r="29037" ht="15" hidden="1" customHeight="1"/>
    <row r="29038" ht="15" hidden="1" customHeight="1"/>
    <row r="29039" ht="15" hidden="1" customHeight="1"/>
    <row r="29040" ht="15" hidden="1" customHeight="1"/>
    <row r="29041" ht="15" hidden="1" customHeight="1"/>
    <row r="29042" ht="15" hidden="1" customHeight="1"/>
    <row r="29043" ht="15" hidden="1" customHeight="1"/>
    <row r="29044" ht="15" hidden="1" customHeight="1"/>
    <row r="29045" ht="15" hidden="1" customHeight="1"/>
    <row r="29046" ht="15" hidden="1" customHeight="1"/>
    <row r="29047" ht="15" hidden="1" customHeight="1"/>
    <row r="29048" ht="15" hidden="1" customHeight="1"/>
    <row r="29049" ht="15" hidden="1" customHeight="1"/>
    <row r="29050" ht="15" hidden="1" customHeight="1"/>
    <row r="29051" ht="15" hidden="1" customHeight="1"/>
    <row r="29052" ht="15" hidden="1" customHeight="1"/>
    <row r="29053" ht="15" hidden="1" customHeight="1"/>
    <row r="29054" ht="15" hidden="1" customHeight="1"/>
    <row r="29055" ht="15" hidden="1" customHeight="1"/>
    <row r="29056" ht="15" hidden="1" customHeight="1"/>
    <row r="29057" ht="15" hidden="1" customHeight="1"/>
    <row r="29058" ht="15" hidden="1" customHeight="1"/>
    <row r="29059" ht="15" hidden="1" customHeight="1"/>
    <row r="29060" ht="15" hidden="1" customHeight="1"/>
    <row r="29061" ht="15" hidden="1" customHeight="1"/>
    <row r="29062" ht="15" hidden="1" customHeight="1"/>
    <row r="29063" ht="15" hidden="1" customHeight="1"/>
    <row r="29064" ht="15" hidden="1" customHeight="1"/>
    <row r="29065" ht="15" hidden="1" customHeight="1"/>
    <row r="29066" ht="15" hidden="1" customHeight="1"/>
    <row r="29067" ht="15" hidden="1" customHeight="1"/>
    <row r="29068" ht="15" hidden="1" customHeight="1"/>
    <row r="29069" ht="15" hidden="1" customHeight="1"/>
    <row r="29070" ht="15" hidden="1" customHeight="1"/>
    <row r="29071" ht="15" hidden="1" customHeight="1"/>
    <row r="29072" ht="15" hidden="1" customHeight="1"/>
    <row r="29073" ht="15" hidden="1" customHeight="1"/>
    <row r="29074" ht="15" hidden="1" customHeight="1"/>
    <row r="29075" ht="15" hidden="1" customHeight="1"/>
    <row r="29076" ht="15" hidden="1" customHeight="1"/>
    <row r="29077" ht="15" hidden="1" customHeight="1"/>
    <row r="29078" ht="15" hidden="1" customHeight="1"/>
    <row r="29079" ht="15" hidden="1" customHeight="1"/>
    <row r="29080" ht="15" hidden="1" customHeight="1"/>
    <row r="29081" ht="15" hidden="1" customHeight="1"/>
    <row r="29082" ht="15" hidden="1" customHeight="1"/>
    <row r="29083" ht="15" hidden="1" customHeight="1"/>
    <row r="29084" ht="15" hidden="1" customHeight="1"/>
    <row r="29085" ht="15" hidden="1" customHeight="1"/>
    <row r="29086" ht="15" hidden="1" customHeight="1"/>
    <row r="29087" ht="15" hidden="1" customHeight="1"/>
    <row r="29088" ht="15" hidden="1" customHeight="1"/>
    <row r="29089" ht="15" hidden="1" customHeight="1"/>
    <row r="29090" ht="15" hidden="1" customHeight="1"/>
    <row r="29091" ht="15" hidden="1" customHeight="1"/>
    <row r="29092" ht="15" hidden="1" customHeight="1"/>
    <row r="29093" ht="15" hidden="1" customHeight="1"/>
    <row r="29094" ht="15" hidden="1" customHeight="1"/>
    <row r="29095" ht="15" hidden="1" customHeight="1"/>
    <row r="29096" ht="15" hidden="1" customHeight="1"/>
    <row r="29097" ht="15" hidden="1" customHeight="1"/>
    <row r="29098" ht="15" hidden="1" customHeight="1"/>
    <row r="29099" ht="15" hidden="1" customHeight="1"/>
    <row r="29100" ht="15" hidden="1" customHeight="1"/>
    <row r="29101" ht="15" hidden="1" customHeight="1"/>
    <row r="29102" ht="15" hidden="1" customHeight="1"/>
    <row r="29103" ht="15" hidden="1" customHeight="1"/>
    <row r="29104" ht="15" hidden="1" customHeight="1"/>
    <row r="29105" ht="15" hidden="1" customHeight="1"/>
    <row r="29106" ht="15" hidden="1" customHeight="1"/>
    <row r="29107" ht="15" hidden="1" customHeight="1"/>
    <row r="29108" ht="15" hidden="1" customHeight="1"/>
    <row r="29109" ht="15" hidden="1" customHeight="1"/>
    <row r="29110" ht="15" hidden="1" customHeight="1"/>
    <row r="29111" ht="15" hidden="1" customHeight="1"/>
    <row r="29112" ht="15" hidden="1" customHeight="1"/>
    <row r="29113" ht="15" hidden="1" customHeight="1"/>
    <row r="29114" ht="15" hidden="1" customHeight="1"/>
    <row r="29115" ht="15" hidden="1" customHeight="1"/>
    <row r="29116" ht="15" hidden="1" customHeight="1"/>
    <row r="29117" ht="15" hidden="1" customHeight="1"/>
    <row r="29118" ht="15" hidden="1" customHeight="1"/>
    <row r="29119" ht="15" hidden="1" customHeight="1"/>
    <row r="29120" ht="15" hidden="1" customHeight="1"/>
    <row r="29121" ht="15" hidden="1" customHeight="1"/>
    <row r="29122" ht="15" hidden="1" customHeight="1"/>
    <row r="29123" ht="15" hidden="1" customHeight="1"/>
    <row r="29124" ht="15" hidden="1" customHeight="1"/>
    <row r="29125" ht="15" hidden="1" customHeight="1"/>
    <row r="29126" ht="15" hidden="1" customHeight="1"/>
    <row r="29127" ht="15" hidden="1" customHeight="1"/>
    <row r="29128" ht="15" hidden="1" customHeight="1"/>
    <row r="29129" ht="15" hidden="1" customHeight="1"/>
    <row r="29130" ht="15" hidden="1" customHeight="1"/>
    <row r="29131" ht="15" hidden="1" customHeight="1"/>
    <row r="29132" ht="15" hidden="1" customHeight="1"/>
    <row r="29133" ht="15" hidden="1" customHeight="1"/>
    <row r="29134" ht="15" hidden="1" customHeight="1"/>
    <row r="29135" ht="15" hidden="1" customHeight="1"/>
    <row r="29136" ht="15" hidden="1" customHeight="1"/>
    <row r="29137" ht="15" hidden="1" customHeight="1"/>
    <row r="29138" ht="15" hidden="1" customHeight="1"/>
    <row r="29139" ht="15" hidden="1" customHeight="1"/>
    <row r="29140" ht="15" hidden="1" customHeight="1"/>
    <row r="29141" ht="15" hidden="1" customHeight="1"/>
    <row r="29142" ht="15" hidden="1" customHeight="1"/>
    <row r="29143" ht="15" hidden="1" customHeight="1"/>
    <row r="29144" ht="15" hidden="1" customHeight="1"/>
    <row r="29145" ht="15" hidden="1" customHeight="1"/>
    <row r="29146" ht="15" hidden="1" customHeight="1"/>
    <row r="29147" ht="15" hidden="1" customHeight="1"/>
    <row r="29148" ht="15" hidden="1" customHeight="1"/>
    <row r="29149" ht="15" hidden="1" customHeight="1"/>
    <row r="29150" ht="15" hidden="1" customHeight="1"/>
    <row r="29151" ht="15" hidden="1" customHeight="1"/>
    <row r="29152" ht="15" hidden="1" customHeight="1"/>
    <row r="29153" ht="15" hidden="1" customHeight="1"/>
    <row r="29154" ht="15" hidden="1" customHeight="1"/>
    <row r="29155" ht="15" hidden="1" customHeight="1"/>
    <row r="29156" ht="15" hidden="1" customHeight="1"/>
    <row r="29157" ht="15" hidden="1" customHeight="1"/>
    <row r="29158" ht="15" hidden="1" customHeight="1"/>
    <row r="29159" ht="15" hidden="1" customHeight="1"/>
    <row r="29160" ht="15" hidden="1" customHeight="1"/>
    <row r="29161" ht="15" hidden="1" customHeight="1"/>
    <row r="29162" ht="15" hidden="1" customHeight="1"/>
    <row r="29163" ht="15" hidden="1" customHeight="1"/>
    <row r="29164" ht="15" hidden="1" customHeight="1"/>
    <row r="29165" ht="15" hidden="1" customHeight="1"/>
    <row r="29166" ht="15" hidden="1" customHeight="1"/>
    <row r="29167" ht="15" hidden="1" customHeight="1"/>
    <row r="29168" ht="15" hidden="1" customHeight="1"/>
    <row r="29169" ht="15" hidden="1" customHeight="1"/>
    <row r="29170" ht="15" hidden="1" customHeight="1"/>
    <row r="29171" ht="15" hidden="1" customHeight="1"/>
    <row r="29172" ht="15" hidden="1" customHeight="1"/>
    <row r="29173" ht="15" hidden="1" customHeight="1"/>
    <row r="29174" ht="15" hidden="1" customHeight="1"/>
    <row r="29175" ht="15" hidden="1" customHeight="1"/>
    <row r="29176" ht="15" hidden="1" customHeight="1"/>
    <row r="29177" ht="15" hidden="1" customHeight="1"/>
    <row r="29178" ht="15" hidden="1" customHeight="1"/>
    <row r="29179" ht="15" hidden="1" customHeight="1"/>
    <row r="29180" ht="15" hidden="1" customHeight="1"/>
    <row r="29181" ht="15" hidden="1" customHeight="1"/>
    <row r="29182" ht="15" hidden="1" customHeight="1"/>
    <row r="29183" ht="15" hidden="1" customHeight="1"/>
    <row r="29184" ht="15" hidden="1" customHeight="1"/>
    <row r="29185" ht="15" hidden="1" customHeight="1"/>
    <row r="29186" ht="15" hidden="1" customHeight="1"/>
    <row r="29187" ht="15" hidden="1" customHeight="1"/>
    <row r="29188" ht="15" hidden="1" customHeight="1"/>
    <row r="29189" ht="15" hidden="1" customHeight="1"/>
    <row r="29190" ht="15" hidden="1" customHeight="1"/>
    <row r="29191" ht="15" hidden="1" customHeight="1"/>
    <row r="29192" ht="15" hidden="1" customHeight="1"/>
    <row r="29193" ht="15" hidden="1" customHeight="1"/>
    <row r="29194" ht="15" hidden="1" customHeight="1"/>
    <row r="29195" ht="15" hidden="1" customHeight="1"/>
    <row r="29196" ht="15" hidden="1" customHeight="1"/>
    <row r="29197" ht="15" hidden="1" customHeight="1"/>
    <row r="29198" ht="15" hidden="1" customHeight="1"/>
    <row r="29199" ht="15" hidden="1" customHeight="1"/>
    <row r="29200" ht="15" hidden="1" customHeight="1"/>
    <row r="29201" ht="15" hidden="1" customHeight="1"/>
    <row r="29202" ht="15" hidden="1" customHeight="1"/>
    <row r="29203" ht="15" hidden="1" customHeight="1"/>
    <row r="29204" ht="15" hidden="1" customHeight="1"/>
    <row r="29205" ht="15" hidden="1" customHeight="1"/>
    <row r="29206" ht="15" hidden="1" customHeight="1"/>
    <row r="29207" ht="15" hidden="1" customHeight="1"/>
    <row r="29208" ht="15" hidden="1" customHeight="1"/>
    <row r="29209" ht="15" hidden="1" customHeight="1"/>
    <row r="29210" ht="15" hidden="1" customHeight="1"/>
    <row r="29211" ht="15" hidden="1" customHeight="1"/>
    <row r="29212" ht="15" hidden="1" customHeight="1"/>
    <row r="29213" ht="15" hidden="1" customHeight="1"/>
    <row r="29214" ht="15" hidden="1" customHeight="1"/>
    <row r="29215" ht="15" hidden="1" customHeight="1"/>
    <row r="29216" ht="15" hidden="1" customHeight="1"/>
    <row r="29217" ht="15" hidden="1" customHeight="1"/>
    <row r="29218" ht="15" hidden="1" customHeight="1"/>
    <row r="29219" ht="15" hidden="1" customHeight="1"/>
    <row r="29220" ht="15" hidden="1" customHeight="1"/>
    <row r="29221" ht="15" hidden="1" customHeight="1"/>
    <row r="29222" ht="15" hidden="1" customHeight="1"/>
    <row r="29223" ht="15" hidden="1" customHeight="1"/>
    <row r="29224" ht="15" hidden="1" customHeight="1"/>
    <row r="29225" ht="15" hidden="1" customHeight="1"/>
    <row r="29226" ht="15" hidden="1" customHeight="1"/>
    <row r="29227" ht="15" hidden="1" customHeight="1"/>
    <row r="29228" ht="15" hidden="1" customHeight="1"/>
    <row r="29229" ht="15" hidden="1" customHeight="1"/>
    <row r="29230" ht="15" hidden="1" customHeight="1"/>
    <row r="29231" ht="15" hidden="1" customHeight="1"/>
    <row r="29232" ht="15" hidden="1" customHeight="1"/>
    <row r="29233" ht="15" hidden="1" customHeight="1"/>
    <row r="29234" ht="15" hidden="1" customHeight="1"/>
    <row r="29235" ht="15" hidden="1" customHeight="1"/>
    <row r="29236" ht="15" hidden="1" customHeight="1"/>
    <row r="29237" ht="15" hidden="1" customHeight="1"/>
    <row r="29238" ht="15" hidden="1" customHeight="1"/>
    <row r="29239" ht="15" hidden="1" customHeight="1"/>
    <row r="29240" ht="15" hidden="1" customHeight="1"/>
    <row r="29241" ht="15" hidden="1" customHeight="1"/>
    <row r="29242" ht="15" hidden="1" customHeight="1"/>
    <row r="29243" ht="15" hidden="1" customHeight="1"/>
    <row r="29244" ht="15" hidden="1" customHeight="1"/>
    <row r="29245" ht="15" hidden="1" customHeight="1"/>
    <row r="29246" ht="15" hidden="1" customHeight="1"/>
    <row r="29247" ht="15" hidden="1" customHeight="1"/>
    <row r="29248" ht="15" hidden="1" customHeight="1"/>
    <row r="29249" ht="15" hidden="1" customHeight="1"/>
    <row r="29250" ht="15" hidden="1" customHeight="1"/>
    <row r="29251" ht="15" hidden="1" customHeight="1"/>
    <row r="29252" ht="15" hidden="1" customHeight="1"/>
    <row r="29253" ht="15" hidden="1" customHeight="1"/>
    <row r="29254" ht="15" hidden="1" customHeight="1"/>
    <row r="29255" ht="15" hidden="1" customHeight="1"/>
    <row r="29256" ht="15" hidden="1" customHeight="1"/>
    <row r="29257" ht="15" hidden="1" customHeight="1"/>
    <row r="29258" ht="15" hidden="1" customHeight="1"/>
    <row r="29259" ht="15" hidden="1" customHeight="1"/>
    <row r="29260" ht="15" hidden="1" customHeight="1"/>
    <row r="29261" ht="15" hidden="1" customHeight="1"/>
    <row r="29262" ht="15" hidden="1" customHeight="1"/>
    <row r="29263" ht="15" hidden="1" customHeight="1"/>
    <row r="29264" ht="15" hidden="1" customHeight="1"/>
    <row r="29265" ht="15" hidden="1" customHeight="1"/>
    <row r="29266" ht="15" hidden="1" customHeight="1"/>
    <row r="29267" ht="15" hidden="1" customHeight="1"/>
    <row r="29268" ht="15" hidden="1" customHeight="1"/>
    <row r="29269" ht="15" hidden="1" customHeight="1"/>
    <row r="29270" ht="15" hidden="1" customHeight="1"/>
    <row r="29271" ht="15" hidden="1" customHeight="1"/>
    <row r="29272" ht="15" hidden="1" customHeight="1"/>
    <row r="29273" ht="15" hidden="1" customHeight="1"/>
    <row r="29274" ht="15" hidden="1" customHeight="1"/>
    <row r="29275" ht="15" hidden="1" customHeight="1"/>
    <row r="29276" ht="15" hidden="1" customHeight="1"/>
    <row r="29277" ht="15" hidden="1" customHeight="1"/>
    <row r="29278" ht="15" hidden="1" customHeight="1"/>
    <row r="29279" ht="15" hidden="1" customHeight="1"/>
    <row r="29280" ht="15" hidden="1" customHeight="1"/>
    <row r="29281" ht="15" hidden="1" customHeight="1"/>
    <row r="29282" ht="15" hidden="1" customHeight="1"/>
    <row r="29283" ht="15" hidden="1" customHeight="1"/>
    <row r="29284" ht="15" hidden="1" customHeight="1"/>
    <row r="29285" ht="15" hidden="1" customHeight="1"/>
    <row r="29286" ht="15" hidden="1" customHeight="1"/>
    <row r="29287" ht="15" hidden="1" customHeight="1"/>
    <row r="29288" ht="15" hidden="1" customHeight="1"/>
    <row r="29289" ht="15" hidden="1" customHeight="1"/>
    <row r="29290" ht="15" hidden="1" customHeight="1"/>
    <row r="29291" ht="15" hidden="1" customHeight="1"/>
    <row r="29292" ht="15" hidden="1" customHeight="1"/>
    <row r="29293" ht="15" hidden="1" customHeight="1"/>
    <row r="29294" ht="15" hidden="1" customHeight="1"/>
    <row r="29295" ht="15" hidden="1" customHeight="1"/>
    <row r="29296" ht="15" hidden="1" customHeight="1"/>
    <row r="29297" ht="15" hidden="1" customHeight="1"/>
    <row r="29298" ht="15" hidden="1" customHeight="1"/>
    <row r="29299" ht="15" hidden="1" customHeight="1"/>
    <row r="29300" ht="15" hidden="1" customHeight="1"/>
    <row r="29301" ht="15" hidden="1" customHeight="1"/>
    <row r="29302" ht="15" hidden="1" customHeight="1"/>
    <row r="29303" ht="15" hidden="1" customHeight="1"/>
    <row r="29304" ht="15" hidden="1" customHeight="1"/>
    <row r="29305" ht="15" hidden="1" customHeight="1"/>
    <row r="29306" ht="15" hidden="1" customHeight="1"/>
    <row r="29307" ht="15" hidden="1" customHeight="1"/>
    <row r="29308" ht="15" hidden="1" customHeight="1"/>
    <row r="29309" ht="15" hidden="1" customHeight="1"/>
    <row r="29310" ht="15" hidden="1" customHeight="1"/>
    <row r="29311" ht="15" hidden="1" customHeight="1"/>
    <row r="29312" ht="15" hidden="1" customHeight="1"/>
    <row r="29313" ht="15" hidden="1" customHeight="1"/>
    <row r="29314" ht="15" hidden="1" customHeight="1"/>
    <row r="29315" ht="15" hidden="1" customHeight="1"/>
    <row r="29316" ht="15" hidden="1" customHeight="1"/>
    <row r="29317" ht="15" hidden="1" customHeight="1"/>
    <row r="29318" ht="15" hidden="1" customHeight="1"/>
    <row r="29319" ht="15" hidden="1" customHeight="1"/>
    <row r="29320" ht="15" hidden="1" customHeight="1"/>
    <row r="29321" ht="15" hidden="1" customHeight="1"/>
    <row r="29322" ht="15" hidden="1" customHeight="1"/>
    <row r="29323" ht="15" hidden="1" customHeight="1"/>
    <row r="29324" ht="15" hidden="1" customHeight="1"/>
    <row r="29325" ht="15" hidden="1" customHeight="1"/>
    <row r="29326" ht="15" hidden="1" customHeight="1"/>
    <row r="29327" ht="15" hidden="1" customHeight="1"/>
    <row r="29328" ht="15" hidden="1" customHeight="1"/>
    <row r="29329" ht="15" hidden="1" customHeight="1"/>
    <row r="29330" ht="15" hidden="1" customHeight="1"/>
    <row r="29331" ht="15" hidden="1" customHeight="1"/>
    <row r="29332" ht="15" hidden="1" customHeight="1"/>
    <row r="29333" ht="15" hidden="1" customHeight="1"/>
    <row r="29334" ht="15" hidden="1" customHeight="1"/>
    <row r="29335" ht="15" hidden="1" customHeight="1"/>
    <row r="29336" ht="15" hidden="1" customHeight="1"/>
    <row r="29337" ht="15" hidden="1" customHeight="1"/>
    <row r="29338" ht="15" hidden="1" customHeight="1"/>
    <row r="29339" ht="15" hidden="1" customHeight="1"/>
    <row r="29340" ht="15" hidden="1" customHeight="1"/>
    <row r="29341" ht="15" hidden="1" customHeight="1"/>
    <row r="29342" ht="15" hidden="1" customHeight="1"/>
    <row r="29343" ht="15" hidden="1" customHeight="1"/>
    <row r="29344" ht="15" hidden="1" customHeight="1"/>
    <row r="29345" ht="15" hidden="1" customHeight="1"/>
    <row r="29346" ht="15" hidden="1" customHeight="1"/>
    <row r="29347" ht="15" hidden="1" customHeight="1"/>
    <row r="29348" ht="15" hidden="1" customHeight="1"/>
    <row r="29349" ht="15" hidden="1" customHeight="1"/>
    <row r="29350" ht="15" hidden="1" customHeight="1"/>
    <row r="29351" ht="15" hidden="1" customHeight="1"/>
    <row r="29352" ht="15" hidden="1" customHeight="1"/>
    <row r="29353" ht="15" hidden="1" customHeight="1"/>
    <row r="29354" ht="15" hidden="1" customHeight="1"/>
    <row r="29355" ht="15" hidden="1" customHeight="1"/>
    <row r="29356" ht="15" hidden="1" customHeight="1"/>
    <row r="29357" ht="15" hidden="1" customHeight="1"/>
    <row r="29358" ht="15" hidden="1" customHeight="1"/>
    <row r="29359" ht="15" hidden="1" customHeight="1"/>
    <row r="29360" ht="15" hidden="1" customHeight="1"/>
    <row r="29361" ht="15" hidden="1" customHeight="1"/>
    <row r="29362" ht="15" hidden="1" customHeight="1"/>
    <row r="29363" ht="15" hidden="1" customHeight="1"/>
    <row r="29364" ht="15" hidden="1" customHeight="1"/>
    <row r="29365" ht="15" hidden="1" customHeight="1"/>
    <row r="29366" ht="15" hidden="1" customHeight="1"/>
    <row r="29367" ht="15" hidden="1" customHeight="1"/>
    <row r="29368" ht="15" hidden="1" customHeight="1"/>
    <row r="29369" ht="15" hidden="1" customHeight="1"/>
    <row r="29370" ht="15" hidden="1" customHeight="1"/>
    <row r="29371" ht="15" hidden="1" customHeight="1"/>
    <row r="29372" ht="15" hidden="1" customHeight="1"/>
    <row r="29373" ht="15" hidden="1" customHeight="1"/>
    <row r="29374" ht="15" hidden="1" customHeight="1"/>
    <row r="29375" ht="15" hidden="1" customHeight="1"/>
    <row r="29376" ht="15" hidden="1" customHeight="1"/>
    <row r="29377" ht="15" hidden="1" customHeight="1"/>
    <row r="29378" ht="15" hidden="1" customHeight="1"/>
    <row r="29379" ht="15" hidden="1" customHeight="1"/>
    <row r="29380" ht="15" hidden="1" customHeight="1"/>
    <row r="29381" ht="15" hidden="1" customHeight="1"/>
    <row r="29382" ht="15" hidden="1" customHeight="1"/>
    <row r="29383" ht="15" hidden="1" customHeight="1"/>
    <row r="29384" ht="15" hidden="1" customHeight="1"/>
    <row r="29385" ht="15" hidden="1" customHeight="1"/>
    <row r="29386" ht="15" hidden="1" customHeight="1"/>
    <row r="29387" ht="15" hidden="1" customHeight="1"/>
    <row r="29388" ht="15" hidden="1" customHeight="1"/>
    <row r="29389" ht="15" hidden="1" customHeight="1"/>
    <row r="29390" ht="15" hidden="1" customHeight="1"/>
    <row r="29391" ht="15" hidden="1" customHeight="1"/>
    <row r="29392" ht="15" hidden="1" customHeight="1"/>
    <row r="29393" ht="15" hidden="1" customHeight="1"/>
    <row r="29394" ht="15" hidden="1" customHeight="1"/>
    <row r="29395" ht="15" hidden="1" customHeight="1"/>
    <row r="29396" ht="15" hidden="1" customHeight="1"/>
    <row r="29397" ht="15" hidden="1" customHeight="1"/>
    <row r="29398" ht="15" hidden="1" customHeight="1"/>
    <row r="29399" ht="15" hidden="1" customHeight="1"/>
    <row r="29400" ht="15" hidden="1" customHeight="1"/>
    <row r="29401" ht="15" hidden="1" customHeight="1"/>
    <row r="29402" ht="15" hidden="1" customHeight="1"/>
    <row r="29403" ht="15" hidden="1" customHeight="1"/>
    <row r="29404" ht="15" hidden="1" customHeight="1"/>
    <row r="29405" ht="15" hidden="1" customHeight="1"/>
    <row r="29406" ht="15" hidden="1" customHeight="1"/>
    <row r="29407" ht="15" hidden="1" customHeight="1"/>
    <row r="29408" ht="15" hidden="1" customHeight="1"/>
    <row r="29409" ht="15" hidden="1" customHeight="1"/>
    <row r="29410" ht="15" hidden="1" customHeight="1"/>
    <row r="29411" ht="15" hidden="1" customHeight="1"/>
    <row r="29412" ht="15" hidden="1" customHeight="1"/>
    <row r="29413" ht="15" hidden="1" customHeight="1"/>
    <row r="29414" ht="15" hidden="1" customHeight="1"/>
    <row r="29415" ht="15" hidden="1" customHeight="1"/>
    <row r="29416" ht="15" hidden="1" customHeight="1"/>
    <row r="29417" ht="15" hidden="1" customHeight="1"/>
    <row r="29418" ht="15" hidden="1" customHeight="1"/>
    <row r="29419" ht="15" hidden="1" customHeight="1"/>
    <row r="29420" ht="15" hidden="1" customHeight="1"/>
    <row r="29421" ht="15" hidden="1" customHeight="1"/>
    <row r="29422" ht="15" hidden="1" customHeight="1"/>
    <row r="29423" ht="15" hidden="1" customHeight="1"/>
    <row r="29424" ht="15" hidden="1" customHeight="1"/>
    <row r="29425" ht="15" hidden="1" customHeight="1"/>
    <row r="29426" ht="15" hidden="1" customHeight="1"/>
    <row r="29427" ht="15" hidden="1" customHeight="1"/>
    <row r="29428" ht="15" hidden="1" customHeight="1"/>
    <row r="29429" ht="15" hidden="1" customHeight="1"/>
    <row r="29430" ht="15" hidden="1" customHeight="1"/>
    <row r="29431" ht="15" hidden="1" customHeight="1"/>
    <row r="29432" ht="15" hidden="1" customHeight="1"/>
    <row r="29433" ht="15" hidden="1" customHeight="1"/>
    <row r="29434" ht="15" hidden="1" customHeight="1"/>
    <row r="29435" ht="15" hidden="1" customHeight="1"/>
    <row r="29436" ht="15" hidden="1" customHeight="1"/>
    <row r="29437" ht="15" hidden="1" customHeight="1"/>
    <row r="29438" ht="15" hidden="1" customHeight="1"/>
    <row r="29439" ht="15" hidden="1" customHeight="1"/>
    <row r="29440" ht="15" hidden="1" customHeight="1"/>
    <row r="29441" ht="15" hidden="1" customHeight="1"/>
    <row r="29442" ht="15" hidden="1" customHeight="1"/>
    <row r="29443" ht="15" hidden="1" customHeight="1"/>
    <row r="29444" ht="15" hidden="1" customHeight="1"/>
    <row r="29445" ht="15" hidden="1" customHeight="1"/>
    <row r="29446" ht="15" hidden="1" customHeight="1"/>
    <row r="29447" ht="15" hidden="1" customHeight="1"/>
    <row r="29448" ht="15" hidden="1" customHeight="1"/>
    <row r="29449" ht="15" hidden="1" customHeight="1"/>
    <row r="29450" ht="15" hidden="1" customHeight="1"/>
    <row r="29451" ht="15" hidden="1" customHeight="1"/>
    <row r="29452" ht="15" hidden="1" customHeight="1"/>
    <row r="29453" ht="15" hidden="1" customHeight="1"/>
    <row r="29454" ht="15" hidden="1" customHeight="1"/>
    <row r="29455" ht="15" hidden="1" customHeight="1"/>
    <row r="29456" ht="15" hidden="1" customHeight="1"/>
    <row r="29457" ht="15" hidden="1" customHeight="1"/>
    <row r="29458" ht="15" hidden="1" customHeight="1"/>
    <row r="29459" ht="15" hidden="1" customHeight="1"/>
    <row r="29460" ht="15" hidden="1" customHeight="1"/>
    <row r="29461" ht="15" hidden="1" customHeight="1"/>
    <row r="29462" ht="15" hidden="1" customHeight="1"/>
    <row r="29463" ht="15" hidden="1" customHeight="1"/>
    <row r="29464" ht="15" hidden="1" customHeight="1"/>
    <row r="29465" ht="15" hidden="1" customHeight="1"/>
    <row r="29466" ht="15" hidden="1" customHeight="1"/>
    <row r="29467" ht="15" hidden="1" customHeight="1"/>
    <row r="29468" ht="15" hidden="1" customHeight="1"/>
    <row r="29469" ht="15" hidden="1" customHeight="1"/>
    <row r="29470" ht="15" hidden="1" customHeight="1"/>
    <row r="29471" ht="15" hidden="1" customHeight="1"/>
    <row r="29472" ht="15" hidden="1" customHeight="1"/>
    <row r="29473" ht="15" hidden="1" customHeight="1"/>
    <row r="29474" ht="15" hidden="1" customHeight="1"/>
    <row r="29475" ht="15" hidden="1" customHeight="1"/>
    <row r="29476" ht="15" hidden="1" customHeight="1"/>
    <row r="29477" ht="15" hidden="1" customHeight="1"/>
    <row r="29478" ht="15" hidden="1" customHeight="1"/>
    <row r="29479" ht="15" hidden="1" customHeight="1"/>
    <row r="29480" ht="15" hidden="1" customHeight="1"/>
    <row r="29481" ht="15" hidden="1" customHeight="1"/>
    <row r="29482" ht="15" hidden="1" customHeight="1"/>
    <row r="29483" ht="15" hidden="1" customHeight="1"/>
    <row r="29484" ht="15" hidden="1" customHeight="1"/>
    <row r="29485" ht="15" hidden="1" customHeight="1"/>
    <row r="29486" ht="15" hidden="1" customHeight="1"/>
    <row r="29487" ht="15" hidden="1" customHeight="1"/>
    <row r="29488" ht="15" hidden="1" customHeight="1"/>
    <row r="29489" ht="15" hidden="1" customHeight="1"/>
    <row r="29490" ht="15" hidden="1" customHeight="1"/>
    <row r="29491" ht="15" hidden="1" customHeight="1"/>
    <row r="29492" ht="15" hidden="1" customHeight="1"/>
    <row r="29493" ht="15" hidden="1" customHeight="1"/>
    <row r="29494" ht="15" hidden="1" customHeight="1"/>
    <row r="29495" ht="15" hidden="1" customHeight="1"/>
    <row r="29496" ht="15" hidden="1" customHeight="1"/>
    <row r="29497" ht="15" hidden="1" customHeight="1"/>
    <row r="29498" ht="15" hidden="1" customHeight="1"/>
    <row r="29499" ht="15" hidden="1" customHeight="1"/>
    <row r="29500" ht="15" hidden="1" customHeight="1"/>
    <row r="29501" ht="15" hidden="1" customHeight="1"/>
    <row r="29502" ht="15" hidden="1" customHeight="1"/>
    <row r="29503" ht="15" hidden="1" customHeight="1"/>
    <row r="29504" ht="15" hidden="1" customHeight="1"/>
    <row r="29505" ht="15" hidden="1" customHeight="1"/>
    <row r="29506" ht="15" hidden="1" customHeight="1"/>
    <row r="29507" ht="15" hidden="1" customHeight="1"/>
    <row r="29508" ht="15" hidden="1" customHeight="1"/>
    <row r="29509" ht="15" hidden="1" customHeight="1"/>
    <row r="29510" ht="15" hidden="1" customHeight="1"/>
    <row r="29511" ht="15" hidden="1" customHeight="1"/>
    <row r="29512" ht="15" hidden="1" customHeight="1"/>
    <row r="29513" ht="15" hidden="1" customHeight="1"/>
    <row r="29514" ht="15" hidden="1" customHeight="1"/>
    <row r="29515" ht="15" hidden="1" customHeight="1"/>
    <row r="29516" ht="15" hidden="1" customHeight="1"/>
    <row r="29517" ht="15" hidden="1" customHeight="1"/>
    <row r="29518" ht="15" hidden="1" customHeight="1"/>
    <row r="29519" ht="15" hidden="1" customHeight="1"/>
    <row r="29520" ht="15" hidden="1" customHeight="1"/>
    <row r="29521" ht="15" hidden="1" customHeight="1"/>
    <row r="29522" ht="15" hidden="1" customHeight="1"/>
    <row r="29523" ht="15" hidden="1" customHeight="1"/>
    <row r="29524" ht="15" hidden="1" customHeight="1"/>
    <row r="29525" ht="15" hidden="1" customHeight="1"/>
    <row r="29526" ht="15" hidden="1" customHeight="1"/>
    <row r="29527" ht="15" hidden="1" customHeight="1"/>
    <row r="29528" ht="15" hidden="1" customHeight="1"/>
    <row r="29529" ht="15" hidden="1" customHeight="1"/>
    <row r="29530" ht="15" hidden="1" customHeight="1"/>
    <row r="29531" ht="15" hidden="1" customHeight="1"/>
    <row r="29532" ht="15" hidden="1" customHeight="1"/>
    <row r="29533" ht="15" hidden="1" customHeight="1"/>
    <row r="29534" ht="15" hidden="1" customHeight="1"/>
    <row r="29535" ht="15" hidden="1" customHeight="1"/>
    <row r="29536" ht="15" hidden="1" customHeight="1"/>
    <row r="29537" ht="15" hidden="1" customHeight="1"/>
    <row r="29538" ht="15" hidden="1" customHeight="1"/>
    <row r="29539" ht="15" hidden="1" customHeight="1"/>
    <row r="29540" ht="15" hidden="1" customHeight="1"/>
    <row r="29541" ht="15" hidden="1" customHeight="1"/>
    <row r="29542" ht="15" hidden="1" customHeight="1"/>
    <row r="29543" ht="15" hidden="1" customHeight="1"/>
    <row r="29544" ht="15" hidden="1" customHeight="1"/>
    <row r="29545" ht="15" hidden="1" customHeight="1"/>
    <row r="29546" ht="15" hidden="1" customHeight="1"/>
    <row r="29547" ht="15" hidden="1" customHeight="1"/>
    <row r="29548" ht="15" hidden="1" customHeight="1"/>
    <row r="29549" ht="15" hidden="1" customHeight="1"/>
    <row r="29550" ht="15" hidden="1" customHeight="1"/>
    <row r="29551" ht="15" hidden="1" customHeight="1"/>
    <row r="29552" ht="15" hidden="1" customHeight="1"/>
    <row r="29553" ht="15" hidden="1" customHeight="1"/>
    <row r="29554" ht="15" hidden="1" customHeight="1"/>
    <row r="29555" ht="15" hidden="1" customHeight="1"/>
    <row r="29556" ht="15" hidden="1" customHeight="1"/>
    <row r="29557" ht="15" hidden="1" customHeight="1"/>
    <row r="29558" ht="15" hidden="1" customHeight="1"/>
    <row r="29559" ht="15" hidden="1" customHeight="1"/>
    <row r="29560" ht="15" hidden="1" customHeight="1"/>
    <row r="29561" ht="15" hidden="1" customHeight="1"/>
    <row r="29562" ht="15" hidden="1" customHeight="1"/>
    <row r="29563" ht="15" hidden="1" customHeight="1"/>
    <row r="29564" ht="15" hidden="1" customHeight="1"/>
    <row r="29565" ht="15" hidden="1" customHeight="1"/>
    <row r="29566" ht="15" hidden="1" customHeight="1"/>
    <row r="29567" ht="15" hidden="1" customHeight="1"/>
    <row r="29568" ht="15" hidden="1" customHeight="1"/>
    <row r="29569" ht="15" hidden="1" customHeight="1"/>
    <row r="29570" ht="15" hidden="1" customHeight="1"/>
    <row r="29571" ht="15" hidden="1" customHeight="1"/>
    <row r="29572" ht="15" hidden="1" customHeight="1"/>
    <row r="29573" ht="15" hidden="1" customHeight="1"/>
    <row r="29574" ht="15" hidden="1" customHeight="1"/>
    <row r="29575" ht="15" hidden="1" customHeight="1"/>
    <row r="29576" ht="15" hidden="1" customHeight="1"/>
    <row r="29577" ht="15" hidden="1" customHeight="1"/>
    <row r="29578" ht="15" hidden="1" customHeight="1"/>
    <row r="29579" ht="15" hidden="1" customHeight="1"/>
    <row r="29580" ht="15" hidden="1" customHeight="1"/>
    <row r="29581" ht="15" hidden="1" customHeight="1"/>
    <row r="29582" ht="15" hidden="1" customHeight="1"/>
    <row r="29583" ht="15" hidden="1" customHeight="1"/>
    <row r="29584" ht="15" hidden="1" customHeight="1"/>
    <row r="29585" ht="15" hidden="1" customHeight="1"/>
    <row r="29586" ht="15" hidden="1" customHeight="1"/>
    <row r="29587" ht="15" hidden="1" customHeight="1"/>
    <row r="29588" ht="15" hidden="1" customHeight="1"/>
    <row r="29589" ht="15" hidden="1" customHeight="1"/>
    <row r="29590" ht="15" hidden="1" customHeight="1"/>
    <row r="29591" ht="15" hidden="1" customHeight="1"/>
    <row r="29592" ht="15" hidden="1" customHeight="1"/>
    <row r="29593" ht="15" hidden="1" customHeight="1"/>
    <row r="29594" ht="15" hidden="1" customHeight="1"/>
    <row r="29595" ht="15" hidden="1" customHeight="1"/>
    <row r="29596" ht="15" hidden="1" customHeight="1"/>
    <row r="29597" ht="15" hidden="1" customHeight="1"/>
    <row r="29598" ht="15" hidden="1" customHeight="1"/>
    <row r="29599" ht="15" hidden="1" customHeight="1"/>
    <row r="29600" ht="15" hidden="1" customHeight="1"/>
    <row r="29601" ht="15" hidden="1" customHeight="1"/>
    <row r="29602" ht="15" hidden="1" customHeight="1"/>
    <row r="29603" ht="15" hidden="1" customHeight="1"/>
    <row r="29604" ht="15" hidden="1" customHeight="1"/>
    <row r="29605" ht="15" hidden="1" customHeight="1"/>
    <row r="29606" ht="15" hidden="1" customHeight="1"/>
    <row r="29607" ht="15" hidden="1" customHeight="1"/>
    <row r="29608" ht="15" hidden="1" customHeight="1"/>
    <row r="29609" ht="15" hidden="1" customHeight="1"/>
    <row r="29610" ht="15" hidden="1" customHeight="1"/>
    <row r="29611" ht="15" hidden="1" customHeight="1"/>
    <row r="29612" ht="15" hidden="1" customHeight="1"/>
    <row r="29613" ht="15" hidden="1" customHeight="1"/>
    <row r="29614" ht="15" hidden="1" customHeight="1"/>
    <row r="29615" ht="15" hidden="1" customHeight="1"/>
    <row r="29616" ht="15" hidden="1" customHeight="1"/>
    <row r="29617" ht="15" hidden="1" customHeight="1"/>
    <row r="29618" ht="15" hidden="1" customHeight="1"/>
    <row r="29619" ht="15" hidden="1" customHeight="1"/>
    <row r="29620" ht="15" hidden="1" customHeight="1"/>
    <row r="29621" ht="15" hidden="1" customHeight="1"/>
    <row r="29622" ht="15" hidden="1" customHeight="1"/>
    <row r="29623" ht="15" hidden="1" customHeight="1"/>
    <row r="29624" ht="15" hidden="1" customHeight="1"/>
    <row r="29625" ht="15" hidden="1" customHeight="1"/>
    <row r="29626" ht="15" hidden="1" customHeight="1"/>
    <row r="29627" ht="15" hidden="1" customHeight="1"/>
    <row r="29628" ht="15" hidden="1" customHeight="1"/>
    <row r="29629" ht="15" hidden="1" customHeight="1"/>
    <row r="29630" ht="15" hidden="1" customHeight="1"/>
    <row r="29631" ht="15" hidden="1" customHeight="1"/>
    <row r="29632" ht="15" hidden="1" customHeight="1"/>
    <row r="29633" ht="15" hidden="1" customHeight="1"/>
    <row r="29634" ht="15" hidden="1" customHeight="1"/>
    <row r="29635" ht="15" hidden="1" customHeight="1"/>
    <row r="29636" ht="15" hidden="1" customHeight="1"/>
    <row r="29637" ht="15" hidden="1" customHeight="1"/>
    <row r="29638" ht="15" hidden="1" customHeight="1"/>
    <row r="29639" ht="15" hidden="1" customHeight="1"/>
    <row r="29640" ht="15" hidden="1" customHeight="1"/>
    <row r="29641" ht="15" hidden="1" customHeight="1"/>
    <row r="29642" ht="15" hidden="1" customHeight="1"/>
    <row r="29643" ht="15" hidden="1" customHeight="1"/>
    <row r="29644" ht="15" hidden="1" customHeight="1"/>
    <row r="29645" ht="15" hidden="1" customHeight="1"/>
    <row r="29646" ht="15" hidden="1" customHeight="1"/>
    <row r="29647" ht="15" hidden="1" customHeight="1"/>
    <row r="29648" ht="15" hidden="1" customHeight="1"/>
    <row r="29649" ht="15" hidden="1" customHeight="1"/>
    <row r="29650" ht="15" hidden="1" customHeight="1"/>
    <row r="29651" ht="15" hidden="1" customHeight="1"/>
    <row r="29652" ht="15" hidden="1" customHeight="1"/>
    <row r="29653" ht="15" hidden="1" customHeight="1"/>
    <row r="29654" ht="15" hidden="1" customHeight="1"/>
    <row r="29655" ht="15" hidden="1" customHeight="1"/>
    <row r="29656" ht="15" hidden="1" customHeight="1"/>
    <row r="29657" ht="15" hidden="1" customHeight="1"/>
    <row r="29658" ht="15" hidden="1" customHeight="1"/>
    <row r="29659" ht="15" hidden="1" customHeight="1"/>
    <row r="29660" ht="15" hidden="1" customHeight="1"/>
    <row r="29661" ht="15" hidden="1" customHeight="1"/>
    <row r="29662" ht="15" hidden="1" customHeight="1"/>
    <row r="29663" ht="15" hidden="1" customHeight="1"/>
    <row r="29664" ht="15" hidden="1" customHeight="1"/>
    <row r="29665" ht="15" hidden="1" customHeight="1"/>
    <row r="29666" ht="15" hidden="1" customHeight="1"/>
    <row r="29667" ht="15" hidden="1" customHeight="1"/>
    <row r="29668" ht="15" hidden="1" customHeight="1"/>
    <row r="29669" ht="15" hidden="1" customHeight="1"/>
    <row r="29670" ht="15" hidden="1" customHeight="1"/>
    <row r="29671" ht="15" hidden="1" customHeight="1"/>
    <row r="29672" ht="15" hidden="1" customHeight="1"/>
    <row r="29673" ht="15" hidden="1" customHeight="1"/>
    <row r="29674" ht="15" hidden="1" customHeight="1"/>
    <row r="29675" ht="15" hidden="1" customHeight="1"/>
    <row r="29676" ht="15" hidden="1" customHeight="1"/>
    <row r="29677" ht="15" hidden="1" customHeight="1"/>
    <row r="29678" ht="15" hidden="1" customHeight="1"/>
    <row r="29679" ht="15" hidden="1" customHeight="1"/>
    <row r="29680" ht="15" hidden="1" customHeight="1"/>
    <row r="29681" ht="15" hidden="1" customHeight="1"/>
    <row r="29682" ht="15" hidden="1" customHeight="1"/>
    <row r="29683" ht="15" hidden="1" customHeight="1"/>
    <row r="29684" ht="15" hidden="1" customHeight="1"/>
    <row r="29685" ht="15" hidden="1" customHeight="1"/>
    <row r="29686" ht="15" hidden="1" customHeight="1"/>
    <row r="29687" ht="15" hidden="1" customHeight="1"/>
    <row r="29688" ht="15" hidden="1" customHeight="1"/>
    <row r="29689" ht="15" hidden="1" customHeight="1"/>
    <row r="29690" ht="15" hidden="1" customHeight="1"/>
    <row r="29691" ht="15" hidden="1" customHeight="1"/>
    <row r="29692" ht="15" hidden="1" customHeight="1"/>
    <row r="29693" ht="15" hidden="1" customHeight="1"/>
    <row r="29694" ht="15" hidden="1" customHeight="1"/>
    <row r="29695" ht="15" hidden="1" customHeight="1"/>
    <row r="29696" ht="15" hidden="1" customHeight="1"/>
    <row r="29697" ht="15" hidden="1" customHeight="1"/>
    <row r="29698" ht="15" hidden="1" customHeight="1"/>
    <row r="29699" ht="15" hidden="1" customHeight="1"/>
    <row r="29700" ht="15" hidden="1" customHeight="1"/>
    <row r="29701" ht="15" hidden="1" customHeight="1"/>
    <row r="29702" ht="15" hidden="1" customHeight="1"/>
    <row r="29703" ht="15" hidden="1" customHeight="1"/>
    <row r="29704" ht="15" hidden="1" customHeight="1"/>
    <row r="29705" ht="15" hidden="1" customHeight="1"/>
    <row r="29706" ht="15" hidden="1" customHeight="1"/>
    <row r="29707" ht="15" hidden="1" customHeight="1"/>
    <row r="29708" ht="15" hidden="1" customHeight="1"/>
    <row r="29709" ht="15" hidden="1" customHeight="1"/>
    <row r="29710" ht="15" hidden="1" customHeight="1"/>
    <row r="29711" ht="15" hidden="1" customHeight="1"/>
    <row r="29712" ht="15" hidden="1" customHeight="1"/>
    <row r="29713" ht="15" hidden="1" customHeight="1"/>
    <row r="29714" ht="15" hidden="1" customHeight="1"/>
    <row r="29715" ht="15" hidden="1" customHeight="1"/>
    <row r="29716" ht="15" hidden="1" customHeight="1"/>
    <row r="29717" ht="15" hidden="1" customHeight="1"/>
    <row r="29718" ht="15" hidden="1" customHeight="1"/>
    <row r="29719" ht="15" hidden="1" customHeight="1"/>
    <row r="29720" ht="15" hidden="1" customHeight="1"/>
    <row r="29721" ht="15" hidden="1" customHeight="1"/>
    <row r="29722" ht="15" hidden="1" customHeight="1"/>
    <row r="29723" ht="15" hidden="1" customHeight="1"/>
    <row r="29724" ht="15" hidden="1" customHeight="1"/>
    <row r="29725" ht="15" hidden="1" customHeight="1"/>
    <row r="29726" ht="15" hidden="1" customHeight="1"/>
    <row r="29727" ht="15" hidden="1" customHeight="1"/>
    <row r="29728" ht="15" hidden="1" customHeight="1"/>
    <row r="29729" ht="15" hidden="1" customHeight="1"/>
    <row r="29730" ht="15" hidden="1" customHeight="1"/>
    <row r="29731" ht="15" hidden="1" customHeight="1"/>
    <row r="29732" ht="15" hidden="1" customHeight="1"/>
    <row r="29733" ht="15" hidden="1" customHeight="1"/>
    <row r="29734" ht="15" hidden="1" customHeight="1"/>
    <row r="29735" ht="15" hidden="1" customHeight="1"/>
    <row r="29736" ht="15" hidden="1" customHeight="1"/>
    <row r="29737" ht="15" hidden="1" customHeight="1"/>
    <row r="29738" ht="15" hidden="1" customHeight="1"/>
    <row r="29739" ht="15" hidden="1" customHeight="1"/>
    <row r="29740" ht="15" hidden="1" customHeight="1"/>
    <row r="29741" ht="15" hidden="1" customHeight="1"/>
    <row r="29742" ht="15" hidden="1" customHeight="1"/>
    <row r="29743" ht="15" hidden="1" customHeight="1"/>
    <row r="29744" ht="15" hidden="1" customHeight="1"/>
    <row r="29745" ht="15" hidden="1" customHeight="1"/>
    <row r="29746" ht="15" hidden="1" customHeight="1"/>
    <row r="29747" ht="15" hidden="1" customHeight="1"/>
    <row r="29748" ht="15" hidden="1" customHeight="1"/>
    <row r="29749" ht="15" hidden="1" customHeight="1"/>
    <row r="29750" ht="15" hidden="1" customHeight="1"/>
    <row r="29751" ht="15" hidden="1" customHeight="1"/>
    <row r="29752" ht="15" hidden="1" customHeight="1"/>
    <row r="29753" ht="15" hidden="1" customHeight="1"/>
    <row r="29754" ht="15" hidden="1" customHeight="1"/>
    <row r="29755" ht="15" hidden="1" customHeight="1"/>
    <row r="29756" ht="15" hidden="1" customHeight="1"/>
    <row r="29757" ht="15" hidden="1" customHeight="1"/>
    <row r="29758" ht="15" hidden="1" customHeight="1"/>
    <row r="29759" ht="15" hidden="1" customHeight="1"/>
    <row r="29760" ht="15" hidden="1" customHeight="1"/>
    <row r="29761" ht="15" hidden="1" customHeight="1"/>
    <row r="29762" ht="15" hidden="1" customHeight="1"/>
    <row r="29763" ht="15" hidden="1" customHeight="1"/>
    <row r="29764" ht="15" hidden="1" customHeight="1"/>
    <row r="29765" ht="15" hidden="1" customHeight="1"/>
    <row r="29766" ht="15" hidden="1" customHeight="1"/>
    <row r="29767" ht="15" hidden="1" customHeight="1"/>
    <row r="29768" ht="15" hidden="1" customHeight="1"/>
    <row r="29769" ht="15" hidden="1" customHeight="1"/>
    <row r="29770" ht="15" hidden="1" customHeight="1"/>
    <row r="29771" ht="15" hidden="1" customHeight="1"/>
    <row r="29772" ht="15" hidden="1" customHeight="1"/>
    <row r="29773" ht="15" hidden="1" customHeight="1"/>
    <row r="29774" ht="15" hidden="1" customHeight="1"/>
    <row r="29775" ht="15" hidden="1" customHeight="1"/>
    <row r="29776" ht="15" hidden="1" customHeight="1"/>
    <row r="29777" ht="15" hidden="1" customHeight="1"/>
    <row r="29778" ht="15" hidden="1" customHeight="1"/>
    <row r="29779" ht="15" hidden="1" customHeight="1"/>
    <row r="29780" ht="15" hidden="1" customHeight="1"/>
    <row r="29781" ht="15" hidden="1" customHeight="1"/>
    <row r="29782" ht="15" hidden="1" customHeight="1"/>
    <row r="29783" ht="15" hidden="1" customHeight="1"/>
    <row r="29784" ht="15" hidden="1" customHeight="1"/>
    <row r="29785" ht="15" hidden="1" customHeight="1"/>
    <row r="29786" ht="15" hidden="1" customHeight="1"/>
    <row r="29787" ht="15" hidden="1" customHeight="1"/>
    <row r="29788" ht="15" hidden="1" customHeight="1"/>
    <row r="29789" ht="15" hidden="1" customHeight="1"/>
    <row r="29790" ht="15" hidden="1" customHeight="1"/>
    <row r="29791" ht="15" hidden="1" customHeight="1"/>
    <row r="29792" ht="15" hidden="1" customHeight="1"/>
    <row r="29793" ht="15" hidden="1" customHeight="1"/>
    <row r="29794" ht="15" hidden="1" customHeight="1"/>
    <row r="29795" ht="15" hidden="1" customHeight="1"/>
    <row r="29796" ht="15" hidden="1" customHeight="1"/>
    <row r="29797" ht="15" hidden="1" customHeight="1"/>
    <row r="29798" ht="15" hidden="1" customHeight="1"/>
    <row r="29799" ht="15" hidden="1" customHeight="1"/>
    <row r="29800" ht="15" hidden="1" customHeight="1"/>
    <row r="29801" ht="15" hidden="1" customHeight="1"/>
    <row r="29802" ht="15" hidden="1" customHeight="1"/>
    <row r="29803" ht="15" hidden="1" customHeight="1"/>
    <row r="29804" ht="15" hidden="1" customHeight="1"/>
    <row r="29805" ht="15" hidden="1" customHeight="1"/>
    <row r="29806" ht="15" hidden="1" customHeight="1"/>
    <row r="29807" ht="15" hidden="1" customHeight="1"/>
    <row r="29808" ht="15" hidden="1" customHeight="1"/>
    <row r="29809" ht="15" hidden="1" customHeight="1"/>
    <row r="29810" ht="15" hidden="1" customHeight="1"/>
    <row r="29811" ht="15" hidden="1" customHeight="1"/>
    <row r="29812" ht="15" hidden="1" customHeight="1"/>
    <row r="29813" ht="15" hidden="1" customHeight="1"/>
    <row r="29814" ht="15" hidden="1" customHeight="1"/>
    <row r="29815" ht="15" hidden="1" customHeight="1"/>
    <row r="29816" ht="15" hidden="1" customHeight="1"/>
    <row r="29817" ht="15" hidden="1" customHeight="1"/>
    <row r="29818" ht="15" hidden="1" customHeight="1"/>
    <row r="29819" ht="15" hidden="1" customHeight="1"/>
    <row r="29820" ht="15" hidden="1" customHeight="1"/>
    <row r="29821" ht="15" hidden="1" customHeight="1"/>
    <row r="29822" ht="15" hidden="1" customHeight="1"/>
    <row r="29823" ht="15" hidden="1" customHeight="1"/>
    <row r="29824" ht="15" hidden="1" customHeight="1"/>
    <row r="29825" ht="15" hidden="1" customHeight="1"/>
    <row r="29826" ht="15" hidden="1" customHeight="1"/>
    <row r="29827" ht="15" hidden="1" customHeight="1"/>
    <row r="29828" ht="15" hidden="1" customHeight="1"/>
    <row r="29829" ht="15" hidden="1" customHeight="1"/>
    <row r="29830" ht="15" hidden="1" customHeight="1"/>
    <row r="29831" ht="15" hidden="1" customHeight="1"/>
    <row r="29832" ht="15" hidden="1" customHeight="1"/>
    <row r="29833" ht="15" hidden="1" customHeight="1"/>
    <row r="29834" ht="15" hidden="1" customHeight="1"/>
    <row r="29835" ht="15" hidden="1" customHeight="1"/>
    <row r="29836" ht="15" hidden="1" customHeight="1"/>
    <row r="29837" ht="15" hidden="1" customHeight="1"/>
    <row r="29838" ht="15" hidden="1" customHeight="1"/>
    <row r="29839" ht="15" hidden="1" customHeight="1"/>
    <row r="29840" ht="15" hidden="1" customHeight="1"/>
    <row r="29841" ht="15" hidden="1" customHeight="1"/>
    <row r="29842" ht="15" hidden="1" customHeight="1"/>
    <row r="29843" ht="15" hidden="1" customHeight="1"/>
    <row r="29844" ht="15" hidden="1" customHeight="1"/>
    <row r="29845" ht="15" hidden="1" customHeight="1"/>
    <row r="29846" ht="15" hidden="1" customHeight="1"/>
    <row r="29847" ht="15" hidden="1" customHeight="1"/>
    <row r="29848" ht="15" hidden="1" customHeight="1"/>
    <row r="29849" ht="15" hidden="1" customHeight="1"/>
    <row r="29850" ht="15" hidden="1" customHeight="1"/>
    <row r="29851" ht="15" hidden="1" customHeight="1"/>
    <row r="29852" ht="15" hidden="1" customHeight="1"/>
    <row r="29853" ht="15" hidden="1" customHeight="1"/>
    <row r="29854" ht="15" hidden="1" customHeight="1"/>
    <row r="29855" ht="15" hidden="1" customHeight="1"/>
    <row r="29856" ht="15" hidden="1" customHeight="1"/>
    <row r="29857" ht="15" hidden="1" customHeight="1"/>
    <row r="29858" ht="15" hidden="1" customHeight="1"/>
    <row r="29859" ht="15" hidden="1" customHeight="1"/>
    <row r="29860" ht="15" hidden="1" customHeight="1"/>
    <row r="29861" ht="15" hidden="1" customHeight="1"/>
    <row r="29862" ht="15" hidden="1" customHeight="1"/>
    <row r="29863" ht="15" hidden="1" customHeight="1"/>
    <row r="29864" ht="15" hidden="1" customHeight="1"/>
    <row r="29865" ht="15" hidden="1" customHeight="1"/>
    <row r="29866" ht="15" hidden="1" customHeight="1"/>
    <row r="29867" ht="15" hidden="1" customHeight="1"/>
    <row r="29868" ht="15" hidden="1" customHeight="1"/>
    <row r="29869" ht="15" hidden="1" customHeight="1"/>
    <row r="29870" ht="15" hidden="1" customHeight="1"/>
    <row r="29871" ht="15" hidden="1" customHeight="1"/>
    <row r="29872" ht="15" hidden="1" customHeight="1"/>
    <row r="29873" ht="15" hidden="1" customHeight="1"/>
    <row r="29874" ht="15" hidden="1" customHeight="1"/>
    <row r="29875" ht="15" hidden="1" customHeight="1"/>
    <row r="29876" ht="15" hidden="1" customHeight="1"/>
    <row r="29877" ht="15" hidden="1" customHeight="1"/>
    <row r="29878" ht="15" hidden="1" customHeight="1"/>
    <row r="29879" ht="15" hidden="1" customHeight="1"/>
    <row r="29880" ht="15" hidden="1" customHeight="1"/>
    <row r="29881" ht="15" hidden="1" customHeight="1"/>
    <row r="29882" ht="15" hidden="1" customHeight="1"/>
    <row r="29883" ht="15" hidden="1" customHeight="1"/>
    <row r="29884" ht="15" hidden="1" customHeight="1"/>
    <row r="29885" ht="15" hidden="1" customHeight="1"/>
    <row r="29886" ht="15" hidden="1" customHeight="1"/>
    <row r="29887" ht="15" hidden="1" customHeight="1"/>
    <row r="29888" ht="15" hidden="1" customHeight="1"/>
    <row r="29889" ht="15" hidden="1" customHeight="1"/>
    <row r="29890" ht="15" hidden="1" customHeight="1"/>
    <row r="29891" ht="15" hidden="1" customHeight="1"/>
    <row r="29892" ht="15" hidden="1" customHeight="1"/>
    <row r="29893" ht="15" hidden="1" customHeight="1"/>
    <row r="29894" ht="15" hidden="1" customHeight="1"/>
    <row r="29895" ht="15" hidden="1" customHeight="1"/>
    <row r="29896" ht="15" hidden="1" customHeight="1"/>
    <row r="29897" ht="15" hidden="1" customHeight="1"/>
    <row r="29898" ht="15" hidden="1" customHeight="1"/>
    <row r="29899" ht="15" hidden="1" customHeight="1"/>
    <row r="29900" ht="15" hidden="1" customHeight="1"/>
    <row r="29901" ht="15" hidden="1" customHeight="1"/>
    <row r="29902" ht="15" hidden="1" customHeight="1"/>
    <row r="29903" ht="15" hidden="1" customHeight="1"/>
    <row r="29904" ht="15" hidden="1" customHeight="1"/>
    <row r="29905" ht="15" hidden="1" customHeight="1"/>
    <row r="29906" ht="15" hidden="1" customHeight="1"/>
    <row r="29907" ht="15" hidden="1" customHeight="1"/>
    <row r="29908" ht="15" hidden="1" customHeight="1"/>
    <row r="29909" ht="15" hidden="1" customHeight="1"/>
    <row r="29910" ht="15" hidden="1" customHeight="1"/>
    <row r="29911" ht="15" hidden="1" customHeight="1"/>
    <row r="29912" ht="15" hidden="1" customHeight="1"/>
    <row r="29913" ht="15" hidden="1" customHeight="1"/>
    <row r="29914" ht="15" hidden="1" customHeight="1"/>
    <row r="29915" ht="15" hidden="1" customHeight="1"/>
    <row r="29916" ht="15" hidden="1" customHeight="1"/>
    <row r="29917" ht="15" hidden="1" customHeight="1"/>
    <row r="29918" ht="15" hidden="1" customHeight="1"/>
    <row r="29919" ht="15" hidden="1" customHeight="1"/>
    <row r="29920" ht="15" hidden="1" customHeight="1"/>
    <row r="29921" ht="15" hidden="1" customHeight="1"/>
    <row r="29922" ht="15" hidden="1" customHeight="1"/>
    <row r="29923" ht="15" hidden="1" customHeight="1"/>
    <row r="29924" ht="15" hidden="1" customHeight="1"/>
    <row r="29925" ht="15" hidden="1" customHeight="1"/>
    <row r="29926" ht="15" hidden="1" customHeight="1"/>
    <row r="29927" ht="15" hidden="1" customHeight="1"/>
    <row r="29928" ht="15" hidden="1" customHeight="1"/>
    <row r="29929" ht="15" hidden="1" customHeight="1"/>
    <row r="29930" ht="15" hidden="1" customHeight="1"/>
    <row r="29931" ht="15" hidden="1" customHeight="1"/>
    <row r="29932" ht="15" hidden="1" customHeight="1"/>
    <row r="29933" ht="15" hidden="1" customHeight="1"/>
    <row r="29934" ht="15" hidden="1" customHeight="1"/>
    <row r="29935" ht="15" hidden="1" customHeight="1"/>
    <row r="29936" ht="15" hidden="1" customHeight="1"/>
    <row r="29937" ht="15" hidden="1" customHeight="1"/>
    <row r="29938" ht="15" hidden="1" customHeight="1"/>
    <row r="29939" ht="15" hidden="1" customHeight="1"/>
    <row r="29940" ht="15" hidden="1" customHeight="1"/>
    <row r="29941" ht="15" hidden="1" customHeight="1"/>
    <row r="29942" ht="15" hidden="1" customHeight="1"/>
    <row r="29943" ht="15" hidden="1" customHeight="1"/>
    <row r="29944" ht="15" hidden="1" customHeight="1"/>
    <row r="29945" ht="15" hidden="1" customHeight="1"/>
    <row r="29946" ht="15" hidden="1" customHeight="1"/>
    <row r="29947" ht="15" hidden="1" customHeight="1"/>
    <row r="29948" ht="15" hidden="1" customHeight="1"/>
    <row r="29949" ht="15" hidden="1" customHeight="1"/>
    <row r="29950" ht="15" hidden="1" customHeight="1"/>
    <row r="29951" ht="15" hidden="1" customHeight="1"/>
    <row r="29952" ht="15" hidden="1" customHeight="1"/>
    <row r="29953" ht="15" hidden="1" customHeight="1"/>
    <row r="29954" ht="15" hidden="1" customHeight="1"/>
    <row r="29955" ht="15" hidden="1" customHeight="1"/>
    <row r="29956" ht="15" hidden="1" customHeight="1"/>
    <row r="29957" ht="15" hidden="1" customHeight="1"/>
    <row r="29958" ht="15" hidden="1" customHeight="1"/>
    <row r="29959" ht="15" hidden="1" customHeight="1"/>
    <row r="29960" ht="15" hidden="1" customHeight="1"/>
    <row r="29961" ht="15" hidden="1" customHeight="1"/>
    <row r="29962" ht="15" hidden="1" customHeight="1"/>
    <row r="29963" ht="15" hidden="1" customHeight="1"/>
    <row r="29964" ht="15" hidden="1" customHeight="1"/>
    <row r="29965" ht="15" hidden="1" customHeight="1"/>
    <row r="29966" ht="15" hidden="1" customHeight="1"/>
    <row r="29967" ht="15" hidden="1" customHeight="1"/>
    <row r="29968" ht="15" hidden="1" customHeight="1"/>
    <row r="29969" ht="15" hidden="1" customHeight="1"/>
    <row r="29970" ht="15" hidden="1" customHeight="1"/>
    <row r="29971" ht="15" hidden="1" customHeight="1"/>
    <row r="29972" ht="15" hidden="1" customHeight="1"/>
    <row r="29973" ht="15" hidden="1" customHeight="1"/>
    <row r="29974" ht="15" hidden="1" customHeight="1"/>
    <row r="29975" ht="15" hidden="1" customHeight="1"/>
    <row r="29976" ht="15" hidden="1" customHeight="1"/>
    <row r="29977" ht="15" hidden="1" customHeight="1"/>
    <row r="29978" ht="15" hidden="1" customHeight="1"/>
    <row r="29979" ht="15" hidden="1" customHeight="1"/>
    <row r="29980" ht="15" hidden="1" customHeight="1"/>
    <row r="29981" ht="15" hidden="1" customHeight="1"/>
    <row r="29982" ht="15" hidden="1" customHeight="1"/>
    <row r="29983" ht="15" hidden="1" customHeight="1"/>
    <row r="29984" ht="15" hidden="1" customHeight="1"/>
    <row r="29985" ht="15" hidden="1" customHeight="1"/>
    <row r="29986" ht="15" hidden="1" customHeight="1"/>
    <row r="29987" ht="15" hidden="1" customHeight="1"/>
    <row r="29988" ht="15" hidden="1" customHeight="1"/>
    <row r="29989" ht="15" hidden="1" customHeight="1"/>
    <row r="29990" ht="15" hidden="1" customHeight="1"/>
    <row r="29991" ht="15" hidden="1" customHeight="1"/>
    <row r="29992" ht="15" hidden="1" customHeight="1"/>
    <row r="29993" ht="15" hidden="1" customHeight="1"/>
    <row r="29994" ht="15" hidden="1" customHeight="1"/>
    <row r="29995" ht="15" hidden="1" customHeight="1"/>
    <row r="29996" ht="15" hidden="1" customHeight="1"/>
    <row r="29997" ht="15" hidden="1" customHeight="1"/>
    <row r="29998" ht="15" hidden="1" customHeight="1"/>
    <row r="29999" ht="15" hidden="1" customHeight="1"/>
    <row r="30000" ht="15" hidden="1" customHeight="1"/>
    <row r="30001" ht="15" hidden="1" customHeight="1"/>
    <row r="30002" ht="15" hidden="1" customHeight="1"/>
    <row r="30003" ht="15" hidden="1" customHeight="1"/>
    <row r="30004" ht="15" hidden="1" customHeight="1"/>
    <row r="30005" ht="15" hidden="1" customHeight="1"/>
    <row r="30006" ht="15" hidden="1" customHeight="1"/>
    <row r="30007" ht="15" hidden="1" customHeight="1"/>
    <row r="30008" ht="15" hidden="1" customHeight="1"/>
    <row r="30009" ht="15" hidden="1" customHeight="1"/>
    <row r="30010" ht="15" hidden="1" customHeight="1"/>
    <row r="30011" ht="15" hidden="1" customHeight="1"/>
    <row r="30012" ht="15" hidden="1" customHeight="1"/>
    <row r="30013" ht="15" hidden="1" customHeight="1"/>
    <row r="30014" ht="15" hidden="1" customHeight="1"/>
    <row r="30015" ht="15" hidden="1" customHeight="1"/>
    <row r="30016" ht="15" hidden="1" customHeight="1"/>
    <row r="30017" ht="15" hidden="1" customHeight="1"/>
    <row r="30018" ht="15" hidden="1" customHeight="1"/>
    <row r="30019" ht="15" hidden="1" customHeight="1"/>
    <row r="30020" ht="15" hidden="1" customHeight="1"/>
    <row r="30021" ht="15" hidden="1" customHeight="1"/>
    <row r="30022" ht="15" hidden="1" customHeight="1"/>
    <row r="30023" ht="15" hidden="1" customHeight="1"/>
    <row r="30024" ht="15" hidden="1" customHeight="1"/>
    <row r="30025" ht="15" hidden="1" customHeight="1"/>
    <row r="30026" ht="15" hidden="1" customHeight="1"/>
    <row r="30027" ht="15" hidden="1" customHeight="1"/>
    <row r="30028" ht="15" hidden="1" customHeight="1"/>
    <row r="30029" ht="15" hidden="1" customHeight="1"/>
    <row r="30030" ht="15" hidden="1" customHeight="1"/>
    <row r="30031" ht="15" hidden="1" customHeight="1"/>
    <row r="30032" ht="15" hidden="1" customHeight="1"/>
    <row r="30033" ht="15" hidden="1" customHeight="1"/>
    <row r="30034" ht="15" hidden="1" customHeight="1"/>
    <row r="30035" ht="15" hidden="1" customHeight="1"/>
    <row r="30036" ht="15" hidden="1" customHeight="1"/>
    <row r="30037" ht="15" hidden="1" customHeight="1"/>
    <row r="30038" ht="15" hidden="1" customHeight="1"/>
    <row r="30039" ht="15" hidden="1" customHeight="1"/>
    <row r="30040" ht="15" hidden="1" customHeight="1"/>
    <row r="30041" ht="15" hidden="1" customHeight="1"/>
    <row r="30042" ht="15" hidden="1" customHeight="1"/>
    <row r="30043" ht="15" hidden="1" customHeight="1"/>
    <row r="30044" ht="15" hidden="1" customHeight="1"/>
    <row r="30045" ht="15" hidden="1" customHeight="1"/>
    <row r="30046" ht="15" hidden="1" customHeight="1"/>
    <row r="30047" ht="15" hidden="1" customHeight="1"/>
    <row r="30048" ht="15" hidden="1" customHeight="1"/>
    <row r="30049" ht="15" hidden="1" customHeight="1"/>
    <row r="30050" ht="15" hidden="1" customHeight="1"/>
    <row r="30051" ht="15" hidden="1" customHeight="1"/>
    <row r="30052" ht="15" hidden="1" customHeight="1"/>
    <row r="30053" ht="15" hidden="1" customHeight="1"/>
    <row r="30054" ht="15" hidden="1" customHeight="1"/>
    <row r="30055" ht="15" hidden="1" customHeight="1"/>
    <row r="30056" ht="15" hidden="1" customHeight="1"/>
    <row r="30057" ht="15" hidden="1" customHeight="1"/>
    <row r="30058" ht="15" hidden="1" customHeight="1"/>
    <row r="30059" ht="15" hidden="1" customHeight="1"/>
    <row r="30060" ht="15" hidden="1" customHeight="1"/>
    <row r="30061" ht="15" hidden="1" customHeight="1"/>
    <row r="30062" ht="15" hidden="1" customHeight="1"/>
    <row r="30063" ht="15" hidden="1" customHeight="1"/>
    <row r="30064" ht="15" hidden="1" customHeight="1"/>
    <row r="30065" ht="15" hidden="1" customHeight="1"/>
    <row r="30066" ht="15" hidden="1" customHeight="1"/>
    <row r="30067" ht="15" hidden="1" customHeight="1"/>
    <row r="30068" ht="15" hidden="1" customHeight="1"/>
    <row r="30069" ht="15" hidden="1" customHeight="1"/>
    <row r="30070" ht="15" hidden="1" customHeight="1"/>
    <row r="30071" ht="15" hidden="1" customHeight="1"/>
    <row r="30072" ht="15" hidden="1" customHeight="1"/>
    <row r="30073" ht="15" hidden="1" customHeight="1"/>
    <row r="30074" ht="15" hidden="1" customHeight="1"/>
    <row r="30075" ht="15" hidden="1" customHeight="1"/>
    <row r="30076" ht="15" hidden="1" customHeight="1"/>
    <row r="30077" ht="15" hidden="1" customHeight="1"/>
    <row r="30078" ht="15" hidden="1" customHeight="1"/>
    <row r="30079" ht="15" hidden="1" customHeight="1"/>
    <row r="30080" ht="15" hidden="1" customHeight="1"/>
    <row r="30081" ht="15" hidden="1" customHeight="1"/>
    <row r="30082" ht="15" hidden="1" customHeight="1"/>
    <row r="30083" ht="15" hidden="1" customHeight="1"/>
    <row r="30084" ht="15" hidden="1" customHeight="1"/>
    <row r="30085" ht="15" hidden="1" customHeight="1"/>
    <row r="30086" ht="15" hidden="1" customHeight="1"/>
    <row r="30087" ht="15" hidden="1" customHeight="1"/>
    <row r="30088" ht="15" hidden="1" customHeight="1"/>
    <row r="30089" ht="15" hidden="1" customHeight="1"/>
    <row r="30090" ht="15" hidden="1" customHeight="1"/>
    <row r="30091" ht="15" hidden="1" customHeight="1"/>
    <row r="30092" ht="15" hidden="1" customHeight="1"/>
    <row r="30093" ht="15" hidden="1" customHeight="1"/>
    <row r="30094" ht="15" hidden="1" customHeight="1"/>
    <row r="30095" ht="15" hidden="1" customHeight="1"/>
    <row r="30096" ht="15" hidden="1" customHeight="1"/>
    <row r="30097" ht="15" hidden="1" customHeight="1"/>
    <row r="30098" ht="15" hidden="1" customHeight="1"/>
    <row r="30099" ht="15" hidden="1" customHeight="1"/>
    <row r="30100" ht="15" hidden="1" customHeight="1"/>
    <row r="30101" ht="15" hidden="1" customHeight="1"/>
    <row r="30102" ht="15" hidden="1" customHeight="1"/>
    <row r="30103" ht="15" hidden="1" customHeight="1"/>
    <row r="30104" ht="15" hidden="1" customHeight="1"/>
    <row r="30105" ht="15" hidden="1" customHeight="1"/>
    <row r="30106" ht="15" hidden="1" customHeight="1"/>
    <row r="30107" ht="15" hidden="1" customHeight="1"/>
    <row r="30108" ht="15" hidden="1" customHeight="1"/>
    <row r="30109" ht="15" hidden="1" customHeight="1"/>
    <row r="30110" ht="15" hidden="1" customHeight="1"/>
    <row r="30111" ht="15" hidden="1" customHeight="1"/>
    <row r="30112" ht="15" hidden="1" customHeight="1"/>
    <row r="30113" ht="15" hidden="1" customHeight="1"/>
    <row r="30114" ht="15" hidden="1" customHeight="1"/>
    <row r="30115" ht="15" hidden="1" customHeight="1"/>
    <row r="30116" ht="15" hidden="1" customHeight="1"/>
    <row r="30117" ht="15" hidden="1" customHeight="1"/>
    <row r="30118" ht="15" hidden="1" customHeight="1"/>
    <row r="30119" ht="15" hidden="1" customHeight="1"/>
    <row r="30120" ht="15" hidden="1" customHeight="1"/>
    <row r="30121" ht="15" hidden="1" customHeight="1"/>
    <row r="30122" ht="15" hidden="1" customHeight="1"/>
    <row r="30123" ht="15" hidden="1" customHeight="1"/>
    <row r="30124" ht="15" hidden="1" customHeight="1"/>
    <row r="30125" ht="15" hidden="1" customHeight="1"/>
    <row r="30126" ht="15" hidden="1" customHeight="1"/>
    <row r="30127" ht="15" hidden="1" customHeight="1"/>
    <row r="30128" ht="15" hidden="1" customHeight="1"/>
    <row r="30129" ht="15" hidden="1" customHeight="1"/>
    <row r="30130" ht="15" hidden="1" customHeight="1"/>
    <row r="30131" ht="15" hidden="1" customHeight="1"/>
    <row r="30132" ht="15" hidden="1" customHeight="1"/>
    <row r="30133" ht="15" hidden="1" customHeight="1"/>
    <row r="30134" ht="15" hidden="1" customHeight="1"/>
    <row r="30135" ht="15" hidden="1" customHeight="1"/>
    <row r="30136" ht="15" hidden="1" customHeight="1"/>
    <row r="30137" ht="15" hidden="1" customHeight="1"/>
    <row r="30138" ht="15" hidden="1" customHeight="1"/>
    <row r="30139" ht="15" hidden="1" customHeight="1"/>
    <row r="30140" ht="15" hidden="1" customHeight="1"/>
    <row r="30141" ht="15" hidden="1" customHeight="1"/>
    <row r="30142" ht="15" hidden="1" customHeight="1"/>
    <row r="30143" ht="15" hidden="1" customHeight="1"/>
    <row r="30144" ht="15" hidden="1" customHeight="1"/>
    <row r="30145" ht="15" hidden="1" customHeight="1"/>
    <row r="30146" ht="15" hidden="1" customHeight="1"/>
    <row r="30147" ht="15" hidden="1" customHeight="1"/>
    <row r="30148" ht="15" hidden="1" customHeight="1"/>
    <row r="30149" ht="15" hidden="1" customHeight="1"/>
    <row r="30150" ht="15" hidden="1" customHeight="1"/>
    <row r="30151" ht="15" hidden="1" customHeight="1"/>
    <row r="30152" ht="15" hidden="1" customHeight="1"/>
    <row r="30153" ht="15" hidden="1" customHeight="1"/>
    <row r="30154" ht="15" hidden="1" customHeight="1"/>
    <row r="30155" ht="15" hidden="1" customHeight="1"/>
    <row r="30156" ht="15" hidden="1" customHeight="1"/>
    <row r="30157" ht="15" hidden="1" customHeight="1"/>
    <row r="30158" ht="15" hidden="1" customHeight="1"/>
    <row r="30159" ht="15" hidden="1" customHeight="1"/>
    <row r="30160" ht="15" hidden="1" customHeight="1"/>
    <row r="30161" ht="15" hidden="1" customHeight="1"/>
    <row r="30162" ht="15" hidden="1" customHeight="1"/>
    <row r="30163" ht="15" hidden="1" customHeight="1"/>
    <row r="30164" ht="15" hidden="1" customHeight="1"/>
    <row r="30165" ht="15" hidden="1" customHeight="1"/>
    <row r="30166" ht="15" hidden="1" customHeight="1"/>
    <row r="30167" ht="15" hidden="1" customHeight="1"/>
    <row r="30168" ht="15" hidden="1" customHeight="1"/>
    <row r="30169" ht="15" hidden="1" customHeight="1"/>
    <row r="30170" ht="15" hidden="1" customHeight="1"/>
    <row r="30171" ht="15" hidden="1" customHeight="1"/>
    <row r="30172" ht="15" hidden="1" customHeight="1"/>
    <row r="30173" ht="15" hidden="1" customHeight="1"/>
    <row r="30174" ht="15" hidden="1" customHeight="1"/>
    <row r="30175" ht="15" hidden="1" customHeight="1"/>
    <row r="30176" ht="15" hidden="1" customHeight="1"/>
    <row r="30177" ht="15" hidden="1" customHeight="1"/>
    <row r="30178" ht="15" hidden="1" customHeight="1"/>
    <row r="30179" ht="15" hidden="1" customHeight="1"/>
    <row r="30180" ht="15" hidden="1" customHeight="1"/>
    <row r="30181" ht="15" hidden="1" customHeight="1"/>
    <row r="30182" ht="15" hidden="1" customHeight="1"/>
    <row r="30183" ht="15" hidden="1" customHeight="1"/>
    <row r="30184" ht="15" hidden="1" customHeight="1"/>
    <row r="30185" ht="15" hidden="1" customHeight="1"/>
    <row r="30186" ht="15" hidden="1" customHeight="1"/>
    <row r="30187" ht="15" hidden="1" customHeight="1"/>
    <row r="30188" ht="15" hidden="1" customHeight="1"/>
    <row r="30189" ht="15" hidden="1" customHeight="1"/>
    <row r="30190" ht="15" hidden="1" customHeight="1"/>
    <row r="30191" ht="15" hidden="1" customHeight="1"/>
    <row r="30192" ht="15" hidden="1" customHeight="1"/>
    <row r="30193" ht="15" hidden="1" customHeight="1"/>
    <row r="30194" ht="15" hidden="1" customHeight="1"/>
    <row r="30195" ht="15" hidden="1" customHeight="1"/>
    <row r="30196" ht="15" hidden="1" customHeight="1"/>
    <row r="30197" ht="15" hidden="1" customHeight="1"/>
    <row r="30198" ht="15" hidden="1" customHeight="1"/>
    <row r="30199" ht="15" hidden="1" customHeight="1"/>
    <row r="30200" ht="15" hidden="1" customHeight="1"/>
    <row r="30201" ht="15" hidden="1" customHeight="1"/>
    <row r="30202" ht="15" hidden="1" customHeight="1"/>
    <row r="30203" ht="15" hidden="1" customHeight="1"/>
    <row r="30204" ht="15" hidden="1" customHeight="1"/>
    <row r="30205" ht="15" hidden="1" customHeight="1"/>
    <row r="30206" ht="15" hidden="1" customHeight="1"/>
    <row r="30207" ht="15" hidden="1" customHeight="1"/>
    <row r="30208" ht="15" hidden="1" customHeight="1"/>
    <row r="30209" ht="15" hidden="1" customHeight="1"/>
    <row r="30210" ht="15" hidden="1" customHeight="1"/>
    <row r="30211" ht="15" hidden="1" customHeight="1"/>
    <row r="30212" ht="15" hidden="1" customHeight="1"/>
    <row r="30213" ht="15" hidden="1" customHeight="1"/>
    <row r="30214" ht="15" hidden="1" customHeight="1"/>
    <row r="30215" ht="15" hidden="1" customHeight="1"/>
    <row r="30216" ht="15" hidden="1" customHeight="1"/>
    <row r="30217" ht="15" hidden="1" customHeight="1"/>
    <row r="30218" ht="15" hidden="1" customHeight="1"/>
    <row r="30219" ht="15" hidden="1" customHeight="1"/>
    <row r="30220" ht="15" hidden="1" customHeight="1"/>
    <row r="30221" ht="15" hidden="1" customHeight="1"/>
    <row r="30222" ht="15" hidden="1" customHeight="1"/>
    <row r="30223" ht="15" hidden="1" customHeight="1"/>
    <row r="30224" ht="15" hidden="1" customHeight="1"/>
    <row r="30225" ht="15" hidden="1" customHeight="1"/>
    <row r="30226" ht="15" hidden="1" customHeight="1"/>
    <row r="30227" ht="15" hidden="1" customHeight="1"/>
    <row r="30228" ht="15" hidden="1" customHeight="1"/>
    <row r="30229" ht="15" hidden="1" customHeight="1"/>
    <row r="30230" ht="15" hidden="1" customHeight="1"/>
    <row r="30231" ht="15" hidden="1" customHeight="1"/>
    <row r="30232" ht="15" hidden="1" customHeight="1"/>
    <row r="30233" ht="15" hidden="1" customHeight="1"/>
    <row r="30234" ht="15" hidden="1" customHeight="1"/>
    <row r="30235" ht="15" hidden="1" customHeight="1"/>
    <row r="30236" ht="15" hidden="1" customHeight="1"/>
    <row r="30237" ht="15" hidden="1" customHeight="1"/>
    <row r="30238" ht="15" hidden="1" customHeight="1"/>
    <row r="30239" ht="15" hidden="1" customHeight="1"/>
    <row r="30240" ht="15" hidden="1" customHeight="1"/>
    <row r="30241" ht="15" hidden="1" customHeight="1"/>
    <row r="30242" ht="15" hidden="1" customHeight="1"/>
    <row r="30243" ht="15" hidden="1" customHeight="1"/>
    <row r="30244" ht="15" hidden="1" customHeight="1"/>
    <row r="30245" ht="15" hidden="1" customHeight="1"/>
    <row r="30246" ht="15" hidden="1" customHeight="1"/>
    <row r="30247" ht="15" hidden="1" customHeight="1"/>
    <row r="30248" ht="15" hidden="1" customHeight="1"/>
    <row r="30249" ht="15" hidden="1" customHeight="1"/>
    <row r="30250" ht="15" hidden="1" customHeight="1"/>
    <row r="30251" ht="15" hidden="1" customHeight="1"/>
    <row r="30252" ht="15" hidden="1" customHeight="1"/>
    <row r="30253" ht="15" hidden="1" customHeight="1"/>
    <row r="30254" ht="15" hidden="1" customHeight="1"/>
    <row r="30255" ht="15" hidden="1" customHeight="1"/>
    <row r="30256" ht="15" hidden="1" customHeight="1"/>
    <row r="30257" ht="15" hidden="1" customHeight="1"/>
    <row r="30258" ht="15" hidden="1" customHeight="1"/>
    <row r="30259" ht="15" hidden="1" customHeight="1"/>
    <row r="30260" ht="15" hidden="1" customHeight="1"/>
    <row r="30261" ht="15" hidden="1" customHeight="1"/>
    <row r="30262" ht="15" hidden="1" customHeight="1"/>
    <row r="30263" ht="15" hidden="1" customHeight="1"/>
    <row r="30264" ht="15" hidden="1" customHeight="1"/>
    <row r="30265" ht="15" hidden="1" customHeight="1"/>
    <row r="30266" ht="15" hidden="1" customHeight="1"/>
    <row r="30267" ht="15" hidden="1" customHeight="1"/>
    <row r="30268" ht="15" hidden="1" customHeight="1"/>
    <row r="30269" ht="15" hidden="1" customHeight="1"/>
    <row r="30270" ht="15" hidden="1" customHeight="1"/>
    <row r="30271" ht="15" hidden="1" customHeight="1"/>
    <row r="30272" ht="15" hidden="1" customHeight="1"/>
    <row r="30273" ht="15" hidden="1" customHeight="1"/>
    <row r="30274" ht="15" hidden="1" customHeight="1"/>
    <row r="30275" ht="15" hidden="1" customHeight="1"/>
    <row r="30276" ht="15" hidden="1" customHeight="1"/>
    <row r="30277" ht="15" hidden="1" customHeight="1"/>
    <row r="30278" ht="15" hidden="1" customHeight="1"/>
    <row r="30279" ht="15" hidden="1" customHeight="1"/>
    <row r="30280" ht="15" hidden="1" customHeight="1"/>
    <row r="30281" ht="15" hidden="1" customHeight="1"/>
    <row r="30282" ht="15" hidden="1" customHeight="1"/>
    <row r="30283" ht="15" hidden="1" customHeight="1"/>
    <row r="30284" ht="15" hidden="1" customHeight="1"/>
    <row r="30285" ht="15" hidden="1" customHeight="1"/>
    <row r="30286" ht="15" hidden="1" customHeight="1"/>
    <row r="30287" ht="15" hidden="1" customHeight="1"/>
    <row r="30288" ht="15" hidden="1" customHeight="1"/>
    <row r="30289" ht="15" hidden="1" customHeight="1"/>
    <row r="30290" ht="15" hidden="1" customHeight="1"/>
    <row r="30291" ht="15" hidden="1" customHeight="1"/>
    <row r="30292" ht="15" hidden="1" customHeight="1"/>
    <row r="30293" ht="15" hidden="1" customHeight="1"/>
    <row r="30294" ht="15" hidden="1" customHeight="1"/>
    <row r="30295" ht="15" hidden="1" customHeight="1"/>
    <row r="30296" ht="15" hidden="1" customHeight="1"/>
    <row r="30297" ht="15" hidden="1" customHeight="1"/>
    <row r="30298" ht="15" hidden="1" customHeight="1"/>
    <row r="30299" ht="15" hidden="1" customHeight="1"/>
    <row r="30300" ht="15" hidden="1" customHeight="1"/>
    <row r="30301" ht="15" hidden="1" customHeight="1"/>
    <row r="30302" ht="15" hidden="1" customHeight="1"/>
    <row r="30303" ht="15" hidden="1" customHeight="1"/>
    <row r="30304" ht="15" hidden="1" customHeight="1"/>
    <row r="30305" ht="15" hidden="1" customHeight="1"/>
    <row r="30306" ht="15" hidden="1" customHeight="1"/>
    <row r="30307" ht="15" hidden="1" customHeight="1"/>
    <row r="30308" ht="15" hidden="1" customHeight="1"/>
    <row r="30309" ht="15" hidden="1" customHeight="1"/>
    <row r="30310" ht="15" hidden="1" customHeight="1"/>
    <row r="30311" ht="15" hidden="1" customHeight="1"/>
    <row r="30312" ht="15" hidden="1" customHeight="1"/>
    <row r="30313" ht="15" hidden="1" customHeight="1"/>
    <row r="30314" ht="15" hidden="1" customHeight="1"/>
    <row r="30315" ht="15" hidden="1" customHeight="1"/>
    <row r="30316" ht="15" hidden="1" customHeight="1"/>
    <row r="30317" ht="15" hidden="1" customHeight="1"/>
    <row r="30318" ht="15" hidden="1" customHeight="1"/>
    <row r="30319" ht="15" hidden="1" customHeight="1"/>
    <row r="30320" ht="15" hidden="1" customHeight="1"/>
    <row r="30321" ht="15" hidden="1" customHeight="1"/>
    <row r="30322" ht="15" hidden="1" customHeight="1"/>
    <row r="30323" ht="15" hidden="1" customHeight="1"/>
    <row r="30324" ht="15" hidden="1" customHeight="1"/>
    <row r="30325" ht="15" hidden="1" customHeight="1"/>
    <row r="30326" ht="15" hidden="1" customHeight="1"/>
    <row r="30327" ht="15" hidden="1" customHeight="1"/>
    <row r="30328" ht="15" hidden="1" customHeight="1"/>
    <row r="30329" ht="15" hidden="1" customHeight="1"/>
    <row r="30330" ht="15" hidden="1" customHeight="1"/>
    <row r="30331" ht="15" hidden="1" customHeight="1"/>
    <row r="30332" ht="15" hidden="1" customHeight="1"/>
    <row r="30333" ht="15" hidden="1" customHeight="1"/>
    <row r="30334" ht="15" hidden="1" customHeight="1"/>
    <row r="30335" ht="15" hidden="1" customHeight="1"/>
    <row r="30336" ht="15" hidden="1" customHeight="1"/>
    <row r="30337" ht="15" hidden="1" customHeight="1"/>
    <row r="30338" ht="15" hidden="1" customHeight="1"/>
    <row r="30339" ht="15" hidden="1" customHeight="1"/>
    <row r="30340" ht="15" hidden="1" customHeight="1"/>
    <row r="30341" ht="15" hidden="1" customHeight="1"/>
    <row r="30342" ht="15" hidden="1" customHeight="1"/>
    <row r="30343" ht="15" hidden="1" customHeight="1"/>
    <row r="30344" ht="15" hidden="1" customHeight="1"/>
    <row r="30345" ht="15" hidden="1" customHeight="1"/>
    <row r="30346" ht="15" hidden="1" customHeight="1"/>
    <row r="30347" ht="15" hidden="1" customHeight="1"/>
    <row r="30348" ht="15" hidden="1" customHeight="1"/>
    <row r="30349" ht="15" hidden="1" customHeight="1"/>
    <row r="30350" ht="15" hidden="1" customHeight="1"/>
    <row r="30351" ht="15" hidden="1" customHeight="1"/>
    <row r="30352" ht="15" hidden="1" customHeight="1"/>
    <row r="30353" ht="15" hidden="1" customHeight="1"/>
    <row r="30354" ht="15" hidden="1" customHeight="1"/>
    <row r="30355" ht="15" hidden="1" customHeight="1"/>
    <row r="30356" ht="15" hidden="1" customHeight="1"/>
    <row r="30357" ht="15" hidden="1" customHeight="1"/>
    <row r="30358" ht="15" hidden="1" customHeight="1"/>
    <row r="30359" ht="15" hidden="1" customHeight="1"/>
    <row r="30360" ht="15" hidden="1" customHeight="1"/>
    <row r="30361" ht="15" hidden="1" customHeight="1"/>
    <row r="30362" ht="15" hidden="1" customHeight="1"/>
    <row r="30363" ht="15" hidden="1" customHeight="1"/>
    <row r="30364" ht="15" hidden="1" customHeight="1"/>
    <row r="30365" ht="15" hidden="1" customHeight="1"/>
    <row r="30366" ht="15" hidden="1" customHeight="1"/>
    <row r="30367" ht="15" hidden="1" customHeight="1"/>
    <row r="30368" ht="15" hidden="1" customHeight="1"/>
    <row r="30369" ht="15" hidden="1" customHeight="1"/>
    <row r="30370" ht="15" hidden="1" customHeight="1"/>
    <row r="30371" ht="15" hidden="1" customHeight="1"/>
    <row r="30372" ht="15" hidden="1" customHeight="1"/>
    <row r="30373" ht="15" hidden="1" customHeight="1"/>
    <row r="30374" ht="15" hidden="1" customHeight="1"/>
    <row r="30375" ht="15" hidden="1" customHeight="1"/>
    <row r="30376" ht="15" hidden="1" customHeight="1"/>
    <row r="30377" ht="15" hidden="1" customHeight="1"/>
    <row r="30378" ht="15" hidden="1" customHeight="1"/>
    <row r="30379" ht="15" hidden="1" customHeight="1"/>
    <row r="30380" ht="15" hidden="1" customHeight="1"/>
    <row r="30381" ht="15" hidden="1" customHeight="1"/>
    <row r="30382" ht="15" hidden="1" customHeight="1"/>
    <row r="30383" ht="15" hidden="1" customHeight="1"/>
    <row r="30384" ht="15" hidden="1" customHeight="1"/>
    <row r="30385" ht="15" hidden="1" customHeight="1"/>
    <row r="30386" ht="15" hidden="1" customHeight="1"/>
    <row r="30387" ht="15" hidden="1" customHeight="1"/>
    <row r="30388" ht="15" hidden="1" customHeight="1"/>
    <row r="30389" ht="15" hidden="1" customHeight="1"/>
    <row r="30390" ht="15" hidden="1" customHeight="1"/>
    <row r="30391" ht="15" hidden="1" customHeight="1"/>
    <row r="30392" ht="15" hidden="1" customHeight="1"/>
    <row r="30393" ht="15" hidden="1" customHeight="1"/>
    <row r="30394" ht="15" hidden="1" customHeight="1"/>
    <row r="30395" ht="15" hidden="1" customHeight="1"/>
    <row r="30396" ht="15" hidden="1" customHeight="1"/>
    <row r="30397" ht="15" hidden="1" customHeight="1"/>
    <row r="30398" ht="15" hidden="1" customHeight="1"/>
    <row r="30399" ht="15" hidden="1" customHeight="1"/>
    <row r="30400" ht="15" hidden="1" customHeight="1"/>
    <row r="30401" ht="15" hidden="1" customHeight="1"/>
    <row r="30402" ht="15" hidden="1" customHeight="1"/>
    <row r="30403" ht="15" hidden="1" customHeight="1"/>
    <row r="30404" ht="15" hidden="1" customHeight="1"/>
    <row r="30405" ht="15" hidden="1" customHeight="1"/>
    <row r="30406" ht="15" hidden="1" customHeight="1"/>
    <row r="30407" ht="15" hidden="1" customHeight="1"/>
    <row r="30408" ht="15" hidden="1" customHeight="1"/>
    <row r="30409" ht="15" hidden="1" customHeight="1"/>
    <row r="30410" ht="15" hidden="1" customHeight="1"/>
    <row r="30411" ht="15" hidden="1" customHeight="1"/>
    <row r="30412" ht="15" hidden="1" customHeight="1"/>
    <row r="30413" ht="15" hidden="1" customHeight="1"/>
    <row r="30414" ht="15" hidden="1" customHeight="1"/>
    <row r="30415" ht="15" hidden="1" customHeight="1"/>
    <row r="30416" ht="15" hidden="1" customHeight="1"/>
    <row r="30417" ht="15" hidden="1" customHeight="1"/>
    <row r="30418" ht="15" hidden="1" customHeight="1"/>
    <row r="30419" ht="15" hidden="1" customHeight="1"/>
    <row r="30420" ht="15" hidden="1" customHeight="1"/>
    <row r="30421" ht="15" hidden="1" customHeight="1"/>
    <row r="30422" ht="15" hidden="1" customHeight="1"/>
    <row r="30423" ht="15" hidden="1" customHeight="1"/>
    <row r="30424" ht="15" hidden="1" customHeight="1"/>
    <row r="30425" ht="15" hidden="1" customHeight="1"/>
    <row r="30426" ht="15" hidden="1" customHeight="1"/>
    <row r="30427" ht="15" hidden="1" customHeight="1"/>
    <row r="30428" ht="15" hidden="1" customHeight="1"/>
    <row r="30429" ht="15" hidden="1" customHeight="1"/>
    <row r="30430" ht="15" hidden="1" customHeight="1"/>
    <row r="30431" ht="15" hidden="1" customHeight="1"/>
    <row r="30432" ht="15" hidden="1" customHeight="1"/>
    <row r="30433" ht="15" hidden="1" customHeight="1"/>
    <row r="30434" ht="15" hidden="1" customHeight="1"/>
    <row r="30435" ht="15" hidden="1" customHeight="1"/>
    <row r="30436" ht="15" hidden="1" customHeight="1"/>
    <row r="30437" ht="15" hidden="1" customHeight="1"/>
    <row r="30438" ht="15" hidden="1" customHeight="1"/>
    <row r="30439" ht="15" hidden="1" customHeight="1"/>
    <row r="30440" ht="15" hidden="1" customHeight="1"/>
    <row r="30441" ht="15" hidden="1" customHeight="1"/>
    <row r="30442" ht="15" hidden="1" customHeight="1"/>
    <row r="30443" ht="15" hidden="1" customHeight="1"/>
    <row r="30444" ht="15" hidden="1" customHeight="1"/>
    <row r="30445" ht="15" hidden="1" customHeight="1"/>
    <row r="30446" ht="15" hidden="1" customHeight="1"/>
    <row r="30447" ht="15" hidden="1" customHeight="1"/>
    <row r="30448" ht="15" hidden="1" customHeight="1"/>
    <row r="30449" ht="15" hidden="1" customHeight="1"/>
    <row r="30450" ht="15" hidden="1" customHeight="1"/>
    <row r="30451" ht="15" hidden="1" customHeight="1"/>
    <row r="30452" ht="15" hidden="1" customHeight="1"/>
    <row r="30453" ht="15" hidden="1" customHeight="1"/>
    <row r="30454" ht="15" hidden="1" customHeight="1"/>
    <row r="30455" ht="15" hidden="1" customHeight="1"/>
    <row r="30456" ht="15" hidden="1" customHeight="1"/>
    <row r="30457" ht="15" hidden="1" customHeight="1"/>
    <row r="30458" ht="15" hidden="1" customHeight="1"/>
    <row r="30459" ht="15" hidden="1" customHeight="1"/>
    <row r="30460" ht="15" hidden="1" customHeight="1"/>
    <row r="30461" ht="15" hidden="1" customHeight="1"/>
    <row r="30462" ht="15" hidden="1" customHeight="1"/>
    <row r="30463" ht="15" hidden="1" customHeight="1"/>
    <row r="30464" ht="15" hidden="1" customHeight="1"/>
    <row r="30465" ht="15" hidden="1" customHeight="1"/>
    <row r="30466" ht="15" hidden="1" customHeight="1"/>
    <row r="30467" ht="15" hidden="1" customHeight="1"/>
    <row r="30468" ht="15" hidden="1" customHeight="1"/>
    <row r="30469" ht="15" hidden="1" customHeight="1"/>
    <row r="30470" ht="15" hidden="1" customHeight="1"/>
    <row r="30471" ht="15" hidden="1" customHeight="1"/>
    <row r="30472" ht="15" hidden="1" customHeight="1"/>
    <row r="30473" ht="15" hidden="1" customHeight="1"/>
    <row r="30474" ht="15" hidden="1" customHeight="1"/>
    <row r="30475" ht="15" hidden="1" customHeight="1"/>
    <row r="30476" ht="15" hidden="1" customHeight="1"/>
    <row r="30477" ht="15" hidden="1" customHeight="1"/>
    <row r="30478" ht="15" hidden="1" customHeight="1"/>
    <row r="30479" ht="15" hidden="1" customHeight="1"/>
    <row r="30480" ht="15" hidden="1" customHeight="1"/>
    <row r="30481" ht="15" hidden="1" customHeight="1"/>
    <row r="30482" ht="15" hidden="1" customHeight="1"/>
    <row r="30483" ht="15" hidden="1" customHeight="1"/>
    <row r="30484" ht="15" hidden="1" customHeight="1"/>
    <row r="30485" ht="15" hidden="1" customHeight="1"/>
    <row r="30486" ht="15" hidden="1" customHeight="1"/>
    <row r="30487" ht="15" hidden="1" customHeight="1"/>
    <row r="30488" ht="15" hidden="1" customHeight="1"/>
    <row r="30489" ht="15" hidden="1" customHeight="1"/>
    <row r="30490" ht="15" hidden="1" customHeight="1"/>
    <row r="30491" ht="15" hidden="1" customHeight="1"/>
    <row r="30492" ht="15" hidden="1" customHeight="1"/>
    <row r="30493" ht="15" hidden="1" customHeight="1"/>
    <row r="30494" ht="15" hidden="1" customHeight="1"/>
    <row r="30495" ht="15" hidden="1" customHeight="1"/>
    <row r="30496" ht="15" hidden="1" customHeight="1"/>
    <row r="30497" ht="15" hidden="1" customHeight="1"/>
    <row r="30498" ht="15" hidden="1" customHeight="1"/>
    <row r="30499" ht="15" hidden="1" customHeight="1"/>
    <row r="30500" ht="15" hidden="1" customHeight="1"/>
    <row r="30501" ht="15" hidden="1" customHeight="1"/>
    <row r="30502" ht="15" hidden="1" customHeight="1"/>
    <row r="30503" ht="15" hidden="1" customHeight="1"/>
    <row r="30504" ht="15" hidden="1" customHeight="1"/>
    <row r="30505" ht="15" hidden="1" customHeight="1"/>
    <row r="30506" ht="15" hidden="1" customHeight="1"/>
    <row r="30507" ht="15" hidden="1" customHeight="1"/>
    <row r="30508" ht="15" hidden="1" customHeight="1"/>
    <row r="30509" ht="15" hidden="1" customHeight="1"/>
    <row r="30510" ht="15" hidden="1" customHeight="1"/>
    <row r="30511" ht="15" hidden="1" customHeight="1"/>
    <row r="30512" ht="15" hidden="1" customHeight="1"/>
    <row r="30513" ht="15" hidden="1" customHeight="1"/>
    <row r="30514" ht="15" hidden="1" customHeight="1"/>
    <row r="30515" ht="15" hidden="1" customHeight="1"/>
    <row r="30516" ht="15" hidden="1" customHeight="1"/>
    <row r="30517" ht="15" hidden="1" customHeight="1"/>
    <row r="30518" ht="15" hidden="1" customHeight="1"/>
    <row r="30519" ht="15" hidden="1" customHeight="1"/>
    <row r="30520" ht="15" hidden="1" customHeight="1"/>
    <row r="30521" ht="15" hidden="1" customHeight="1"/>
    <row r="30522" ht="15" hidden="1" customHeight="1"/>
    <row r="30523" ht="15" hidden="1" customHeight="1"/>
    <row r="30524" ht="15" hidden="1" customHeight="1"/>
    <row r="30525" ht="15" hidden="1" customHeight="1"/>
    <row r="30526" ht="15" hidden="1" customHeight="1"/>
    <row r="30527" ht="15" hidden="1" customHeight="1"/>
    <row r="30528" ht="15" hidden="1" customHeight="1"/>
    <row r="30529" ht="15" hidden="1" customHeight="1"/>
    <row r="30530" ht="15" hidden="1" customHeight="1"/>
    <row r="30531" ht="15" hidden="1" customHeight="1"/>
    <row r="30532" ht="15" hidden="1" customHeight="1"/>
    <row r="30533" ht="15" hidden="1" customHeight="1"/>
    <row r="30534" ht="15" hidden="1" customHeight="1"/>
    <row r="30535" ht="15" hidden="1" customHeight="1"/>
    <row r="30536" ht="15" hidden="1" customHeight="1"/>
    <row r="30537" ht="15" hidden="1" customHeight="1"/>
    <row r="30538" ht="15" hidden="1" customHeight="1"/>
    <row r="30539" ht="15" hidden="1" customHeight="1"/>
    <row r="30540" ht="15" hidden="1" customHeight="1"/>
    <row r="30541" ht="15" hidden="1" customHeight="1"/>
    <row r="30542" ht="15" hidden="1" customHeight="1"/>
    <row r="30543" ht="15" hidden="1" customHeight="1"/>
    <row r="30544" ht="15" hidden="1" customHeight="1"/>
    <row r="30545" ht="15" hidden="1" customHeight="1"/>
    <row r="30546" ht="15" hidden="1" customHeight="1"/>
    <row r="30547" ht="15" hidden="1" customHeight="1"/>
    <row r="30548" ht="15" hidden="1" customHeight="1"/>
    <row r="30549" ht="15" hidden="1" customHeight="1"/>
    <row r="30550" ht="15" hidden="1" customHeight="1"/>
    <row r="30551" ht="15" hidden="1" customHeight="1"/>
    <row r="30552" ht="15" hidden="1" customHeight="1"/>
    <row r="30553" ht="15" hidden="1" customHeight="1"/>
    <row r="30554" ht="15" hidden="1" customHeight="1"/>
    <row r="30555" ht="15" hidden="1" customHeight="1"/>
    <row r="30556" ht="15" hidden="1" customHeight="1"/>
    <row r="30557" ht="15" hidden="1" customHeight="1"/>
    <row r="30558" ht="15" hidden="1" customHeight="1"/>
    <row r="30559" ht="15" hidden="1" customHeight="1"/>
    <row r="30560" ht="15" hidden="1" customHeight="1"/>
    <row r="30561" ht="15" hidden="1" customHeight="1"/>
    <row r="30562" ht="15" hidden="1" customHeight="1"/>
    <row r="30563" ht="15" hidden="1" customHeight="1"/>
    <row r="30564" ht="15" hidden="1" customHeight="1"/>
    <row r="30565" ht="15" hidden="1" customHeight="1"/>
    <row r="30566" ht="15" hidden="1" customHeight="1"/>
    <row r="30567" ht="15" hidden="1" customHeight="1"/>
    <row r="30568" ht="15" hidden="1" customHeight="1"/>
    <row r="30569" ht="15" hidden="1" customHeight="1"/>
    <row r="30570" ht="15" hidden="1" customHeight="1"/>
    <row r="30571" ht="15" hidden="1" customHeight="1"/>
    <row r="30572" ht="15" hidden="1" customHeight="1"/>
    <row r="30573" ht="15" hidden="1" customHeight="1"/>
    <row r="30574" ht="15" hidden="1" customHeight="1"/>
    <row r="30575" ht="15" hidden="1" customHeight="1"/>
    <row r="30576" ht="15" hidden="1" customHeight="1"/>
    <row r="30577" ht="15" hidden="1" customHeight="1"/>
    <row r="30578" ht="15" hidden="1" customHeight="1"/>
    <row r="30579" ht="15" hidden="1" customHeight="1"/>
    <row r="30580" ht="15" hidden="1" customHeight="1"/>
    <row r="30581" ht="15" hidden="1" customHeight="1"/>
    <row r="30582" ht="15" hidden="1" customHeight="1"/>
    <row r="30583" ht="15" hidden="1" customHeight="1"/>
    <row r="30584" ht="15" hidden="1" customHeight="1"/>
    <row r="30585" ht="15" hidden="1" customHeight="1"/>
    <row r="30586" ht="15" hidden="1" customHeight="1"/>
    <row r="30587" ht="15" hidden="1" customHeight="1"/>
    <row r="30588" ht="15" hidden="1" customHeight="1"/>
    <row r="30589" ht="15" hidden="1" customHeight="1"/>
    <row r="30590" ht="15" hidden="1" customHeight="1"/>
    <row r="30591" ht="15" hidden="1" customHeight="1"/>
    <row r="30592" ht="15" hidden="1" customHeight="1"/>
    <row r="30593" ht="15" hidden="1" customHeight="1"/>
    <row r="30594" ht="15" hidden="1" customHeight="1"/>
    <row r="30595" ht="15" hidden="1" customHeight="1"/>
    <row r="30596" ht="15" hidden="1" customHeight="1"/>
    <row r="30597" ht="15" hidden="1" customHeight="1"/>
    <row r="30598" ht="15" hidden="1" customHeight="1"/>
    <row r="30599" ht="15" hidden="1" customHeight="1"/>
    <row r="30600" ht="15" hidden="1" customHeight="1"/>
    <row r="30601" ht="15" hidden="1" customHeight="1"/>
    <row r="30602" ht="15" hidden="1" customHeight="1"/>
    <row r="30603" ht="15" hidden="1" customHeight="1"/>
    <row r="30604" ht="15" hidden="1" customHeight="1"/>
    <row r="30605" ht="15" hidden="1" customHeight="1"/>
    <row r="30606" ht="15" hidden="1" customHeight="1"/>
    <row r="30607" ht="15" hidden="1" customHeight="1"/>
    <row r="30608" ht="15" hidden="1" customHeight="1"/>
    <row r="30609" ht="15" hidden="1" customHeight="1"/>
    <row r="30610" ht="15" hidden="1" customHeight="1"/>
    <row r="30611" ht="15" hidden="1" customHeight="1"/>
    <row r="30612" ht="15" hidden="1" customHeight="1"/>
    <row r="30613" ht="15" hidden="1" customHeight="1"/>
    <row r="30614" ht="15" hidden="1" customHeight="1"/>
    <row r="30615" ht="15" hidden="1" customHeight="1"/>
    <row r="30616" ht="15" hidden="1" customHeight="1"/>
    <row r="30617" ht="15" hidden="1" customHeight="1"/>
    <row r="30618" ht="15" hidden="1" customHeight="1"/>
    <row r="30619" ht="15" hidden="1" customHeight="1"/>
    <row r="30620" ht="15" hidden="1" customHeight="1"/>
    <row r="30621" ht="15" hidden="1" customHeight="1"/>
    <row r="30622" ht="15" hidden="1" customHeight="1"/>
    <row r="30623" ht="15" hidden="1" customHeight="1"/>
    <row r="30624" ht="15" hidden="1" customHeight="1"/>
    <row r="30625" ht="15" hidden="1" customHeight="1"/>
    <row r="30626" ht="15" hidden="1" customHeight="1"/>
    <row r="30627" ht="15" hidden="1" customHeight="1"/>
    <row r="30628" ht="15" hidden="1" customHeight="1"/>
    <row r="30629" ht="15" hidden="1" customHeight="1"/>
    <row r="30630" ht="15" hidden="1" customHeight="1"/>
    <row r="30631" ht="15" hidden="1" customHeight="1"/>
    <row r="30632" ht="15" hidden="1" customHeight="1"/>
    <row r="30633" ht="15" hidden="1" customHeight="1"/>
    <row r="30634" ht="15" hidden="1" customHeight="1"/>
    <row r="30635" ht="15" hidden="1" customHeight="1"/>
    <row r="30636" ht="15" hidden="1" customHeight="1"/>
    <row r="30637" ht="15" hidden="1" customHeight="1"/>
    <row r="30638" ht="15" hidden="1" customHeight="1"/>
    <row r="30639" ht="15" hidden="1" customHeight="1"/>
    <row r="30640" ht="15" hidden="1" customHeight="1"/>
    <row r="30641" ht="15" hidden="1" customHeight="1"/>
    <row r="30642" ht="15" hidden="1" customHeight="1"/>
    <row r="30643" ht="15" hidden="1" customHeight="1"/>
    <row r="30644" ht="15" hidden="1" customHeight="1"/>
    <row r="30645" ht="15" hidden="1" customHeight="1"/>
    <row r="30646" ht="15" hidden="1" customHeight="1"/>
    <row r="30647" ht="15" hidden="1" customHeight="1"/>
    <row r="30648" ht="15" hidden="1" customHeight="1"/>
    <row r="30649" ht="15" hidden="1" customHeight="1"/>
    <row r="30650" ht="15" hidden="1" customHeight="1"/>
    <row r="30651" ht="15" hidden="1" customHeight="1"/>
    <row r="30652" ht="15" hidden="1" customHeight="1"/>
    <row r="30653" ht="15" hidden="1" customHeight="1"/>
    <row r="30654" ht="15" hidden="1" customHeight="1"/>
    <row r="30655" ht="15" hidden="1" customHeight="1"/>
    <row r="30656" ht="15" hidden="1" customHeight="1"/>
    <row r="30657" ht="15" hidden="1" customHeight="1"/>
    <row r="30658" ht="15" hidden="1" customHeight="1"/>
    <row r="30659" ht="15" hidden="1" customHeight="1"/>
    <row r="30660" ht="15" hidden="1" customHeight="1"/>
    <row r="30661" ht="15" hidden="1" customHeight="1"/>
    <row r="30662" ht="15" hidden="1" customHeight="1"/>
    <row r="30663" ht="15" hidden="1" customHeight="1"/>
    <row r="30664" ht="15" hidden="1" customHeight="1"/>
    <row r="30665" ht="15" hidden="1" customHeight="1"/>
    <row r="30666" ht="15" hidden="1" customHeight="1"/>
    <row r="30667" ht="15" hidden="1" customHeight="1"/>
    <row r="30668" ht="15" hidden="1" customHeight="1"/>
    <row r="30669" ht="15" hidden="1" customHeight="1"/>
    <row r="30670" ht="15" hidden="1" customHeight="1"/>
    <row r="30671" ht="15" hidden="1" customHeight="1"/>
    <row r="30672" ht="15" hidden="1" customHeight="1"/>
    <row r="30673" ht="15" hidden="1" customHeight="1"/>
    <row r="30674" ht="15" hidden="1" customHeight="1"/>
    <row r="30675" ht="15" hidden="1" customHeight="1"/>
    <row r="30676" ht="15" hidden="1" customHeight="1"/>
    <row r="30677" ht="15" hidden="1" customHeight="1"/>
    <row r="30678" ht="15" hidden="1" customHeight="1"/>
    <row r="30679" ht="15" hidden="1" customHeight="1"/>
    <row r="30680" ht="15" hidden="1" customHeight="1"/>
    <row r="30681" ht="15" hidden="1" customHeight="1"/>
    <row r="30682" ht="15" hidden="1" customHeight="1"/>
    <row r="30683" ht="15" hidden="1" customHeight="1"/>
    <row r="30684" ht="15" hidden="1" customHeight="1"/>
    <row r="30685" ht="15" hidden="1" customHeight="1"/>
    <row r="30686" ht="15" hidden="1" customHeight="1"/>
    <row r="30687" ht="15" hidden="1" customHeight="1"/>
    <row r="30688" ht="15" hidden="1" customHeight="1"/>
    <row r="30689" ht="15" hidden="1" customHeight="1"/>
    <row r="30690" ht="15" hidden="1" customHeight="1"/>
    <row r="30691" ht="15" hidden="1" customHeight="1"/>
    <row r="30692" ht="15" hidden="1" customHeight="1"/>
    <row r="30693" ht="15" hidden="1" customHeight="1"/>
    <row r="30694" ht="15" hidden="1" customHeight="1"/>
    <row r="30695" ht="15" hidden="1" customHeight="1"/>
    <row r="30696" ht="15" hidden="1" customHeight="1"/>
    <row r="30697" ht="15" hidden="1" customHeight="1"/>
    <row r="30698" ht="15" hidden="1" customHeight="1"/>
    <row r="30699" ht="15" hidden="1" customHeight="1"/>
    <row r="30700" ht="15" hidden="1" customHeight="1"/>
    <row r="30701" ht="15" hidden="1" customHeight="1"/>
    <row r="30702" ht="15" hidden="1" customHeight="1"/>
    <row r="30703" ht="15" hidden="1" customHeight="1"/>
    <row r="30704" ht="15" hidden="1" customHeight="1"/>
    <row r="30705" ht="15" hidden="1" customHeight="1"/>
    <row r="30706" ht="15" hidden="1" customHeight="1"/>
    <row r="30707" ht="15" hidden="1" customHeight="1"/>
    <row r="30708" ht="15" hidden="1" customHeight="1"/>
    <row r="30709" ht="15" hidden="1" customHeight="1"/>
    <row r="30710" ht="15" hidden="1" customHeight="1"/>
    <row r="30711" ht="15" hidden="1" customHeight="1"/>
    <row r="30712" ht="15" hidden="1" customHeight="1"/>
    <row r="30713" ht="15" hidden="1" customHeight="1"/>
    <row r="30714" ht="15" hidden="1" customHeight="1"/>
    <row r="30715" ht="15" hidden="1" customHeight="1"/>
    <row r="30716" ht="15" hidden="1" customHeight="1"/>
    <row r="30717" ht="15" hidden="1" customHeight="1"/>
    <row r="30718" ht="15" hidden="1" customHeight="1"/>
    <row r="30719" ht="15" hidden="1" customHeight="1"/>
    <row r="30720" ht="15" hidden="1" customHeight="1"/>
    <row r="30721" ht="15" hidden="1" customHeight="1"/>
    <row r="30722" ht="15" hidden="1" customHeight="1"/>
    <row r="30723" ht="15" hidden="1" customHeight="1"/>
    <row r="30724" ht="15" hidden="1" customHeight="1"/>
    <row r="30725" ht="15" hidden="1" customHeight="1"/>
    <row r="30726" ht="15" hidden="1" customHeight="1"/>
    <row r="30727" ht="15" hidden="1" customHeight="1"/>
    <row r="30728" ht="15" hidden="1" customHeight="1"/>
    <row r="30729" ht="15" hidden="1" customHeight="1"/>
    <row r="30730" ht="15" hidden="1" customHeight="1"/>
    <row r="30731" ht="15" hidden="1" customHeight="1"/>
    <row r="30732" ht="15" hidden="1" customHeight="1"/>
    <row r="30733" ht="15" hidden="1" customHeight="1"/>
    <row r="30734" ht="15" hidden="1" customHeight="1"/>
    <row r="30735" ht="15" hidden="1" customHeight="1"/>
    <row r="30736" ht="15" hidden="1" customHeight="1"/>
    <row r="30737" ht="15" hidden="1" customHeight="1"/>
    <row r="30738" ht="15" hidden="1" customHeight="1"/>
    <row r="30739" ht="15" hidden="1" customHeight="1"/>
    <row r="30740" ht="15" hidden="1" customHeight="1"/>
    <row r="30741" ht="15" hidden="1" customHeight="1"/>
    <row r="30742" ht="15" hidden="1" customHeight="1"/>
    <row r="30743" ht="15" hidden="1" customHeight="1"/>
    <row r="30744" ht="15" hidden="1" customHeight="1"/>
    <row r="30745" ht="15" hidden="1" customHeight="1"/>
    <row r="30746" ht="15" hidden="1" customHeight="1"/>
    <row r="30747" ht="15" hidden="1" customHeight="1"/>
    <row r="30748" ht="15" hidden="1" customHeight="1"/>
    <row r="30749" ht="15" hidden="1" customHeight="1"/>
    <row r="30750" ht="15" hidden="1" customHeight="1"/>
    <row r="30751" ht="15" hidden="1" customHeight="1"/>
    <row r="30752" ht="15" hidden="1" customHeight="1"/>
    <row r="30753" ht="15" hidden="1" customHeight="1"/>
    <row r="30754" ht="15" hidden="1" customHeight="1"/>
    <row r="30755" ht="15" hidden="1" customHeight="1"/>
    <row r="30756" ht="15" hidden="1" customHeight="1"/>
    <row r="30757" ht="15" hidden="1" customHeight="1"/>
    <row r="30758" ht="15" hidden="1" customHeight="1"/>
    <row r="30759" ht="15" hidden="1" customHeight="1"/>
    <row r="30760" ht="15" hidden="1" customHeight="1"/>
    <row r="30761" ht="15" hidden="1" customHeight="1"/>
    <row r="30762" ht="15" hidden="1" customHeight="1"/>
    <row r="30763" ht="15" hidden="1" customHeight="1"/>
    <row r="30764" ht="15" hidden="1" customHeight="1"/>
    <row r="30765" ht="15" hidden="1" customHeight="1"/>
    <row r="30766" ht="15" hidden="1" customHeight="1"/>
    <row r="30767" ht="15" hidden="1" customHeight="1"/>
    <row r="30768" ht="15" hidden="1" customHeight="1"/>
    <row r="30769" ht="15" hidden="1" customHeight="1"/>
    <row r="30770" ht="15" hidden="1" customHeight="1"/>
    <row r="30771" ht="15" hidden="1" customHeight="1"/>
    <row r="30772" ht="15" hidden="1" customHeight="1"/>
    <row r="30773" ht="15" hidden="1" customHeight="1"/>
    <row r="30774" ht="15" hidden="1" customHeight="1"/>
    <row r="30775" ht="15" hidden="1" customHeight="1"/>
    <row r="30776" ht="15" hidden="1" customHeight="1"/>
    <row r="30777" ht="15" hidden="1" customHeight="1"/>
    <row r="30778" ht="15" hidden="1" customHeight="1"/>
    <row r="30779" ht="15" hidden="1" customHeight="1"/>
    <row r="30780" ht="15" hidden="1" customHeight="1"/>
    <row r="30781" ht="15" hidden="1" customHeight="1"/>
    <row r="30782" ht="15" hidden="1" customHeight="1"/>
    <row r="30783" ht="15" hidden="1" customHeight="1"/>
    <row r="30784" ht="15" hidden="1" customHeight="1"/>
    <row r="30785" ht="15" hidden="1" customHeight="1"/>
    <row r="30786" ht="15" hidden="1" customHeight="1"/>
    <row r="30787" ht="15" hidden="1" customHeight="1"/>
    <row r="30788" ht="15" hidden="1" customHeight="1"/>
    <row r="30789" ht="15" hidden="1" customHeight="1"/>
    <row r="30790" ht="15" hidden="1" customHeight="1"/>
    <row r="30791" ht="15" hidden="1" customHeight="1"/>
    <row r="30792" ht="15" hidden="1" customHeight="1"/>
    <row r="30793" ht="15" hidden="1" customHeight="1"/>
    <row r="30794" ht="15" hidden="1" customHeight="1"/>
    <row r="30795" ht="15" hidden="1" customHeight="1"/>
    <row r="30796" ht="15" hidden="1" customHeight="1"/>
    <row r="30797" ht="15" hidden="1" customHeight="1"/>
    <row r="30798" ht="15" hidden="1" customHeight="1"/>
    <row r="30799" ht="15" hidden="1" customHeight="1"/>
    <row r="30800" ht="15" hidden="1" customHeight="1"/>
    <row r="30801" ht="15" hidden="1" customHeight="1"/>
    <row r="30802" ht="15" hidden="1" customHeight="1"/>
    <row r="30803" ht="15" hidden="1" customHeight="1"/>
    <row r="30804" ht="15" hidden="1" customHeight="1"/>
    <row r="30805" ht="15" hidden="1" customHeight="1"/>
    <row r="30806" ht="15" hidden="1" customHeight="1"/>
    <row r="30807" ht="15" hidden="1" customHeight="1"/>
    <row r="30808" ht="15" hidden="1" customHeight="1"/>
    <row r="30809" ht="15" hidden="1" customHeight="1"/>
    <row r="30810" ht="15" hidden="1" customHeight="1"/>
    <row r="30811" ht="15" hidden="1" customHeight="1"/>
    <row r="30812" ht="15" hidden="1" customHeight="1"/>
    <row r="30813" ht="15" hidden="1" customHeight="1"/>
    <row r="30814" ht="15" hidden="1" customHeight="1"/>
    <row r="30815" ht="15" hidden="1" customHeight="1"/>
    <row r="30816" ht="15" hidden="1" customHeight="1"/>
    <row r="30817" ht="15" hidden="1" customHeight="1"/>
    <row r="30818" ht="15" hidden="1" customHeight="1"/>
    <row r="30819" ht="15" hidden="1" customHeight="1"/>
    <row r="30820" ht="15" hidden="1" customHeight="1"/>
    <row r="30821" ht="15" hidden="1" customHeight="1"/>
    <row r="30822" ht="15" hidden="1" customHeight="1"/>
    <row r="30823" ht="15" hidden="1" customHeight="1"/>
    <row r="30824" ht="15" hidden="1" customHeight="1"/>
    <row r="30825" ht="15" hidden="1" customHeight="1"/>
    <row r="30826" ht="15" hidden="1" customHeight="1"/>
    <row r="30827" ht="15" hidden="1" customHeight="1"/>
    <row r="30828" ht="15" hidden="1" customHeight="1"/>
    <row r="30829" ht="15" hidden="1" customHeight="1"/>
    <row r="30830" ht="15" hidden="1" customHeight="1"/>
    <row r="30831" ht="15" hidden="1" customHeight="1"/>
    <row r="30832" ht="15" hidden="1" customHeight="1"/>
    <row r="30833" ht="15" hidden="1" customHeight="1"/>
    <row r="30834" ht="15" hidden="1" customHeight="1"/>
    <row r="30835" ht="15" hidden="1" customHeight="1"/>
    <row r="30836" ht="15" hidden="1" customHeight="1"/>
    <row r="30837" ht="15" hidden="1" customHeight="1"/>
    <row r="30838" ht="15" hidden="1" customHeight="1"/>
    <row r="30839" ht="15" hidden="1" customHeight="1"/>
    <row r="30840" ht="15" hidden="1" customHeight="1"/>
    <row r="30841" ht="15" hidden="1" customHeight="1"/>
    <row r="30842" ht="15" hidden="1" customHeight="1"/>
    <row r="30843" ht="15" hidden="1" customHeight="1"/>
    <row r="30844" ht="15" hidden="1" customHeight="1"/>
    <row r="30845" ht="15" hidden="1" customHeight="1"/>
    <row r="30846" ht="15" hidden="1" customHeight="1"/>
    <row r="30847" ht="15" hidden="1" customHeight="1"/>
    <row r="30848" ht="15" hidden="1" customHeight="1"/>
    <row r="30849" ht="15" hidden="1" customHeight="1"/>
    <row r="30850" ht="15" hidden="1" customHeight="1"/>
    <row r="30851" ht="15" hidden="1" customHeight="1"/>
    <row r="30852" ht="15" hidden="1" customHeight="1"/>
    <row r="30853" ht="15" hidden="1" customHeight="1"/>
    <row r="30854" ht="15" hidden="1" customHeight="1"/>
    <row r="30855" ht="15" hidden="1" customHeight="1"/>
    <row r="30856" ht="15" hidden="1" customHeight="1"/>
    <row r="30857" ht="15" hidden="1" customHeight="1"/>
    <row r="30858" ht="15" hidden="1" customHeight="1"/>
    <row r="30859" ht="15" hidden="1" customHeight="1"/>
    <row r="30860" ht="15" hidden="1" customHeight="1"/>
    <row r="30861" ht="15" hidden="1" customHeight="1"/>
    <row r="30862" ht="15" hidden="1" customHeight="1"/>
    <row r="30863" ht="15" hidden="1" customHeight="1"/>
    <row r="30864" ht="15" hidden="1" customHeight="1"/>
    <row r="30865" ht="15" hidden="1" customHeight="1"/>
    <row r="30866" ht="15" hidden="1" customHeight="1"/>
    <row r="30867" ht="15" hidden="1" customHeight="1"/>
    <row r="30868" ht="15" hidden="1" customHeight="1"/>
    <row r="30869" ht="15" hidden="1" customHeight="1"/>
    <row r="30870" ht="15" hidden="1" customHeight="1"/>
    <row r="30871" ht="15" hidden="1" customHeight="1"/>
    <row r="30872" ht="15" hidden="1" customHeight="1"/>
    <row r="30873" ht="15" hidden="1" customHeight="1"/>
    <row r="30874" ht="15" hidden="1" customHeight="1"/>
    <row r="30875" ht="15" hidden="1" customHeight="1"/>
    <row r="30876" ht="15" hidden="1" customHeight="1"/>
    <row r="30877" ht="15" hidden="1" customHeight="1"/>
    <row r="30878" ht="15" hidden="1" customHeight="1"/>
    <row r="30879" ht="15" hidden="1" customHeight="1"/>
    <row r="30880" ht="15" hidden="1" customHeight="1"/>
    <row r="30881" ht="15" hidden="1" customHeight="1"/>
    <row r="30882" ht="15" hidden="1" customHeight="1"/>
    <row r="30883" ht="15" hidden="1" customHeight="1"/>
    <row r="30884" ht="15" hidden="1" customHeight="1"/>
    <row r="30885" ht="15" hidden="1" customHeight="1"/>
    <row r="30886" ht="15" hidden="1" customHeight="1"/>
    <row r="30887" ht="15" hidden="1" customHeight="1"/>
    <row r="30888" ht="15" hidden="1" customHeight="1"/>
    <row r="30889" ht="15" hidden="1" customHeight="1"/>
    <row r="30890" ht="15" hidden="1" customHeight="1"/>
    <row r="30891" ht="15" hidden="1" customHeight="1"/>
    <row r="30892" ht="15" hidden="1" customHeight="1"/>
    <row r="30893" ht="15" hidden="1" customHeight="1"/>
    <row r="30894" ht="15" hidden="1" customHeight="1"/>
    <row r="30895" ht="15" hidden="1" customHeight="1"/>
    <row r="30896" ht="15" hidden="1" customHeight="1"/>
    <row r="30897" ht="15" hidden="1" customHeight="1"/>
    <row r="30898" ht="15" hidden="1" customHeight="1"/>
    <row r="30899" ht="15" hidden="1" customHeight="1"/>
    <row r="30900" ht="15" hidden="1" customHeight="1"/>
    <row r="30901" ht="15" hidden="1" customHeight="1"/>
    <row r="30902" ht="15" hidden="1" customHeight="1"/>
    <row r="30903" ht="15" hidden="1" customHeight="1"/>
    <row r="30904" ht="15" hidden="1" customHeight="1"/>
    <row r="30905" ht="15" hidden="1" customHeight="1"/>
    <row r="30906" ht="15" hidden="1" customHeight="1"/>
    <row r="30907" ht="15" hidden="1" customHeight="1"/>
    <row r="30908" ht="15" hidden="1" customHeight="1"/>
    <row r="30909" ht="15" hidden="1" customHeight="1"/>
    <row r="30910" ht="15" hidden="1" customHeight="1"/>
    <row r="30911" ht="15" hidden="1" customHeight="1"/>
    <row r="30912" ht="15" hidden="1" customHeight="1"/>
    <row r="30913" ht="15" hidden="1" customHeight="1"/>
    <row r="30914" ht="15" hidden="1" customHeight="1"/>
    <row r="30915" ht="15" hidden="1" customHeight="1"/>
    <row r="30916" ht="15" hidden="1" customHeight="1"/>
    <row r="30917" ht="15" hidden="1" customHeight="1"/>
    <row r="30918" ht="15" hidden="1" customHeight="1"/>
    <row r="30919" ht="15" hidden="1" customHeight="1"/>
    <row r="30920" ht="15" hidden="1" customHeight="1"/>
    <row r="30921" ht="15" hidden="1" customHeight="1"/>
    <row r="30922" ht="15" hidden="1" customHeight="1"/>
    <row r="30923" ht="15" hidden="1" customHeight="1"/>
    <row r="30924" ht="15" hidden="1" customHeight="1"/>
    <row r="30925" ht="15" hidden="1" customHeight="1"/>
    <row r="30926" ht="15" hidden="1" customHeight="1"/>
    <row r="30927" ht="15" hidden="1" customHeight="1"/>
    <row r="30928" ht="15" hidden="1" customHeight="1"/>
    <row r="30929" ht="15" hidden="1" customHeight="1"/>
    <row r="30930" ht="15" hidden="1" customHeight="1"/>
    <row r="30931" ht="15" hidden="1" customHeight="1"/>
    <row r="30932" ht="15" hidden="1" customHeight="1"/>
    <row r="30933" ht="15" hidden="1" customHeight="1"/>
    <row r="30934" ht="15" hidden="1" customHeight="1"/>
    <row r="30935" ht="15" hidden="1" customHeight="1"/>
    <row r="30936" ht="15" hidden="1" customHeight="1"/>
    <row r="30937" ht="15" hidden="1" customHeight="1"/>
    <row r="30938" ht="15" hidden="1" customHeight="1"/>
    <row r="30939" ht="15" hidden="1" customHeight="1"/>
    <row r="30940" ht="15" hidden="1" customHeight="1"/>
    <row r="30941" ht="15" hidden="1" customHeight="1"/>
    <row r="30942" ht="15" hidden="1" customHeight="1"/>
    <row r="30943" ht="15" hidden="1" customHeight="1"/>
    <row r="30944" ht="15" hidden="1" customHeight="1"/>
    <row r="30945" ht="15" hidden="1" customHeight="1"/>
    <row r="30946" ht="15" hidden="1" customHeight="1"/>
    <row r="30947" ht="15" hidden="1" customHeight="1"/>
    <row r="30948" ht="15" hidden="1" customHeight="1"/>
    <row r="30949" ht="15" hidden="1" customHeight="1"/>
    <row r="30950" ht="15" hidden="1" customHeight="1"/>
    <row r="30951" ht="15" hidden="1" customHeight="1"/>
    <row r="30952" ht="15" hidden="1" customHeight="1"/>
    <row r="30953" ht="15" hidden="1" customHeight="1"/>
    <row r="30954" ht="15" hidden="1" customHeight="1"/>
    <row r="30955" ht="15" hidden="1" customHeight="1"/>
    <row r="30956" ht="15" hidden="1" customHeight="1"/>
    <row r="30957" ht="15" hidden="1" customHeight="1"/>
    <row r="30958" ht="15" hidden="1" customHeight="1"/>
    <row r="30959" ht="15" hidden="1" customHeight="1"/>
    <row r="30960" ht="15" hidden="1" customHeight="1"/>
    <row r="30961" ht="15" hidden="1" customHeight="1"/>
    <row r="30962" ht="15" hidden="1" customHeight="1"/>
    <row r="30963" ht="15" hidden="1" customHeight="1"/>
    <row r="30964" ht="15" hidden="1" customHeight="1"/>
    <row r="30965" ht="15" hidden="1" customHeight="1"/>
    <row r="30966" ht="15" hidden="1" customHeight="1"/>
    <row r="30967" ht="15" hidden="1" customHeight="1"/>
    <row r="30968" ht="15" hidden="1" customHeight="1"/>
    <row r="30969" ht="15" hidden="1" customHeight="1"/>
    <row r="30970" ht="15" hidden="1" customHeight="1"/>
    <row r="30971" ht="15" hidden="1" customHeight="1"/>
    <row r="30972" ht="15" hidden="1" customHeight="1"/>
    <row r="30973" ht="15" hidden="1" customHeight="1"/>
    <row r="30974" ht="15" hidden="1" customHeight="1"/>
    <row r="30975" ht="15" hidden="1" customHeight="1"/>
    <row r="30976" ht="15" hidden="1" customHeight="1"/>
    <row r="30977" ht="15" hidden="1" customHeight="1"/>
    <row r="30978" ht="15" hidden="1" customHeight="1"/>
    <row r="30979" ht="15" hidden="1" customHeight="1"/>
    <row r="30980" ht="15" hidden="1" customHeight="1"/>
    <row r="30981" ht="15" hidden="1" customHeight="1"/>
    <row r="30982" ht="15" hidden="1" customHeight="1"/>
    <row r="30983" ht="15" hidden="1" customHeight="1"/>
    <row r="30984" ht="15" hidden="1" customHeight="1"/>
    <row r="30985" ht="15" hidden="1" customHeight="1"/>
    <row r="30986" ht="15" hidden="1" customHeight="1"/>
    <row r="30987" ht="15" hidden="1" customHeight="1"/>
    <row r="30988" ht="15" hidden="1" customHeight="1"/>
    <row r="30989" ht="15" hidden="1" customHeight="1"/>
    <row r="30990" ht="15" hidden="1" customHeight="1"/>
    <row r="30991" ht="15" hidden="1" customHeight="1"/>
    <row r="30992" ht="15" hidden="1" customHeight="1"/>
    <row r="30993" ht="15" hidden="1" customHeight="1"/>
    <row r="30994" ht="15" hidden="1" customHeight="1"/>
    <row r="30995" ht="15" hidden="1" customHeight="1"/>
    <row r="30996" ht="15" hidden="1" customHeight="1"/>
    <row r="30997" ht="15" hidden="1" customHeight="1"/>
    <row r="30998" ht="15" hidden="1" customHeight="1"/>
    <row r="30999" ht="15" hidden="1" customHeight="1"/>
    <row r="31000" ht="15" hidden="1" customHeight="1"/>
    <row r="31001" ht="15" hidden="1" customHeight="1"/>
    <row r="31002" ht="15" hidden="1" customHeight="1"/>
    <row r="31003" ht="15" hidden="1" customHeight="1"/>
    <row r="31004" ht="15" hidden="1" customHeight="1"/>
    <row r="31005" ht="15" hidden="1" customHeight="1"/>
    <row r="31006" ht="15" hidden="1" customHeight="1"/>
    <row r="31007" ht="15" hidden="1" customHeight="1"/>
    <row r="31008" ht="15" hidden="1" customHeight="1"/>
    <row r="31009" ht="15" hidden="1" customHeight="1"/>
    <row r="31010" ht="15" hidden="1" customHeight="1"/>
    <row r="31011" ht="15" hidden="1" customHeight="1"/>
    <row r="31012" ht="15" hidden="1" customHeight="1"/>
    <row r="31013" ht="15" hidden="1" customHeight="1"/>
    <row r="31014" ht="15" hidden="1" customHeight="1"/>
    <row r="31015" ht="15" hidden="1" customHeight="1"/>
    <row r="31016" ht="15" hidden="1" customHeight="1"/>
    <row r="31017" ht="15" hidden="1" customHeight="1"/>
  </sheetData>
  <sheetProtection algorithmName="SHA-512" hashValue="i7l/RnQAEy3Iq4LzvMWyr8pFo2mTcXH5WySKVXZXrbsWQPq12q5MKLHG6+IK8gKt8kj4AYRserDGXFoJw2BVjQ==" saltValue="6GDpRoZPLt5nweYLm8/8VQ==" spinCount="100000" sheet="1" formatCells="0" formatColumns="0" formatRows="0"/>
  <mergeCells count="25">
    <mergeCell ref="H8:I8"/>
    <mergeCell ref="J13:M13"/>
    <mergeCell ref="J12:M12"/>
    <mergeCell ref="J11:M11"/>
    <mergeCell ref="J10:M10"/>
    <mergeCell ref="J9:M9"/>
    <mergeCell ref="J8:M8"/>
    <mergeCell ref="H13:I13"/>
    <mergeCell ref="H12:I12"/>
    <mergeCell ref="H11:I11"/>
    <mergeCell ref="H10:I10"/>
    <mergeCell ref="H9:I9"/>
    <mergeCell ref="H21:I21"/>
    <mergeCell ref="J21:M21"/>
    <mergeCell ref="H22:I22"/>
    <mergeCell ref="J22:M22"/>
    <mergeCell ref="H23:I23"/>
    <mergeCell ref="J23:M23"/>
    <mergeCell ref="C31:L31"/>
    <mergeCell ref="H24:I24"/>
    <mergeCell ref="J24:M24"/>
    <mergeCell ref="H25:I25"/>
    <mergeCell ref="J25:M25"/>
    <mergeCell ref="H26:I26"/>
    <mergeCell ref="J26:M26"/>
  </mergeCells>
  <phoneticPr fontId="53" type="noConversion"/>
  <conditionalFormatting sqref="F9:F17 F22:F30">
    <cfRule type="cellIs" dxfId="6" priority="5" operator="equal">
      <formula>0</formula>
    </cfRule>
    <cfRule type="cellIs" dxfId="5" priority="6" operator="greaterThan">
      <formula>0</formula>
    </cfRule>
  </conditionalFormatting>
  <conditionalFormatting sqref="C10:C11">
    <cfRule type="cellIs" dxfId="4" priority="4" operator="equal">
      <formula>0</formula>
    </cfRule>
  </conditionalFormatting>
  <conditionalFormatting sqref="C23:C24">
    <cfRule type="cellIs" dxfId="3" priority="3" operator="equal">
      <formula>0</formula>
    </cfRule>
  </conditionalFormatting>
  <dataValidations count="1">
    <dataValidation type="textLength" operator="equal" allowBlank="1" showInputMessage="1" showErrorMessage="1" errorTitle="Ten Digit Number Expected" error="Phone numbers must be entered as ten digit numbers; formatting will be automatically applied after an acceptable value has been input." promptTitle="Ten Digit Number Expected" prompt="Phone numbers must be entered as ten digit numbers; formatting will be automatically applied after an acceptable value has been input." sqref="J12:M12 J25:M25" xr:uid="{1C92278B-2694-4534-A8A1-1B7D5F62EEE4}">
      <formula1>10</formula1>
    </dataValidation>
  </dataValidations>
  <pageMargins left="0.7" right="0.7" top="0.75" bottom="0.75" header="0.3" footer="0.3"/>
  <pageSetup scale="40" fitToWidth="0" fitToHeight="5" orientation="landscape" r:id="rId1"/>
  <headerFooter alignWithMargins="0">
    <oddFooter>&amp;L&amp;A&amp;C&amp;P of &amp;N</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wst03_1_ConstructionCost">
    <tabColor rgb="FF00B050"/>
    <pageSetUpPr fitToPage="1"/>
  </sheetPr>
  <dimension ref="A1:AM200"/>
  <sheetViews>
    <sheetView zoomScale="85" zoomScaleNormal="85" workbookViewId="0"/>
  </sheetViews>
  <sheetFormatPr defaultColWidth="9.5" defaultRowHeight="15" zeroHeight="1"/>
  <cols>
    <col min="1" max="1" width="3.5" style="62" customWidth="1"/>
    <col min="2" max="2" width="5.5" style="62" customWidth="1"/>
    <col min="3" max="3" width="9.5" style="62" customWidth="1"/>
    <col min="4" max="4" width="12.5" style="62" customWidth="1"/>
    <col min="5" max="5" width="20.5" style="62" customWidth="1"/>
    <col min="6" max="6" width="15" style="62" bestFit="1" customWidth="1"/>
    <col min="7" max="7" width="18.5" style="62" customWidth="1"/>
    <col min="8" max="8" width="17" style="62" customWidth="1"/>
    <col min="9" max="9" width="9.5" style="62" customWidth="1"/>
    <col min="10" max="10" width="7.5" style="62" customWidth="1"/>
    <col min="11" max="11" width="9.5" style="62" customWidth="1"/>
    <col min="12" max="12" width="21" style="62" bestFit="1" customWidth="1"/>
    <col min="13" max="13" width="11.5" style="62" customWidth="1"/>
    <col min="14" max="14" width="6" style="62" customWidth="1"/>
    <col min="15" max="15" width="15.5" style="62" customWidth="1"/>
    <col min="16" max="16" width="30" style="62" bestFit="1" customWidth="1"/>
    <col min="17" max="18" width="30.33203125" style="62" bestFit="1" customWidth="1"/>
    <col min="19" max="39" width="9.5" style="62" customWidth="1"/>
    <col min="40" max="16384" width="9.5" style="62"/>
  </cols>
  <sheetData>
    <row r="1" spans="1:39" s="9" customFormat="1" ht="27" thickTop="1">
      <c r="A1" s="61" t="s">
        <v>1574</v>
      </c>
      <c r="B1" s="59"/>
      <c r="C1" s="59"/>
      <c r="D1" s="59"/>
      <c r="E1" s="59"/>
      <c r="F1" s="59"/>
      <c r="G1" s="59"/>
      <c r="H1" s="59"/>
      <c r="I1" s="59"/>
      <c r="J1" s="59"/>
      <c r="K1" s="59"/>
      <c r="L1" s="59"/>
      <c r="M1" s="59"/>
      <c r="N1" s="59"/>
      <c r="O1" s="59"/>
      <c r="P1" s="59"/>
      <c r="Q1" s="59"/>
      <c r="R1" s="60"/>
      <c r="S1" s="60"/>
      <c r="T1" s="60"/>
      <c r="U1" s="60"/>
      <c r="V1" s="60"/>
      <c r="W1" s="60"/>
      <c r="X1" s="60"/>
      <c r="Y1" s="60"/>
      <c r="Z1" s="60"/>
      <c r="AA1" s="60"/>
      <c r="AB1" s="60"/>
      <c r="AC1" s="60"/>
      <c r="AD1" s="60"/>
      <c r="AE1" s="60"/>
      <c r="AF1" s="60"/>
      <c r="AG1" s="60"/>
      <c r="AH1" s="60"/>
      <c r="AI1" s="60"/>
      <c r="AJ1" s="60"/>
      <c r="AK1" s="60"/>
      <c r="AL1" s="60"/>
      <c r="AM1" s="60"/>
    </row>
    <row r="2" spans="1:39" s="9" customFormat="1" ht="21">
      <c r="A2" s="663" t="str">
        <f>IF(rng01_ProjectName="","[Project Name]", rng01_ProjectName)</f>
        <v>[Project Name]</v>
      </c>
      <c r="B2" s="664"/>
      <c r="C2" s="664"/>
      <c r="D2" s="664"/>
      <c r="E2" s="665"/>
      <c r="F2" s="666"/>
      <c r="G2" s="666"/>
      <c r="H2" s="675"/>
      <c r="I2" s="665"/>
      <c r="J2" s="666"/>
      <c r="K2" s="666" t="s">
        <v>245</v>
      </c>
      <c r="L2" s="667">
        <f>tbl00ModelProgress[[#Totals],[Date of Progress /
Last Edit]]</f>
        <v>0</v>
      </c>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row>
    <row r="3" spans="1:39"/>
    <row r="4" spans="1:39" ht="15.75" thickBot="1"/>
    <row r="5" spans="1:39" ht="17.25" customHeight="1" thickTop="1" thickBot="1">
      <c r="B5" s="298" t="s">
        <v>1575</v>
      </c>
      <c r="C5" s="299"/>
      <c r="D5" s="299"/>
      <c r="E5" s="300"/>
      <c r="F5" s="2314" t="s">
        <v>1576</v>
      </c>
      <c r="G5" s="2315"/>
      <c r="H5" s="2315"/>
      <c r="I5" s="2315"/>
      <c r="J5" s="2315"/>
      <c r="K5" s="2316"/>
      <c r="L5" s="301" t="s">
        <v>1577</v>
      </c>
      <c r="M5" s="299"/>
      <c r="N5" s="302"/>
      <c r="P5" s="53" t="s">
        <v>1578</v>
      </c>
      <c r="Q5" s="53" t="s">
        <v>1579</v>
      </c>
      <c r="R5" s="63" t="s">
        <v>1580</v>
      </c>
      <c r="S5" s="1021"/>
    </row>
    <row r="6" spans="1:39" ht="15.75" customHeight="1">
      <c r="B6" s="303" t="s">
        <v>1581</v>
      </c>
      <c r="C6" s="304"/>
      <c r="D6" s="304">
        <f>rng01_Developer</f>
        <v>0</v>
      </c>
      <c r="E6" s="305"/>
      <c r="F6" s="2317" t="s">
        <v>1582</v>
      </c>
      <c r="G6" s="2318"/>
      <c r="H6" s="2318"/>
      <c r="I6" s="2318"/>
      <c r="J6" s="2318"/>
      <c r="K6" s="2319"/>
      <c r="L6" s="306" t="s">
        <v>1583</v>
      </c>
      <c r="M6" s="304"/>
      <c r="N6" s="307"/>
      <c r="P6" s="308" t="s">
        <v>51</v>
      </c>
      <c r="Q6" s="308" t="s">
        <v>51</v>
      </c>
      <c r="R6" s="309" t="s">
        <v>51</v>
      </c>
      <c r="S6" s="1021"/>
    </row>
    <row r="7" spans="1:39" ht="15" customHeight="1">
      <c r="B7" s="310" t="s">
        <v>1584</v>
      </c>
      <c r="C7" s="311"/>
      <c r="D7" s="311"/>
      <c r="E7" s="311" t="str">
        <f>A2</f>
        <v>[Project Name]</v>
      </c>
      <c r="F7" s="311"/>
      <c r="G7" s="311"/>
      <c r="H7" s="312"/>
      <c r="I7" s="313" t="s">
        <v>1585</v>
      </c>
      <c r="J7" s="311"/>
      <c r="K7" s="311"/>
      <c r="L7" s="311"/>
      <c r="M7" s="311"/>
      <c r="N7" s="314"/>
      <c r="P7" s="1019">
        <f>'02_4_USES'!C6</f>
        <v>0</v>
      </c>
      <c r="Q7" s="1019">
        <f>'02_4_USES'!D6</f>
        <v>0</v>
      </c>
      <c r="R7" s="1020">
        <f>'02_4_USES'!E6</f>
        <v>0</v>
      </c>
      <c r="S7" s="1021"/>
    </row>
    <row r="8" spans="1:39" ht="15.75" customHeight="1" thickBot="1">
      <c r="B8" s="315" t="s">
        <v>334</v>
      </c>
      <c r="C8" s="316" t="s">
        <v>1586</v>
      </c>
      <c r="D8" s="317" t="s">
        <v>1587</v>
      </c>
      <c r="E8" s="318"/>
      <c r="F8" s="319"/>
      <c r="G8" s="320" t="s">
        <v>1588</v>
      </c>
      <c r="H8" s="317" t="s">
        <v>1589</v>
      </c>
      <c r="I8" s="318"/>
      <c r="J8" s="318"/>
      <c r="K8" s="318"/>
      <c r="L8" s="318"/>
      <c r="M8" s="318"/>
      <c r="N8" s="321"/>
      <c r="P8" s="322" t="s">
        <v>1590</v>
      </c>
      <c r="Q8" s="322" t="s">
        <v>1590</v>
      </c>
      <c r="R8" s="323" t="s">
        <v>1590</v>
      </c>
      <c r="S8" s="1021"/>
    </row>
    <row r="9" spans="1:39" ht="16.5" customHeight="1" thickBot="1">
      <c r="B9" s="324">
        <v>1</v>
      </c>
      <c r="C9" s="325">
        <v>3</v>
      </c>
      <c r="D9" s="326" t="s">
        <v>1591</v>
      </c>
      <c r="E9" s="327"/>
      <c r="F9" s="328"/>
      <c r="G9" s="329">
        <f>SUM(P9:R9)</f>
        <v>0</v>
      </c>
      <c r="H9" s="2320"/>
      <c r="I9" s="2321"/>
      <c r="J9" s="2321"/>
      <c r="K9" s="2321"/>
      <c r="L9" s="2321"/>
      <c r="M9" s="2321"/>
      <c r="N9" s="2322"/>
      <c r="P9" s="865"/>
      <c r="Q9" s="865"/>
      <c r="R9" s="865"/>
      <c r="S9" s="1021"/>
    </row>
    <row r="10" spans="1:39" ht="15.75" thickBot="1">
      <c r="B10" s="324">
        <v>2</v>
      </c>
      <c r="C10" s="325">
        <v>4</v>
      </c>
      <c r="D10" s="326" t="s">
        <v>191</v>
      </c>
      <c r="E10" s="327"/>
      <c r="F10" s="328"/>
      <c r="G10" s="329">
        <f t="shared" ref="G10:G46" si="0">SUM(P10:R10)</f>
        <v>0</v>
      </c>
      <c r="H10" s="2320"/>
      <c r="I10" s="2323"/>
      <c r="J10" s="2323"/>
      <c r="K10" s="2323"/>
      <c r="L10" s="2323"/>
      <c r="M10" s="2323"/>
      <c r="N10" s="2324"/>
      <c r="P10" s="865"/>
      <c r="Q10" s="865"/>
      <c r="R10" s="866"/>
      <c r="S10" s="1021"/>
    </row>
    <row r="11" spans="1:39" ht="16.5" customHeight="1" thickBot="1">
      <c r="B11" s="324">
        <v>3</v>
      </c>
      <c r="C11" s="325">
        <v>5</v>
      </c>
      <c r="D11" s="326" t="s">
        <v>1592</v>
      </c>
      <c r="E11" s="327"/>
      <c r="F11" s="328"/>
      <c r="G11" s="329">
        <f t="shared" si="0"/>
        <v>0</v>
      </c>
      <c r="H11" s="2320"/>
      <c r="I11" s="2323"/>
      <c r="J11" s="2323"/>
      <c r="K11" s="2323"/>
      <c r="L11" s="2323"/>
      <c r="M11" s="2323"/>
      <c r="N11" s="2324"/>
      <c r="P11" s="865"/>
      <c r="Q11" s="865"/>
      <c r="R11" s="865"/>
      <c r="S11" s="1021"/>
    </row>
    <row r="12" spans="1:39" ht="15.75" customHeight="1" thickBot="1">
      <c r="B12" s="324">
        <v>4</v>
      </c>
      <c r="C12" s="325">
        <v>6</v>
      </c>
      <c r="D12" s="326" t="s">
        <v>1593</v>
      </c>
      <c r="E12" s="327"/>
      <c r="F12" s="328"/>
      <c r="G12" s="329">
        <f t="shared" si="0"/>
        <v>0</v>
      </c>
      <c r="H12" s="2320"/>
      <c r="I12" s="2323"/>
      <c r="J12" s="2323"/>
      <c r="K12" s="2323"/>
      <c r="L12" s="2323"/>
      <c r="M12" s="2323"/>
      <c r="N12" s="2324"/>
      <c r="P12" s="865"/>
      <c r="Q12" s="865"/>
      <c r="R12" s="865"/>
      <c r="S12" s="1021"/>
    </row>
    <row r="13" spans="1:39" ht="15.75" customHeight="1" thickBot="1">
      <c r="B13" s="324">
        <v>5</v>
      </c>
      <c r="C13" s="325">
        <v>6</v>
      </c>
      <c r="D13" s="326" t="s">
        <v>1594</v>
      </c>
      <c r="E13" s="327"/>
      <c r="F13" s="328"/>
      <c r="G13" s="329">
        <f t="shared" si="0"/>
        <v>0</v>
      </c>
      <c r="H13" s="2320"/>
      <c r="I13" s="2323"/>
      <c r="J13" s="2323"/>
      <c r="K13" s="2323"/>
      <c r="L13" s="2323"/>
      <c r="M13" s="2323"/>
      <c r="N13" s="2324"/>
      <c r="P13" s="865"/>
      <c r="Q13" s="865"/>
      <c r="R13" s="865"/>
      <c r="S13" s="1021"/>
    </row>
    <row r="14" spans="1:39" ht="15.75" customHeight="1" thickBot="1">
      <c r="B14" s="324">
        <v>6</v>
      </c>
      <c r="C14" s="325">
        <v>7</v>
      </c>
      <c r="D14" s="326" t="s">
        <v>1595</v>
      </c>
      <c r="E14" s="327"/>
      <c r="F14" s="328"/>
      <c r="G14" s="329">
        <f t="shared" si="0"/>
        <v>0</v>
      </c>
      <c r="H14" s="2320"/>
      <c r="I14" s="2323"/>
      <c r="J14" s="2323"/>
      <c r="K14" s="2323"/>
      <c r="L14" s="2323"/>
      <c r="M14" s="2323"/>
      <c r="N14" s="2324"/>
      <c r="P14" s="865"/>
      <c r="Q14" s="865"/>
      <c r="R14" s="865"/>
      <c r="S14" s="1021"/>
    </row>
    <row r="15" spans="1:39" ht="15.75" thickBot="1">
      <c r="B15" s="324">
        <v>7</v>
      </c>
      <c r="C15" s="325">
        <v>7</v>
      </c>
      <c r="D15" s="326" t="s">
        <v>1596</v>
      </c>
      <c r="E15" s="327"/>
      <c r="F15" s="328"/>
      <c r="G15" s="329">
        <f t="shared" si="0"/>
        <v>0</v>
      </c>
      <c r="H15" s="2320"/>
      <c r="I15" s="2323"/>
      <c r="J15" s="2323"/>
      <c r="K15" s="2323"/>
      <c r="L15" s="2323"/>
      <c r="M15" s="2323"/>
      <c r="N15" s="2324"/>
      <c r="P15" s="865"/>
      <c r="Q15" s="865"/>
      <c r="R15" s="865"/>
      <c r="S15" s="1021"/>
    </row>
    <row r="16" spans="1:39" ht="15.75" thickBot="1">
      <c r="B16" s="324">
        <v>8</v>
      </c>
      <c r="C16" s="325">
        <v>7</v>
      </c>
      <c r="D16" s="326" t="s">
        <v>1597</v>
      </c>
      <c r="E16" s="327"/>
      <c r="F16" s="328"/>
      <c r="G16" s="329">
        <f t="shared" si="0"/>
        <v>0</v>
      </c>
      <c r="H16" s="2320"/>
      <c r="I16" s="2323"/>
      <c r="J16" s="2323"/>
      <c r="K16" s="2323"/>
      <c r="L16" s="2323"/>
      <c r="M16" s="2323"/>
      <c r="N16" s="2324"/>
      <c r="P16" s="865"/>
      <c r="Q16" s="865"/>
      <c r="R16" s="865"/>
      <c r="S16" s="1021"/>
    </row>
    <row r="17" spans="2:19" ht="15.75" customHeight="1" thickBot="1">
      <c r="B17" s="324">
        <v>9</v>
      </c>
      <c r="C17" s="325">
        <v>7</v>
      </c>
      <c r="D17" s="326" t="s">
        <v>1598</v>
      </c>
      <c r="E17" s="327"/>
      <c r="F17" s="328"/>
      <c r="G17" s="329">
        <f t="shared" si="0"/>
        <v>0</v>
      </c>
      <c r="H17" s="2320"/>
      <c r="I17" s="2323"/>
      <c r="J17" s="2323"/>
      <c r="K17" s="2323"/>
      <c r="L17" s="2323"/>
      <c r="M17" s="2323"/>
      <c r="N17" s="2324"/>
      <c r="P17" s="865"/>
      <c r="Q17" s="865"/>
      <c r="R17" s="865"/>
      <c r="S17" s="1021"/>
    </row>
    <row r="18" spans="2:19" ht="15.75" customHeight="1" thickBot="1">
      <c r="B18" s="324">
        <v>10</v>
      </c>
      <c r="C18" s="325">
        <v>8</v>
      </c>
      <c r="D18" s="326" t="s">
        <v>1599</v>
      </c>
      <c r="E18" s="327"/>
      <c r="F18" s="328"/>
      <c r="G18" s="329">
        <f t="shared" si="0"/>
        <v>0</v>
      </c>
      <c r="H18" s="2320"/>
      <c r="I18" s="2323"/>
      <c r="J18" s="2323"/>
      <c r="K18" s="2323"/>
      <c r="L18" s="2323"/>
      <c r="M18" s="2323"/>
      <c r="N18" s="2324"/>
      <c r="P18" s="865"/>
      <c r="Q18" s="865"/>
      <c r="R18" s="865"/>
      <c r="S18" s="1021"/>
    </row>
    <row r="19" spans="2:19" ht="15.75" thickBot="1">
      <c r="B19" s="324">
        <v>11</v>
      </c>
      <c r="C19" s="325">
        <v>8</v>
      </c>
      <c r="D19" s="326" t="s">
        <v>1600</v>
      </c>
      <c r="E19" s="327"/>
      <c r="F19" s="328"/>
      <c r="G19" s="329">
        <f t="shared" si="0"/>
        <v>0</v>
      </c>
      <c r="H19" s="2320"/>
      <c r="I19" s="2323"/>
      <c r="J19" s="2323"/>
      <c r="K19" s="2323"/>
      <c r="L19" s="2323"/>
      <c r="M19" s="2323"/>
      <c r="N19" s="2324"/>
      <c r="P19" s="865"/>
      <c r="Q19" s="865"/>
      <c r="R19" s="865"/>
      <c r="S19" s="1021"/>
    </row>
    <row r="20" spans="2:19" ht="15.75" customHeight="1" thickBot="1">
      <c r="B20" s="324">
        <v>12</v>
      </c>
      <c r="C20" s="325">
        <v>9</v>
      </c>
      <c r="D20" s="326" t="s">
        <v>1601</v>
      </c>
      <c r="E20" s="327"/>
      <c r="F20" s="328"/>
      <c r="G20" s="329">
        <f t="shared" si="0"/>
        <v>0</v>
      </c>
      <c r="H20" s="2320"/>
      <c r="I20" s="2323"/>
      <c r="J20" s="2323"/>
      <c r="K20" s="2323"/>
      <c r="L20" s="2323"/>
      <c r="M20" s="2323"/>
      <c r="N20" s="2324"/>
      <c r="P20" s="865"/>
      <c r="Q20" s="865"/>
      <c r="R20" s="866"/>
      <c r="S20" s="1021"/>
    </row>
    <row r="21" spans="2:19" ht="15.75" thickBot="1">
      <c r="B21" s="324">
        <v>13</v>
      </c>
      <c r="C21" s="325">
        <v>9</v>
      </c>
      <c r="D21" s="326" t="s">
        <v>1602</v>
      </c>
      <c r="E21" s="327"/>
      <c r="F21" s="328"/>
      <c r="G21" s="329">
        <f t="shared" si="0"/>
        <v>0</v>
      </c>
      <c r="H21" s="2320"/>
      <c r="I21" s="2323"/>
      <c r="J21" s="2323"/>
      <c r="K21" s="2323"/>
      <c r="L21" s="2323"/>
      <c r="M21" s="2323"/>
      <c r="N21" s="2324"/>
      <c r="P21" s="865"/>
      <c r="Q21" s="865"/>
      <c r="R21" s="865"/>
      <c r="S21" s="1021"/>
    </row>
    <row r="22" spans="2:19" ht="15.75" thickBot="1">
      <c r="B22" s="324">
        <v>14</v>
      </c>
      <c r="C22" s="325">
        <v>9</v>
      </c>
      <c r="D22" s="326" t="s">
        <v>1603</v>
      </c>
      <c r="E22" s="327"/>
      <c r="F22" s="328"/>
      <c r="G22" s="329">
        <f t="shared" si="0"/>
        <v>0</v>
      </c>
      <c r="H22" s="2320"/>
      <c r="I22" s="2323"/>
      <c r="J22" s="2323"/>
      <c r="K22" s="2323"/>
      <c r="L22" s="2323"/>
      <c r="M22" s="2323"/>
      <c r="N22" s="2324"/>
      <c r="P22" s="865"/>
      <c r="Q22" s="865"/>
      <c r="R22" s="866"/>
      <c r="S22" s="1021"/>
    </row>
    <row r="23" spans="2:19" ht="15.75" thickBot="1">
      <c r="B23" s="324">
        <v>15</v>
      </c>
      <c r="C23" s="325">
        <v>9</v>
      </c>
      <c r="D23" s="326" t="s">
        <v>1604</v>
      </c>
      <c r="E23" s="327"/>
      <c r="F23" s="328"/>
      <c r="G23" s="329">
        <f t="shared" si="0"/>
        <v>0</v>
      </c>
      <c r="H23" s="2320"/>
      <c r="I23" s="2323"/>
      <c r="J23" s="2323"/>
      <c r="K23" s="2323"/>
      <c r="L23" s="2323"/>
      <c r="M23" s="2323"/>
      <c r="N23" s="2324"/>
      <c r="P23" s="865"/>
      <c r="Q23" s="865"/>
      <c r="R23" s="866"/>
      <c r="S23" s="1021"/>
    </row>
    <row r="24" spans="2:19" ht="15.75" customHeight="1" thickBot="1">
      <c r="B24" s="324">
        <v>16</v>
      </c>
      <c r="C24" s="325">
        <v>9</v>
      </c>
      <c r="D24" s="326" t="s">
        <v>1605</v>
      </c>
      <c r="E24" s="327"/>
      <c r="F24" s="328"/>
      <c r="G24" s="329">
        <f t="shared" si="0"/>
        <v>0</v>
      </c>
      <c r="H24" s="2320"/>
      <c r="I24" s="2323"/>
      <c r="J24" s="2323"/>
      <c r="K24" s="2323"/>
      <c r="L24" s="2323"/>
      <c r="M24" s="2323"/>
      <c r="N24" s="2324"/>
      <c r="P24" s="865"/>
      <c r="Q24" s="865"/>
      <c r="R24" s="866"/>
      <c r="S24" s="1021"/>
    </row>
    <row r="25" spans="2:19" ht="15.75" customHeight="1" thickBot="1">
      <c r="B25" s="324">
        <v>17</v>
      </c>
      <c r="C25" s="325">
        <v>9</v>
      </c>
      <c r="D25" s="326" t="s">
        <v>1606</v>
      </c>
      <c r="E25" s="327"/>
      <c r="F25" s="328"/>
      <c r="G25" s="329">
        <f t="shared" si="0"/>
        <v>0</v>
      </c>
      <c r="H25" s="2320"/>
      <c r="I25" s="2323"/>
      <c r="J25" s="2323"/>
      <c r="K25" s="2323"/>
      <c r="L25" s="2323"/>
      <c r="M25" s="2323"/>
      <c r="N25" s="2324"/>
      <c r="P25" s="865"/>
      <c r="Q25" s="865"/>
      <c r="R25" s="865"/>
      <c r="S25" s="1021"/>
    </row>
    <row r="26" spans="2:19" ht="15.75" customHeight="1" thickBot="1">
      <c r="B26" s="324">
        <v>18</v>
      </c>
      <c r="C26" s="325">
        <v>9</v>
      </c>
      <c r="D26" s="326" t="s">
        <v>1607</v>
      </c>
      <c r="E26" s="327"/>
      <c r="F26" s="328"/>
      <c r="G26" s="329">
        <f t="shared" si="0"/>
        <v>0</v>
      </c>
      <c r="H26" s="2320"/>
      <c r="I26" s="2323"/>
      <c r="J26" s="2323"/>
      <c r="K26" s="2323"/>
      <c r="L26" s="2323"/>
      <c r="M26" s="2323"/>
      <c r="N26" s="2324"/>
      <c r="P26" s="865"/>
      <c r="Q26" s="865"/>
      <c r="R26" s="865"/>
      <c r="S26" s="1021"/>
    </row>
    <row r="27" spans="2:19" ht="15.75" thickBot="1">
      <c r="B27" s="324">
        <v>19</v>
      </c>
      <c r="C27" s="325">
        <v>10</v>
      </c>
      <c r="D27" s="326" t="s">
        <v>1608</v>
      </c>
      <c r="E27" s="327"/>
      <c r="F27" s="328"/>
      <c r="G27" s="329">
        <f t="shared" si="0"/>
        <v>0</v>
      </c>
      <c r="H27" s="2320"/>
      <c r="I27" s="2323"/>
      <c r="J27" s="2323"/>
      <c r="K27" s="2323"/>
      <c r="L27" s="2323"/>
      <c r="M27" s="2323"/>
      <c r="N27" s="2324"/>
      <c r="P27" s="865"/>
      <c r="Q27" s="865"/>
      <c r="R27" s="865"/>
      <c r="S27" s="1021"/>
    </row>
    <row r="28" spans="2:19" ht="15.75" customHeight="1" thickBot="1">
      <c r="B28" s="324">
        <v>20</v>
      </c>
      <c r="C28" s="325">
        <v>11</v>
      </c>
      <c r="D28" s="326" t="s">
        <v>1609</v>
      </c>
      <c r="E28" s="327"/>
      <c r="F28" s="328"/>
      <c r="G28" s="329">
        <f t="shared" si="0"/>
        <v>0</v>
      </c>
      <c r="H28" s="2320"/>
      <c r="I28" s="2323"/>
      <c r="J28" s="2323"/>
      <c r="K28" s="2323"/>
      <c r="L28" s="2323"/>
      <c r="M28" s="2323"/>
      <c r="N28" s="2324"/>
      <c r="P28" s="865"/>
      <c r="Q28" s="865"/>
      <c r="R28" s="866"/>
      <c r="S28" s="1021"/>
    </row>
    <row r="29" spans="2:19" ht="15.75" thickBot="1">
      <c r="B29" s="324">
        <v>21</v>
      </c>
      <c r="C29" s="325">
        <v>11</v>
      </c>
      <c r="D29" s="326" t="s">
        <v>1610</v>
      </c>
      <c r="E29" s="327"/>
      <c r="F29" s="328"/>
      <c r="G29" s="329">
        <f t="shared" si="0"/>
        <v>0</v>
      </c>
      <c r="H29" s="2320"/>
      <c r="I29" s="2323"/>
      <c r="J29" s="2323"/>
      <c r="K29" s="2323"/>
      <c r="L29" s="2323"/>
      <c r="M29" s="2323"/>
      <c r="N29" s="2324"/>
      <c r="P29" s="865"/>
      <c r="Q29" s="865"/>
      <c r="R29" s="865"/>
      <c r="S29" s="1021"/>
    </row>
    <row r="30" spans="2:19" ht="15.75" thickBot="1">
      <c r="B30" s="324">
        <v>22</v>
      </c>
      <c r="C30" s="325">
        <v>11</v>
      </c>
      <c r="D30" s="326" t="s">
        <v>1611</v>
      </c>
      <c r="E30" s="327"/>
      <c r="F30" s="328"/>
      <c r="G30" s="329">
        <f t="shared" si="0"/>
        <v>0</v>
      </c>
      <c r="H30" s="2320"/>
      <c r="I30" s="2323"/>
      <c r="J30" s="2323"/>
      <c r="K30" s="2323"/>
      <c r="L30" s="2323"/>
      <c r="M30" s="2323"/>
      <c r="N30" s="2324"/>
      <c r="P30" s="865"/>
      <c r="Q30" s="865"/>
      <c r="R30" s="865"/>
      <c r="S30" s="1021"/>
    </row>
    <row r="31" spans="2:19" ht="15.75" customHeight="1" thickBot="1">
      <c r="B31" s="324">
        <v>23</v>
      </c>
      <c r="C31" s="325">
        <v>12</v>
      </c>
      <c r="D31" s="326" t="s">
        <v>1612</v>
      </c>
      <c r="E31" s="327"/>
      <c r="F31" s="328"/>
      <c r="G31" s="329">
        <f t="shared" si="0"/>
        <v>0</v>
      </c>
      <c r="H31" s="2320"/>
      <c r="I31" s="2323"/>
      <c r="J31" s="2323"/>
      <c r="K31" s="2323"/>
      <c r="L31" s="2323"/>
      <c r="M31" s="2323"/>
      <c r="N31" s="2324"/>
      <c r="P31" s="865"/>
      <c r="Q31" s="865"/>
      <c r="R31" s="865"/>
      <c r="S31" s="1021"/>
    </row>
    <row r="32" spans="2:19" ht="15.75" thickBot="1">
      <c r="B32" s="324">
        <v>24</v>
      </c>
      <c r="C32" s="325">
        <v>12</v>
      </c>
      <c r="D32" s="326" t="s">
        <v>1613</v>
      </c>
      <c r="E32" s="327"/>
      <c r="F32" s="328"/>
      <c r="G32" s="329">
        <f t="shared" si="0"/>
        <v>0</v>
      </c>
      <c r="H32" s="2320"/>
      <c r="I32" s="2323"/>
      <c r="J32" s="2323"/>
      <c r="K32" s="2323"/>
      <c r="L32" s="2323"/>
      <c r="M32" s="2323"/>
      <c r="N32" s="2324"/>
      <c r="P32" s="865"/>
      <c r="Q32" s="865"/>
      <c r="R32" s="866"/>
      <c r="S32" s="1021"/>
    </row>
    <row r="33" spans="2:19" ht="15.75" customHeight="1" thickBot="1">
      <c r="B33" s="324">
        <v>25</v>
      </c>
      <c r="C33" s="325">
        <v>13</v>
      </c>
      <c r="D33" s="326" t="s">
        <v>1614</v>
      </c>
      <c r="E33" s="327"/>
      <c r="F33" s="328"/>
      <c r="G33" s="329">
        <f t="shared" si="0"/>
        <v>0</v>
      </c>
      <c r="H33" s="2320"/>
      <c r="I33" s="2323"/>
      <c r="J33" s="2323"/>
      <c r="K33" s="2323"/>
      <c r="L33" s="2323"/>
      <c r="M33" s="2323"/>
      <c r="N33" s="2324"/>
      <c r="P33" s="865"/>
      <c r="Q33" s="865"/>
      <c r="R33" s="865"/>
      <c r="S33" s="1021"/>
    </row>
    <row r="34" spans="2:19" ht="15.75" thickBot="1">
      <c r="B34" s="324">
        <v>26</v>
      </c>
      <c r="C34" s="325">
        <v>14</v>
      </c>
      <c r="D34" s="326" t="s">
        <v>1615</v>
      </c>
      <c r="E34" s="327"/>
      <c r="F34" s="328"/>
      <c r="G34" s="329">
        <f t="shared" si="0"/>
        <v>0</v>
      </c>
      <c r="H34" s="2320"/>
      <c r="I34" s="2323"/>
      <c r="J34" s="2323"/>
      <c r="K34" s="2323"/>
      <c r="L34" s="2323"/>
      <c r="M34" s="2323"/>
      <c r="N34" s="2324"/>
      <c r="P34" s="865"/>
      <c r="Q34" s="865"/>
      <c r="R34" s="866"/>
      <c r="S34" s="1021"/>
    </row>
    <row r="35" spans="2:19" ht="15.75" customHeight="1" thickBot="1">
      <c r="B35" s="324">
        <v>27</v>
      </c>
      <c r="C35" s="325">
        <v>15</v>
      </c>
      <c r="D35" s="326" t="s">
        <v>1616</v>
      </c>
      <c r="E35" s="327"/>
      <c r="F35" s="328"/>
      <c r="G35" s="329">
        <f t="shared" si="0"/>
        <v>0</v>
      </c>
      <c r="H35" s="2320"/>
      <c r="I35" s="2323"/>
      <c r="J35" s="2323"/>
      <c r="K35" s="2323"/>
      <c r="L35" s="2323"/>
      <c r="M35" s="2323"/>
      <c r="N35" s="2324"/>
      <c r="P35" s="865"/>
      <c r="Q35" s="865"/>
      <c r="R35" s="865"/>
      <c r="S35" s="1021"/>
    </row>
    <row r="36" spans="2:19" ht="15.75" customHeight="1" thickBot="1">
      <c r="B36" s="324">
        <v>28</v>
      </c>
      <c r="C36" s="325">
        <v>15</v>
      </c>
      <c r="D36" s="326" t="s">
        <v>1617</v>
      </c>
      <c r="E36" s="327"/>
      <c r="F36" s="328"/>
      <c r="G36" s="329">
        <f t="shared" si="0"/>
        <v>0</v>
      </c>
      <c r="H36" s="2320"/>
      <c r="I36" s="2323"/>
      <c r="J36" s="2323"/>
      <c r="K36" s="2323"/>
      <c r="L36" s="2323"/>
      <c r="M36" s="2323"/>
      <c r="N36" s="2324"/>
      <c r="P36" s="865"/>
      <c r="Q36" s="865"/>
      <c r="R36" s="865"/>
      <c r="S36" s="1021"/>
    </row>
    <row r="37" spans="2:19" ht="15.75" customHeight="1" thickBot="1">
      <c r="B37" s="324">
        <v>29</v>
      </c>
      <c r="C37" s="325">
        <v>15</v>
      </c>
      <c r="D37" s="326" t="s">
        <v>1618</v>
      </c>
      <c r="E37" s="327"/>
      <c r="F37" s="328"/>
      <c r="G37" s="329">
        <f t="shared" si="0"/>
        <v>0</v>
      </c>
      <c r="H37" s="2320"/>
      <c r="I37" s="2323"/>
      <c r="J37" s="2323"/>
      <c r="K37" s="2323"/>
      <c r="L37" s="2323"/>
      <c r="M37" s="2323"/>
      <c r="N37" s="2324"/>
      <c r="P37" s="865"/>
      <c r="Q37" s="865"/>
      <c r="R37" s="866"/>
      <c r="S37" s="1021"/>
    </row>
    <row r="38" spans="2:19" ht="15.75" thickBot="1">
      <c r="B38" s="324">
        <v>30</v>
      </c>
      <c r="C38" s="325">
        <v>16</v>
      </c>
      <c r="D38" s="326" t="s">
        <v>1619</v>
      </c>
      <c r="E38" s="327"/>
      <c r="F38" s="328"/>
      <c r="G38" s="329">
        <f t="shared" si="0"/>
        <v>0</v>
      </c>
      <c r="H38" s="2320"/>
      <c r="I38" s="2323"/>
      <c r="J38" s="2323"/>
      <c r="K38" s="2323"/>
      <c r="L38" s="2323"/>
      <c r="M38" s="2323"/>
      <c r="N38" s="2324"/>
      <c r="P38" s="865"/>
      <c r="Q38" s="865"/>
      <c r="R38" s="865"/>
      <c r="S38" s="1021"/>
    </row>
    <row r="39" spans="2:19" ht="15.75" customHeight="1" thickBot="1">
      <c r="B39" s="324">
        <v>31</v>
      </c>
      <c r="C39" s="325"/>
      <c r="D39" s="330" t="s">
        <v>1620</v>
      </c>
      <c r="E39" s="331"/>
      <c r="F39" s="332"/>
      <c r="G39" s="724">
        <f>SUM(G9:G38)</f>
        <v>0</v>
      </c>
      <c r="H39" s="2320"/>
      <c r="I39" s="2323"/>
      <c r="J39" s="2323"/>
      <c r="K39" s="2323"/>
      <c r="L39" s="2323"/>
      <c r="M39" s="2323"/>
      <c r="N39" s="2324"/>
      <c r="P39" s="840">
        <f>SUM(P9:P38)</f>
        <v>0</v>
      </c>
      <c r="Q39" s="840">
        <f>SUM(Q9:Q38)</f>
        <v>0</v>
      </c>
      <c r="R39" s="841">
        <f>SUM(R9:R38)</f>
        <v>0</v>
      </c>
      <c r="S39" s="1021"/>
    </row>
    <row r="40" spans="2:19" ht="15.75" thickBot="1">
      <c r="B40" s="324">
        <v>32</v>
      </c>
      <c r="C40" s="325">
        <v>2</v>
      </c>
      <c r="D40" s="326" t="s">
        <v>1621</v>
      </c>
      <c r="E40" s="327"/>
      <c r="F40" s="328"/>
      <c r="G40" s="329">
        <f t="shared" si="0"/>
        <v>0</v>
      </c>
      <c r="H40" s="2320"/>
      <c r="I40" s="2323"/>
      <c r="J40" s="2323"/>
      <c r="K40" s="2323"/>
      <c r="L40" s="2323"/>
      <c r="M40" s="2323"/>
      <c r="N40" s="2324"/>
      <c r="P40" s="865"/>
      <c r="Q40" s="865"/>
      <c r="R40" s="865"/>
      <c r="S40" s="1021"/>
    </row>
    <row r="41" spans="2:19" ht="15.75" thickBot="1">
      <c r="B41" s="324">
        <v>33</v>
      </c>
      <c r="C41" s="325">
        <v>2</v>
      </c>
      <c r="D41" s="326" t="s">
        <v>1259</v>
      </c>
      <c r="E41" s="327"/>
      <c r="F41" s="328"/>
      <c r="G41" s="329">
        <f t="shared" si="0"/>
        <v>0</v>
      </c>
      <c r="H41" s="2320"/>
      <c r="I41" s="2323"/>
      <c r="J41" s="2323"/>
      <c r="K41" s="2323"/>
      <c r="L41" s="2323"/>
      <c r="M41" s="2323"/>
      <c r="N41" s="2324"/>
      <c r="P41" s="865"/>
      <c r="Q41" s="865"/>
      <c r="R41" s="865"/>
      <c r="S41" s="1021"/>
    </row>
    <row r="42" spans="2:19" ht="15.75" customHeight="1" thickBot="1">
      <c r="B42" s="324">
        <v>34</v>
      </c>
      <c r="C42" s="325">
        <v>2</v>
      </c>
      <c r="D42" s="326" t="s">
        <v>1622</v>
      </c>
      <c r="E42" s="327"/>
      <c r="F42" s="328"/>
      <c r="G42" s="329">
        <f t="shared" si="0"/>
        <v>0</v>
      </c>
      <c r="H42" s="2320"/>
      <c r="I42" s="2323"/>
      <c r="J42" s="2323"/>
      <c r="K42" s="2323"/>
      <c r="L42" s="2323"/>
      <c r="M42" s="2323"/>
      <c r="N42" s="2324"/>
      <c r="P42" s="865"/>
      <c r="Q42" s="865"/>
      <c r="R42" s="865"/>
      <c r="S42" s="1021"/>
    </row>
    <row r="43" spans="2:19" ht="15.75" customHeight="1" thickBot="1">
      <c r="B43" s="324">
        <v>35</v>
      </c>
      <c r="C43" s="325">
        <v>2</v>
      </c>
      <c r="D43" s="326" t="s">
        <v>1623</v>
      </c>
      <c r="E43" s="327"/>
      <c r="F43" s="328"/>
      <c r="G43" s="329">
        <f t="shared" si="0"/>
        <v>0</v>
      </c>
      <c r="H43" s="2320"/>
      <c r="I43" s="2323"/>
      <c r="J43" s="2323"/>
      <c r="K43" s="2323"/>
      <c r="L43" s="2323"/>
      <c r="M43" s="2323"/>
      <c r="N43" s="2324"/>
      <c r="P43" s="865"/>
      <c r="Q43" s="865"/>
      <c r="R43" s="865"/>
      <c r="S43" s="1021"/>
    </row>
    <row r="44" spans="2:19" ht="15.75" customHeight="1" thickBot="1">
      <c r="B44" s="324">
        <v>36</v>
      </c>
      <c r="C44" s="325">
        <v>2</v>
      </c>
      <c r="D44" s="326" t="s">
        <v>1624</v>
      </c>
      <c r="E44" s="327"/>
      <c r="F44" s="328"/>
      <c r="G44" s="329">
        <f t="shared" si="0"/>
        <v>0</v>
      </c>
      <c r="H44" s="2320"/>
      <c r="I44" s="2323"/>
      <c r="J44" s="2323"/>
      <c r="K44" s="2323"/>
      <c r="L44" s="2323"/>
      <c r="M44" s="2323"/>
      <c r="N44" s="2324"/>
      <c r="P44" s="865"/>
      <c r="Q44" s="865"/>
      <c r="R44" s="865"/>
      <c r="S44" s="1021"/>
    </row>
    <row r="45" spans="2:19" ht="15.75" customHeight="1" thickBot="1">
      <c r="B45" s="324">
        <v>37</v>
      </c>
      <c r="C45" s="325">
        <v>2</v>
      </c>
      <c r="D45" s="326" t="s">
        <v>1625</v>
      </c>
      <c r="E45" s="327"/>
      <c r="F45" s="328"/>
      <c r="G45" s="329">
        <f t="shared" si="0"/>
        <v>0</v>
      </c>
      <c r="H45" s="2320"/>
      <c r="I45" s="2323"/>
      <c r="J45" s="2323"/>
      <c r="K45" s="2323"/>
      <c r="L45" s="2323"/>
      <c r="M45" s="2323"/>
      <c r="N45" s="2324"/>
      <c r="P45" s="865"/>
      <c r="Q45" s="865"/>
      <c r="R45" s="865"/>
      <c r="S45" s="1021"/>
    </row>
    <row r="46" spans="2:19" ht="15.75" customHeight="1" thickBot="1">
      <c r="B46" s="324">
        <v>38</v>
      </c>
      <c r="C46" s="325">
        <v>2</v>
      </c>
      <c r="D46" s="326" t="s">
        <v>1626</v>
      </c>
      <c r="E46" s="327"/>
      <c r="F46" s="328"/>
      <c r="G46" s="329">
        <f t="shared" si="0"/>
        <v>0</v>
      </c>
      <c r="H46" s="2320"/>
      <c r="I46" s="2323"/>
      <c r="J46" s="2323"/>
      <c r="K46" s="2323"/>
      <c r="L46" s="2323"/>
      <c r="M46" s="2323"/>
      <c r="N46" s="2324"/>
      <c r="P46" s="865"/>
      <c r="Q46" s="865"/>
      <c r="R46" s="865"/>
      <c r="S46" s="1021"/>
    </row>
    <row r="47" spans="2:19" ht="15.75" customHeight="1" thickBot="1">
      <c r="B47" s="333">
        <v>39</v>
      </c>
      <c r="C47" s="334"/>
      <c r="D47" s="330" t="s">
        <v>1627</v>
      </c>
      <c r="E47" s="331"/>
      <c r="F47" s="332"/>
      <c r="G47" s="724">
        <f>SUM(G40:G46)</f>
        <v>0</v>
      </c>
      <c r="H47" s="2320"/>
      <c r="I47" s="2323"/>
      <c r="J47" s="2323"/>
      <c r="K47" s="2323"/>
      <c r="L47" s="2323"/>
      <c r="M47" s="2323"/>
      <c r="N47" s="2324"/>
      <c r="P47" s="840">
        <f>SUM(P40:P46)</f>
        <v>0</v>
      </c>
      <c r="Q47" s="840">
        <f>SUM(Q40:Q46)</f>
        <v>0</v>
      </c>
      <c r="R47" s="841">
        <f>SUM(R40:R46)</f>
        <v>0</v>
      </c>
      <c r="S47" s="1021"/>
    </row>
    <row r="48" spans="2:19" ht="16.5" customHeight="1" thickBot="1">
      <c r="B48" s="335">
        <v>40</v>
      </c>
      <c r="C48" s="336"/>
      <c r="D48" s="330" t="s">
        <v>1628</v>
      </c>
      <c r="E48" s="331"/>
      <c r="F48" s="332"/>
      <c r="G48" s="725">
        <f>SUM(G47,G39)</f>
        <v>0</v>
      </c>
      <c r="H48" s="2320"/>
      <c r="I48" s="2323"/>
      <c r="J48" s="2323"/>
      <c r="K48" s="2323"/>
      <c r="L48" s="2323"/>
      <c r="M48" s="2323"/>
      <c r="N48" s="2324"/>
      <c r="P48" s="840">
        <f>SUM(P47,P39)</f>
        <v>0</v>
      </c>
      <c r="Q48" s="840">
        <f>SUM(Q47,Q39)</f>
        <v>0</v>
      </c>
      <c r="R48" s="841">
        <f>SUM(R47,R39)</f>
        <v>0</v>
      </c>
      <c r="S48" s="1021"/>
    </row>
    <row r="49" spans="2:19" ht="15.75" customHeight="1" thickBot="1">
      <c r="B49" s="335">
        <v>41</v>
      </c>
      <c r="C49" s="336"/>
      <c r="D49" s="330" t="s">
        <v>1629</v>
      </c>
      <c r="E49" s="327"/>
      <c r="F49" s="328"/>
      <c r="G49" s="329">
        <f>SUM(P49:R49)</f>
        <v>0</v>
      </c>
      <c r="H49" s="1365" t="e">
        <f>SUM(G49/G48)</f>
        <v>#DIV/0!</v>
      </c>
      <c r="I49" s="2325"/>
      <c r="J49" s="2323"/>
      <c r="K49" s="2323"/>
      <c r="L49" s="2323"/>
      <c r="M49" s="2323"/>
      <c r="N49" s="2324"/>
      <c r="P49" s="1519"/>
      <c r="Q49" s="1519"/>
      <c r="R49" s="865"/>
      <c r="S49" s="1021"/>
    </row>
    <row r="50" spans="2:19" ht="15.75" customHeight="1" thickBot="1">
      <c r="B50" s="335">
        <v>42</v>
      </c>
      <c r="C50" s="336"/>
      <c r="D50" s="330" t="s">
        <v>1630</v>
      </c>
      <c r="E50" s="331"/>
      <c r="F50" s="332"/>
      <c r="G50" s="724">
        <f>G48+G49</f>
        <v>0</v>
      </c>
      <c r="H50" s="2329"/>
      <c r="I50" s="2323"/>
      <c r="J50" s="2323"/>
      <c r="K50" s="2323"/>
      <c r="L50" s="2323"/>
      <c r="M50" s="2323"/>
      <c r="N50" s="2324"/>
      <c r="P50" s="840">
        <f>SUM(P48:P49)</f>
        <v>0</v>
      </c>
      <c r="Q50" s="840">
        <f>SUM(Q48:Q49)</f>
        <v>0</v>
      </c>
      <c r="R50" s="840">
        <f>SUM(R48:R49)</f>
        <v>0</v>
      </c>
      <c r="S50" s="1021"/>
    </row>
    <row r="51" spans="2:19" ht="15.75" customHeight="1" thickBot="1">
      <c r="B51" s="335">
        <v>43</v>
      </c>
      <c r="C51" s="336"/>
      <c r="D51" s="326" t="s">
        <v>1631</v>
      </c>
      <c r="E51" s="327"/>
      <c r="F51" s="328"/>
      <c r="G51" s="329">
        <f>SUM(P51:R51)</f>
        <v>0</v>
      </c>
      <c r="H51" s="1366" t="e">
        <f>SUM(G51/G50)</f>
        <v>#DIV/0!</v>
      </c>
      <c r="I51" s="2325"/>
      <c r="J51" s="2323"/>
      <c r="K51" s="2323"/>
      <c r="L51" s="2323"/>
      <c r="M51" s="2323"/>
      <c r="N51" s="2324"/>
      <c r="P51" s="865"/>
      <c r="Q51" s="865"/>
      <c r="R51" s="865"/>
      <c r="S51" s="1021"/>
    </row>
    <row r="52" spans="2:19" ht="15.75" customHeight="1" thickBot="1">
      <c r="B52" s="337">
        <v>44</v>
      </c>
      <c r="C52" s="338"/>
      <c r="D52" s="326" t="s">
        <v>1632</v>
      </c>
      <c r="E52" s="327"/>
      <c r="F52" s="328"/>
      <c r="G52" s="329">
        <f>SUM(P52:R52)</f>
        <v>0</v>
      </c>
      <c r="H52" s="1366" t="e">
        <f>SUM(G52/G50)</f>
        <v>#DIV/0!</v>
      </c>
      <c r="I52" s="2325"/>
      <c r="J52" s="2323"/>
      <c r="K52" s="2323"/>
      <c r="L52" s="2323"/>
      <c r="M52" s="2323"/>
      <c r="N52" s="2324"/>
      <c r="P52" s="865"/>
      <c r="Q52" s="865"/>
      <c r="R52" s="865"/>
      <c r="S52" s="1021"/>
    </row>
    <row r="53" spans="2:19" ht="15.75" customHeight="1" thickBot="1">
      <c r="B53" s="324">
        <v>45</v>
      </c>
      <c r="C53" s="325"/>
      <c r="D53" s="330" t="s">
        <v>1633</v>
      </c>
      <c r="E53" s="331"/>
      <c r="F53" s="332"/>
      <c r="G53" s="329">
        <f>SUM(P53:R53)</f>
        <v>0</v>
      </c>
      <c r="H53" s="2320"/>
      <c r="I53" s="2323"/>
      <c r="J53" s="2323"/>
      <c r="K53" s="2323"/>
      <c r="L53" s="2323"/>
      <c r="M53" s="2323"/>
      <c r="N53" s="2324"/>
      <c r="P53" s="865"/>
      <c r="Q53" s="865"/>
      <c r="R53" s="865"/>
      <c r="S53" s="1021"/>
    </row>
    <row r="54" spans="2:19" ht="16.5" customHeight="1" thickBot="1">
      <c r="B54" s="324">
        <v>46</v>
      </c>
      <c r="C54" s="325"/>
      <c r="D54" s="326" t="s">
        <v>1634</v>
      </c>
      <c r="E54" s="327"/>
      <c r="F54" s="328"/>
      <c r="G54" s="329">
        <f>SUM(P54:R54)</f>
        <v>0</v>
      </c>
      <c r="H54" s="2320"/>
      <c r="I54" s="2323"/>
      <c r="J54" s="2323"/>
      <c r="K54" s="2323"/>
      <c r="L54" s="2323"/>
      <c r="M54" s="2323"/>
      <c r="N54" s="2324"/>
      <c r="P54" s="865"/>
      <c r="Q54" s="865"/>
      <c r="R54" s="865"/>
      <c r="S54" s="1021"/>
    </row>
    <row r="55" spans="2:19" ht="15.75" customHeight="1" thickBot="1">
      <c r="B55" s="339">
        <v>47</v>
      </c>
      <c r="C55" s="340"/>
      <c r="D55" s="341" t="s">
        <v>1635</v>
      </c>
      <c r="E55" s="342"/>
      <c r="F55" s="343"/>
      <c r="G55" s="726">
        <f>SUM(G50:G54)</f>
        <v>0</v>
      </c>
      <c r="H55" s="2326"/>
      <c r="I55" s="2327"/>
      <c r="J55" s="2327"/>
      <c r="K55" s="2327"/>
      <c r="L55" s="2327"/>
      <c r="M55" s="2327"/>
      <c r="N55" s="2328"/>
      <c r="P55" s="840">
        <f>SUM(P50:P54)</f>
        <v>0</v>
      </c>
      <c r="Q55" s="840">
        <f>SUM(Q50:Q54)</f>
        <v>0</v>
      </c>
      <c r="R55" s="841">
        <f>SUM(R50:R54)</f>
        <v>0</v>
      </c>
      <c r="S55" s="1021"/>
    </row>
    <row r="56" spans="2:19" ht="15.75" customHeight="1" thickTop="1">
      <c r="B56" s="344"/>
      <c r="C56" s="344"/>
      <c r="D56" s="345"/>
      <c r="E56" s="345"/>
      <c r="F56" s="345"/>
      <c r="G56" s="344"/>
      <c r="H56" s="344"/>
      <c r="I56" s="344"/>
      <c r="J56" s="344"/>
      <c r="K56" s="344"/>
      <c r="L56" s="344"/>
      <c r="M56" s="344"/>
      <c r="N56" s="344"/>
    </row>
    <row r="57" spans="2:19" ht="15.75" customHeight="1" thickBot="1">
      <c r="B57" s="346" t="s">
        <v>622</v>
      </c>
      <c r="C57" s="346"/>
      <c r="D57" s="346"/>
      <c r="E57" s="347"/>
      <c r="F57" s="347"/>
      <c r="G57" s="347"/>
      <c r="H57" s="348" t="s">
        <v>1636</v>
      </c>
      <c r="I57" s="347"/>
      <c r="J57" s="347"/>
      <c r="K57" s="347"/>
      <c r="L57" s="347"/>
      <c r="M57" s="346" t="s">
        <v>1637</v>
      </c>
      <c r="N57" s="347"/>
    </row>
    <row r="58" spans="2:19" ht="15.75" customHeight="1" thickBot="1">
      <c r="B58" s="346" t="s">
        <v>1022</v>
      </c>
      <c r="C58" s="346"/>
      <c r="D58" s="346"/>
      <c r="E58" s="349"/>
      <c r="F58" s="349"/>
      <c r="G58" s="349"/>
      <c r="H58" s="348" t="s">
        <v>1636</v>
      </c>
      <c r="I58" s="349"/>
      <c r="J58" s="349"/>
      <c r="K58" s="349"/>
      <c r="L58" s="349"/>
      <c r="M58" s="346" t="s">
        <v>1637</v>
      </c>
      <c r="N58" s="347"/>
    </row>
    <row r="59" spans="2:19" ht="15.75" customHeight="1" thickBot="1">
      <c r="B59" s="346" t="s">
        <v>1638</v>
      </c>
      <c r="C59" s="346"/>
      <c r="D59" s="346"/>
      <c r="E59" s="349"/>
      <c r="F59" s="349"/>
      <c r="G59" s="349"/>
      <c r="H59" s="348" t="s">
        <v>1636</v>
      </c>
      <c r="I59" s="349"/>
      <c r="J59" s="349"/>
      <c r="K59" s="349"/>
      <c r="L59" s="349"/>
      <c r="M59" s="346" t="s">
        <v>1637</v>
      </c>
      <c r="N59" s="347"/>
    </row>
    <row r="60" spans="2:19" ht="15.75" thickBot="1">
      <c r="B60" s="346" t="s">
        <v>1639</v>
      </c>
      <c r="C60" s="346"/>
      <c r="D60" s="346"/>
      <c r="E60" s="349"/>
      <c r="F60" s="349"/>
      <c r="G60" s="349"/>
      <c r="H60" s="348" t="s">
        <v>1636</v>
      </c>
      <c r="I60" s="349"/>
      <c r="J60" s="349"/>
      <c r="K60" s="349"/>
      <c r="L60" s="349"/>
      <c r="M60" s="346" t="s">
        <v>1637</v>
      </c>
      <c r="N60" s="347"/>
    </row>
    <row r="61" spans="2:19">
      <c r="B61" s="350"/>
      <c r="C61" s="350"/>
      <c r="D61" s="350"/>
      <c r="E61" s="350"/>
      <c r="F61" s="350"/>
      <c r="G61" s="350"/>
      <c r="H61" s="350"/>
      <c r="I61" s="350"/>
      <c r="J61" s="350"/>
      <c r="K61" s="350"/>
      <c r="L61" s="350"/>
      <c r="M61" s="350"/>
      <c r="N61" s="350"/>
    </row>
    <row r="62" spans="2:19">
      <c r="B62" s="348"/>
      <c r="N62" s="348" t="s">
        <v>1640</v>
      </c>
    </row>
    <row r="63" spans="2:19"/>
    <row r="64" spans="2:19"/>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sheetData>
  <sheetProtection algorithmName="SHA-512" hashValue="2LULy1DzzniSbH6SNvEms9QJUSGqWsfnsoQzolNC2pLi8OnL5g5XNI8Alf6/fqZ0WVdx1VU0YzCefkV0ntW/Yg==" saltValue="ZJWHFQYM1YA9X+lTg2fZ2Q==" spinCount="100000" sheet="1" objects="1" scenarios="1" formatCells="0" formatColumns="0" formatRows="0"/>
  <mergeCells count="49">
    <mergeCell ref="I52:N52"/>
    <mergeCell ref="H53:N53"/>
    <mergeCell ref="H54:N54"/>
    <mergeCell ref="H55:N55"/>
    <mergeCell ref="H47:N47"/>
    <mergeCell ref="H48:N48"/>
    <mergeCell ref="I49:N49"/>
    <mergeCell ref="H50:N50"/>
    <mergeCell ref="I51:N51"/>
    <mergeCell ref="H42:N42"/>
    <mergeCell ref="H43:N43"/>
    <mergeCell ref="H44:N44"/>
    <mergeCell ref="H45:N45"/>
    <mergeCell ref="H46:N46"/>
    <mergeCell ref="H37:N37"/>
    <mergeCell ref="H38:N38"/>
    <mergeCell ref="H39:N39"/>
    <mergeCell ref="H40:N40"/>
    <mergeCell ref="H41:N41"/>
    <mergeCell ref="H32:N32"/>
    <mergeCell ref="H33:N33"/>
    <mergeCell ref="H34:N34"/>
    <mergeCell ref="H35:N35"/>
    <mergeCell ref="H36:N36"/>
    <mergeCell ref="H27:N27"/>
    <mergeCell ref="H28:N28"/>
    <mergeCell ref="H29:N29"/>
    <mergeCell ref="H30:N30"/>
    <mergeCell ref="H31:N31"/>
    <mergeCell ref="H22:N22"/>
    <mergeCell ref="H23:N23"/>
    <mergeCell ref="H24:N24"/>
    <mergeCell ref="H25:N25"/>
    <mergeCell ref="H26:N26"/>
    <mergeCell ref="H17:N17"/>
    <mergeCell ref="H18:N18"/>
    <mergeCell ref="H19:N19"/>
    <mergeCell ref="H20:N20"/>
    <mergeCell ref="H21:N21"/>
    <mergeCell ref="H12:N12"/>
    <mergeCell ref="H13:N13"/>
    <mergeCell ref="H14:N14"/>
    <mergeCell ref="H15:N15"/>
    <mergeCell ref="H16:N16"/>
    <mergeCell ref="F5:K5"/>
    <mergeCell ref="F6:K6"/>
    <mergeCell ref="H9:N9"/>
    <mergeCell ref="H10:N10"/>
    <mergeCell ref="H11:N11"/>
  </mergeCells>
  <conditionalFormatting sqref="V1:V2">
    <cfRule type="colorScale" priority="55">
      <colorScale>
        <cfvo type="min"/>
        <cfvo type="num" val="0"/>
        <cfvo type="max"/>
        <color rgb="FF63CD7B"/>
        <color theme="0"/>
        <color rgb="FFF8696B"/>
      </colorScale>
    </cfRule>
  </conditionalFormatting>
  <conditionalFormatting sqref="T1:T2">
    <cfRule type="colorScale" priority="56">
      <colorScale>
        <cfvo type="min"/>
        <cfvo type="percentile" val="50"/>
        <cfvo type="max"/>
        <color rgb="FF63CD7B"/>
        <color rgb="FFFCFCFF"/>
        <color rgb="FFF8696B"/>
      </colorScale>
    </cfRule>
  </conditionalFormatting>
  <pageMargins left="0.7" right="0.7" top="0.75" bottom="0.75" header="0.3" footer="0.3"/>
  <pageSetup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wst00_1_ModelProgress">
    <tabColor theme="0" tint="-0.34998626667073579"/>
    <pageSetUpPr autoPageBreaks="0"/>
  </sheetPr>
  <dimension ref="B1:N66"/>
  <sheetViews>
    <sheetView zoomScale="85" zoomScaleNormal="85" workbookViewId="0"/>
  </sheetViews>
  <sheetFormatPr defaultColWidth="9" defaultRowHeight="12.75"/>
  <cols>
    <col min="1" max="1" width="3" style="11" customWidth="1"/>
    <col min="2" max="2" width="74.5" style="11" customWidth="1"/>
    <col min="3" max="3" width="21" style="11" customWidth="1"/>
    <col min="4" max="4" width="34" style="11" customWidth="1"/>
    <col min="5" max="18" width="9" style="11"/>
    <col min="19" max="19" width="50.83203125" style="11" customWidth="1"/>
    <col min="20" max="16384" width="9" style="11"/>
  </cols>
  <sheetData>
    <row r="1" spans="2:4" ht="13.5" thickBot="1"/>
    <row r="2" spans="2:4" ht="21">
      <c r="B2" s="118" t="s">
        <v>4</v>
      </c>
      <c r="C2" s="794"/>
      <c r="D2" s="119"/>
    </row>
    <row r="3" spans="2:4" ht="9" customHeight="1">
      <c r="B3" s="120"/>
      <c r="D3" s="121"/>
    </row>
    <row r="4" spans="2:4" ht="18.75">
      <c r="B4" s="122" t="str">
        <f>"Project: "&amp;'01_1_General Data'!C11</f>
        <v xml:space="preserve">Project: </v>
      </c>
      <c r="C4" s="134"/>
      <c r="D4" s="123"/>
    </row>
    <row r="5" spans="2:4" ht="19.5" thickBot="1">
      <c r="B5" s="124" t="str">
        <f>"City: "&amp;'01_1_General Data'!C13</f>
        <v xml:space="preserve">City: </v>
      </c>
      <c r="C5" s="795"/>
      <c r="D5" s="125"/>
    </row>
    <row r="6" spans="2:4">
      <c r="B6" s="120"/>
      <c r="D6" s="121"/>
    </row>
    <row r="7" spans="2:4" ht="31.5">
      <c r="B7" s="658" t="s">
        <v>5</v>
      </c>
      <c r="C7" s="796" t="s">
        <v>6</v>
      </c>
      <c r="D7" s="659" t="s">
        <v>7</v>
      </c>
    </row>
    <row r="8" spans="2:4">
      <c r="B8" s="1636"/>
      <c r="C8" s="1637"/>
      <c r="D8" s="1638"/>
    </row>
    <row r="9" spans="2:4">
      <c r="B9" s="1636"/>
      <c r="C9" s="1637"/>
      <c r="D9" s="1638"/>
    </row>
    <row r="10" spans="2:4">
      <c r="B10" s="1636"/>
      <c r="C10" s="1637"/>
      <c r="D10" s="1638"/>
    </row>
    <row r="11" spans="2:4">
      <c r="B11" s="1636"/>
      <c r="C11" s="1637"/>
      <c r="D11" s="1638"/>
    </row>
    <row r="12" spans="2:4">
      <c r="B12" s="1636" t="s">
        <v>8</v>
      </c>
      <c r="C12" s="1637" t="s">
        <v>8</v>
      </c>
      <c r="D12" s="1638"/>
    </row>
    <row r="13" spans="2:4">
      <c r="B13" s="1636" t="s">
        <v>8</v>
      </c>
      <c r="C13" s="1637" t="s">
        <v>8</v>
      </c>
      <c r="D13" s="1638"/>
    </row>
    <row r="14" spans="2:4">
      <c r="B14" s="1636" t="s">
        <v>8</v>
      </c>
      <c r="C14" s="1637" t="s">
        <v>8</v>
      </c>
      <c r="D14" s="1638"/>
    </row>
    <row r="15" spans="2:4">
      <c r="B15" s="1636" t="s">
        <v>8</v>
      </c>
      <c r="C15" s="1637" t="s">
        <v>8</v>
      </c>
      <c r="D15" s="1638"/>
    </row>
    <row r="16" spans="2:4">
      <c r="B16" s="1636" t="s">
        <v>8</v>
      </c>
      <c r="C16" s="1637" t="s">
        <v>8</v>
      </c>
      <c r="D16" s="1638"/>
    </row>
    <row r="17" spans="2:14">
      <c r="B17" s="1636" t="s">
        <v>8</v>
      </c>
      <c r="C17" s="1637" t="s">
        <v>8</v>
      </c>
      <c r="D17" s="1638"/>
    </row>
    <row r="18" spans="2:14">
      <c r="B18" s="1636" t="s">
        <v>8</v>
      </c>
      <c r="C18" s="1637" t="s">
        <v>8</v>
      </c>
      <c r="D18" s="1638"/>
    </row>
    <row r="19" spans="2:14">
      <c r="B19" s="1636" t="s">
        <v>8</v>
      </c>
      <c r="C19" s="1637" t="s">
        <v>8</v>
      </c>
      <c r="D19" s="1638"/>
    </row>
    <row r="20" spans="2:14">
      <c r="B20" s="1636" t="s">
        <v>8</v>
      </c>
      <c r="C20" s="1637" t="s">
        <v>8</v>
      </c>
      <c r="D20" s="1638"/>
    </row>
    <row r="21" spans="2:14">
      <c r="B21" s="1636" t="s">
        <v>8</v>
      </c>
      <c r="C21" s="1637" t="s">
        <v>8</v>
      </c>
      <c r="D21" s="1638"/>
    </row>
    <row r="22" spans="2:14">
      <c r="B22" s="1636" t="s">
        <v>8</v>
      </c>
      <c r="C22" s="1637" t="s">
        <v>8</v>
      </c>
      <c r="D22" s="1638"/>
    </row>
    <row r="23" spans="2:14">
      <c r="B23" s="1636" t="s">
        <v>8</v>
      </c>
      <c r="C23" s="1637" t="s">
        <v>8</v>
      </c>
      <c r="D23" s="1638"/>
      <c r="G23" s="126" t="s">
        <v>9</v>
      </c>
      <c r="H23" s="127"/>
      <c r="I23" s="127"/>
      <c r="J23" s="127"/>
      <c r="K23" s="127"/>
      <c r="L23" s="127"/>
      <c r="M23" s="127"/>
      <c r="N23" s="127"/>
    </row>
    <row r="24" spans="2:14">
      <c r="B24" s="1636"/>
      <c r="C24" s="1637" t="s">
        <v>8</v>
      </c>
      <c r="D24" s="1638"/>
      <c r="G24" s="127" t="s">
        <v>10</v>
      </c>
      <c r="H24" s="127"/>
      <c r="I24" s="127"/>
      <c r="J24" s="127"/>
      <c r="K24" s="127"/>
      <c r="L24" s="127"/>
      <c r="M24" s="127"/>
      <c r="N24" s="127"/>
    </row>
    <row r="25" spans="2:14">
      <c r="B25" s="1636" t="s">
        <v>8</v>
      </c>
      <c r="C25" s="1637" t="s">
        <v>8</v>
      </c>
      <c r="D25" s="1638"/>
      <c r="G25" s="127" t="s">
        <v>11</v>
      </c>
      <c r="H25" s="127"/>
      <c r="I25" s="127"/>
      <c r="J25" s="127"/>
      <c r="K25" s="127"/>
      <c r="L25" s="127"/>
      <c r="M25" s="127"/>
      <c r="N25" s="127"/>
    </row>
    <row r="26" spans="2:14">
      <c r="B26" s="1636" t="s">
        <v>8</v>
      </c>
      <c r="C26" s="1637" t="s">
        <v>8</v>
      </c>
      <c r="D26" s="1638"/>
      <c r="G26" s="127" t="s">
        <v>12</v>
      </c>
      <c r="H26" s="127"/>
      <c r="I26" s="127"/>
      <c r="J26" s="127"/>
      <c r="K26" s="127"/>
      <c r="L26" s="127"/>
      <c r="M26" s="127"/>
      <c r="N26" s="127"/>
    </row>
    <row r="27" spans="2:14">
      <c r="B27" s="1636" t="s">
        <v>8</v>
      </c>
      <c r="C27" s="1637" t="s">
        <v>8</v>
      </c>
      <c r="D27" s="1638"/>
      <c r="G27" s="127" t="s">
        <v>13</v>
      </c>
      <c r="H27" s="127"/>
      <c r="I27" s="127"/>
      <c r="J27" s="127"/>
      <c r="K27" s="127"/>
      <c r="L27" s="127"/>
      <c r="M27" s="127"/>
      <c r="N27" s="127"/>
    </row>
    <row r="28" spans="2:14">
      <c r="B28" s="1636" t="s">
        <v>8</v>
      </c>
      <c r="C28" s="1637" t="s">
        <v>8</v>
      </c>
      <c r="D28" s="1638"/>
      <c r="G28" s="127" t="s">
        <v>14</v>
      </c>
      <c r="H28" s="127"/>
      <c r="I28" s="127"/>
      <c r="J28" s="127"/>
      <c r="K28" s="127"/>
      <c r="L28" s="127"/>
      <c r="M28" s="127"/>
      <c r="N28" s="127"/>
    </row>
    <row r="29" spans="2:14">
      <c r="B29" s="1636" t="s">
        <v>8</v>
      </c>
      <c r="C29" s="1637" t="s">
        <v>8</v>
      </c>
      <c r="D29" s="1638"/>
      <c r="G29" s="127" t="s">
        <v>15</v>
      </c>
      <c r="H29" s="127"/>
      <c r="I29" s="127"/>
      <c r="J29" s="127"/>
      <c r="K29" s="127"/>
      <c r="L29" s="127"/>
      <c r="M29" s="127"/>
      <c r="N29" s="127"/>
    </row>
    <row r="30" spans="2:14">
      <c r="B30" s="1636" t="s">
        <v>8</v>
      </c>
      <c r="C30" s="1637" t="s">
        <v>8</v>
      </c>
      <c r="D30" s="1638"/>
      <c r="G30" s="127" t="s">
        <v>16</v>
      </c>
      <c r="H30" s="127"/>
      <c r="I30" s="127"/>
      <c r="J30" s="127"/>
      <c r="K30" s="127"/>
      <c r="L30" s="127"/>
      <c r="M30" s="127"/>
      <c r="N30" s="127"/>
    </row>
    <row r="31" spans="2:14">
      <c r="B31" s="1636" t="s">
        <v>8</v>
      </c>
      <c r="C31" s="1637" t="s">
        <v>8</v>
      </c>
      <c r="D31" s="1638"/>
      <c r="G31" s="127" t="s">
        <v>17</v>
      </c>
      <c r="H31" s="127"/>
      <c r="I31" s="127"/>
      <c r="J31" s="127"/>
      <c r="K31" s="127"/>
      <c r="L31" s="127"/>
      <c r="M31" s="127"/>
      <c r="N31" s="127"/>
    </row>
    <row r="32" spans="2:14" ht="13.5" thickBot="1">
      <c r="B32" s="1636" t="s">
        <v>8</v>
      </c>
      <c r="C32" s="1637" t="s">
        <v>8</v>
      </c>
      <c r="D32" s="1638"/>
      <c r="G32" s="127" t="s">
        <v>18</v>
      </c>
      <c r="H32" s="127"/>
      <c r="I32" s="127"/>
      <c r="J32" s="127"/>
      <c r="K32" s="127"/>
      <c r="L32" s="127"/>
      <c r="M32" s="127"/>
      <c r="N32" s="127"/>
    </row>
    <row r="33" spans="2:14" ht="13.5" thickBot="1">
      <c r="B33" s="81" t="s">
        <v>19</v>
      </c>
      <c r="C33" s="1367"/>
      <c r="D33" s="82">
        <f>SUBTOTAL(104,tbl00ModelProgress[Date of Progress /
Last Edit])</f>
        <v>0</v>
      </c>
      <c r="G33" s="127" t="s">
        <v>20</v>
      </c>
      <c r="H33" s="127"/>
      <c r="I33" s="127"/>
      <c r="J33" s="127"/>
      <c r="K33" s="127"/>
      <c r="L33" s="127"/>
      <c r="M33" s="127"/>
      <c r="N33" s="127"/>
    </row>
    <row r="34" spans="2:14">
      <c r="G34" s="127"/>
      <c r="H34" s="127"/>
      <c r="I34" s="127"/>
      <c r="J34" s="127"/>
      <c r="K34" s="127"/>
      <c r="L34" s="127"/>
      <c r="M34" s="127"/>
      <c r="N34" s="127"/>
    </row>
    <row r="35" spans="2:14">
      <c r="G35" s="126" t="s">
        <v>21</v>
      </c>
      <c r="H35" s="127"/>
      <c r="I35" s="127"/>
      <c r="J35" s="127"/>
      <c r="K35" s="127"/>
      <c r="L35" s="127"/>
      <c r="M35" s="127"/>
      <c r="N35" s="127"/>
    </row>
    <row r="36" spans="2:14">
      <c r="G36" s="127" t="s">
        <v>22</v>
      </c>
      <c r="H36" s="127"/>
      <c r="I36" s="127"/>
      <c r="J36" s="127"/>
      <c r="K36" s="127"/>
      <c r="L36" s="127"/>
      <c r="M36" s="127"/>
      <c r="N36" s="127"/>
    </row>
    <row r="37" spans="2:14">
      <c r="G37" s="127" t="s">
        <v>23</v>
      </c>
      <c r="H37" s="127"/>
      <c r="I37" s="127"/>
      <c r="J37" s="127"/>
      <c r="K37" s="127"/>
      <c r="L37" s="127"/>
      <c r="M37" s="127"/>
      <c r="N37" s="127"/>
    </row>
    <row r="38" spans="2:14">
      <c r="G38" s="127" t="s">
        <v>24</v>
      </c>
      <c r="H38" s="127"/>
      <c r="I38" s="127"/>
      <c r="J38" s="127"/>
      <c r="K38" s="127"/>
      <c r="L38" s="127"/>
      <c r="M38" s="127"/>
      <c r="N38" s="127"/>
    </row>
    <row r="39" spans="2:14">
      <c r="G39" s="127" t="s">
        <v>25</v>
      </c>
      <c r="H39" s="127"/>
      <c r="I39" s="127"/>
      <c r="J39" s="127"/>
      <c r="K39" s="127"/>
      <c r="L39" s="127"/>
      <c r="M39" s="127"/>
      <c r="N39" s="127"/>
    </row>
    <row r="66" spans="4:4">
      <c r="D66" s="946"/>
    </row>
  </sheetData>
  <sheetProtection algorithmName="SHA-512" hashValue="c452qM5ilcxa1LTs6yRCTRKqloVZudinDwcwCmsyIcJMb1AeIbm7t9uvee5jwtYxnFY5ihlfSoYNgVuh9ifCRg==" saltValue="u3+JgP3SHpsHdjdQvKadFA==" spinCount="100000" sheet="1" objects="1" scenarios="1" formatCells="0" formatColumns="0" formatRows="0"/>
  <phoneticPr fontId="58" type="noConversion"/>
  <pageMargins left="0.7" right="0.7" top="0.75" bottom="0.75" header="0.3" footer="0.3"/>
  <pageSetup orientation="landscape" r:id="rId1"/>
  <headerFooter alignWithMargins="0">
    <oddFooter>&amp;R&amp;"Garamond,Italic"&amp;11Model Progress &amp;D</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wst03_2_ConstructionSchedule">
    <tabColor rgb="FF00B050"/>
    <pageSetUpPr autoPageBreaks="0"/>
  </sheetPr>
  <dimension ref="A1:BK221"/>
  <sheetViews>
    <sheetView zoomScale="85" zoomScaleNormal="85" workbookViewId="0"/>
  </sheetViews>
  <sheetFormatPr defaultColWidth="9" defaultRowHeight="12.75"/>
  <cols>
    <col min="1" max="1" width="3" style="11" customWidth="1"/>
    <col min="2" max="2" width="50" style="11" customWidth="1"/>
    <col min="3" max="35" width="21" style="11" customWidth="1"/>
    <col min="36" max="36" width="21" style="11" hidden="1" customWidth="1"/>
    <col min="37" max="37" width="21" style="11" customWidth="1"/>
    <col min="38" max="65" width="9" style="11" customWidth="1"/>
    <col min="66" max="16384" width="9" style="11"/>
  </cols>
  <sheetData>
    <row r="1" spans="1:63" s="78" customFormat="1" ht="26.25">
      <c r="A1" s="79" t="s">
        <v>1641</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row>
    <row r="2" spans="1:63" s="78" customFormat="1" ht="21">
      <c r="A2" s="678" t="str">
        <f>IF(rng01_ProjectName="","[Project Name]", rng01_ProjectName)</f>
        <v>[Project Name]</v>
      </c>
      <c r="B2" s="678"/>
      <c r="C2" s="678"/>
      <c r="D2" s="678"/>
      <c r="E2" s="678"/>
      <c r="F2" s="678"/>
      <c r="G2" s="679"/>
      <c r="H2" s="680"/>
      <c r="I2" s="856" t="s">
        <v>245</v>
      </c>
      <c r="J2" s="667">
        <f>tbl00ModelProgress[[#Totals],[Date of Progress /
Last Edit]]</f>
        <v>0</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row>
    <row r="3" spans="1:63" s="78" customFormat="1" ht="15.75" customHeight="1">
      <c r="A3" s="550"/>
      <c r="B3" s="550"/>
      <c r="C3" s="550"/>
      <c r="D3" s="550"/>
      <c r="E3" s="550"/>
      <c r="F3" s="550"/>
      <c r="G3" s="551"/>
      <c r="H3" s="552"/>
      <c r="I3" s="553"/>
      <c r="J3" s="554"/>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c r="AT3" s="550"/>
      <c r="AU3" s="550"/>
      <c r="AV3" s="550"/>
      <c r="AW3" s="550"/>
      <c r="AX3" s="550"/>
      <c r="AY3" s="550"/>
      <c r="AZ3" s="550"/>
      <c r="BA3" s="550"/>
      <c r="BB3" s="550"/>
      <c r="BC3" s="550"/>
      <c r="BD3" s="550"/>
      <c r="BE3" s="550"/>
      <c r="BF3" s="550"/>
      <c r="BG3" s="550"/>
      <c r="BH3" s="550"/>
      <c r="BI3" s="550"/>
      <c r="BJ3" s="550"/>
      <c r="BK3" s="550"/>
    </row>
    <row r="4" spans="1:63" s="8" customFormat="1" ht="15.75">
      <c r="A4" s="11"/>
      <c r="B4" s="11"/>
      <c r="C4" s="151" t="s">
        <v>1642</v>
      </c>
      <c r="E4" s="1378"/>
      <c r="I4" s="254"/>
      <c r="J4" s="535"/>
    </row>
    <row r="5" spans="1:63" s="8" customFormat="1" ht="15.75" customHeight="1" thickBot="1">
      <c r="A5" s="11"/>
      <c r="B5" s="134"/>
    </row>
    <row r="6" spans="1:63" s="8" customFormat="1" ht="15.75" customHeight="1">
      <c r="A6" s="11"/>
      <c r="B6" s="134"/>
      <c r="D6" s="944" t="s">
        <v>1116</v>
      </c>
      <c r="E6" s="1381">
        <f>YEAR('01_1_General Data'!C90)</f>
        <v>1900</v>
      </c>
      <c r="F6" s="483">
        <f>YEAR('01_1_General Data'!C91)</f>
        <v>1900</v>
      </c>
      <c r="G6" s="483">
        <f>IF(F7&lt;12,F6,F6+1)</f>
        <v>1900</v>
      </c>
      <c r="H6" s="483">
        <f t="shared" ref="H6:AI6" si="0">IF(G7&lt;12,G6,G6+1)</f>
        <v>1900</v>
      </c>
      <c r="I6" s="483">
        <f t="shared" si="0"/>
        <v>1900</v>
      </c>
      <c r="J6" s="483">
        <f t="shared" si="0"/>
        <v>1900</v>
      </c>
      <c r="K6" s="483">
        <f t="shared" si="0"/>
        <v>1900</v>
      </c>
      <c r="L6" s="483">
        <f t="shared" si="0"/>
        <v>1900</v>
      </c>
      <c r="M6" s="483">
        <f t="shared" si="0"/>
        <v>1900</v>
      </c>
      <c r="N6" s="483">
        <f t="shared" si="0"/>
        <v>1900</v>
      </c>
      <c r="O6" s="483">
        <f t="shared" si="0"/>
        <v>1900</v>
      </c>
      <c r="P6" s="483">
        <f t="shared" si="0"/>
        <v>1900</v>
      </c>
      <c r="Q6" s="483">
        <f t="shared" si="0"/>
        <v>1900</v>
      </c>
      <c r="R6" s="483">
        <f t="shared" si="0"/>
        <v>1901</v>
      </c>
      <c r="S6" s="483">
        <f t="shared" si="0"/>
        <v>1901</v>
      </c>
      <c r="T6" s="483">
        <f t="shared" si="0"/>
        <v>1901</v>
      </c>
      <c r="U6" s="483">
        <f t="shared" si="0"/>
        <v>1901</v>
      </c>
      <c r="V6" s="483">
        <f t="shared" si="0"/>
        <v>1901</v>
      </c>
      <c r="W6" s="483">
        <f t="shared" si="0"/>
        <v>1901</v>
      </c>
      <c r="X6" s="483">
        <f t="shared" si="0"/>
        <v>1901</v>
      </c>
      <c r="Y6" s="483">
        <f t="shared" si="0"/>
        <v>1901</v>
      </c>
      <c r="Z6" s="483">
        <f t="shared" si="0"/>
        <v>1901</v>
      </c>
      <c r="AA6" s="483">
        <f t="shared" si="0"/>
        <v>1901</v>
      </c>
      <c r="AB6" s="483">
        <f t="shared" si="0"/>
        <v>1901</v>
      </c>
      <c r="AC6" s="483">
        <f t="shared" si="0"/>
        <v>1901</v>
      </c>
      <c r="AD6" s="483">
        <f t="shared" si="0"/>
        <v>1902</v>
      </c>
      <c r="AE6" s="483">
        <f t="shared" si="0"/>
        <v>1902</v>
      </c>
      <c r="AF6" s="483">
        <f t="shared" si="0"/>
        <v>1902</v>
      </c>
      <c r="AG6" s="483">
        <f t="shared" si="0"/>
        <v>1902</v>
      </c>
      <c r="AH6" s="483">
        <f t="shared" si="0"/>
        <v>1902</v>
      </c>
      <c r="AI6" s="484">
        <f t="shared" si="0"/>
        <v>1902</v>
      </c>
      <c r="AJ6" s="367"/>
      <c r="AK6" s="367"/>
      <c r="AL6" s="367"/>
      <c r="AM6" s="367"/>
      <c r="AN6" s="367"/>
    </row>
    <row r="7" spans="1:63" s="8" customFormat="1" ht="15.75" customHeight="1" thickBot="1">
      <c r="A7" s="11"/>
      <c r="B7" s="134"/>
      <c r="D7" s="945" t="s">
        <v>115</v>
      </c>
      <c r="E7" s="1382">
        <f>MONTH(rng01_ClosingDate)</f>
        <v>1</v>
      </c>
      <c r="F7" s="942">
        <f>MONTH('01_1_General Data'!C91)</f>
        <v>1</v>
      </c>
      <c r="G7" s="942">
        <f>IF(F7&lt;12,F7+1,1)</f>
        <v>2</v>
      </c>
      <c r="H7" s="942">
        <f t="shared" ref="H7:AI7" si="1">IF(G7&lt;12,G7+1,1)</f>
        <v>3</v>
      </c>
      <c r="I7" s="942">
        <f t="shared" si="1"/>
        <v>4</v>
      </c>
      <c r="J7" s="942">
        <f t="shared" si="1"/>
        <v>5</v>
      </c>
      <c r="K7" s="942">
        <f t="shared" si="1"/>
        <v>6</v>
      </c>
      <c r="L7" s="942">
        <f t="shared" si="1"/>
        <v>7</v>
      </c>
      <c r="M7" s="942">
        <f t="shared" si="1"/>
        <v>8</v>
      </c>
      <c r="N7" s="942">
        <f t="shared" si="1"/>
        <v>9</v>
      </c>
      <c r="O7" s="942">
        <f t="shared" si="1"/>
        <v>10</v>
      </c>
      <c r="P7" s="942">
        <f t="shared" si="1"/>
        <v>11</v>
      </c>
      <c r="Q7" s="942">
        <f t="shared" si="1"/>
        <v>12</v>
      </c>
      <c r="R7" s="942">
        <f t="shared" si="1"/>
        <v>1</v>
      </c>
      <c r="S7" s="942">
        <f t="shared" si="1"/>
        <v>2</v>
      </c>
      <c r="T7" s="942">
        <f t="shared" si="1"/>
        <v>3</v>
      </c>
      <c r="U7" s="942">
        <f t="shared" si="1"/>
        <v>4</v>
      </c>
      <c r="V7" s="942">
        <f t="shared" si="1"/>
        <v>5</v>
      </c>
      <c r="W7" s="942">
        <f t="shared" si="1"/>
        <v>6</v>
      </c>
      <c r="X7" s="942">
        <f t="shared" si="1"/>
        <v>7</v>
      </c>
      <c r="Y7" s="942">
        <f t="shared" si="1"/>
        <v>8</v>
      </c>
      <c r="Z7" s="942">
        <f t="shared" si="1"/>
        <v>9</v>
      </c>
      <c r="AA7" s="942">
        <f t="shared" si="1"/>
        <v>10</v>
      </c>
      <c r="AB7" s="942">
        <f t="shared" si="1"/>
        <v>11</v>
      </c>
      <c r="AC7" s="942">
        <f t="shared" si="1"/>
        <v>12</v>
      </c>
      <c r="AD7" s="942">
        <f t="shared" si="1"/>
        <v>1</v>
      </c>
      <c r="AE7" s="942">
        <f t="shared" si="1"/>
        <v>2</v>
      </c>
      <c r="AF7" s="942">
        <f t="shared" si="1"/>
        <v>3</v>
      </c>
      <c r="AG7" s="942">
        <f t="shared" si="1"/>
        <v>4</v>
      </c>
      <c r="AH7" s="942">
        <f t="shared" si="1"/>
        <v>5</v>
      </c>
      <c r="AI7" s="943">
        <f t="shared" si="1"/>
        <v>6</v>
      </c>
      <c r="AJ7" s="367"/>
      <c r="AK7" s="367"/>
      <c r="AL7" s="367"/>
      <c r="AM7" s="367"/>
      <c r="AN7" s="367"/>
    </row>
    <row r="8" spans="1:63" s="8" customFormat="1" ht="16.5" thickBot="1">
      <c r="A8" s="11"/>
      <c r="B8" s="11"/>
      <c r="C8" s="785" t="s">
        <v>1643</v>
      </c>
      <c r="D8" s="1379" t="s">
        <v>1644</v>
      </c>
      <c r="E8" s="1379" t="s">
        <v>1645</v>
      </c>
      <c r="F8" s="1379" t="s">
        <v>1646</v>
      </c>
      <c r="G8" s="1379" t="s">
        <v>1647</v>
      </c>
      <c r="H8" s="1379" t="s">
        <v>1648</v>
      </c>
      <c r="I8" s="1379" t="s">
        <v>1649</v>
      </c>
      <c r="J8" s="1379" t="s">
        <v>1650</v>
      </c>
      <c r="K8" s="1379" t="s">
        <v>1651</v>
      </c>
      <c r="L8" s="1379" t="s">
        <v>1652</v>
      </c>
      <c r="M8" s="1379" t="s">
        <v>1653</v>
      </c>
      <c r="N8" s="1379" t="s">
        <v>1654</v>
      </c>
      <c r="O8" s="1379" t="s">
        <v>1655</v>
      </c>
      <c r="P8" s="1379" t="s">
        <v>1656</v>
      </c>
      <c r="Q8" s="1379" t="s">
        <v>1657</v>
      </c>
      <c r="R8" s="1379" t="s">
        <v>1658</v>
      </c>
      <c r="S8" s="1379" t="s">
        <v>1659</v>
      </c>
      <c r="T8" s="1379" t="s">
        <v>1660</v>
      </c>
      <c r="U8" s="1379" t="s">
        <v>1661</v>
      </c>
      <c r="V8" s="1379" t="s">
        <v>1662</v>
      </c>
      <c r="W8" s="1379" t="s">
        <v>1663</v>
      </c>
      <c r="X8" s="1379" t="s">
        <v>1664</v>
      </c>
      <c r="Y8" s="1379" t="s">
        <v>1665</v>
      </c>
      <c r="Z8" s="1379" t="s">
        <v>1666</v>
      </c>
      <c r="AA8" s="1379" t="s">
        <v>1667</v>
      </c>
      <c r="AB8" s="1379" t="s">
        <v>1668</v>
      </c>
      <c r="AC8" s="1379" t="s">
        <v>1669</v>
      </c>
      <c r="AD8" s="1379" t="s">
        <v>1670</v>
      </c>
      <c r="AE8" s="1379" t="s">
        <v>1671</v>
      </c>
      <c r="AF8" s="1379" t="s">
        <v>1672</v>
      </c>
      <c r="AG8" s="1379" t="s">
        <v>1673</v>
      </c>
      <c r="AH8" s="1379" t="s">
        <v>1674</v>
      </c>
      <c r="AI8" s="1379" t="s">
        <v>1675</v>
      </c>
      <c r="AJ8" s="1380" t="s">
        <v>1676</v>
      </c>
      <c r="AK8" s="1380" t="s">
        <v>1222</v>
      </c>
    </row>
    <row r="9" spans="1:63" s="8" customFormat="1" ht="16.5" thickBot="1">
      <c r="A9" s="11"/>
      <c r="B9" s="543" t="s">
        <v>1677</v>
      </c>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786"/>
      <c r="AF9" s="786"/>
      <c r="AG9" s="786"/>
      <c r="AH9" s="786"/>
      <c r="AI9" s="786"/>
      <c r="AJ9" s="787"/>
      <c r="AK9" s="787"/>
    </row>
    <row r="10" spans="1:63" s="8" customFormat="1" ht="15.75">
      <c r="A10" s="11"/>
      <c r="B10" s="591" t="str">
        <f>'06_1_Summary Printout'!C8</f>
        <v/>
      </c>
      <c r="C10" s="592">
        <f>'06_1_Summary Printout'!D8</f>
        <v>0</v>
      </c>
      <c r="D10" s="592">
        <f>-C10+(SUM(E10:AI10))</f>
        <v>0</v>
      </c>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3"/>
      <c r="AI10" s="593"/>
      <c r="AJ10" s="594">
        <f>C10-SUM(E10:AI10)</f>
        <v>0</v>
      </c>
      <c r="AK10" s="594">
        <f>SUM(E10:AI10)</f>
        <v>0</v>
      </c>
    </row>
    <row r="11" spans="1:63" s="8" customFormat="1" ht="15.75">
      <c r="A11" s="11"/>
      <c r="B11" s="556" t="str">
        <f>'06_1_Summary Printout'!C9</f>
        <v>RIH Second Mortgage</v>
      </c>
      <c r="C11" s="555">
        <f>'06_1_Summary Printout'!D9</f>
        <v>0</v>
      </c>
      <c r="D11" s="555">
        <f t="shared" ref="D11:D36" si="2">-C11+(SUM(E11:AI11))</f>
        <v>0</v>
      </c>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7">
        <f t="shared" ref="AJ11:AJ35" si="3">C11-SUM(E11:AI11)</f>
        <v>0</v>
      </c>
      <c r="AK11" s="567">
        <f t="shared" ref="AK11:AK35" si="4">SUM(E11:AI11)</f>
        <v>0</v>
      </c>
    </row>
    <row r="12" spans="1:63" s="8" customFormat="1" ht="15.75">
      <c r="A12" s="11"/>
      <c r="B12" s="556">
        <f>'06_1_Summary Printout'!C10</f>
        <v>0</v>
      </c>
      <c r="C12" s="555">
        <f>'06_1_Summary Printout'!D10</f>
        <v>0</v>
      </c>
      <c r="D12" s="555">
        <f t="shared" si="2"/>
        <v>0</v>
      </c>
      <c r="E12" s="566"/>
      <c r="F12" s="566"/>
      <c r="G12" s="566"/>
      <c r="H12" s="566"/>
      <c r="I12" s="566"/>
      <c r="J12" s="566"/>
      <c r="K12" s="566"/>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567">
        <f>C12-SUM(E12:AI12)</f>
        <v>0</v>
      </c>
      <c r="AK12" s="567">
        <f t="shared" si="4"/>
        <v>0</v>
      </c>
    </row>
    <row r="13" spans="1:63" s="8" customFormat="1" ht="15.75">
      <c r="A13" s="11"/>
      <c r="B13" s="556">
        <f>'06_1_Summary Printout'!C11</f>
        <v>0</v>
      </c>
      <c r="C13" s="555">
        <f>'06_1_Summary Printout'!D11</f>
        <v>0</v>
      </c>
      <c r="D13" s="555">
        <f t="shared" si="2"/>
        <v>0</v>
      </c>
      <c r="E13" s="566"/>
      <c r="F13" s="566"/>
      <c r="G13" s="566"/>
      <c r="H13" s="566"/>
      <c r="I13" s="566"/>
      <c r="J13" s="566"/>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7">
        <f t="shared" si="3"/>
        <v>0</v>
      </c>
      <c r="AK13" s="567">
        <f t="shared" si="4"/>
        <v>0</v>
      </c>
    </row>
    <row r="14" spans="1:63" s="8" customFormat="1" ht="15.75">
      <c r="A14" s="11"/>
      <c r="B14" s="556">
        <f>'06_1_Summary Printout'!C12</f>
        <v>0</v>
      </c>
      <c r="C14" s="555">
        <f>'06_1_Summary Printout'!D12</f>
        <v>0</v>
      </c>
      <c r="D14" s="555">
        <f t="shared" si="2"/>
        <v>0</v>
      </c>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7">
        <f t="shared" si="3"/>
        <v>0</v>
      </c>
      <c r="AK14" s="567">
        <f t="shared" si="4"/>
        <v>0</v>
      </c>
    </row>
    <row r="15" spans="1:63" s="8" customFormat="1" ht="15.75">
      <c r="A15" s="11"/>
      <c r="B15" s="556">
        <f>'06_1_Summary Printout'!C13</f>
        <v>0</v>
      </c>
      <c r="C15" s="555">
        <f>'06_1_Summary Printout'!D13</f>
        <v>0</v>
      </c>
      <c r="D15" s="555">
        <f t="shared" si="2"/>
        <v>0</v>
      </c>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7">
        <f t="shared" si="3"/>
        <v>0</v>
      </c>
      <c r="AK15" s="567">
        <f t="shared" si="4"/>
        <v>0</v>
      </c>
    </row>
    <row r="16" spans="1:63" s="8" customFormat="1" ht="15.75">
      <c r="A16" s="11"/>
      <c r="B16" s="556">
        <f>'06_1_Summary Printout'!C14</f>
        <v>0</v>
      </c>
      <c r="C16" s="555">
        <f>'06_1_Summary Printout'!D14</f>
        <v>0</v>
      </c>
      <c r="D16" s="555">
        <f t="shared" si="2"/>
        <v>0</v>
      </c>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7">
        <f t="shared" si="3"/>
        <v>0</v>
      </c>
      <c r="AK16" s="567">
        <f t="shared" si="4"/>
        <v>0</v>
      </c>
    </row>
    <row r="17" spans="1:37" s="8" customFormat="1" ht="15.75">
      <c r="A17" s="11"/>
      <c r="B17" s="556">
        <f>'06_1_Summary Printout'!C15</f>
        <v>0</v>
      </c>
      <c r="C17" s="555">
        <f>'06_1_Summary Printout'!D15</f>
        <v>0</v>
      </c>
      <c r="D17" s="555">
        <f t="shared" ref="D17:D23" si="5">-C17+(SUM(E17:AI17))</f>
        <v>0</v>
      </c>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7"/>
      <c r="AK17" s="567"/>
    </row>
    <row r="18" spans="1:37" s="8" customFormat="1" ht="15.75">
      <c r="A18" s="11"/>
      <c r="B18" s="556">
        <f>'06_1_Summary Printout'!C16</f>
        <v>0</v>
      </c>
      <c r="C18" s="555">
        <f>'06_1_Summary Printout'!D16</f>
        <v>0</v>
      </c>
      <c r="D18" s="555">
        <f t="shared" si="5"/>
        <v>0</v>
      </c>
      <c r="E18" s="566"/>
      <c r="F18" s="566"/>
      <c r="G18" s="566"/>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7"/>
      <c r="AK18" s="567"/>
    </row>
    <row r="19" spans="1:37" s="8" customFormat="1" ht="15.75">
      <c r="A19" s="11"/>
      <c r="B19" s="556">
        <f>'06_1_Summary Printout'!C17</f>
        <v>0</v>
      </c>
      <c r="C19" s="555">
        <f>'06_1_Summary Printout'!D17</f>
        <v>0</v>
      </c>
      <c r="D19" s="555">
        <f t="shared" si="5"/>
        <v>0</v>
      </c>
      <c r="E19" s="566"/>
      <c r="F19" s="566"/>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7"/>
      <c r="AK19" s="567"/>
    </row>
    <row r="20" spans="1:37" s="8" customFormat="1" ht="15.75">
      <c r="A20" s="11"/>
      <c r="B20" s="556">
        <f>'06_1_Summary Printout'!C18</f>
        <v>0</v>
      </c>
      <c r="C20" s="555">
        <f>'06_1_Summary Printout'!D18</f>
        <v>0</v>
      </c>
      <c r="D20" s="555">
        <f t="shared" si="5"/>
        <v>0</v>
      </c>
      <c r="E20" s="566"/>
      <c r="F20" s="566"/>
      <c r="G20" s="566"/>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7"/>
      <c r="AK20" s="567"/>
    </row>
    <row r="21" spans="1:37" s="8" customFormat="1" ht="15.75">
      <c r="A21" s="11"/>
      <c r="B21" s="556">
        <f>'06_1_Summary Printout'!C19</f>
        <v>0</v>
      </c>
      <c r="C21" s="555">
        <f>'06_1_Summary Printout'!D19</f>
        <v>0</v>
      </c>
      <c r="D21" s="555">
        <f t="shared" si="5"/>
        <v>0</v>
      </c>
      <c r="E21" s="566"/>
      <c r="F21" s="566"/>
      <c r="G21" s="566"/>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7"/>
      <c r="AK21" s="567"/>
    </row>
    <row r="22" spans="1:37" s="8" customFormat="1" ht="15.75">
      <c r="A22" s="11"/>
      <c r="B22" s="556">
        <f>'06_1_Summary Printout'!C20</f>
        <v>0</v>
      </c>
      <c r="C22" s="555">
        <f>'06_1_Summary Printout'!D20</f>
        <v>0</v>
      </c>
      <c r="D22" s="555">
        <f t="shared" si="5"/>
        <v>0</v>
      </c>
      <c r="E22" s="566"/>
      <c r="F22" s="566"/>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7"/>
      <c r="AK22" s="567"/>
    </row>
    <row r="23" spans="1:37" s="8" customFormat="1" ht="15.75">
      <c r="A23" s="11"/>
      <c r="B23" s="556">
        <f>'06_1_Summary Printout'!C21</f>
        <v>0</v>
      </c>
      <c r="C23" s="555">
        <f>'06_1_Summary Printout'!D21</f>
        <v>0</v>
      </c>
      <c r="D23" s="555">
        <f t="shared" si="5"/>
        <v>0</v>
      </c>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7"/>
      <c r="AK23" s="567"/>
    </row>
    <row r="24" spans="1:37" s="8" customFormat="1" ht="15.75">
      <c r="A24" s="11"/>
      <c r="B24" s="556">
        <f>'06_1_Summary Printout'!C22</f>
        <v>0</v>
      </c>
      <c r="C24" s="555">
        <f>'06_1_Summary Printout'!D14</f>
        <v>0</v>
      </c>
      <c r="D24" s="555">
        <f t="shared" si="2"/>
        <v>0</v>
      </c>
      <c r="E24" s="566"/>
      <c r="F24" s="566"/>
      <c r="G24" s="566"/>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7">
        <f t="shared" si="3"/>
        <v>0</v>
      </c>
      <c r="AK24" s="567">
        <f t="shared" si="4"/>
        <v>0</v>
      </c>
    </row>
    <row r="25" spans="1:37" s="8" customFormat="1" ht="15.75">
      <c r="A25" s="11"/>
      <c r="B25" s="556" t="str">
        <f>'06_1_Summary Printout'!C24</f>
        <v>LIHTC Proceeds</v>
      </c>
      <c r="C25" s="555">
        <f>IFERROR('06_1_Summary Printout'!D24, 0)</f>
        <v>0</v>
      </c>
      <c r="D25" s="555">
        <f t="shared" si="2"/>
        <v>0</v>
      </c>
      <c r="E25" s="555">
        <f>'01_1_General Data'!$D$90</f>
        <v>0</v>
      </c>
      <c r="F25" s="555">
        <f>SUMIF('01_1_General Data'!$A$90:$A$102,'03_2_Construction Cashflow'!F8,'01_1_General Data'!D91:$D$103)</f>
        <v>0</v>
      </c>
      <c r="G25" s="555">
        <f>SUMIF('01_1_General Data'!$A$90:$A$102,'03_2_Construction Cashflow'!G8,'01_1_General Data'!$D91:E$103)</f>
        <v>0</v>
      </c>
      <c r="H25" s="555">
        <f>SUMIF('01_1_General Data'!$A$90:$A$102,'03_2_Construction Cashflow'!H8,'01_1_General Data'!$D91:F$103)</f>
        <v>0</v>
      </c>
      <c r="I25" s="555">
        <f>SUMIF('01_1_General Data'!$A$90:$A$102,'03_2_Construction Cashflow'!I8,'01_1_General Data'!$D91:G$103)</f>
        <v>0</v>
      </c>
      <c r="J25" s="555">
        <f>SUMIF('01_1_General Data'!$A$90:$A$102,'03_2_Construction Cashflow'!J8,'01_1_General Data'!$D91:H$103)</f>
        <v>0</v>
      </c>
      <c r="K25" s="555">
        <f>SUMIF('01_1_General Data'!$A$90:$A$102,'03_2_Construction Cashflow'!K8,'01_1_General Data'!$D91:I$103)</f>
        <v>0</v>
      </c>
      <c r="L25" s="555">
        <f>SUMIF('01_1_General Data'!$A$90:$A$102,'03_2_Construction Cashflow'!L8,'01_1_General Data'!$D91:J$103)</f>
        <v>0</v>
      </c>
      <c r="M25" s="555">
        <f>SUMIF('01_1_General Data'!$A$90:$A$102,'03_2_Construction Cashflow'!M8,'01_1_General Data'!$D91:K$103)</f>
        <v>0</v>
      </c>
      <c r="N25" s="555">
        <f>SUMIF('01_1_General Data'!$A$90:$A$102,'03_2_Construction Cashflow'!N8,'01_1_General Data'!$D91:L$103)</f>
        <v>0</v>
      </c>
      <c r="O25" s="555">
        <f>SUMIF('01_1_General Data'!$A$90:$A$102,'03_2_Construction Cashflow'!O8,'01_1_General Data'!$D91:M$103)</f>
        <v>0</v>
      </c>
      <c r="P25" s="555">
        <f>SUMIF('01_1_General Data'!$A$90:$A$102,'03_2_Construction Cashflow'!P8,'01_1_General Data'!$D91:N$103)</f>
        <v>0</v>
      </c>
      <c r="Q25" s="555">
        <f>SUMIF('01_1_General Data'!$A$90:$A$102,'03_2_Construction Cashflow'!Q8,'01_1_General Data'!$D91:O$103)</f>
        <v>0</v>
      </c>
      <c r="R25" s="555">
        <f>SUMIF('01_1_General Data'!$A$90:$A$102,'03_2_Construction Cashflow'!R8,'01_1_General Data'!$D91:P$103)</f>
        <v>0</v>
      </c>
      <c r="S25" s="555">
        <f>SUMIF('01_1_General Data'!$A$90:$A$102,'03_2_Construction Cashflow'!S8,'01_1_General Data'!$D91:Q$103)</f>
        <v>0</v>
      </c>
      <c r="T25" s="555">
        <f>SUMIF('01_1_General Data'!$A$90:$A$102,'03_2_Construction Cashflow'!T8,'01_1_General Data'!$D91:R$103)</f>
        <v>0</v>
      </c>
      <c r="U25" s="555">
        <f>SUMIF('01_1_General Data'!$A$90:$A$102,'03_2_Construction Cashflow'!U8,'01_1_General Data'!$D91:S$103)</f>
        <v>0</v>
      </c>
      <c r="V25" s="555">
        <f>SUMIF('01_1_General Data'!$A$90:$A$102,'03_2_Construction Cashflow'!V8,'01_1_General Data'!$D91:T$103)</f>
        <v>0</v>
      </c>
      <c r="W25" s="555">
        <f>SUMIF('01_1_General Data'!$A$90:$A$102,'03_2_Construction Cashflow'!W8,'01_1_General Data'!$D91:U$103)</f>
        <v>0</v>
      </c>
      <c r="X25" s="555">
        <f>SUMIF('01_1_General Data'!$A$90:$A$102,'03_2_Construction Cashflow'!X8,'01_1_General Data'!$D91:V$103)</f>
        <v>0</v>
      </c>
      <c r="Y25" s="555">
        <f>SUMIF('01_1_General Data'!$A$90:$A$102,'03_2_Construction Cashflow'!Y8,'01_1_General Data'!$D91:W$103)</f>
        <v>0</v>
      </c>
      <c r="Z25" s="555">
        <f>SUMIF('01_1_General Data'!$A$90:$A$102,'03_2_Construction Cashflow'!Z8,'01_1_General Data'!$D91:X$103)</f>
        <v>0</v>
      </c>
      <c r="AA25" s="555">
        <f>SUMIF('01_1_General Data'!$A$90:$A$102,'03_2_Construction Cashflow'!AA8,'01_1_General Data'!$D91:Y$103)</f>
        <v>0</v>
      </c>
      <c r="AB25" s="555">
        <f>SUMIF('01_1_General Data'!$A$90:$A$102,'03_2_Construction Cashflow'!AB8,'01_1_General Data'!$D91:Z$103)</f>
        <v>0</v>
      </c>
      <c r="AC25" s="555">
        <f>SUMIF('01_1_General Data'!$A$90:$A$102,'03_2_Construction Cashflow'!AC8,'01_1_General Data'!$D91:AA$103)</f>
        <v>0</v>
      </c>
      <c r="AD25" s="555">
        <f>SUMIF('01_1_General Data'!$A$90:$A$102,'03_2_Construction Cashflow'!AD8,'01_1_General Data'!$D91:AB$103)</f>
        <v>0</v>
      </c>
      <c r="AE25" s="555">
        <f>SUMIF('01_1_General Data'!$A$90:$A$102,'03_2_Construction Cashflow'!AE8,'01_1_General Data'!$D91:AC$103)</f>
        <v>0</v>
      </c>
      <c r="AF25" s="555">
        <f>SUMIF('01_1_General Data'!$A$90:$A$102,'03_2_Construction Cashflow'!AF8,'01_1_General Data'!$D91:AD$103)</f>
        <v>0</v>
      </c>
      <c r="AG25" s="555">
        <f>SUMIF('01_1_General Data'!$A$90:$A$102,'03_2_Construction Cashflow'!AG8,'01_1_General Data'!$D91:AE$103)</f>
        <v>0</v>
      </c>
      <c r="AH25" s="555">
        <f>SUMIF('01_1_General Data'!$A$90:$A$102,'03_2_Construction Cashflow'!AH8,'01_1_General Data'!$D91:AF$103)</f>
        <v>0</v>
      </c>
      <c r="AI25" s="555">
        <f>SUMIF('01_1_General Data'!$A$90:$A$102,'03_2_Construction Cashflow'!AI8,'01_1_General Data'!$D91:AG$103)</f>
        <v>0</v>
      </c>
      <c r="AJ25" s="567">
        <f t="shared" si="3"/>
        <v>0</v>
      </c>
      <c r="AK25" s="567">
        <f t="shared" si="4"/>
        <v>0</v>
      </c>
    </row>
    <row r="26" spans="1:37" s="8" customFormat="1" ht="15.75">
      <c r="A26" s="11"/>
      <c r="B26" s="556" t="str">
        <f>'06_1_Summary Printout'!C25</f>
        <v>Fed. Historic Tax Credit Proceeds</v>
      </c>
      <c r="C26" s="555">
        <f>'06_1_Summary Printout'!D25</f>
        <v>0</v>
      </c>
      <c r="D26" s="555">
        <f t="shared" si="2"/>
        <v>0</v>
      </c>
      <c r="E26" s="566"/>
      <c r="F26" s="566"/>
      <c r="G26" s="566"/>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7">
        <f>C26-SUM(E26:AI26)</f>
        <v>0</v>
      </c>
      <c r="AK26" s="567">
        <f t="shared" si="4"/>
        <v>0</v>
      </c>
    </row>
    <row r="27" spans="1:37" s="8" customFormat="1" ht="15.75">
      <c r="A27" s="11"/>
      <c r="B27" s="556" t="str">
        <f>'06_1_Summary Printout'!C26</f>
        <v>General Partner Capital</v>
      </c>
      <c r="C27" s="555">
        <f>'06_1_Summary Printout'!D26</f>
        <v>0</v>
      </c>
      <c r="D27" s="555">
        <f t="shared" si="2"/>
        <v>0</v>
      </c>
      <c r="E27" s="566"/>
      <c r="F27" s="566"/>
      <c r="G27" s="566"/>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7">
        <f t="shared" si="3"/>
        <v>0</v>
      </c>
      <c r="AK27" s="567">
        <f t="shared" si="4"/>
        <v>0</v>
      </c>
    </row>
    <row r="28" spans="1:37" s="8" customFormat="1" ht="15.75">
      <c r="A28" s="11"/>
      <c r="B28" s="556" t="str">
        <f>'06_1_Summary Printout'!C27</f>
        <v>State Historic TC Proceeds</v>
      </c>
      <c r="C28" s="555">
        <f>'06_1_Summary Printout'!D28</f>
        <v>0</v>
      </c>
      <c r="D28" s="555">
        <f t="shared" si="2"/>
        <v>0</v>
      </c>
      <c r="E28" s="566"/>
      <c r="F28" s="566"/>
      <c r="G28" s="566"/>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7">
        <f t="shared" si="3"/>
        <v>0</v>
      </c>
      <c r="AK28" s="567">
        <f t="shared" si="4"/>
        <v>0</v>
      </c>
    </row>
    <row r="29" spans="1:37" s="8" customFormat="1" ht="15.75">
      <c r="A29" s="11"/>
      <c r="B29" s="556" t="str">
        <f>'06_1_Summary Printout'!C29</f>
        <v>Other Equity</v>
      </c>
      <c r="C29" s="555">
        <f>'06_1_Summary Printout'!D29</f>
        <v>0</v>
      </c>
      <c r="D29" s="555">
        <f t="shared" si="2"/>
        <v>0</v>
      </c>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7">
        <f t="shared" si="3"/>
        <v>0</v>
      </c>
      <c r="AK29" s="567">
        <f t="shared" si="4"/>
        <v>0</v>
      </c>
    </row>
    <row r="30" spans="1:37" s="8" customFormat="1" ht="15.75">
      <c r="A30" s="11"/>
      <c r="B30" s="556" t="s">
        <v>48</v>
      </c>
      <c r="C30" s="555">
        <f>rng01_ConstructionLoan</f>
        <v>0</v>
      </c>
      <c r="D30" s="555">
        <f>-C30+(SUM(E30:AI30))</f>
        <v>0</v>
      </c>
      <c r="E30" s="566"/>
      <c r="F30" s="566"/>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7">
        <f t="shared" si="3"/>
        <v>0</v>
      </c>
      <c r="AK30" s="567">
        <f t="shared" si="4"/>
        <v>0</v>
      </c>
    </row>
    <row r="31" spans="1:37" s="8" customFormat="1" ht="15.75">
      <c r="A31" s="11"/>
      <c r="B31" s="556" t="str">
        <f>'06_1_Summary Printout'!C32</f>
        <v>None</v>
      </c>
      <c r="C31" s="555">
        <f>'06_1_Summary Printout'!D32</f>
        <v>0</v>
      </c>
      <c r="D31" s="555">
        <f t="shared" si="2"/>
        <v>0</v>
      </c>
      <c r="E31" s="566"/>
      <c r="F31" s="566"/>
      <c r="G31" s="566"/>
      <c r="H31" s="566"/>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7">
        <f t="shared" si="3"/>
        <v>0</v>
      </c>
      <c r="AK31" s="567">
        <f t="shared" si="4"/>
        <v>0</v>
      </c>
    </row>
    <row r="32" spans="1:37" s="8" customFormat="1" ht="15.75">
      <c r="A32" s="11"/>
      <c r="B32" s="556" t="str">
        <f>'06_1_Summary Printout'!C33</f>
        <v>None</v>
      </c>
      <c r="C32" s="555">
        <f>'06_1_Summary Printout'!D33</f>
        <v>0</v>
      </c>
      <c r="D32" s="555">
        <f t="shared" si="2"/>
        <v>0</v>
      </c>
      <c r="E32" s="566"/>
      <c r="F32" s="566"/>
      <c r="G32" s="566"/>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7">
        <f t="shared" si="3"/>
        <v>0</v>
      </c>
      <c r="AK32" s="567">
        <f t="shared" si="4"/>
        <v>0</v>
      </c>
    </row>
    <row r="33" spans="1:37" s="8" customFormat="1" ht="15.75">
      <c r="A33" s="11"/>
      <c r="B33" s="556" t="str">
        <f>'06_1_Summary Printout'!C34</f>
        <v>None</v>
      </c>
      <c r="C33" s="555">
        <f>'06_1_Summary Printout'!D34</f>
        <v>0</v>
      </c>
      <c r="D33" s="555">
        <f>-C33+(SUM(E33:AI33))</f>
        <v>0</v>
      </c>
      <c r="E33" s="566"/>
      <c r="F33" s="566"/>
      <c r="G33" s="566"/>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7">
        <f t="shared" si="3"/>
        <v>0</v>
      </c>
      <c r="AK33" s="567">
        <f t="shared" si="4"/>
        <v>0</v>
      </c>
    </row>
    <row r="34" spans="1:37" s="8" customFormat="1" ht="15.75">
      <c r="A34" s="11"/>
      <c r="B34" s="556" t="str">
        <f>'06_1_Summary Printout'!C35</f>
        <v>None</v>
      </c>
      <c r="C34" s="555">
        <f>'06_1_Summary Printout'!D35</f>
        <v>0</v>
      </c>
      <c r="D34" s="555">
        <f t="shared" si="2"/>
        <v>0</v>
      </c>
      <c r="E34" s="566"/>
      <c r="F34" s="566"/>
      <c r="G34" s="566"/>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7">
        <f t="shared" si="3"/>
        <v>0</v>
      </c>
      <c r="AK34" s="567">
        <f t="shared" si="4"/>
        <v>0</v>
      </c>
    </row>
    <row r="35" spans="1:37" s="8" customFormat="1" ht="16.5" thickBot="1">
      <c r="A35" s="11"/>
      <c r="B35" s="557" t="str">
        <f>'06_1_Summary Printout'!C36</f>
        <v>None</v>
      </c>
      <c r="C35" s="558">
        <f>'06_1_Summary Printout'!D36</f>
        <v>0</v>
      </c>
      <c r="D35" s="558">
        <f t="shared" si="2"/>
        <v>0</v>
      </c>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9">
        <f t="shared" si="3"/>
        <v>0</v>
      </c>
      <c r="AK35" s="569">
        <f t="shared" si="4"/>
        <v>0</v>
      </c>
    </row>
    <row r="36" spans="1:37" s="8" customFormat="1" ht="17.25" thickTop="1" thickBot="1">
      <c r="A36" s="11"/>
      <c r="B36" s="559" t="s">
        <v>1235</v>
      </c>
      <c r="C36" s="560">
        <f>SUM(C10:C35)</f>
        <v>0</v>
      </c>
      <c r="D36" s="560">
        <f t="shared" si="2"/>
        <v>0</v>
      </c>
      <c r="E36" s="560">
        <f t="shared" ref="E36:AI36" si="6">SUM(E10:E35)</f>
        <v>0</v>
      </c>
      <c r="F36" s="560">
        <f t="shared" si="6"/>
        <v>0</v>
      </c>
      <c r="G36" s="560">
        <f t="shared" si="6"/>
        <v>0</v>
      </c>
      <c r="H36" s="560">
        <f t="shared" si="6"/>
        <v>0</v>
      </c>
      <c r="I36" s="560">
        <f t="shared" si="6"/>
        <v>0</v>
      </c>
      <c r="J36" s="560">
        <f t="shared" si="6"/>
        <v>0</v>
      </c>
      <c r="K36" s="560">
        <f t="shared" si="6"/>
        <v>0</v>
      </c>
      <c r="L36" s="560">
        <f t="shared" si="6"/>
        <v>0</v>
      </c>
      <c r="M36" s="560">
        <f t="shared" si="6"/>
        <v>0</v>
      </c>
      <c r="N36" s="560">
        <f t="shared" si="6"/>
        <v>0</v>
      </c>
      <c r="O36" s="560">
        <f t="shared" si="6"/>
        <v>0</v>
      </c>
      <c r="P36" s="560">
        <f t="shared" si="6"/>
        <v>0</v>
      </c>
      <c r="Q36" s="560">
        <f t="shared" si="6"/>
        <v>0</v>
      </c>
      <c r="R36" s="560">
        <f t="shared" si="6"/>
        <v>0</v>
      </c>
      <c r="S36" s="560">
        <f t="shared" si="6"/>
        <v>0</v>
      </c>
      <c r="T36" s="560">
        <f t="shared" si="6"/>
        <v>0</v>
      </c>
      <c r="U36" s="560">
        <f t="shared" si="6"/>
        <v>0</v>
      </c>
      <c r="V36" s="560">
        <f t="shared" si="6"/>
        <v>0</v>
      </c>
      <c r="W36" s="560">
        <f t="shared" si="6"/>
        <v>0</v>
      </c>
      <c r="X36" s="560">
        <f t="shared" si="6"/>
        <v>0</v>
      </c>
      <c r="Y36" s="560">
        <f t="shared" si="6"/>
        <v>0</v>
      </c>
      <c r="Z36" s="560">
        <f t="shared" si="6"/>
        <v>0</v>
      </c>
      <c r="AA36" s="560">
        <f t="shared" si="6"/>
        <v>0</v>
      </c>
      <c r="AB36" s="560">
        <f t="shared" si="6"/>
        <v>0</v>
      </c>
      <c r="AC36" s="560">
        <f t="shared" si="6"/>
        <v>0</v>
      </c>
      <c r="AD36" s="560">
        <f t="shared" si="6"/>
        <v>0</v>
      </c>
      <c r="AE36" s="560">
        <f t="shared" si="6"/>
        <v>0</v>
      </c>
      <c r="AF36" s="560">
        <f t="shared" si="6"/>
        <v>0</v>
      </c>
      <c r="AG36" s="560">
        <f t="shared" si="6"/>
        <v>0</v>
      </c>
      <c r="AH36" s="560">
        <f t="shared" si="6"/>
        <v>0</v>
      </c>
      <c r="AI36" s="560">
        <f t="shared" si="6"/>
        <v>0</v>
      </c>
      <c r="AJ36" s="570">
        <f t="shared" ref="AJ36" si="7">C36-SUM(E36:AI36)</f>
        <v>0</v>
      </c>
      <c r="AK36" s="570">
        <f t="shared" ref="AK36" si="8">SUM(E36:AI36)</f>
        <v>0</v>
      </c>
    </row>
    <row r="37" spans="1:37" s="8" customFormat="1" ht="16.5" thickBot="1">
      <c r="A37" s="11"/>
    </row>
    <row r="38" spans="1:37" s="8" customFormat="1" ht="16.5" thickBot="1">
      <c r="A38" s="11"/>
      <c r="B38" s="598" t="s">
        <v>1678</v>
      </c>
      <c r="C38" s="599">
        <f t="shared" ref="C38:AK38" si="9">C36-C109</f>
        <v>0</v>
      </c>
      <c r="D38" s="599">
        <f t="shared" si="9"/>
        <v>0</v>
      </c>
      <c r="E38" s="599">
        <f t="shared" si="9"/>
        <v>0</v>
      </c>
      <c r="F38" s="599">
        <f t="shared" si="9"/>
        <v>0</v>
      </c>
      <c r="G38" s="599">
        <f t="shared" si="9"/>
        <v>0</v>
      </c>
      <c r="H38" s="599">
        <f t="shared" si="9"/>
        <v>0</v>
      </c>
      <c r="I38" s="599">
        <f t="shared" si="9"/>
        <v>0</v>
      </c>
      <c r="J38" s="599">
        <f t="shared" si="9"/>
        <v>0</v>
      </c>
      <c r="K38" s="599">
        <f t="shared" si="9"/>
        <v>0</v>
      </c>
      <c r="L38" s="599">
        <f t="shared" si="9"/>
        <v>0</v>
      </c>
      <c r="M38" s="599">
        <f t="shared" si="9"/>
        <v>0</v>
      </c>
      <c r="N38" s="599">
        <f t="shared" si="9"/>
        <v>0</v>
      </c>
      <c r="O38" s="599">
        <f t="shared" si="9"/>
        <v>0</v>
      </c>
      <c r="P38" s="599">
        <f t="shared" si="9"/>
        <v>0</v>
      </c>
      <c r="Q38" s="599">
        <f t="shared" si="9"/>
        <v>0</v>
      </c>
      <c r="R38" s="599">
        <f t="shared" si="9"/>
        <v>0</v>
      </c>
      <c r="S38" s="599">
        <f t="shared" si="9"/>
        <v>0</v>
      </c>
      <c r="T38" s="599">
        <f t="shared" si="9"/>
        <v>0</v>
      </c>
      <c r="U38" s="599">
        <f t="shared" si="9"/>
        <v>0</v>
      </c>
      <c r="V38" s="599">
        <f t="shared" si="9"/>
        <v>0</v>
      </c>
      <c r="W38" s="599">
        <f t="shared" si="9"/>
        <v>0</v>
      </c>
      <c r="X38" s="599">
        <f t="shared" si="9"/>
        <v>0</v>
      </c>
      <c r="Y38" s="599">
        <f t="shared" si="9"/>
        <v>0</v>
      </c>
      <c r="Z38" s="599">
        <f t="shared" si="9"/>
        <v>0</v>
      </c>
      <c r="AA38" s="599">
        <f t="shared" si="9"/>
        <v>0</v>
      </c>
      <c r="AB38" s="599">
        <f t="shared" si="9"/>
        <v>0</v>
      </c>
      <c r="AC38" s="599">
        <f t="shared" si="9"/>
        <v>0</v>
      </c>
      <c r="AD38" s="599">
        <f t="shared" si="9"/>
        <v>0</v>
      </c>
      <c r="AE38" s="599">
        <f t="shared" si="9"/>
        <v>0</v>
      </c>
      <c r="AF38" s="599">
        <f t="shared" si="9"/>
        <v>0</v>
      </c>
      <c r="AG38" s="599">
        <f t="shared" si="9"/>
        <v>0</v>
      </c>
      <c r="AH38" s="599">
        <f t="shared" si="9"/>
        <v>0</v>
      </c>
      <c r="AI38" s="599">
        <f t="shared" si="9"/>
        <v>0</v>
      </c>
      <c r="AJ38" s="599">
        <f t="shared" si="9"/>
        <v>0</v>
      </c>
      <c r="AK38" s="600">
        <f t="shared" si="9"/>
        <v>0</v>
      </c>
    </row>
    <row r="39" spans="1:37" s="8" customFormat="1" ht="16.5" thickBot="1">
      <c r="A39" s="11"/>
      <c r="B39" s="431"/>
    </row>
    <row r="40" spans="1:37" s="8" customFormat="1" ht="16.5" thickBot="1">
      <c r="A40" s="11"/>
      <c r="B40" s="788" t="s">
        <v>1679</v>
      </c>
      <c r="C40" s="789"/>
      <c r="D40" s="789"/>
      <c r="E40" s="789"/>
      <c r="F40" s="789"/>
      <c r="G40" s="789"/>
      <c r="H40" s="789"/>
      <c r="I40" s="789"/>
      <c r="J40" s="789"/>
      <c r="K40" s="789"/>
      <c r="L40" s="789"/>
      <c r="M40" s="789"/>
      <c r="N40" s="789"/>
      <c r="O40" s="789"/>
      <c r="P40" s="789"/>
      <c r="Q40" s="789"/>
      <c r="R40" s="789"/>
      <c r="S40" s="789"/>
      <c r="T40" s="789"/>
      <c r="U40" s="789"/>
      <c r="V40" s="789"/>
      <c r="W40" s="789"/>
      <c r="X40" s="789"/>
      <c r="Y40" s="789"/>
      <c r="Z40" s="789"/>
      <c r="AA40" s="789"/>
      <c r="AB40" s="789"/>
      <c r="AC40" s="789"/>
      <c r="AD40" s="789"/>
      <c r="AE40" s="789"/>
      <c r="AF40" s="789"/>
      <c r="AG40" s="789"/>
      <c r="AH40" s="789"/>
      <c r="AI40" s="789"/>
      <c r="AJ40" s="790"/>
      <c r="AK40" s="790"/>
    </row>
    <row r="41" spans="1:37" s="8" customFormat="1" ht="16.5" thickBot="1">
      <c r="A41" s="11"/>
      <c r="B41" s="561" t="s">
        <v>1323</v>
      </c>
      <c r="C41" s="562">
        <f>'02_4_USES'!F15</f>
        <v>0</v>
      </c>
      <c r="D41" s="562"/>
      <c r="E41" s="562">
        <f>C41</f>
        <v>0</v>
      </c>
      <c r="F41" s="562">
        <v>0</v>
      </c>
      <c r="G41" s="562">
        <v>0</v>
      </c>
      <c r="H41" s="562">
        <v>0</v>
      </c>
      <c r="I41" s="562">
        <v>0</v>
      </c>
      <c r="J41" s="562">
        <v>0</v>
      </c>
      <c r="K41" s="562">
        <v>0</v>
      </c>
      <c r="L41" s="562">
        <v>0</v>
      </c>
      <c r="M41" s="562">
        <v>0</v>
      </c>
      <c r="N41" s="562">
        <v>0</v>
      </c>
      <c r="O41" s="562">
        <v>0</v>
      </c>
      <c r="P41" s="562">
        <v>0</v>
      </c>
      <c r="Q41" s="562">
        <v>0</v>
      </c>
      <c r="R41" s="562">
        <v>0</v>
      </c>
      <c r="S41" s="562">
        <v>0</v>
      </c>
      <c r="T41" s="562">
        <v>0</v>
      </c>
      <c r="U41" s="562">
        <v>0</v>
      </c>
      <c r="V41" s="562">
        <v>0</v>
      </c>
      <c r="W41" s="562">
        <v>0</v>
      </c>
      <c r="X41" s="562">
        <v>0</v>
      </c>
      <c r="Y41" s="562">
        <v>0</v>
      </c>
      <c r="Z41" s="562">
        <v>0</v>
      </c>
      <c r="AA41" s="562">
        <v>0</v>
      </c>
      <c r="AB41" s="562">
        <v>0</v>
      </c>
      <c r="AC41" s="562">
        <v>0</v>
      </c>
      <c r="AD41" s="562">
        <v>0</v>
      </c>
      <c r="AE41" s="562">
        <v>0</v>
      </c>
      <c r="AF41" s="562">
        <v>0</v>
      </c>
      <c r="AG41" s="562">
        <v>0</v>
      </c>
      <c r="AH41" s="562">
        <v>0</v>
      </c>
      <c r="AI41" s="562">
        <v>0</v>
      </c>
      <c r="AJ41" s="571">
        <f>C41-SUM(D41:AI41)</f>
        <v>0</v>
      </c>
      <c r="AK41" s="571">
        <f>SUM(D41:AI41)</f>
        <v>0</v>
      </c>
    </row>
    <row r="42" spans="1:37" s="8" customFormat="1" ht="16.5" thickBot="1">
      <c r="A42" s="11"/>
      <c r="B42" s="847"/>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c r="AI42" s="851"/>
      <c r="AJ42" s="851"/>
      <c r="AK42" s="852"/>
    </row>
    <row r="43" spans="1:37" s="8" customFormat="1" ht="15.75">
      <c r="A43" s="11"/>
      <c r="B43" s="547" t="str">
        <f>'02_4_USES'!B17</f>
        <v>CONSTRUCTION/REHAB. COSTS (input on Construction Cost tab)</v>
      </c>
      <c r="C43" s="854"/>
      <c r="D43" s="854"/>
      <c r="E43" s="854"/>
      <c r="F43" s="854"/>
      <c r="G43" s="854"/>
      <c r="H43" s="854"/>
      <c r="I43" s="854"/>
      <c r="J43" s="854"/>
      <c r="K43" s="854"/>
      <c r="L43" s="854"/>
      <c r="M43" s="854"/>
      <c r="N43" s="854"/>
      <c r="O43" s="854"/>
      <c r="P43" s="854"/>
      <c r="Q43" s="854"/>
      <c r="R43" s="854"/>
      <c r="S43" s="854"/>
      <c r="T43" s="854"/>
      <c r="U43" s="854"/>
      <c r="V43" s="854"/>
      <c r="W43" s="854"/>
      <c r="X43" s="854"/>
      <c r="Y43" s="854"/>
      <c r="Z43" s="854"/>
      <c r="AA43" s="854"/>
      <c r="AB43" s="854"/>
      <c r="AC43" s="854"/>
      <c r="AD43" s="854"/>
      <c r="AE43" s="854"/>
      <c r="AF43" s="854"/>
      <c r="AG43" s="854"/>
      <c r="AH43" s="854"/>
      <c r="AI43" s="854"/>
      <c r="AJ43" s="855"/>
      <c r="AK43" s="855"/>
    </row>
    <row r="44" spans="1:37" s="8" customFormat="1" ht="15.75">
      <c r="A44" s="11"/>
      <c r="B44" s="548" t="str">
        <f>'02_4_USES'!B18</f>
        <v>Buildings</v>
      </c>
      <c r="C44" s="564">
        <f>'02_4_USES'!F18</f>
        <v>0</v>
      </c>
      <c r="D44" s="564">
        <f t="shared" ref="D44:D51" si="10">-C44+(SUM(E44:AI44))</f>
        <v>0</v>
      </c>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3">
        <f>C44-SUM(E44:AI44)</f>
        <v>0</v>
      </c>
      <c r="AK44" s="573">
        <f>SUM(E44:AI44)</f>
        <v>0</v>
      </c>
    </row>
    <row r="45" spans="1:37" s="8" customFormat="1" ht="15.75">
      <c r="A45" s="11"/>
      <c r="B45" s="548" t="str">
        <f>'02_4_USES'!B19</f>
        <v>Site Work</v>
      </c>
      <c r="C45" s="564">
        <f>'02_4_USES'!F19</f>
        <v>0</v>
      </c>
      <c r="D45" s="564">
        <f t="shared" si="10"/>
        <v>0</v>
      </c>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572"/>
      <c r="AJ45" s="573">
        <f t="shared" ref="AJ45:AJ52" si="11">C45-SUM(E45:AI45)</f>
        <v>0</v>
      </c>
      <c r="AK45" s="573">
        <f t="shared" ref="AK45:AK52" si="12">SUM(E45:AI45)</f>
        <v>0</v>
      </c>
    </row>
    <row r="46" spans="1:37" s="8" customFormat="1" ht="15.75">
      <c r="A46" s="11"/>
      <c r="B46" s="548" t="str">
        <f>'02_4_USES'!B20</f>
        <v>General Requirements: Typically 8%</v>
      </c>
      <c r="C46" s="564">
        <f>'02_4_USES'!F20</f>
        <v>0</v>
      </c>
      <c r="D46" s="564">
        <f t="shared" si="10"/>
        <v>0</v>
      </c>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572"/>
      <c r="AJ46" s="573">
        <f t="shared" si="11"/>
        <v>0</v>
      </c>
      <c r="AK46" s="573">
        <f t="shared" si="12"/>
        <v>0</v>
      </c>
    </row>
    <row r="47" spans="1:37" s="8" customFormat="1" ht="15.75">
      <c r="A47" s="11"/>
      <c r="B47" s="548" t="str">
        <f>'02_4_USES'!B21</f>
        <v>Builders General Overhead: Typically 2%</v>
      </c>
      <c r="C47" s="564">
        <f>'02_4_USES'!F21</f>
        <v>0</v>
      </c>
      <c r="D47" s="564">
        <f t="shared" si="10"/>
        <v>0</v>
      </c>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3">
        <f t="shared" si="11"/>
        <v>0</v>
      </c>
      <c r="AK47" s="573">
        <f t="shared" si="12"/>
        <v>0</v>
      </c>
    </row>
    <row r="48" spans="1:37" s="8" customFormat="1" ht="15.75">
      <c r="A48" s="11"/>
      <c r="B48" s="548" t="str">
        <f>'02_4_USES'!B22</f>
        <v>Builders Profit: Typically 9%</v>
      </c>
      <c r="C48" s="564">
        <f>'02_4_USES'!F22</f>
        <v>0</v>
      </c>
      <c r="D48" s="564">
        <f t="shared" si="10"/>
        <v>0</v>
      </c>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572"/>
      <c r="AJ48" s="573">
        <f t="shared" si="11"/>
        <v>0</v>
      </c>
      <c r="AK48" s="573">
        <f t="shared" si="12"/>
        <v>0</v>
      </c>
    </row>
    <row r="49" spans="1:37" s="8" customFormat="1" ht="15.75">
      <c r="A49" s="11"/>
      <c r="B49" s="548" t="str">
        <f>'02_4_USES'!B23</f>
        <v>Bond Premium</v>
      </c>
      <c r="C49" s="564">
        <f>'02_4_USES'!F23</f>
        <v>0</v>
      </c>
      <c r="D49" s="564">
        <f t="shared" si="10"/>
        <v>0</v>
      </c>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3">
        <f t="shared" si="11"/>
        <v>0</v>
      </c>
      <c r="AK49" s="573">
        <f t="shared" si="12"/>
        <v>0</v>
      </c>
    </row>
    <row r="50" spans="1:37" s="8" customFormat="1" ht="15.75">
      <c r="A50" s="11"/>
      <c r="B50" s="548" t="str">
        <f>'02_4_USES'!B24</f>
        <v>Extraordinary Conditions</v>
      </c>
      <c r="C50" s="564">
        <f>'02_4_USES'!F24</f>
        <v>0</v>
      </c>
      <c r="D50" s="564">
        <f>-C50+(SUM(E50:AI50))</f>
        <v>0</v>
      </c>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3">
        <f t="shared" si="11"/>
        <v>0</v>
      </c>
      <c r="AK50" s="573">
        <f t="shared" si="12"/>
        <v>0</v>
      </c>
    </row>
    <row r="51" spans="1:37" s="8" customFormat="1" ht="15.75">
      <c r="A51" s="11"/>
      <c r="B51" s="575" t="str">
        <f>'02_4_USES'!B25</f>
        <v>Other Fees</v>
      </c>
      <c r="C51" s="576">
        <f>'02_4_USES'!F25</f>
        <v>0</v>
      </c>
      <c r="D51" s="576">
        <f t="shared" si="10"/>
        <v>0</v>
      </c>
      <c r="E51" s="577"/>
      <c r="F51" s="572"/>
      <c r="G51" s="572"/>
      <c r="H51" s="572"/>
      <c r="I51" s="572"/>
      <c r="J51" s="572"/>
      <c r="K51" s="572"/>
      <c r="L51" s="572"/>
      <c r="M51" s="572"/>
      <c r="N51" s="572"/>
      <c r="O51" s="572"/>
      <c r="P51" s="572"/>
      <c r="Q51" s="572"/>
      <c r="R51" s="572"/>
      <c r="S51" s="572"/>
      <c r="T51" s="572"/>
      <c r="U51" s="572"/>
      <c r="V51" s="572"/>
      <c r="W51" s="572"/>
      <c r="X51" s="577"/>
      <c r="Y51" s="577"/>
      <c r="Z51" s="577"/>
      <c r="AA51" s="577"/>
      <c r="AB51" s="577"/>
      <c r="AC51" s="577"/>
      <c r="AD51" s="577"/>
      <c r="AE51" s="577"/>
      <c r="AF51" s="577"/>
      <c r="AG51" s="577"/>
      <c r="AH51" s="577"/>
      <c r="AI51" s="577"/>
      <c r="AJ51" s="578">
        <f t="shared" si="11"/>
        <v>0</v>
      </c>
      <c r="AK51" s="578">
        <f t="shared" si="12"/>
        <v>0</v>
      </c>
    </row>
    <row r="52" spans="1:37" s="8" customFormat="1" ht="16.5" thickBot="1">
      <c r="A52" s="11"/>
      <c r="B52" s="575" t="str">
        <f>'02_4_USES'!B27</f>
        <v>Construction Contingency: Typically 10%</v>
      </c>
      <c r="C52" s="576">
        <f>'02_4_USES'!F27</f>
        <v>0</v>
      </c>
      <c r="D52" s="576">
        <f>-C52+(SUM(E52:AI52))</f>
        <v>0</v>
      </c>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8">
        <f t="shared" si="11"/>
        <v>0</v>
      </c>
      <c r="AK52" s="578">
        <f t="shared" si="12"/>
        <v>0</v>
      </c>
    </row>
    <row r="53" spans="1:37" s="8" customFormat="1" ht="16.5" thickBot="1">
      <c r="A53" s="11"/>
      <c r="B53" s="848" t="str">
        <f>'02_4_USES'!B29</f>
        <v/>
      </c>
      <c r="C53" s="851"/>
      <c r="D53" s="851"/>
      <c r="E53" s="851"/>
      <c r="F53" s="851"/>
      <c r="G53" s="851"/>
      <c r="H53" s="851"/>
      <c r="I53" s="851"/>
      <c r="J53" s="851"/>
      <c r="K53" s="851"/>
      <c r="L53" s="851"/>
      <c r="M53" s="851"/>
      <c r="N53" s="851"/>
      <c r="O53" s="851"/>
      <c r="P53" s="851"/>
      <c r="Q53" s="851"/>
      <c r="R53" s="851"/>
      <c r="S53" s="851"/>
      <c r="T53" s="851"/>
      <c r="U53" s="851"/>
      <c r="V53" s="851"/>
      <c r="W53" s="851"/>
      <c r="X53" s="851"/>
      <c r="Y53" s="851"/>
      <c r="Z53" s="851"/>
      <c r="AA53" s="851"/>
      <c r="AB53" s="851"/>
      <c r="AC53" s="851"/>
      <c r="AD53" s="851"/>
      <c r="AE53" s="851"/>
      <c r="AF53" s="851"/>
      <c r="AG53" s="851"/>
      <c r="AH53" s="851"/>
      <c r="AI53" s="851"/>
      <c r="AJ53" s="851"/>
      <c r="AK53" s="852"/>
    </row>
    <row r="54" spans="1:37" s="8" customFormat="1" ht="15.75">
      <c r="A54" s="11"/>
      <c r="B54" s="549" t="str">
        <f>'02_4_USES'!B30</f>
        <v>SOFT COSTS</v>
      </c>
      <c r="C54" s="849"/>
      <c r="D54" s="849"/>
      <c r="E54" s="849"/>
      <c r="F54" s="849"/>
      <c r="G54" s="849"/>
      <c r="H54" s="849"/>
      <c r="I54" s="849"/>
      <c r="J54" s="849"/>
      <c r="K54" s="849"/>
      <c r="L54" s="849"/>
      <c r="M54" s="849"/>
      <c r="N54" s="849"/>
      <c r="O54" s="849"/>
      <c r="P54" s="849"/>
      <c r="Q54" s="849"/>
      <c r="R54" s="849"/>
      <c r="S54" s="849"/>
      <c r="T54" s="849"/>
      <c r="U54" s="849"/>
      <c r="V54" s="849"/>
      <c r="W54" s="849"/>
      <c r="X54" s="849"/>
      <c r="Y54" s="849"/>
      <c r="Z54" s="849"/>
      <c r="AA54" s="849"/>
      <c r="AB54" s="849"/>
      <c r="AC54" s="849"/>
      <c r="AD54" s="849"/>
      <c r="AE54" s="849"/>
      <c r="AF54" s="849"/>
      <c r="AG54" s="849"/>
      <c r="AH54" s="849"/>
      <c r="AI54" s="849"/>
      <c r="AJ54" s="850"/>
      <c r="AK54" s="850"/>
    </row>
    <row r="55" spans="1:37" s="8" customFormat="1" ht="15.75">
      <c r="A55" s="11"/>
      <c r="B55" s="548" t="str">
        <f>'02_4_USES'!B31</f>
        <v>Architect Fee - Design</v>
      </c>
      <c r="C55" s="564">
        <f>'02_4_USES'!F31</f>
        <v>0</v>
      </c>
      <c r="D55" s="564">
        <f>-C55+(SUM(E55:AI55))</f>
        <v>0</v>
      </c>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3">
        <f t="shared" ref="AJ55:AJ82" si="13">C55-SUM(E55:AI55)</f>
        <v>0</v>
      </c>
      <c r="AK55" s="573">
        <f t="shared" ref="AK55:AK82" si="14">SUM(E55:AI55)</f>
        <v>0</v>
      </c>
    </row>
    <row r="56" spans="1:37" s="8" customFormat="1" ht="15.75">
      <c r="A56" s="11"/>
      <c r="B56" s="548" t="str">
        <f>'02_4_USES'!B32</f>
        <v>Architect Fee - Supervision</v>
      </c>
      <c r="C56" s="564">
        <f>'02_4_USES'!F32</f>
        <v>0</v>
      </c>
      <c r="D56" s="564">
        <f t="shared" ref="D56:D82" si="15">-C56+(SUM(E56:AI56))</f>
        <v>0</v>
      </c>
      <c r="E56" s="572"/>
      <c r="F56" s="572"/>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572"/>
      <c r="AJ56" s="573">
        <f t="shared" si="13"/>
        <v>0</v>
      </c>
      <c r="AK56" s="573">
        <f t="shared" si="14"/>
        <v>0</v>
      </c>
    </row>
    <row r="57" spans="1:37" s="8" customFormat="1" ht="15.75">
      <c r="A57" s="11"/>
      <c r="B57" s="548" t="str">
        <f>'02_4_USES'!B33</f>
        <v>Survey</v>
      </c>
      <c r="C57" s="564">
        <f>'02_4_USES'!F33</f>
        <v>0</v>
      </c>
      <c r="D57" s="564">
        <f t="shared" si="15"/>
        <v>0</v>
      </c>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3">
        <f t="shared" si="13"/>
        <v>0</v>
      </c>
      <c r="AK57" s="573">
        <f t="shared" si="14"/>
        <v>0</v>
      </c>
    </row>
    <row r="58" spans="1:37" s="8" customFormat="1" ht="15.75">
      <c r="A58" s="11"/>
      <c r="B58" s="548" t="str">
        <f>'02_4_USES'!B34</f>
        <v>Environmental</v>
      </c>
      <c r="C58" s="564">
        <f>'02_4_USES'!F34</f>
        <v>0</v>
      </c>
      <c r="D58" s="564">
        <f t="shared" si="15"/>
        <v>0</v>
      </c>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3">
        <f t="shared" si="13"/>
        <v>0</v>
      </c>
      <c r="AK58" s="573">
        <f t="shared" si="14"/>
        <v>0</v>
      </c>
    </row>
    <row r="59" spans="1:37" s="8" customFormat="1" ht="15.75">
      <c r="A59" s="11"/>
      <c r="B59" s="548" t="str">
        <f>'02_4_USES'!B35</f>
        <v>Structural Engineering &amp; Reports</v>
      </c>
      <c r="C59" s="564">
        <f>'02_4_USES'!F35</f>
        <v>0</v>
      </c>
      <c r="D59" s="564">
        <f t="shared" si="15"/>
        <v>0</v>
      </c>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572"/>
      <c r="AJ59" s="573">
        <f t="shared" si="13"/>
        <v>0</v>
      </c>
      <c r="AK59" s="573">
        <f t="shared" si="14"/>
        <v>0</v>
      </c>
    </row>
    <row r="60" spans="1:37" s="8" customFormat="1" ht="15.75">
      <c r="A60" s="11"/>
      <c r="B60" s="548" t="str">
        <f>'02_4_USES'!B36</f>
        <v>Fire Code Compliance Report</v>
      </c>
      <c r="C60" s="564">
        <f>'02_4_USES'!F36</f>
        <v>0</v>
      </c>
      <c r="D60" s="564">
        <f t="shared" si="15"/>
        <v>0</v>
      </c>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72"/>
      <c r="AI60" s="572"/>
      <c r="AJ60" s="573">
        <f t="shared" si="13"/>
        <v>0</v>
      </c>
      <c r="AK60" s="573">
        <f t="shared" si="14"/>
        <v>0</v>
      </c>
    </row>
    <row r="61" spans="1:37" s="8" customFormat="1" ht="15.75">
      <c r="A61" s="11"/>
      <c r="B61" s="548" t="str">
        <f>'02_4_USES'!B37</f>
        <v>Builders Risk Insurance</v>
      </c>
      <c r="C61" s="564">
        <f>'02_4_USES'!F37</f>
        <v>0</v>
      </c>
      <c r="D61" s="564">
        <f t="shared" si="15"/>
        <v>0</v>
      </c>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572"/>
      <c r="AJ61" s="573">
        <f t="shared" si="13"/>
        <v>0</v>
      </c>
      <c r="AK61" s="573">
        <f t="shared" si="14"/>
        <v>0</v>
      </c>
    </row>
    <row r="62" spans="1:37" s="8" customFormat="1" ht="15.75">
      <c r="A62" s="11"/>
      <c r="B62" s="548" t="str">
        <f>'02_4_USES'!B38</f>
        <v>Clerk of the Works</v>
      </c>
      <c r="C62" s="564">
        <f>'02_4_USES'!F38</f>
        <v>0</v>
      </c>
      <c r="D62" s="564">
        <f t="shared" si="15"/>
        <v>0</v>
      </c>
      <c r="E62" s="572"/>
      <c r="F62" s="572"/>
      <c r="G62" s="572"/>
      <c r="H62" s="572"/>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572"/>
      <c r="AJ62" s="573">
        <f t="shared" si="13"/>
        <v>0</v>
      </c>
      <c r="AK62" s="573">
        <f t="shared" si="14"/>
        <v>0</v>
      </c>
    </row>
    <row r="63" spans="1:37" s="8" customFormat="1" ht="15.75">
      <c r="A63" s="11"/>
      <c r="B63" s="548" t="str">
        <f>'02_4_USES'!B39</f>
        <v>Owner Legal Fees</v>
      </c>
      <c r="C63" s="564">
        <f>'02_4_USES'!F39</f>
        <v>0</v>
      </c>
      <c r="D63" s="564">
        <f t="shared" si="15"/>
        <v>0</v>
      </c>
      <c r="E63" s="572"/>
      <c r="F63" s="572"/>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572"/>
      <c r="AJ63" s="573">
        <f t="shared" si="13"/>
        <v>0</v>
      </c>
      <c r="AK63" s="573">
        <f t="shared" si="14"/>
        <v>0</v>
      </c>
    </row>
    <row r="64" spans="1:37" s="8" customFormat="1" ht="15.75">
      <c r="A64" s="11"/>
      <c r="B64" s="548" t="str">
        <f>'02_4_USES'!B40</f>
        <v>RIH Legal Fees</v>
      </c>
      <c r="C64" s="564">
        <f>'02_4_USES'!F40</f>
        <v>0</v>
      </c>
      <c r="D64" s="564">
        <f t="shared" si="15"/>
        <v>0</v>
      </c>
      <c r="E64" s="572"/>
      <c r="F64" s="572"/>
      <c r="G64" s="572"/>
      <c r="H64" s="572"/>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3">
        <f t="shared" si="13"/>
        <v>0</v>
      </c>
      <c r="AK64" s="573">
        <f t="shared" si="14"/>
        <v>0</v>
      </c>
    </row>
    <row r="65" spans="1:37" s="8" customFormat="1" ht="15.75">
      <c r="A65" s="11"/>
      <c r="B65" s="548" t="str">
        <f>'02_4_USES'!B41</f>
        <v>Syndicator Legal</v>
      </c>
      <c r="C65" s="564">
        <f>'02_4_USES'!F41</f>
        <v>0</v>
      </c>
      <c r="D65" s="564">
        <f t="shared" si="15"/>
        <v>0</v>
      </c>
      <c r="E65" s="572"/>
      <c r="F65" s="572"/>
      <c r="G65" s="572"/>
      <c r="H65" s="572"/>
      <c r="I65" s="572"/>
      <c r="J65" s="572"/>
      <c r="K65" s="572"/>
      <c r="L65" s="572"/>
      <c r="M65" s="572"/>
      <c r="N65" s="572"/>
      <c r="O65" s="572"/>
      <c r="P65" s="572"/>
      <c r="Q65" s="572"/>
      <c r="R65" s="572"/>
      <c r="S65" s="572"/>
      <c r="T65" s="572"/>
      <c r="U65" s="572"/>
      <c r="V65" s="572"/>
      <c r="W65" s="572"/>
      <c r="X65" s="572"/>
      <c r="Y65" s="572"/>
      <c r="Z65" s="572"/>
      <c r="AA65" s="572"/>
      <c r="AB65" s="572"/>
      <c r="AC65" s="572"/>
      <c r="AD65" s="572"/>
      <c r="AE65" s="572"/>
      <c r="AF65" s="572"/>
      <c r="AG65" s="572"/>
      <c r="AH65" s="572"/>
      <c r="AI65" s="572"/>
      <c r="AJ65" s="573">
        <f t="shared" si="13"/>
        <v>0</v>
      </c>
      <c r="AK65" s="573">
        <f t="shared" si="14"/>
        <v>0</v>
      </c>
    </row>
    <row r="66" spans="1:37" s="8" customFormat="1" ht="15.75">
      <c r="A66" s="11"/>
      <c r="B66" s="548" t="str">
        <f>'02_4_USES'!B42</f>
        <v>Title and Recording</v>
      </c>
      <c r="C66" s="564">
        <f>'02_4_USES'!F42</f>
        <v>0</v>
      </c>
      <c r="D66" s="564">
        <f t="shared" si="15"/>
        <v>0</v>
      </c>
      <c r="E66" s="572"/>
      <c r="F66" s="572"/>
      <c r="G66" s="572"/>
      <c r="H66" s="572"/>
      <c r="I66" s="572"/>
      <c r="J66" s="572"/>
      <c r="K66" s="572"/>
      <c r="L66" s="572"/>
      <c r="M66" s="572"/>
      <c r="N66" s="572"/>
      <c r="O66" s="572"/>
      <c r="P66" s="572"/>
      <c r="Q66" s="572"/>
      <c r="R66" s="572"/>
      <c r="S66" s="572"/>
      <c r="T66" s="572"/>
      <c r="U66" s="572"/>
      <c r="V66" s="572"/>
      <c r="W66" s="572"/>
      <c r="X66" s="572"/>
      <c r="Y66" s="572"/>
      <c r="Z66" s="572"/>
      <c r="AA66" s="572"/>
      <c r="AB66" s="572"/>
      <c r="AC66" s="572"/>
      <c r="AD66" s="572"/>
      <c r="AE66" s="572"/>
      <c r="AF66" s="572"/>
      <c r="AG66" s="572"/>
      <c r="AH66" s="572"/>
      <c r="AI66" s="572"/>
      <c r="AJ66" s="573">
        <f t="shared" si="13"/>
        <v>0</v>
      </c>
      <c r="AK66" s="573">
        <f t="shared" si="14"/>
        <v>0</v>
      </c>
    </row>
    <row r="67" spans="1:37" s="8" customFormat="1" ht="15.75">
      <c r="A67" s="11"/>
      <c r="B67" s="548" t="str">
        <f>'02_4_USES'!B43</f>
        <v>Cost Certification</v>
      </c>
      <c r="C67" s="564">
        <f>'02_4_USES'!F43</f>
        <v>0</v>
      </c>
      <c r="D67" s="564">
        <f t="shared" si="15"/>
        <v>0</v>
      </c>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572"/>
      <c r="AC67" s="572"/>
      <c r="AD67" s="572"/>
      <c r="AE67" s="572"/>
      <c r="AF67" s="572"/>
      <c r="AG67" s="572"/>
      <c r="AH67" s="572"/>
      <c r="AI67" s="572"/>
      <c r="AJ67" s="573">
        <f t="shared" si="13"/>
        <v>0</v>
      </c>
      <c r="AK67" s="573">
        <f t="shared" si="14"/>
        <v>0</v>
      </c>
    </row>
    <row r="68" spans="1:37" s="8" customFormat="1" ht="15.75">
      <c r="A68" s="11"/>
      <c r="B68" s="548" t="str">
        <f>'02_4_USES'!B44</f>
        <v>LIHTC Accounting</v>
      </c>
      <c r="C68" s="564">
        <f>'02_4_USES'!F44</f>
        <v>0</v>
      </c>
      <c r="D68" s="564">
        <f t="shared" si="15"/>
        <v>0</v>
      </c>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72"/>
      <c r="AH68" s="572"/>
      <c r="AI68" s="572"/>
      <c r="AJ68" s="573">
        <f t="shared" si="13"/>
        <v>0</v>
      </c>
      <c r="AK68" s="573">
        <f t="shared" si="14"/>
        <v>0</v>
      </c>
    </row>
    <row r="69" spans="1:37" s="8" customFormat="1" ht="15.75">
      <c r="A69" s="11"/>
      <c r="B69" s="548" t="str">
        <f>'02_4_USES'!B45</f>
        <v>Appraisal</v>
      </c>
      <c r="C69" s="564">
        <f>'02_4_USES'!F45</f>
        <v>0</v>
      </c>
      <c r="D69" s="564">
        <f t="shared" si="15"/>
        <v>0</v>
      </c>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72"/>
      <c r="AI69" s="572"/>
      <c r="AJ69" s="573">
        <f t="shared" si="13"/>
        <v>0</v>
      </c>
      <c r="AK69" s="573">
        <f t="shared" si="14"/>
        <v>0</v>
      </c>
    </row>
    <row r="70" spans="1:37" s="8" customFormat="1" ht="15.75">
      <c r="A70" s="11"/>
      <c r="B70" s="548" t="str">
        <f>'02_4_USES'!B46</f>
        <v>Market Study</v>
      </c>
      <c r="C70" s="564">
        <f>'02_4_USES'!F46</f>
        <v>0</v>
      </c>
      <c r="D70" s="564">
        <f t="shared" si="15"/>
        <v>0</v>
      </c>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3">
        <f t="shared" si="13"/>
        <v>0</v>
      </c>
      <c r="AK70" s="573">
        <f t="shared" si="14"/>
        <v>0</v>
      </c>
    </row>
    <row r="71" spans="1:37" s="8" customFormat="1" ht="15.75">
      <c r="A71" s="11"/>
      <c r="B71" s="548" t="str">
        <f>'02_4_USES'!B47</f>
        <v>Capital Needs Assessment</v>
      </c>
      <c r="C71" s="564">
        <f>'02_4_USES'!F47</f>
        <v>0</v>
      </c>
      <c r="D71" s="564">
        <f t="shared" si="15"/>
        <v>0</v>
      </c>
      <c r="E71" s="572"/>
      <c r="F71" s="572"/>
      <c r="G71" s="572"/>
      <c r="H71" s="572"/>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72"/>
      <c r="AI71" s="572"/>
      <c r="AJ71" s="573">
        <f t="shared" si="13"/>
        <v>0</v>
      </c>
      <c r="AK71" s="573">
        <f t="shared" si="14"/>
        <v>0</v>
      </c>
    </row>
    <row r="72" spans="1:37" s="8" customFormat="1" ht="15.75">
      <c r="A72" s="11"/>
      <c r="B72" s="548" t="str">
        <f>'02_4_USES'!B48</f>
        <v>Furniture, Fixtures and Equipment</v>
      </c>
      <c r="C72" s="564">
        <f>'02_4_USES'!F48</f>
        <v>0</v>
      </c>
      <c r="D72" s="564">
        <f t="shared" si="15"/>
        <v>0</v>
      </c>
      <c r="E72" s="572"/>
      <c r="F72" s="572"/>
      <c r="G72" s="572"/>
      <c r="H72" s="572"/>
      <c r="I72" s="572"/>
      <c r="J72" s="572"/>
      <c r="K72" s="572"/>
      <c r="L72" s="572"/>
      <c r="M72" s="572"/>
      <c r="N72" s="572"/>
      <c r="O72" s="572"/>
      <c r="P72" s="572"/>
      <c r="Q72" s="572"/>
      <c r="R72" s="572"/>
      <c r="S72" s="572"/>
      <c r="T72" s="572"/>
      <c r="U72" s="572"/>
      <c r="V72" s="572"/>
      <c r="W72" s="572"/>
      <c r="X72" s="572"/>
      <c r="Y72" s="572"/>
      <c r="Z72" s="572"/>
      <c r="AA72" s="572"/>
      <c r="AB72" s="572"/>
      <c r="AC72" s="572"/>
      <c r="AD72" s="572"/>
      <c r="AE72" s="572"/>
      <c r="AF72" s="572"/>
      <c r="AG72" s="572"/>
      <c r="AH72" s="572"/>
      <c r="AI72" s="572"/>
      <c r="AJ72" s="573">
        <f t="shared" si="13"/>
        <v>0</v>
      </c>
      <c r="AK72" s="573">
        <f t="shared" si="14"/>
        <v>0</v>
      </c>
    </row>
    <row r="73" spans="1:37" s="8" customFormat="1" ht="15.75">
      <c r="A73" s="11"/>
      <c r="B73" s="548" t="str">
        <f>'02_4_USES'!B49</f>
        <v>Marketing and Lease-up</v>
      </c>
      <c r="C73" s="564">
        <f>'02_4_USES'!F49</f>
        <v>0</v>
      </c>
      <c r="D73" s="564">
        <f t="shared" si="15"/>
        <v>0</v>
      </c>
      <c r="E73" s="572"/>
      <c r="F73" s="572"/>
      <c r="G73" s="572"/>
      <c r="H73" s="572"/>
      <c r="I73" s="572"/>
      <c r="J73" s="572"/>
      <c r="K73" s="572"/>
      <c r="L73" s="572"/>
      <c r="M73" s="572"/>
      <c r="N73" s="572"/>
      <c r="O73" s="572"/>
      <c r="P73" s="572"/>
      <c r="Q73" s="572"/>
      <c r="R73" s="572"/>
      <c r="S73" s="572"/>
      <c r="T73" s="572"/>
      <c r="U73" s="572"/>
      <c r="V73" s="572"/>
      <c r="W73" s="572"/>
      <c r="X73" s="572"/>
      <c r="Y73" s="572"/>
      <c r="Z73" s="572"/>
      <c r="AA73" s="572"/>
      <c r="AB73" s="572"/>
      <c r="AC73" s="572"/>
      <c r="AD73" s="572"/>
      <c r="AE73" s="572"/>
      <c r="AF73" s="572"/>
      <c r="AG73" s="572"/>
      <c r="AH73" s="572"/>
      <c r="AI73" s="572"/>
      <c r="AJ73" s="573">
        <f t="shared" si="13"/>
        <v>0</v>
      </c>
      <c r="AK73" s="573">
        <f t="shared" si="14"/>
        <v>0</v>
      </c>
    </row>
    <row r="74" spans="1:37" s="8" customFormat="1" ht="15.75">
      <c r="A74" s="11"/>
      <c r="B74" s="548" t="str">
        <f>'02_4_USES'!B50</f>
        <v>Sewer, Water and Utility Hookups</v>
      </c>
      <c r="C74" s="564">
        <f>'02_4_USES'!F50</f>
        <v>0</v>
      </c>
      <c r="D74" s="564">
        <f t="shared" si="15"/>
        <v>0</v>
      </c>
      <c r="E74" s="572"/>
      <c r="F74" s="572"/>
      <c r="G74" s="572"/>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72"/>
      <c r="AI74" s="572"/>
      <c r="AJ74" s="573">
        <f t="shared" si="13"/>
        <v>0</v>
      </c>
      <c r="AK74" s="573">
        <f t="shared" si="14"/>
        <v>0</v>
      </c>
    </row>
    <row r="75" spans="1:37" s="8" customFormat="1" ht="15.75">
      <c r="A75" s="11"/>
      <c r="B75" s="548" t="str">
        <f>'02_4_USES'!B51</f>
        <v>Relocation</v>
      </c>
      <c r="C75" s="564">
        <f>'02_4_USES'!F51</f>
        <v>0</v>
      </c>
      <c r="D75" s="564">
        <f t="shared" si="15"/>
        <v>0</v>
      </c>
      <c r="E75" s="572"/>
      <c r="F75" s="572"/>
      <c r="G75" s="572"/>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72"/>
      <c r="AI75" s="572"/>
      <c r="AJ75" s="573">
        <f t="shared" si="13"/>
        <v>0</v>
      </c>
      <c r="AK75" s="573">
        <f t="shared" si="14"/>
        <v>0</v>
      </c>
    </row>
    <row r="76" spans="1:37" s="8" customFormat="1" ht="15.75">
      <c r="A76" s="11"/>
      <c r="B76" s="548" t="str">
        <f>'02_4_USES'!B52</f>
        <v>RE Tax Fee Set up</v>
      </c>
      <c r="C76" s="564">
        <f>'02_4_USES'!F52</f>
        <v>0</v>
      </c>
      <c r="D76" s="564">
        <f t="shared" si="15"/>
        <v>0</v>
      </c>
      <c r="E76" s="572"/>
      <c r="F76" s="572"/>
      <c r="G76" s="572"/>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c r="AE76" s="572"/>
      <c r="AF76" s="572"/>
      <c r="AG76" s="572"/>
      <c r="AH76" s="572"/>
      <c r="AI76" s="572"/>
      <c r="AJ76" s="573">
        <f t="shared" si="13"/>
        <v>0</v>
      </c>
      <c r="AK76" s="573">
        <f t="shared" si="14"/>
        <v>0</v>
      </c>
    </row>
    <row r="77" spans="1:37" s="8" customFormat="1" ht="15.75">
      <c r="A77" s="11"/>
      <c r="B77" s="548" t="str">
        <f>'02_4_USES'!B53</f>
        <v>Credit Report</v>
      </c>
      <c r="C77" s="564">
        <f>'02_4_USES'!F53</f>
        <v>0</v>
      </c>
      <c r="D77" s="564">
        <f t="shared" si="15"/>
        <v>0</v>
      </c>
      <c r="E77" s="572"/>
      <c r="F77" s="572"/>
      <c r="G77" s="572"/>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c r="AE77" s="572"/>
      <c r="AF77" s="572"/>
      <c r="AG77" s="572"/>
      <c r="AH77" s="572"/>
      <c r="AI77" s="572"/>
      <c r="AJ77" s="573">
        <f t="shared" si="13"/>
        <v>0</v>
      </c>
      <c r="AK77" s="573">
        <f t="shared" si="14"/>
        <v>0</v>
      </c>
    </row>
    <row r="78" spans="1:37" s="8" customFormat="1" ht="15.75">
      <c r="A78" s="11"/>
      <c r="B78" s="548" t="str">
        <f>'02_4_USES'!B54</f>
        <v>Other</v>
      </c>
      <c r="C78" s="564">
        <f>'02_4_USES'!F54</f>
        <v>0</v>
      </c>
      <c r="D78" s="564">
        <f t="shared" si="15"/>
        <v>0</v>
      </c>
      <c r="E78" s="572"/>
      <c r="F78" s="572"/>
      <c r="G78" s="572"/>
      <c r="H78" s="572"/>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72"/>
      <c r="AI78" s="572"/>
      <c r="AJ78" s="573">
        <f t="shared" si="13"/>
        <v>0</v>
      </c>
      <c r="AK78" s="573">
        <f t="shared" si="14"/>
        <v>0</v>
      </c>
    </row>
    <row r="79" spans="1:37" s="8" customFormat="1" ht="15.75">
      <c r="A79" s="11"/>
      <c r="B79" s="548" t="str">
        <f>'02_4_USES'!B55</f>
        <v>Other</v>
      </c>
      <c r="C79" s="564">
        <f>'02_4_USES'!F55</f>
        <v>0</v>
      </c>
      <c r="D79" s="564">
        <f t="shared" si="15"/>
        <v>0</v>
      </c>
      <c r="E79" s="572"/>
      <c r="F79" s="572"/>
      <c r="G79" s="572"/>
      <c r="H79" s="572"/>
      <c r="I79" s="572"/>
      <c r="J79" s="572"/>
      <c r="K79" s="572"/>
      <c r="L79" s="572"/>
      <c r="M79" s="572"/>
      <c r="N79" s="572"/>
      <c r="O79" s="572"/>
      <c r="P79" s="572"/>
      <c r="Q79" s="572"/>
      <c r="R79" s="572"/>
      <c r="S79" s="572"/>
      <c r="T79" s="572"/>
      <c r="U79" s="572"/>
      <c r="V79" s="572"/>
      <c r="W79" s="572"/>
      <c r="X79" s="572"/>
      <c r="Y79" s="572"/>
      <c r="Z79" s="572"/>
      <c r="AA79" s="572"/>
      <c r="AB79" s="572"/>
      <c r="AC79" s="572"/>
      <c r="AD79" s="572"/>
      <c r="AE79" s="572"/>
      <c r="AF79" s="572"/>
      <c r="AG79" s="572"/>
      <c r="AH79" s="572"/>
      <c r="AI79" s="572"/>
      <c r="AJ79" s="573">
        <f t="shared" si="13"/>
        <v>0</v>
      </c>
      <c r="AK79" s="573">
        <f t="shared" si="14"/>
        <v>0</v>
      </c>
    </row>
    <row r="80" spans="1:37" s="8" customFormat="1" ht="15.75">
      <c r="A80" s="11"/>
      <c r="B80" s="548" t="str">
        <f>'02_4_USES'!B56</f>
        <v>Other</v>
      </c>
      <c r="C80" s="564">
        <f>'02_4_USES'!F56</f>
        <v>0</v>
      </c>
      <c r="D80" s="564">
        <f t="shared" si="15"/>
        <v>0</v>
      </c>
      <c r="E80" s="572"/>
      <c r="F80" s="572"/>
      <c r="G80" s="572"/>
      <c r="H80" s="572"/>
      <c r="I80" s="572"/>
      <c r="J80" s="572"/>
      <c r="K80" s="572"/>
      <c r="L80" s="572"/>
      <c r="M80" s="572"/>
      <c r="N80" s="572"/>
      <c r="O80" s="572"/>
      <c r="P80" s="572"/>
      <c r="Q80" s="572"/>
      <c r="R80" s="572"/>
      <c r="S80" s="572"/>
      <c r="T80" s="572"/>
      <c r="U80" s="572"/>
      <c r="V80" s="572"/>
      <c r="W80" s="572"/>
      <c r="X80" s="572"/>
      <c r="Y80" s="572"/>
      <c r="Z80" s="572"/>
      <c r="AA80" s="572"/>
      <c r="AB80" s="572"/>
      <c r="AC80" s="572"/>
      <c r="AD80" s="572"/>
      <c r="AE80" s="572"/>
      <c r="AF80" s="572"/>
      <c r="AG80" s="572"/>
      <c r="AH80" s="572"/>
      <c r="AI80" s="572"/>
      <c r="AJ80" s="573">
        <f t="shared" si="13"/>
        <v>0</v>
      </c>
      <c r="AK80" s="573">
        <f t="shared" si="14"/>
        <v>0</v>
      </c>
    </row>
    <row r="81" spans="1:37" s="8" customFormat="1" ht="15.75">
      <c r="A81" s="11"/>
      <c r="B81" s="548" t="str">
        <f>'02_4_USES'!B57</f>
        <v>Other</v>
      </c>
      <c r="C81" s="564">
        <f>'02_4_USES'!F57</f>
        <v>0</v>
      </c>
      <c r="D81" s="564">
        <f t="shared" si="15"/>
        <v>0</v>
      </c>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3">
        <f t="shared" si="13"/>
        <v>0</v>
      </c>
      <c r="AK81" s="573">
        <f t="shared" si="14"/>
        <v>0</v>
      </c>
    </row>
    <row r="82" spans="1:37" s="8" customFormat="1" ht="16.5" thickBot="1">
      <c r="A82" s="11"/>
      <c r="B82" s="575" t="str">
        <f>'02_4_USES'!B58</f>
        <v>Soft Cost Contingency</v>
      </c>
      <c r="C82" s="576">
        <f>'02_4_USES'!F58</f>
        <v>0</v>
      </c>
      <c r="D82" s="576">
        <f t="shared" si="15"/>
        <v>0</v>
      </c>
      <c r="E82" s="577"/>
      <c r="F82" s="572"/>
      <c r="G82" s="572"/>
      <c r="H82" s="572"/>
      <c r="I82" s="572"/>
      <c r="J82" s="572"/>
      <c r="K82" s="572"/>
      <c r="L82" s="572"/>
      <c r="M82" s="572"/>
      <c r="N82" s="572"/>
      <c r="O82" s="572"/>
      <c r="P82" s="572"/>
      <c r="Q82" s="572"/>
      <c r="R82" s="572"/>
      <c r="S82" s="572"/>
      <c r="T82" s="572"/>
      <c r="U82" s="572"/>
      <c r="V82" s="572"/>
      <c r="W82" s="572"/>
      <c r="X82" s="577"/>
      <c r="Y82" s="577"/>
      <c r="Z82" s="577"/>
      <c r="AA82" s="577"/>
      <c r="AB82" s="577"/>
      <c r="AC82" s="577"/>
      <c r="AD82" s="577"/>
      <c r="AE82" s="577"/>
      <c r="AF82" s="577"/>
      <c r="AG82" s="577"/>
      <c r="AH82" s="577"/>
      <c r="AI82" s="577"/>
      <c r="AJ82" s="578">
        <f t="shared" si="13"/>
        <v>0</v>
      </c>
      <c r="AK82" s="578">
        <f t="shared" si="14"/>
        <v>0</v>
      </c>
    </row>
    <row r="83" spans="1:37" s="8" customFormat="1" ht="16.5" thickBot="1">
      <c r="A83" s="11"/>
      <c r="B83" s="853"/>
      <c r="C83" s="851"/>
      <c r="D83" s="851"/>
      <c r="E83" s="851"/>
      <c r="F83" s="851"/>
      <c r="G83" s="851"/>
      <c r="H83" s="851"/>
      <c r="I83" s="851"/>
      <c r="J83" s="851"/>
      <c r="K83" s="851"/>
      <c r="L83" s="851"/>
      <c r="M83" s="851"/>
      <c r="N83" s="851"/>
      <c r="O83" s="851"/>
      <c r="P83" s="851"/>
      <c r="Q83" s="851"/>
      <c r="R83" s="851"/>
      <c r="S83" s="851"/>
      <c r="T83" s="851"/>
      <c r="U83" s="851"/>
      <c r="V83" s="851"/>
      <c r="W83" s="851"/>
      <c r="X83" s="851"/>
      <c r="Y83" s="851"/>
      <c r="Z83" s="851"/>
      <c r="AA83" s="851"/>
      <c r="AB83" s="851"/>
      <c r="AC83" s="851"/>
      <c r="AD83" s="851"/>
      <c r="AE83" s="851"/>
      <c r="AF83" s="851"/>
      <c r="AG83" s="851"/>
      <c r="AH83" s="851"/>
      <c r="AI83" s="851"/>
      <c r="AJ83" s="851"/>
      <c r="AK83" s="852"/>
    </row>
    <row r="84" spans="1:37" s="8" customFormat="1" ht="15.75">
      <c r="A84" s="11"/>
      <c r="B84" s="549" t="str">
        <f>'02_4_USES'!B61</f>
        <v xml:space="preserve">FINANCING </v>
      </c>
      <c r="C84" s="849"/>
      <c r="D84" s="849"/>
      <c r="E84" s="849"/>
      <c r="F84" s="849"/>
      <c r="G84" s="849"/>
      <c r="H84" s="849"/>
      <c r="I84" s="849"/>
      <c r="J84" s="849"/>
      <c r="K84" s="849"/>
      <c r="L84" s="849"/>
      <c r="M84" s="849"/>
      <c r="N84" s="849"/>
      <c r="O84" s="849"/>
      <c r="P84" s="849"/>
      <c r="Q84" s="849"/>
      <c r="R84" s="849"/>
      <c r="S84" s="849"/>
      <c r="T84" s="849"/>
      <c r="U84" s="849"/>
      <c r="V84" s="849"/>
      <c r="W84" s="849"/>
      <c r="X84" s="849"/>
      <c r="Y84" s="849"/>
      <c r="Z84" s="849"/>
      <c r="AA84" s="849"/>
      <c r="AB84" s="849"/>
      <c r="AC84" s="849"/>
      <c r="AD84" s="849"/>
      <c r="AE84" s="849"/>
      <c r="AF84" s="849"/>
      <c r="AG84" s="849"/>
      <c r="AH84" s="849"/>
      <c r="AI84" s="849"/>
      <c r="AJ84" s="850"/>
      <c r="AK84" s="850"/>
    </row>
    <row r="85" spans="1:37" s="8" customFormat="1" ht="15.75">
      <c r="A85" s="11"/>
      <c r="B85" s="548" t="str">
        <f>'02_4_USES'!B62</f>
        <v>Taxes During Construction</v>
      </c>
      <c r="C85" s="564">
        <f>'02_4_USES'!F62</f>
        <v>0</v>
      </c>
      <c r="D85" s="564">
        <f>-C85+(SUM(E85:AI85))</f>
        <v>0</v>
      </c>
      <c r="E85" s="572"/>
      <c r="F85" s="572"/>
      <c r="G85" s="572"/>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c r="AF85" s="572"/>
      <c r="AG85" s="572"/>
      <c r="AH85" s="572"/>
      <c r="AI85" s="572"/>
      <c r="AJ85" s="573">
        <f t="shared" ref="AJ85:AJ96" si="16">C85-SUM(E85:AI85)</f>
        <v>0</v>
      </c>
      <c r="AK85" s="573">
        <f t="shared" ref="AK85:AK96" si="17">SUM(E85:AI85)</f>
        <v>0</v>
      </c>
    </row>
    <row r="86" spans="1:37" s="8" customFormat="1" ht="15.75">
      <c r="A86" s="11"/>
      <c r="B86" s="548" t="str">
        <f>'02_4_USES'!B63</f>
        <v>Risk Sharing Premium</v>
      </c>
      <c r="C86" s="564">
        <f>'02_4_USES'!F63</f>
        <v>0</v>
      </c>
      <c r="D86" s="564">
        <f t="shared" ref="D86:D96" si="18">-C86+(SUM(E86:AI86))</f>
        <v>0</v>
      </c>
      <c r="E86" s="572"/>
      <c r="F86" s="572"/>
      <c r="G86" s="572"/>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c r="AF86" s="572"/>
      <c r="AG86" s="572"/>
      <c r="AH86" s="572"/>
      <c r="AI86" s="572"/>
      <c r="AJ86" s="573">
        <f t="shared" si="16"/>
        <v>0</v>
      </c>
      <c r="AK86" s="573">
        <f t="shared" si="17"/>
        <v>0</v>
      </c>
    </row>
    <row r="87" spans="1:37" s="8" customFormat="1" ht="15.75">
      <c r="A87" s="11"/>
      <c r="B87" s="548" t="str">
        <f>'02_4_USES'!B64</f>
        <v>Construction Loan Interest</v>
      </c>
      <c r="C87" s="564">
        <f>'02_4_USES'!F64</f>
        <v>0</v>
      </c>
      <c r="D87" s="564">
        <f t="shared" si="18"/>
        <v>0</v>
      </c>
      <c r="E87" s="572"/>
      <c r="F87" s="572"/>
      <c r="G87" s="572"/>
      <c r="H87" s="572"/>
      <c r="I87" s="572"/>
      <c r="J87" s="572"/>
      <c r="K87" s="572"/>
      <c r="L87" s="572"/>
      <c r="M87" s="572"/>
      <c r="N87" s="572"/>
      <c r="O87" s="572"/>
      <c r="P87" s="572"/>
      <c r="Q87" s="572"/>
      <c r="R87" s="572"/>
      <c r="S87" s="572"/>
      <c r="T87" s="572"/>
      <c r="U87" s="572"/>
      <c r="V87" s="572"/>
      <c r="W87" s="572"/>
      <c r="X87" s="572"/>
      <c r="Y87" s="572"/>
      <c r="Z87" s="572"/>
      <c r="AA87" s="572"/>
      <c r="AB87" s="572"/>
      <c r="AC87" s="572"/>
      <c r="AD87" s="572"/>
      <c r="AE87" s="572"/>
      <c r="AF87" s="572"/>
      <c r="AG87" s="572"/>
      <c r="AH87" s="572"/>
      <c r="AI87" s="572"/>
      <c r="AJ87" s="573">
        <f t="shared" si="16"/>
        <v>0</v>
      </c>
      <c r="AK87" s="573">
        <f t="shared" si="17"/>
        <v>0</v>
      </c>
    </row>
    <row r="88" spans="1:37" s="8" customFormat="1" ht="15.75">
      <c r="A88" s="11"/>
      <c r="B88" s="548" t="str">
        <f>'02_4_USES'!B65</f>
        <v>Construction Loan Origination Fee</v>
      </c>
      <c r="C88" s="564">
        <f>'02_4_USES'!F65</f>
        <v>0</v>
      </c>
      <c r="D88" s="564">
        <f t="shared" si="18"/>
        <v>0</v>
      </c>
      <c r="E88" s="572"/>
      <c r="F88" s="572"/>
      <c r="G88" s="572"/>
      <c r="H88" s="572"/>
      <c r="I88" s="572"/>
      <c r="J88" s="572"/>
      <c r="K88" s="572"/>
      <c r="L88" s="572"/>
      <c r="M88" s="572"/>
      <c r="N88" s="572"/>
      <c r="O88" s="572"/>
      <c r="P88" s="572"/>
      <c r="Q88" s="572"/>
      <c r="R88" s="572"/>
      <c r="S88" s="572"/>
      <c r="T88" s="572"/>
      <c r="U88" s="572"/>
      <c r="V88" s="572"/>
      <c r="W88" s="572"/>
      <c r="X88" s="572"/>
      <c r="Y88" s="572"/>
      <c r="Z88" s="572"/>
      <c r="AA88" s="572"/>
      <c r="AB88" s="572"/>
      <c r="AC88" s="572"/>
      <c r="AD88" s="572"/>
      <c r="AE88" s="572"/>
      <c r="AF88" s="572"/>
      <c r="AG88" s="572"/>
      <c r="AH88" s="572"/>
      <c r="AI88" s="572"/>
      <c r="AJ88" s="573">
        <f t="shared" si="16"/>
        <v>0</v>
      </c>
      <c r="AK88" s="573">
        <f t="shared" si="17"/>
        <v>0</v>
      </c>
    </row>
    <row r="89" spans="1:37" s="8" customFormat="1" ht="15.75">
      <c r="A89" s="11"/>
      <c r="B89" s="548" t="str">
        <f>'02_4_USES'!B66</f>
        <v>RIH Origination Fee</v>
      </c>
      <c r="C89" s="564">
        <f>'02_4_USES'!F66</f>
        <v>0</v>
      </c>
      <c r="D89" s="564">
        <f t="shared" si="18"/>
        <v>0</v>
      </c>
      <c r="E89" s="572"/>
      <c r="F89" s="572"/>
      <c r="G89" s="572"/>
      <c r="H89" s="572"/>
      <c r="I89" s="572"/>
      <c r="J89" s="572"/>
      <c r="K89" s="572"/>
      <c r="L89" s="572"/>
      <c r="M89" s="572"/>
      <c r="N89" s="572"/>
      <c r="O89" s="572"/>
      <c r="P89" s="572"/>
      <c r="Q89" s="572"/>
      <c r="R89" s="572"/>
      <c r="S89" s="572"/>
      <c r="T89" s="572"/>
      <c r="U89" s="572"/>
      <c r="V89" s="572"/>
      <c r="W89" s="572"/>
      <c r="X89" s="572"/>
      <c r="Y89" s="572"/>
      <c r="Z89" s="572"/>
      <c r="AA89" s="572"/>
      <c r="AB89" s="572"/>
      <c r="AC89" s="572"/>
      <c r="AD89" s="572"/>
      <c r="AE89" s="572"/>
      <c r="AF89" s="572"/>
      <c r="AG89" s="572"/>
      <c r="AH89" s="572"/>
      <c r="AI89" s="572"/>
      <c r="AJ89" s="573">
        <f t="shared" si="16"/>
        <v>0</v>
      </c>
      <c r="AK89" s="573">
        <f t="shared" si="17"/>
        <v>0</v>
      </c>
    </row>
    <row r="90" spans="1:37" s="8" customFormat="1" ht="15.75">
      <c r="A90" s="11"/>
      <c r="B90" s="548" t="str">
        <f>'02_4_USES'!B67</f>
        <v>Other Lender Origination Fee</v>
      </c>
      <c r="C90" s="564">
        <f>'02_4_USES'!F67</f>
        <v>0</v>
      </c>
      <c r="D90" s="564">
        <f t="shared" si="18"/>
        <v>0</v>
      </c>
      <c r="E90" s="572"/>
      <c r="F90" s="572"/>
      <c r="G90" s="572"/>
      <c r="H90" s="572"/>
      <c r="I90" s="572"/>
      <c r="J90" s="572"/>
      <c r="K90" s="572"/>
      <c r="L90" s="572"/>
      <c r="M90" s="572"/>
      <c r="N90" s="572"/>
      <c r="O90" s="572"/>
      <c r="P90" s="572"/>
      <c r="Q90" s="572"/>
      <c r="R90" s="572"/>
      <c r="S90" s="572"/>
      <c r="T90" s="572"/>
      <c r="U90" s="572"/>
      <c r="V90" s="572"/>
      <c r="W90" s="572"/>
      <c r="X90" s="572"/>
      <c r="Y90" s="572"/>
      <c r="Z90" s="572"/>
      <c r="AA90" s="572"/>
      <c r="AB90" s="572"/>
      <c r="AC90" s="572"/>
      <c r="AD90" s="572"/>
      <c r="AE90" s="572"/>
      <c r="AF90" s="572"/>
      <c r="AG90" s="572"/>
      <c r="AH90" s="572"/>
      <c r="AI90" s="572"/>
      <c r="AJ90" s="573">
        <f t="shared" si="16"/>
        <v>0</v>
      </c>
      <c r="AK90" s="573">
        <f t="shared" si="17"/>
        <v>0</v>
      </c>
    </row>
    <row r="91" spans="1:37" s="8" customFormat="1" ht="15.75">
      <c r="A91" s="11"/>
      <c r="B91" s="548" t="str">
        <f>'02_4_USES'!B68</f>
        <v>Cost of Issuance (bond deals only)</v>
      </c>
      <c r="C91" s="564">
        <f>'02_4_USES'!F68</f>
        <v>0</v>
      </c>
      <c r="D91" s="564">
        <f t="shared" si="18"/>
        <v>0</v>
      </c>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2"/>
      <c r="AF91" s="572"/>
      <c r="AG91" s="572"/>
      <c r="AH91" s="572"/>
      <c r="AI91" s="572"/>
      <c r="AJ91" s="573">
        <f t="shared" si="16"/>
        <v>0</v>
      </c>
      <c r="AK91" s="573">
        <f t="shared" si="17"/>
        <v>0</v>
      </c>
    </row>
    <row r="92" spans="1:37" s="8" customFormat="1" ht="15.75">
      <c r="A92" s="11"/>
      <c r="B92" s="548" t="str">
        <f>'02_4_USES'!B69</f>
        <v>Tax Credit Allocation Fee: Typ. $0</v>
      </c>
      <c r="C92" s="564">
        <f>'02_4_USES'!F69</f>
        <v>0</v>
      </c>
      <c r="D92" s="564">
        <f t="shared" si="18"/>
        <v>0</v>
      </c>
      <c r="E92" s="572"/>
      <c r="F92" s="572"/>
      <c r="G92" s="572"/>
      <c r="H92" s="572"/>
      <c r="I92" s="572"/>
      <c r="J92" s="572"/>
      <c r="K92" s="572"/>
      <c r="L92" s="572"/>
      <c r="M92" s="572"/>
      <c r="N92" s="572"/>
      <c r="O92" s="572"/>
      <c r="P92" s="572"/>
      <c r="Q92" s="572"/>
      <c r="R92" s="572"/>
      <c r="S92" s="572"/>
      <c r="T92" s="572"/>
      <c r="U92" s="572"/>
      <c r="V92" s="572"/>
      <c r="W92" s="572"/>
      <c r="X92" s="572"/>
      <c r="Y92" s="572"/>
      <c r="Z92" s="572"/>
      <c r="AA92" s="572"/>
      <c r="AB92" s="572"/>
      <c r="AC92" s="572"/>
      <c r="AD92" s="572"/>
      <c r="AE92" s="572"/>
      <c r="AF92" s="572"/>
      <c r="AG92" s="572"/>
      <c r="AH92" s="572"/>
      <c r="AI92" s="572"/>
      <c r="AJ92" s="573">
        <f t="shared" si="16"/>
        <v>0</v>
      </c>
      <c r="AK92" s="573">
        <f t="shared" si="17"/>
        <v>0</v>
      </c>
    </row>
    <row r="93" spans="1:37" s="8" customFormat="1" ht="15.75">
      <c r="A93" s="11"/>
      <c r="B93" s="548" t="str">
        <f>'02_4_USES'!B70</f>
        <v>Other</v>
      </c>
      <c r="C93" s="564">
        <f>'02_4_USES'!F70</f>
        <v>0</v>
      </c>
      <c r="D93" s="564">
        <f t="shared" si="18"/>
        <v>0</v>
      </c>
      <c r="E93" s="572"/>
      <c r="F93" s="572"/>
      <c r="G93" s="572"/>
      <c r="H93" s="572"/>
      <c r="I93" s="572"/>
      <c r="J93" s="572"/>
      <c r="K93" s="572"/>
      <c r="L93" s="572"/>
      <c r="M93" s="572"/>
      <c r="N93" s="572"/>
      <c r="O93" s="572"/>
      <c r="P93" s="572"/>
      <c r="Q93" s="572"/>
      <c r="R93" s="572"/>
      <c r="S93" s="572"/>
      <c r="T93" s="572"/>
      <c r="U93" s="572"/>
      <c r="V93" s="572"/>
      <c r="W93" s="572"/>
      <c r="X93" s="572"/>
      <c r="Y93" s="572"/>
      <c r="Z93" s="572"/>
      <c r="AA93" s="572"/>
      <c r="AB93" s="572"/>
      <c r="AC93" s="572"/>
      <c r="AD93" s="572"/>
      <c r="AE93" s="572"/>
      <c r="AF93" s="572"/>
      <c r="AG93" s="572"/>
      <c r="AH93" s="572"/>
      <c r="AI93" s="572"/>
      <c r="AJ93" s="573">
        <f t="shared" si="16"/>
        <v>0</v>
      </c>
      <c r="AK93" s="573">
        <f t="shared" si="17"/>
        <v>0</v>
      </c>
    </row>
    <row r="94" spans="1:37" s="8" customFormat="1" ht="15.75">
      <c r="A94" s="11"/>
      <c r="B94" s="548" t="str">
        <f>'02_4_USES'!B71</f>
        <v>Other</v>
      </c>
      <c r="C94" s="564">
        <f>'02_4_USES'!F71</f>
        <v>0</v>
      </c>
      <c r="D94" s="564">
        <f t="shared" si="18"/>
        <v>0</v>
      </c>
      <c r="E94" s="572"/>
      <c r="F94" s="572"/>
      <c r="G94" s="572"/>
      <c r="H94" s="572"/>
      <c r="I94" s="572"/>
      <c r="J94" s="572"/>
      <c r="K94" s="572"/>
      <c r="L94" s="572"/>
      <c r="M94" s="572"/>
      <c r="N94" s="572"/>
      <c r="O94" s="572"/>
      <c r="P94" s="572"/>
      <c r="Q94" s="572"/>
      <c r="R94" s="572"/>
      <c r="S94" s="572"/>
      <c r="T94" s="572"/>
      <c r="U94" s="572"/>
      <c r="V94" s="572"/>
      <c r="W94" s="572"/>
      <c r="X94" s="572"/>
      <c r="Y94" s="572"/>
      <c r="Z94" s="572"/>
      <c r="AA94" s="572"/>
      <c r="AB94" s="572"/>
      <c r="AC94" s="572"/>
      <c r="AD94" s="572"/>
      <c r="AE94" s="572"/>
      <c r="AF94" s="572"/>
      <c r="AG94" s="572"/>
      <c r="AH94" s="572"/>
      <c r="AI94" s="572"/>
      <c r="AJ94" s="573">
        <f t="shared" si="16"/>
        <v>0</v>
      </c>
      <c r="AK94" s="573">
        <f t="shared" si="17"/>
        <v>0</v>
      </c>
    </row>
    <row r="95" spans="1:37" s="8" customFormat="1" ht="15.75">
      <c r="A95" s="11"/>
      <c r="B95" s="548" t="str">
        <f>'02_4_USES'!B72</f>
        <v>Other</v>
      </c>
      <c r="C95" s="564">
        <f>'02_4_USES'!F72</f>
        <v>0</v>
      </c>
      <c r="D95" s="564">
        <f t="shared" si="18"/>
        <v>0</v>
      </c>
      <c r="E95" s="572"/>
      <c r="F95" s="572"/>
      <c r="G95" s="572"/>
      <c r="H95" s="572"/>
      <c r="I95" s="572"/>
      <c r="J95" s="572"/>
      <c r="K95" s="572"/>
      <c r="L95" s="572"/>
      <c r="M95" s="572"/>
      <c r="N95" s="572"/>
      <c r="O95" s="572"/>
      <c r="P95" s="572"/>
      <c r="Q95" s="572"/>
      <c r="R95" s="572"/>
      <c r="S95" s="572"/>
      <c r="T95" s="572"/>
      <c r="U95" s="572"/>
      <c r="V95" s="572"/>
      <c r="W95" s="572"/>
      <c r="X95" s="572"/>
      <c r="Y95" s="572"/>
      <c r="Z95" s="572"/>
      <c r="AA95" s="572"/>
      <c r="AB95" s="572"/>
      <c r="AC95" s="572"/>
      <c r="AD95" s="572"/>
      <c r="AE95" s="572"/>
      <c r="AF95" s="572"/>
      <c r="AG95" s="572"/>
      <c r="AH95" s="572"/>
      <c r="AI95" s="572"/>
      <c r="AJ95" s="573">
        <f t="shared" si="16"/>
        <v>0</v>
      </c>
      <c r="AK95" s="573">
        <f t="shared" si="17"/>
        <v>0</v>
      </c>
    </row>
    <row r="96" spans="1:37" s="8" customFormat="1" ht="16.5" thickBot="1">
      <c r="A96" s="11"/>
      <c r="B96" s="575" t="str">
        <f>'02_4_USES'!B73</f>
        <v>Other</v>
      </c>
      <c r="C96" s="576">
        <f>'02_4_USES'!F73</f>
        <v>0</v>
      </c>
      <c r="D96" s="576">
        <f t="shared" si="18"/>
        <v>0</v>
      </c>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8">
        <f t="shared" si="16"/>
        <v>0</v>
      </c>
      <c r="AK96" s="578">
        <f t="shared" si="17"/>
        <v>0</v>
      </c>
    </row>
    <row r="97" spans="1:37" s="8" customFormat="1" ht="16.5" thickBot="1">
      <c r="A97" s="11"/>
      <c r="B97" s="853"/>
      <c r="C97" s="851"/>
      <c r="D97" s="851"/>
      <c r="E97" s="851"/>
      <c r="F97" s="851"/>
      <c r="G97" s="851"/>
      <c r="H97" s="851"/>
      <c r="I97" s="851"/>
      <c r="J97" s="851"/>
      <c r="K97" s="851"/>
      <c r="L97" s="851"/>
      <c r="M97" s="851"/>
      <c r="N97" s="851"/>
      <c r="O97" s="851"/>
      <c r="P97" s="851"/>
      <c r="Q97" s="851"/>
      <c r="R97" s="851"/>
      <c r="S97" s="851"/>
      <c r="T97" s="851"/>
      <c r="U97" s="851"/>
      <c r="V97" s="851"/>
      <c r="W97" s="851"/>
      <c r="X97" s="851"/>
      <c r="Y97" s="851"/>
      <c r="Z97" s="851"/>
      <c r="AA97" s="851"/>
      <c r="AB97" s="851"/>
      <c r="AC97" s="851"/>
      <c r="AD97" s="851"/>
      <c r="AE97" s="851"/>
      <c r="AF97" s="851"/>
      <c r="AG97" s="851"/>
      <c r="AH97" s="851"/>
      <c r="AI97" s="851"/>
      <c r="AJ97" s="851"/>
      <c r="AK97" s="852"/>
    </row>
    <row r="98" spans="1:37" s="8" customFormat="1" ht="15.75">
      <c r="A98" s="11"/>
      <c r="B98" s="549" t="str">
        <f>'02_4_USES'!B76</f>
        <v>RESERVES</v>
      </c>
      <c r="C98" s="849"/>
      <c r="D98" s="849"/>
      <c r="E98" s="849"/>
      <c r="F98" s="849"/>
      <c r="G98" s="849"/>
      <c r="H98" s="849"/>
      <c r="I98" s="849"/>
      <c r="J98" s="849"/>
      <c r="K98" s="849"/>
      <c r="L98" s="849"/>
      <c r="M98" s="849"/>
      <c r="N98" s="849"/>
      <c r="O98" s="849"/>
      <c r="P98" s="849"/>
      <c r="Q98" s="849"/>
      <c r="R98" s="849"/>
      <c r="S98" s="849"/>
      <c r="T98" s="849"/>
      <c r="U98" s="849"/>
      <c r="V98" s="849"/>
      <c r="W98" s="849"/>
      <c r="X98" s="849"/>
      <c r="Y98" s="849"/>
      <c r="Z98" s="849"/>
      <c r="AA98" s="849"/>
      <c r="AB98" s="849"/>
      <c r="AC98" s="849"/>
      <c r="AD98" s="849"/>
      <c r="AE98" s="849"/>
      <c r="AF98" s="849"/>
      <c r="AG98" s="849"/>
      <c r="AH98" s="849"/>
      <c r="AI98" s="849"/>
      <c r="AJ98" s="850"/>
      <c r="AK98" s="850"/>
    </row>
    <row r="99" spans="1:37" s="8" customFormat="1" ht="15.75">
      <c r="A99" s="11"/>
      <c r="B99" s="548" t="str">
        <f>'02_4_USES'!B77</f>
        <v>1st Year Property Tax Escrow</v>
      </c>
      <c r="C99" s="564">
        <f>'02_4_USES'!F77</f>
        <v>0</v>
      </c>
      <c r="D99" s="564">
        <f t="shared" ref="D99:D104" si="19">-C99+(SUM(E99:AI99))</f>
        <v>0</v>
      </c>
      <c r="E99" s="572"/>
      <c r="F99" s="572"/>
      <c r="G99" s="572"/>
      <c r="H99" s="572"/>
      <c r="I99" s="572"/>
      <c r="J99" s="572"/>
      <c r="K99" s="572"/>
      <c r="L99" s="572"/>
      <c r="M99" s="572"/>
      <c r="N99" s="572"/>
      <c r="O99" s="572"/>
      <c r="P99" s="572"/>
      <c r="Q99" s="572"/>
      <c r="R99" s="572"/>
      <c r="S99" s="572"/>
      <c r="T99" s="572"/>
      <c r="U99" s="572"/>
      <c r="V99" s="572"/>
      <c r="W99" s="572"/>
      <c r="X99" s="572"/>
      <c r="Y99" s="572"/>
      <c r="Z99" s="572"/>
      <c r="AA99" s="572"/>
      <c r="AB99" s="572"/>
      <c r="AC99" s="572"/>
      <c r="AD99" s="572"/>
      <c r="AE99" s="572"/>
      <c r="AF99" s="572"/>
      <c r="AG99" s="572"/>
      <c r="AH99" s="572"/>
      <c r="AI99" s="572"/>
      <c r="AJ99" s="573">
        <f t="shared" ref="AJ99:AJ104" si="20">C99-SUM(E99:AI99)</f>
        <v>0</v>
      </c>
      <c r="AK99" s="573">
        <f t="shared" ref="AK99:AK104" si="21">SUM(E99:AI99)</f>
        <v>0</v>
      </c>
    </row>
    <row r="100" spans="1:37" s="8" customFormat="1" ht="15.75">
      <c r="A100" s="11"/>
      <c r="B100" s="548" t="str">
        <f>'02_4_USES'!B78</f>
        <v>1st Year Insurance Escrow</v>
      </c>
      <c r="C100" s="564">
        <f>'02_4_USES'!F78</f>
        <v>0</v>
      </c>
      <c r="D100" s="564">
        <f t="shared" si="19"/>
        <v>0</v>
      </c>
      <c r="E100" s="572"/>
      <c r="F100" s="572"/>
      <c r="G100" s="572"/>
      <c r="H100" s="572"/>
      <c r="I100" s="572"/>
      <c r="J100" s="572"/>
      <c r="K100" s="572"/>
      <c r="L100" s="572"/>
      <c r="M100" s="572"/>
      <c r="N100" s="572"/>
      <c r="O100" s="572"/>
      <c r="P100" s="572"/>
      <c r="Q100" s="572"/>
      <c r="R100" s="572"/>
      <c r="S100" s="572"/>
      <c r="T100" s="572"/>
      <c r="U100" s="572"/>
      <c r="V100" s="572"/>
      <c r="W100" s="572"/>
      <c r="X100" s="572"/>
      <c r="Y100" s="572"/>
      <c r="Z100" s="572"/>
      <c r="AA100" s="572"/>
      <c r="AB100" s="572"/>
      <c r="AC100" s="572"/>
      <c r="AD100" s="572"/>
      <c r="AE100" s="572"/>
      <c r="AF100" s="572"/>
      <c r="AG100" s="572"/>
      <c r="AH100" s="572"/>
      <c r="AI100" s="572"/>
      <c r="AJ100" s="573">
        <f t="shared" si="20"/>
        <v>0</v>
      </c>
      <c r="AK100" s="573">
        <f t="shared" si="21"/>
        <v>0</v>
      </c>
    </row>
    <row r="101" spans="1:37" s="8" customFormat="1" ht="15.75">
      <c r="A101" s="11"/>
      <c r="B101" s="548" t="str">
        <f>'02_4_USES'!B79</f>
        <v>Operating Reserve: Typ. $000</v>
      </c>
      <c r="C101" s="564">
        <f>'02_4_USES'!F79</f>
        <v>0</v>
      </c>
      <c r="D101" s="564">
        <f t="shared" si="19"/>
        <v>0</v>
      </c>
      <c r="E101" s="572"/>
      <c r="F101" s="572"/>
      <c r="G101" s="572"/>
      <c r="H101" s="572"/>
      <c r="I101" s="572"/>
      <c r="J101" s="572"/>
      <c r="K101" s="572"/>
      <c r="L101" s="572"/>
      <c r="M101" s="572"/>
      <c r="N101" s="572"/>
      <c r="O101" s="572"/>
      <c r="P101" s="572"/>
      <c r="Q101" s="572"/>
      <c r="R101" s="572"/>
      <c r="S101" s="572"/>
      <c r="T101" s="572"/>
      <c r="U101" s="572"/>
      <c r="V101" s="572"/>
      <c r="W101" s="572"/>
      <c r="X101" s="572"/>
      <c r="Y101" s="572"/>
      <c r="Z101" s="572"/>
      <c r="AA101" s="572"/>
      <c r="AB101" s="572"/>
      <c r="AC101" s="572"/>
      <c r="AD101" s="572"/>
      <c r="AE101" s="572"/>
      <c r="AF101" s="572"/>
      <c r="AG101" s="572"/>
      <c r="AH101" s="572"/>
      <c r="AI101" s="572"/>
      <c r="AJ101" s="573">
        <f t="shared" si="20"/>
        <v>0</v>
      </c>
      <c r="AK101" s="573">
        <f t="shared" si="21"/>
        <v>0</v>
      </c>
    </row>
    <row r="102" spans="1:37" s="8" customFormat="1" ht="15.75">
      <c r="A102" s="11"/>
      <c r="B102" s="548" t="str">
        <f>'02_4_USES'!B80</f>
        <v>Replacement Reserve</v>
      </c>
      <c r="C102" s="564">
        <f>'02_4_USES'!F80</f>
        <v>0</v>
      </c>
      <c r="D102" s="564">
        <f t="shared" si="19"/>
        <v>0</v>
      </c>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2"/>
      <c r="AF102" s="572"/>
      <c r="AG102" s="572"/>
      <c r="AH102" s="572"/>
      <c r="AI102" s="572"/>
      <c r="AJ102" s="573">
        <f t="shared" si="20"/>
        <v>0</v>
      </c>
      <c r="AK102" s="573">
        <f t="shared" si="21"/>
        <v>0</v>
      </c>
    </row>
    <row r="103" spans="1:37" s="8" customFormat="1" ht="15.75">
      <c r="A103" s="11"/>
      <c r="B103" s="548" t="str">
        <f>'02_4_USES'!B81</f>
        <v>Lease-up Reserve</v>
      </c>
      <c r="C103" s="564">
        <f>'02_4_USES'!F81</f>
        <v>0</v>
      </c>
      <c r="D103" s="564">
        <f t="shared" si="19"/>
        <v>0</v>
      </c>
      <c r="E103" s="572"/>
      <c r="F103" s="572"/>
      <c r="G103" s="572"/>
      <c r="H103" s="572"/>
      <c r="I103" s="572"/>
      <c r="J103" s="572"/>
      <c r="K103" s="572"/>
      <c r="L103" s="572"/>
      <c r="M103" s="572"/>
      <c r="N103" s="572"/>
      <c r="O103" s="572"/>
      <c r="P103" s="572"/>
      <c r="Q103" s="572"/>
      <c r="R103" s="572"/>
      <c r="S103" s="572"/>
      <c r="T103" s="572"/>
      <c r="U103" s="572"/>
      <c r="V103" s="572"/>
      <c r="W103" s="572"/>
      <c r="X103" s="572"/>
      <c r="Y103" s="572"/>
      <c r="Z103" s="572"/>
      <c r="AA103" s="572"/>
      <c r="AB103" s="572"/>
      <c r="AC103" s="572"/>
      <c r="AD103" s="572"/>
      <c r="AE103" s="572"/>
      <c r="AF103" s="572"/>
      <c r="AG103" s="572"/>
      <c r="AH103" s="572"/>
      <c r="AI103" s="572"/>
      <c r="AJ103" s="573">
        <f t="shared" si="20"/>
        <v>0</v>
      </c>
      <c r="AK103" s="573">
        <f t="shared" si="21"/>
        <v>0</v>
      </c>
    </row>
    <row r="104" spans="1:37" s="8" customFormat="1" ht="16.5" thickBot="1">
      <c r="A104" s="11"/>
      <c r="B104" s="575" t="str">
        <f>'02_4_USES'!B82</f>
        <v>Other</v>
      </c>
      <c r="C104" s="576">
        <f>'02_4_USES'!F82</f>
        <v>0</v>
      </c>
      <c r="D104" s="576">
        <f t="shared" si="19"/>
        <v>0</v>
      </c>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8">
        <f t="shared" si="20"/>
        <v>0</v>
      </c>
      <c r="AK104" s="578">
        <f t="shared" si="21"/>
        <v>0</v>
      </c>
    </row>
    <row r="105" spans="1:37" s="8" customFormat="1" ht="16.5" thickBot="1">
      <c r="A105" s="11"/>
      <c r="B105" s="848" t="str">
        <f>'02_4_USES'!B84</f>
        <v>PLEASE ADJUST THE ORIGINATION FEE, MINIMUM ORIGINATION FEE IS $20,000</v>
      </c>
      <c r="C105" s="851"/>
      <c r="D105" s="851"/>
      <c r="E105" s="851"/>
      <c r="F105" s="851"/>
      <c r="G105" s="851"/>
      <c r="H105" s="851"/>
      <c r="I105" s="851"/>
      <c r="J105" s="851"/>
      <c r="K105" s="851"/>
      <c r="L105" s="851"/>
      <c r="M105" s="851"/>
      <c r="N105" s="851"/>
      <c r="O105" s="851"/>
      <c r="P105" s="851"/>
      <c r="Q105" s="851"/>
      <c r="R105" s="851"/>
      <c r="S105" s="851"/>
      <c r="T105" s="851"/>
      <c r="U105" s="851"/>
      <c r="V105" s="851"/>
      <c r="W105" s="851"/>
      <c r="X105" s="851"/>
      <c r="Y105" s="851"/>
      <c r="Z105" s="851"/>
      <c r="AA105" s="851"/>
      <c r="AB105" s="851"/>
      <c r="AC105" s="851"/>
      <c r="AD105" s="851"/>
      <c r="AE105" s="851"/>
      <c r="AF105" s="851"/>
      <c r="AG105" s="851"/>
      <c r="AH105" s="851"/>
      <c r="AI105" s="851"/>
      <c r="AJ105" s="851"/>
      <c r="AK105" s="852"/>
    </row>
    <row r="106" spans="1:37" s="8" customFormat="1" ht="15.75">
      <c r="A106" s="11"/>
      <c r="B106" s="549" t="str">
        <f>'02_4_USES'!B85</f>
        <v>DEVELOPER FEE</v>
      </c>
      <c r="C106" s="849"/>
      <c r="D106" s="849"/>
      <c r="E106" s="849"/>
      <c r="F106" s="849"/>
      <c r="G106" s="849"/>
      <c r="H106" s="849"/>
      <c r="I106" s="849"/>
      <c r="J106" s="849"/>
      <c r="K106" s="849"/>
      <c r="L106" s="849"/>
      <c r="M106" s="849"/>
      <c r="N106" s="849"/>
      <c r="O106" s="849"/>
      <c r="P106" s="849"/>
      <c r="Q106" s="849"/>
      <c r="R106" s="849"/>
      <c r="S106" s="849"/>
      <c r="T106" s="849"/>
      <c r="U106" s="849"/>
      <c r="V106" s="849"/>
      <c r="W106" s="849"/>
      <c r="X106" s="849"/>
      <c r="Y106" s="849"/>
      <c r="Z106" s="849"/>
      <c r="AA106" s="849"/>
      <c r="AB106" s="849"/>
      <c r="AC106" s="849"/>
      <c r="AD106" s="849"/>
      <c r="AE106" s="849"/>
      <c r="AF106" s="849"/>
      <c r="AG106" s="849"/>
      <c r="AH106" s="849"/>
      <c r="AI106" s="849"/>
      <c r="AJ106" s="850"/>
      <c r="AK106" s="850"/>
    </row>
    <row r="107" spans="1:37" s="8" customFormat="1" ht="15.75">
      <c r="A107" s="11"/>
      <c r="B107" s="548" t="str">
        <f>'02_4_USES'!B86</f>
        <v>Base Developer Fee: Typ. FALSE</v>
      </c>
      <c r="C107" s="564">
        <f>'02_4_USES'!F86</f>
        <v>0</v>
      </c>
      <c r="D107" s="564">
        <f>-C107+(SUM(E107:AI107))</f>
        <v>0</v>
      </c>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2"/>
      <c r="AF107" s="572"/>
      <c r="AG107" s="572"/>
      <c r="AH107" s="572"/>
      <c r="AI107" s="572"/>
      <c r="AJ107" s="573">
        <f t="shared" ref="AJ107:AJ108" si="22">C107-SUM(E107:AI107)</f>
        <v>0</v>
      </c>
      <c r="AK107" s="573">
        <f t="shared" ref="AK107:AK108" si="23">SUM(E107:AI107)</f>
        <v>0</v>
      </c>
    </row>
    <row r="108" spans="1:37" s="8" customFormat="1" ht="16.5" thickBot="1">
      <c r="A108" s="11"/>
      <c r="B108" s="575" t="str">
        <f>'02_4_USES'!B87</f>
        <v>Eligible Incentive Developer Fee</v>
      </c>
      <c r="C108" s="576">
        <f>'02_4_USES'!F87</f>
        <v>0</v>
      </c>
      <c r="D108" s="576">
        <f>-C108+(SUM(E108:AI108))</f>
        <v>0</v>
      </c>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8">
        <f t="shared" si="22"/>
        <v>0</v>
      </c>
      <c r="AK108" s="578">
        <f t="shared" si="23"/>
        <v>0</v>
      </c>
    </row>
    <row r="109" spans="1:37" s="8" customFormat="1" ht="16.5" thickBot="1">
      <c r="A109" s="11"/>
      <c r="B109" s="579" t="s">
        <v>1680</v>
      </c>
      <c r="C109" s="580">
        <f>SUM(C41:C108)</f>
        <v>0</v>
      </c>
      <c r="D109" s="580">
        <f>SUM(D41:D108)</f>
        <v>0</v>
      </c>
      <c r="E109" s="580">
        <f t="shared" ref="E109:AI109" si="24">SUM(E41:E108)</f>
        <v>0</v>
      </c>
      <c r="F109" s="580">
        <f t="shared" si="24"/>
        <v>0</v>
      </c>
      <c r="G109" s="580">
        <f t="shared" si="24"/>
        <v>0</v>
      </c>
      <c r="H109" s="580">
        <f t="shared" si="24"/>
        <v>0</v>
      </c>
      <c r="I109" s="580">
        <f t="shared" si="24"/>
        <v>0</v>
      </c>
      <c r="J109" s="580">
        <f t="shared" si="24"/>
        <v>0</v>
      </c>
      <c r="K109" s="580">
        <f t="shared" si="24"/>
        <v>0</v>
      </c>
      <c r="L109" s="580">
        <f t="shared" si="24"/>
        <v>0</v>
      </c>
      <c r="M109" s="580">
        <f t="shared" si="24"/>
        <v>0</v>
      </c>
      <c r="N109" s="580">
        <f t="shared" si="24"/>
        <v>0</v>
      </c>
      <c r="O109" s="580">
        <f t="shared" si="24"/>
        <v>0</v>
      </c>
      <c r="P109" s="580">
        <f t="shared" si="24"/>
        <v>0</v>
      </c>
      <c r="Q109" s="580">
        <f t="shared" si="24"/>
        <v>0</v>
      </c>
      <c r="R109" s="580">
        <f t="shared" si="24"/>
        <v>0</v>
      </c>
      <c r="S109" s="580">
        <f t="shared" si="24"/>
        <v>0</v>
      </c>
      <c r="T109" s="580">
        <f t="shared" si="24"/>
        <v>0</v>
      </c>
      <c r="U109" s="580">
        <f t="shared" si="24"/>
        <v>0</v>
      </c>
      <c r="V109" s="580">
        <f t="shared" si="24"/>
        <v>0</v>
      </c>
      <c r="W109" s="580">
        <f t="shared" si="24"/>
        <v>0</v>
      </c>
      <c r="X109" s="580">
        <f t="shared" si="24"/>
        <v>0</v>
      </c>
      <c r="Y109" s="580">
        <f t="shared" si="24"/>
        <v>0</v>
      </c>
      <c r="Z109" s="580">
        <f t="shared" si="24"/>
        <v>0</v>
      </c>
      <c r="AA109" s="580">
        <f t="shared" si="24"/>
        <v>0</v>
      </c>
      <c r="AB109" s="580">
        <f t="shared" si="24"/>
        <v>0</v>
      </c>
      <c r="AC109" s="580">
        <f t="shared" si="24"/>
        <v>0</v>
      </c>
      <c r="AD109" s="580">
        <f t="shared" si="24"/>
        <v>0</v>
      </c>
      <c r="AE109" s="580">
        <f t="shared" si="24"/>
        <v>0</v>
      </c>
      <c r="AF109" s="580">
        <f t="shared" si="24"/>
        <v>0</v>
      </c>
      <c r="AG109" s="580">
        <f t="shared" si="24"/>
        <v>0</v>
      </c>
      <c r="AH109" s="580">
        <f t="shared" si="24"/>
        <v>0</v>
      </c>
      <c r="AI109" s="580">
        <f t="shared" si="24"/>
        <v>0</v>
      </c>
      <c r="AJ109" s="581">
        <f>C109-SUM(E109:AI109)</f>
        <v>0</v>
      </c>
      <c r="AK109" s="581">
        <f>SUM(E109:AI109)</f>
        <v>0</v>
      </c>
    </row>
    <row r="110" spans="1:37" s="8" customFormat="1" ht="16.5" thickBot="1">
      <c r="A110" s="11"/>
      <c r="B110" s="431"/>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8" customFormat="1" ht="15.75">
      <c r="A111" s="11"/>
      <c r="B111" s="591" t="s">
        <v>1681</v>
      </c>
      <c r="C111" s="601"/>
      <c r="D111" s="601"/>
      <c r="E111" s="601">
        <f>E109</f>
        <v>0</v>
      </c>
      <c r="F111" s="601">
        <f t="shared" ref="F111:AI111" si="25">E111+F109</f>
        <v>0</v>
      </c>
      <c r="G111" s="601">
        <f t="shared" si="25"/>
        <v>0</v>
      </c>
      <c r="H111" s="601">
        <f t="shared" si="25"/>
        <v>0</v>
      </c>
      <c r="I111" s="601">
        <f t="shared" si="25"/>
        <v>0</v>
      </c>
      <c r="J111" s="601">
        <f t="shared" si="25"/>
        <v>0</v>
      </c>
      <c r="K111" s="601">
        <f t="shared" si="25"/>
        <v>0</v>
      </c>
      <c r="L111" s="601">
        <f t="shared" si="25"/>
        <v>0</v>
      </c>
      <c r="M111" s="601">
        <f t="shared" si="25"/>
        <v>0</v>
      </c>
      <c r="N111" s="601">
        <f t="shared" si="25"/>
        <v>0</v>
      </c>
      <c r="O111" s="601">
        <f t="shared" si="25"/>
        <v>0</v>
      </c>
      <c r="P111" s="601">
        <f t="shared" si="25"/>
        <v>0</v>
      </c>
      <c r="Q111" s="601">
        <f t="shared" si="25"/>
        <v>0</v>
      </c>
      <c r="R111" s="601">
        <f t="shared" si="25"/>
        <v>0</v>
      </c>
      <c r="S111" s="601">
        <f t="shared" si="25"/>
        <v>0</v>
      </c>
      <c r="T111" s="601">
        <f t="shared" si="25"/>
        <v>0</v>
      </c>
      <c r="U111" s="601">
        <f t="shared" si="25"/>
        <v>0</v>
      </c>
      <c r="V111" s="601">
        <f t="shared" si="25"/>
        <v>0</v>
      </c>
      <c r="W111" s="601">
        <f t="shared" si="25"/>
        <v>0</v>
      </c>
      <c r="X111" s="601">
        <f t="shared" si="25"/>
        <v>0</v>
      </c>
      <c r="Y111" s="601">
        <f t="shared" si="25"/>
        <v>0</v>
      </c>
      <c r="Z111" s="601">
        <f t="shared" si="25"/>
        <v>0</v>
      </c>
      <c r="AA111" s="601">
        <f t="shared" si="25"/>
        <v>0</v>
      </c>
      <c r="AB111" s="601">
        <f t="shared" si="25"/>
        <v>0</v>
      </c>
      <c r="AC111" s="601">
        <f t="shared" si="25"/>
        <v>0</v>
      </c>
      <c r="AD111" s="601">
        <f t="shared" si="25"/>
        <v>0</v>
      </c>
      <c r="AE111" s="601">
        <f t="shared" si="25"/>
        <v>0</v>
      </c>
      <c r="AF111" s="601">
        <f t="shared" si="25"/>
        <v>0</v>
      </c>
      <c r="AG111" s="601">
        <f t="shared" si="25"/>
        <v>0</v>
      </c>
      <c r="AH111" s="601">
        <f t="shared" si="25"/>
        <v>0</v>
      </c>
      <c r="AI111" s="605">
        <f t="shared" si="25"/>
        <v>0</v>
      </c>
      <c r="AJ111" s="608">
        <f t="shared" ref="AJ111:AJ114" si="26">C111-SUM(E111:AI111)</f>
        <v>0</v>
      </c>
      <c r="AK111" s="602">
        <f>SUM(D111:AI111)</f>
        <v>0</v>
      </c>
    </row>
    <row r="112" spans="1:37" s="8" customFormat="1" ht="15.75">
      <c r="A112" s="11"/>
      <c r="B112" s="565"/>
      <c r="C112" s="563"/>
      <c r="D112" s="563"/>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606"/>
      <c r="AJ112" s="609">
        <f t="shared" si="26"/>
        <v>0</v>
      </c>
      <c r="AK112" s="603">
        <f>SUM(D112:AI112)</f>
        <v>0</v>
      </c>
    </row>
    <row r="113" spans="1:37" s="8" customFormat="1" ht="15.75">
      <c r="A113" s="11"/>
      <c r="B113" s="259" t="s">
        <v>1682</v>
      </c>
      <c r="C113" s="563"/>
      <c r="D113" s="563"/>
      <c r="E113" s="590">
        <f>E36-E109</f>
        <v>0</v>
      </c>
      <c r="F113" s="590">
        <f t="shared" ref="F113:AI113" si="27">E113+(F36-F109)</f>
        <v>0</v>
      </c>
      <c r="G113" s="590">
        <f t="shared" si="27"/>
        <v>0</v>
      </c>
      <c r="H113" s="590">
        <f t="shared" si="27"/>
        <v>0</v>
      </c>
      <c r="I113" s="590">
        <f t="shared" si="27"/>
        <v>0</v>
      </c>
      <c r="J113" s="590">
        <f t="shared" si="27"/>
        <v>0</v>
      </c>
      <c r="K113" s="590">
        <f t="shared" si="27"/>
        <v>0</v>
      </c>
      <c r="L113" s="590">
        <f t="shared" si="27"/>
        <v>0</v>
      </c>
      <c r="M113" s="590">
        <f t="shared" si="27"/>
        <v>0</v>
      </c>
      <c r="N113" s="590">
        <f t="shared" si="27"/>
        <v>0</v>
      </c>
      <c r="O113" s="590">
        <f t="shared" si="27"/>
        <v>0</v>
      </c>
      <c r="P113" s="590">
        <f t="shared" si="27"/>
        <v>0</v>
      </c>
      <c r="Q113" s="590">
        <f t="shared" si="27"/>
        <v>0</v>
      </c>
      <c r="R113" s="590">
        <f t="shared" si="27"/>
        <v>0</v>
      </c>
      <c r="S113" s="590">
        <f t="shared" si="27"/>
        <v>0</v>
      </c>
      <c r="T113" s="590">
        <f t="shared" si="27"/>
        <v>0</v>
      </c>
      <c r="U113" s="590">
        <f t="shared" si="27"/>
        <v>0</v>
      </c>
      <c r="V113" s="590">
        <f t="shared" si="27"/>
        <v>0</v>
      </c>
      <c r="W113" s="590">
        <f t="shared" si="27"/>
        <v>0</v>
      </c>
      <c r="X113" s="590">
        <f t="shared" si="27"/>
        <v>0</v>
      </c>
      <c r="Y113" s="590">
        <f t="shared" si="27"/>
        <v>0</v>
      </c>
      <c r="Z113" s="590">
        <f t="shared" si="27"/>
        <v>0</v>
      </c>
      <c r="AA113" s="590">
        <f t="shared" si="27"/>
        <v>0</v>
      </c>
      <c r="AB113" s="590">
        <f t="shared" si="27"/>
        <v>0</v>
      </c>
      <c r="AC113" s="590">
        <f t="shared" si="27"/>
        <v>0</v>
      </c>
      <c r="AD113" s="590">
        <f t="shared" si="27"/>
        <v>0</v>
      </c>
      <c r="AE113" s="590">
        <f t="shared" si="27"/>
        <v>0</v>
      </c>
      <c r="AF113" s="590">
        <f t="shared" si="27"/>
        <v>0</v>
      </c>
      <c r="AG113" s="590">
        <f t="shared" si="27"/>
        <v>0</v>
      </c>
      <c r="AH113" s="590">
        <f t="shared" si="27"/>
        <v>0</v>
      </c>
      <c r="AI113" s="606">
        <f t="shared" si="27"/>
        <v>0</v>
      </c>
      <c r="AJ113" s="609">
        <f t="shared" si="26"/>
        <v>0</v>
      </c>
      <c r="AK113" s="603">
        <f>SUM(D113:AI113)</f>
        <v>0</v>
      </c>
    </row>
    <row r="114" spans="1:37" s="8" customFormat="1" ht="16.5" thickBot="1">
      <c r="A114" s="11"/>
      <c r="B114" s="595" t="s">
        <v>1683</v>
      </c>
      <c r="C114" s="596"/>
      <c r="D114" s="596"/>
      <c r="E114" s="597">
        <f>D114+(E113*('01_1_General Data'!K25/12))</f>
        <v>0</v>
      </c>
      <c r="F114" s="597">
        <f>E114+(F113*('01_1_General Data'!K25/12))</f>
        <v>0</v>
      </c>
      <c r="G114" s="597">
        <f>F114+(G113*('01_1_General Data'!K25/12))</f>
        <v>0</v>
      </c>
      <c r="H114" s="597">
        <f>G114+(H113*('01_1_General Data'!K25/12))</f>
        <v>0</v>
      </c>
      <c r="I114" s="597">
        <f>H114+(I113*('01_1_General Data'!K25/12))</f>
        <v>0</v>
      </c>
      <c r="J114" s="597">
        <f>I114+(J113*('01_1_General Data'!K25/12))</f>
        <v>0</v>
      </c>
      <c r="K114" s="597">
        <f>J114+(K113*('01_1_General Data'!K25/12))</f>
        <v>0</v>
      </c>
      <c r="L114" s="597">
        <f>K114+(L113*('01_1_General Data'!K25/12))</f>
        <v>0</v>
      </c>
      <c r="M114" s="597">
        <f>L114+(M113*('01_1_General Data'!K25/12))</f>
        <v>0</v>
      </c>
      <c r="N114" s="597">
        <f>M114+(N113*('01_1_General Data'!K25/12))</f>
        <v>0</v>
      </c>
      <c r="O114" s="597">
        <f>N114+(O113*('01_1_General Data'!K25/12))</f>
        <v>0</v>
      </c>
      <c r="P114" s="597">
        <f>O114+(P113*('01_1_General Data'!K25/12))</f>
        <v>0</v>
      </c>
      <c r="Q114" s="597">
        <f>P114+(Q113*('01_1_General Data'!K25/12))</f>
        <v>0</v>
      </c>
      <c r="R114" s="597">
        <f>Q114+(R113*('01_1_General Data'!K25/12))</f>
        <v>0</v>
      </c>
      <c r="S114" s="597">
        <f>R114+(S113*('01_1_General Data'!K25/12))</f>
        <v>0</v>
      </c>
      <c r="T114" s="597">
        <f>S114+(T113*('01_1_General Data'!K25/12))</f>
        <v>0</v>
      </c>
      <c r="U114" s="597">
        <f>T114+(U113*('01_1_General Data'!K25/12))</f>
        <v>0</v>
      </c>
      <c r="V114" s="597">
        <f>U114+(V113*('01_1_General Data'!K25/12))</f>
        <v>0</v>
      </c>
      <c r="W114" s="597">
        <f>V114+(W113*('01_1_General Data'!K25/12))</f>
        <v>0</v>
      </c>
      <c r="X114" s="597">
        <f>W114+(X113*('01_1_General Data'!K25/12))</f>
        <v>0</v>
      </c>
      <c r="Y114" s="597">
        <f>X114+(Y113*('01_1_General Data'!K25/12))</f>
        <v>0</v>
      </c>
      <c r="Z114" s="597">
        <f>Y114+(Z113*('01_1_General Data'!K25/12))</f>
        <v>0</v>
      </c>
      <c r="AA114" s="597">
        <f>Z114+(AA113*('01_1_General Data'!K25/12))</f>
        <v>0</v>
      </c>
      <c r="AB114" s="597">
        <f>AA114+(AB113*('01_1_General Data'!K25/12))</f>
        <v>0</v>
      </c>
      <c r="AC114" s="597">
        <f>AB114+(AC113*('01_1_General Data'!K25/12))</f>
        <v>0</v>
      </c>
      <c r="AD114" s="597">
        <f>AC114+(AD113*('01_1_General Data'!K25/12))</f>
        <v>0</v>
      </c>
      <c r="AE114" s="597">
        <f>AD114+(AE113*('01_1_General Data'!K25/12))</f>
        <v>0</v>
      </c>
      <c r="AF114" s="597">
        <f>AE114+(AF113*('01_1_General Data'!K25/12))</f>
        <v>0</v>
      </c>
      <c r="AG114" s="597">
        <f>AF114+(AG113*('01_1_General Data'!K25/12))</f>
        <v>0</v>
      </c>
      <c r="AH114" s="597">
        <f>AG114+(AH113*('01_1_General Data'!K25/12))</f>
        <v>0</v>
      </c>
      <c r="AI114" s="607">
        <f>AH114+(AI113*('01_1_General Data'!K25/12))</f>
        <v>0</v>
      </c>
      <c r="AJ114" s="610">
        <f t="shared" si="26"/>
        <v>0</v>
      </c>
      <c r="AK114" s="604">
        <f>SUM(D114:AI114)</f>
        <v>0</v>
      </c>
    </row>
    <row r="115" spans="1:37" s="8" customFormat="1" ht="16.5" thickBot="1">
      <c r="A115" s="11"/>
    </row>
    <row r="116" spans="1:37" s="8" customFormat="1" ht="15.75">
      <c r="A116" s="11"/>
      <c r="B116" s="591" t="s">
        <v>1684</v>
      </c>
      <c r="C116" s="601">
        <f>C30</f>
        <v>0</v>
      </c>
      <c r="D116" s="601"/>
      <c r="E116" s="601">
        <f t="shared" ref="E116:AI116" si="28">E30</f>
        <v>0</v>
      </c>
      <c r="F116" s="601">
        <f t="shared" si="28"/>
        <v>0</v>
      </c>
      <c r="G116" s="601">
        <f t="shared" si="28"/>
        <v>0</v>
      </c>
      <c r="H116" s="601">
        <f t="shared" si="28"/>
        <v>0</v>
      </c>
      <c r="I116" s="601">
        <f t="shared" si="28"/>
        <v>0</v>
      </c>
      <c r="J116" s="601">
        <f t="shared" si="28"/>
        <v>0</v>
      </c>
      <c r="K116" s="601">
        <f t="shared" si="28"/>
        <v>0</v>
      </c>
      <c r="L116" s="601">
        <f t="shared" si="28"/>
        <v>0</v>
      </c>
      <c r="M116" s="601">
        <f t="shared" si="28"/>
        <v>0</v>
      </c>
      <c r="N116" s="601">
        <f t="shared" si="28"/>
        <v>0</v>
      </c>
      <c r="O116" s="601">
        <f t="shared" si="28"/>
        <v>0</v>
      </c>
      <c r="P116" s="601">
        <f t="shared" si="28"/>
        <v>0</v>
      </c>
      <c r="Q116" s="601">
        <f t="shared" si="28"/>
        <v>0</v>
      </c>
      <c r="R116" s="601">
        <f t="shared" si="28"/>
        <v>0</v>
      </c>
      <c r="S116" s="601">
        <f t="shared" si="28"/>
        <v>0</v>
      </c>
      <c r="T116" s="601">
        <f t="shared" si="28"/>
        <v>0</v>
      </c>
      <c r="U116" s="601">
        <f t="shared" si="28"/>
        <v>0</v>
      </c>
      <c r="V116" s="601">
        <f t="shared" si="28"/>
        <v>0</v>
      </c>
      <c r="W116" s="601">
        <f t="shared" si="28"/>
        <v>0</v>
      </c>
      <c r="X116" s="601">
        <f t="shared" si="28"/>
        <v>0</v>
      </c>
      <c r="Y116" s="601">
        <f t="shared" si="28"/>
        <v>0</v>
      </c>
      <c r="Z116" s="601">
        <f t="shared" si="28"/>
        <v>0</v>
      </c>
      <c r="AA116" s="601">
        <f t="shared" si="28"/>
        <v>0</v>
      </c>
      <c r="AB116" s="601">
        <f t="shared" si="28"/>
        <v>0</v>
      </c>
      <c r="AC116" s="601">
        <f t="shared" si="28"/>
        <v>0</v>
      </c>
      <c r="AD116" s="601">
        <f t="shared" si="28"/>
        <v>0</v>
      </c>
      <c r="AE116" s="601">
        <f t="shared" si="28"/>
        <v>0</v>
      </c>
      <c r="AF116" s="601">
        <f t="shared" si="28"/>
        <v>0</v>
      </c>
      <c r="AG116" s="601">
        <f t="shared" si="28"/>
        <v>0</v>
      </c>
      <c r="AH116" s="601">
        <f t="shared" si="28"/>
        <v>0</v>
      </c>
      <c r="AI116" s="605">
        <f t="shared" si="28"/>
        <v>0</v>
      </c>
      <c r="AJ116" s="608">
        <f t="shared" ref="AJ116:AJ119" si="29">C116-SUM(E116:AI116)</f>
        <v>0</v>
      </c>
      <c r="AK116" s="602">
        <f>SUM(D116:AI116)</f>
        <v>0</v>
      </c>
    </row>
    <row r="117" spans="1:37" s="8" customFormat="1" ht="15.75">
      <c r="A117" s="11"/>
      <c r="B117" s="565" t="s">
        <v>1685</v>
      </c>
      <c r="C117" s="622">
        <f>-C116</f>
        <v>0</v>
      </c>
      <c r="D117" s="563"/>
      <c r="E117" s="620"/>
      <c r="F117" s="620"/>
      <c r="G117" s="620"/>
      <c r="H117" s="620"/>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0"/>
      <c r="AE117" s="620"/>
      <c r="AF117" s="620"/>
      <c r="AG117" s="620"/>
      <c r="AH117" s="620"/>
      <c r="AI117" s="621"/>
      <c r="AJ117" s="609">
        <f t="shared" si="29"/>
        <v>0</v>
      </c>
      <c r="AK117" s="603">
        <f>SUM(D117:AI117)</f>
        <v>0</v>
      </c>
    </row>
    <row r="118" spans="1:37" s="8" customFormat="1" ht="15.75">
      <c r="A118" s="11"/>
      <c r="B118" s="259" t="s">
        <v>1686</v>
      </c>
      <c r="C118" s="563"/>
      <c r="D118" s="563"/>
      <c r="E118" s="590">
        <f>E116-E117</f>
        <v>0</v>
      </c>
      <c r="F118" s="590">
        <f>E118+F116-F117</f>
        <v>0</v>
      </c>
      <c r="G118" s="590">
        <f t="shared" ref="G118:AI118" si="30">F118+G116-G117</f>
        <v>0</v>
      </c>
      <c r="H118" s="590">
        <f t="shared" si="30"/>
        <v>0</v>
      </c>
      <c r="I118" s="590">
        <f t="shared" si="30"/>
        <v>0</v>
      </c>
      <c r="J118" s="590">
        <f t="shared" si="30"/>
        <v>0</v>
      </c>
      <c r="K118" s="590">
        <f t="shared" si="30"/>
        <v>0</v>
      </c>
      <c r="L118" s="590">
        <f t="shared" si="30"/>
        <v>0</v>
      </c>
      <c r="M118" s="590">
        <f t="shared" si="30"/>
        <v>0</v>
      </c>
      <c r="N118" s="590">
        <f t="shared" si="30"/>
        <v>0</v>
      </c>
      <c r="O118" s="590">
        <f t="shared" si="30"/>
        <v>0</v>
      </c>
      <c r="P118" s="590">
        <f t="shared" si="30"/>
        <v>0</v>
      </c>
      <c r="Q118" s="590">
        <f t="shared" si="30"/>
        <v>0</v>
      </c>
      <c r="R118" s="590">
        <f t="shared" si="30"/>
        <v>0</v>
      </c>
      <c r="S118" s="590">
        <f t="shared" si="30"/>
        <v>0</v>
      </c>
      <c r="T118" s="590">
        <f t="shared" si="30"/>
        <v>0</v>
      </c>
      <c r="U118" s="590">
        <f t="shared" si="30"/>
        <v>0</v>
      </c>
      <c r="V118" s="590">
        <f t="shared" si="30"/>
        <v>0</v>
      </c>
      <c r="W118" s="590">
        <f t="shared" si="30"/>
        <v>0</v>
      </c>
      <c r="X118" s="590">
        <f t="shared" si="30"/>
        <v>0</v>
      </c>
      <c r="Y118" s="590">
        <f t="shared" si="30"/>
        <v>0</v>
      </c>
      <c r="Z118" s="590">
        <f t="shared" si="30"/>
        <v>0</v>
      </c>
      <c r="AA118" s="590">
        <f t="shared" si="30"/>
        <v>0</v>
      </c>
      <c r="AB118" s="590">
        <f t="shared" si="30"/>
        <v>0</v>
      </c>
      <c r="AC118" s="590">
        <f t="shared" si="30"/>
        <v>0</v>
      </c>
      <c r="AD118" s="590">
        <f t="shared" si="30"/>
        <v>0</v>
      </c>
      <c r="AE118" s="590">
        <f t="shared" si="30"/>
        <v>0</v>
      </c>
      <c r="AF118" s="590">
        <f t="shared" si="30"/>
        <v>0</v>
      </c>
      <c r="AG118" s="590">
        <f t="shared" si="30"/>
        <v>0</v>
      </c>
      <c r="AH118" s="590">
        <f t="shared" si="30"/>
        <v>0</v>
      </c>
      <c r="AI118" s="590">
        <f t="shared" si="30"/>
        <v>0</v>
      </c>
      <c r="AJ118" s="609">
        <f t="shared" si="29"/>
        <v>0</v>
      </c>
      <c r="AK118" s="603">
        <f>SUM(D118:AI118)</f>
        <v>0</v>
      </c>
    </row>
    <row r="119" spans="1:37" s="8" customFormat="1" ht="16.5" thickBot="1">
      <c r="A119" s="11"/>
      <c r="B119" s="595" t="s">
        <v>1687</v>
      </c>
      <c r="C119" s="596"/>
      <c r="D119" s="596"/>
      <c r="E119" s="597">
        <v>0</v>
      </c>
      <c r="F119" s="597">
        <f t="shared" ref="F119:AI119" si="31">E118*rng01_ConstructionLoanInterest/12</f>
        <v>0</v>
      </c>
      <c r="G119" s="597">
        <f t="shared" si="31"/>
        <v>0</v>
      </c>
      <c r="H119" s="597">
        <f t="shared" si="31"/>
        <v>0</v>
      </c>
      <c r="I119" s="597">
        <f t="shared" si="31"/>
        <v>0</v>
      </c>
      <c r="J119" s="597">
        <f t="shared" si="31"/>
        <v>0</v>
      </c>
      <c r="K119" s="597">
        <f t="shared" si="31"/>
        <v>0</v>
      </c>
      <c r="L119" s="597">
        <f t="shared" si="31"/>
        <v>0</v>
      </c>
      <c r="M119" s="597">
        <f t="shared" si="31"/>
        <v>0</v>
      </c>
      <c r="N119" s="597">
        <f t="shared" si="31"/>
        <v>0</v>
      </c>
      <c r="O119" s="597">
        <f t="shared" si="31"/>
        <v>0</v>
      </c>
      <c r="P119" s="597">
        <f t="shared" si="31"/>
        <v>0</v>
      </c>
      <c r="Q119" s="597">
        <f t="shared" si="31"/>
        <v>0</v>
      </c>
      <c r="R119" s="597">
        <f t="shared" si="31"/>
        <v>0</v>
      </c>
      <c r="S119" s="597">
        <f t="shared" si="31"/>
        <v>0</v>
      </c>
      <c r="T119" s="597">
        <f t="shared" si="31"/>
        <v>0</v>
      </c>
      <c r="U119" s="597">
        <f t="shared" si="31"/>
        <v>0</v>
      </c>
      <c r="V119" s="597">
        <f t="shared" si="31"/>
        <v>0</v>
      </c>
      <c r="W119" s="597">
        <f t="shared" si="31"/>
        <v>0</v>
      </c>
      <c r="X119" s="597">
        <f t="shared" si="31"/>
        <v>0</v>
      </c>
      <c r="Y119" s="597">
        <f t="shared" si="31"/>
        <v>0</v>
      </c>
      <c r="Z119" s="597">
        <f t="shared" si="31"/>
        <v>0</v>
      </c>
      <c r="AA119" s="597">
        <f t="shared" si="31"/>
        <v>0</v>
      </c>
      <c r="AB119" s="597">
        <f t="shared" si="31"/>
        <v>0</v>
      </c>
      <c r="AC119" s="597">
        <f t="shared" si="31"/>
        <v>0</v>
      </c>
      <c r="AD119" s="597">
        <f t="shared" si="31"/>
        <v>0</v>
      </c>
      <c r="AE119" s="597">
        <f t="shared" si="31"/>
        <v>0</v>
      </c>
      <c r="AF119" s="597">
        <f t="shared" si="31"/>
        <v>0</v>
      </c>
      <c r="AG119" s="597">
        <f t="shared" si="31"/>
        <v>0</v>
      </c>
      <c r="AH119" s="597">
        <f t="shared" si="31"/>
        <v>0</v>
      </c>
      <c r="AI119" s="607">
        <f t="shared" si="31"/>
        <v>0</v>
      </c>
      <c r="AJ119" s="610">
        <f t="shared" si="29"/>
        <v>0</v>
      </c>
      <c r="AK119" s="604">
        <f>SUM(D119:AI119)</f>
        <v>0</v>
      </c>
    </row>
    <row r="120" spans="1:37" s="8" customFormat="1" ht="16.5" thickBot="1">
      <c r="A120" s="11"/>
      <c r="B120" s="11"/>
    </row>
    <row r="121" spans="1:37" s="8" customFormat="1" ht="15.75">
      <c r="A121" s="11"/>
      <c r="B121" s="623" t="s">
        <v>1688</v>
      </c>
      <c r="C121" s="624">
        <f>C87</f>
        <v>0</v>
      </c>
      <c r="D121" s="574"/>
    </row>
    <row r="122" spans="1:37" s="8" customFormat="1" ht="16.5" thickBot="1">
      <c r="A122" s="11"/>
      <c r="B122" s="625" t="s">
        <v>1689</v>
      </c>
      <c r="C122" s="626">
        <f>SUM(E119:AI119)</f>
        <v>0</v>
      </c>
    </row>
    <row r="123" spans="1:37" s="8" customFormat="1" ht="15.75">
      <c r="A123" s="11"/>
      <c r="B123" s="11"/>
    </row>
    <row r="124" spans="1:37" s="8" customFormat="1" ht="15.75">
      <c r="A124" s="11"/>
      <c r="B124" s="11"/>
    </row>
    <row r="125" spans="1:37" s="8" customFormat="1" ht="15.75">
      <c r="A125" s="11"/>
      <c r="B125" s="11"/>
    </row>
    <row r="126" spans="1:37" s="8" customFormat="1" ht="15.75">
      <c r="A126" s="11"/>
      <c r="B126" s="11"/>
    </row>
    <row r="127" spans="1:37" s="8" customFormat="1" ht="15.75">
      <c r="A127" s="11"/>
      <c r="B127" s="11"/>
    </row>
    <row r="128" spans="1:37" s="8" customFormat="1" ht="15.75">
      <c r="A128" s="11"/>
      <c r="B128" s="11"/>
    </row>
    <row r="129" spans="1:2" s="8" customFormat="1" ht="15.75">
      <c r="A129" s="11"/>
      <c r="B129" s="11"/>
    </row>
    <row r="130" spans="1:2" s="8" customFormat="1" ht="15.75">
      <c r="A130" s="11"/>
      <c r="B130" s="11"/>
    </row>
    <row r="131" spans="1:2" s="8" customFormat="1" ht="15.75">
      <c r="A131" s="11"/>
      <c r="B131" s="11"/>
    </row>
    <row r="132" spans="1:2" s="8" customFormat="1" ht="15.75">
      <c r="A132" s="11"/>
      <c r="B132" s="11"/>
    </row>
    <row r="133" spans="1:2" s="8" customFormat="1" ht="15.75">
      <c r="A133" s="11"/>
      <c r="B133" s="11"/>
    </row>
    <row r="134" spans="1:2" s="8" customFormat="1" ht="15.75">
      <c r="A134" s="11"/>
      <c r="B134" s="11"/>
    </row>
    <row r="135" spans="1:2" s="8" customFormat="1" ht="15.75">
      <c r="A135" s="11"/>
      <c r="B135" s="11"/>
    </row>
    <row r="136" spans="1:2" s="8" customFormat="1" ht="15.75">
      <c r="A136" s="11"/>
      <c r="B136" s="11"/>
    </row>
    <row r="137" spans="1:2" s="8" customFormat="1" ht="15.75">
      <c r="A137" s="11"/>
      <c r="B137" s="11"/>
    </row>
    <row r="138" spans="1:2" s="8" customFormat="1" ht="15.75">
      <c r="A138" s="11"/>
      <c r="B138" s="11"/>
    </row>
    <row r="139" spans="1:2" s="8" customFormat="1" ht="15.75">
      <c r="A139" s="11"/>
      <c r="B139" s="11"/>
    </row>
    <row r="140" spans="1:2" s="8" customFormat="1" ht="15.75">
      <c r="A140" s="11"/>
      <c r="B140" s="11"/>
    </row>
    <row r="141" spans="1:2" s="8" customFormat="1" ht="15.75">
      <c r="A141" s="11"/>
      <c r="B141" s="11"/>
    </row>
    <row r="142" spans="1:2" s="8" customFormat="1" ht="15.75">
      <c r="A142" s="11"/>
      <c r="B142" s="11"/>
    </row>
    <row r="143" spans="1:2" s="8" customFormat="1" ht="15.75">
      <c r="A143" s="11"/>
      <c r="B143" s="11"/>
    </row>
    <row r="144" spans="1:2" s="8" customFormat="1" ht="15.75">
      <c r="A144" s="11"/>
      <c r="B144" s="11"/>
    </row>
    <row r="145" spans="1:2" s="8" customFormat="1" ht="15.75">
      <c r="A145" s="11"/>
      <c r="B145" s="11"/>
    </row>
    <row r="146" spans="1:2" s="8" customFormat="1" ht="15.75">
      <c r="A146" s="11"/>
      <c r="B146" s="11"/>
    </row>
    <row r="147" spans="1:2" s="8" customFormat="1" ht="15.75">
      <c r="A147" s="11"/>
      <c r="B147" s="11"/>
    </row>
    <row r="148" spans="1:2" s="8" customFormat="1" ht="15.75">
      <c r="A148" s="11"/>
      <c r="B148" s="11"/>
    </row>
    <row r="149" spans="1:2" s="8" customFormat="1" ht="15.75">
      <c r="A149" s="11"/>
      <c r="B149" s="11"/>
    </row>
    <row r="150" spans="1:2" s="8" customFormat="1" ht="15.75">
      <c r="A150" s="11"/>
      <c r="B150" s="11"/>
    </row>
    <row r="151" spans="1:2" s="8" customFormat="1" ht="15.75">
      <c r="A151" s="11"/>
      <c r="B151" s="11"/>
    </row>
    <row r="152" spans="1:2" s="8" customFormat="1" ht="15.75">
      <c r="A152" s="11"/>
      <c r="B152" s="11"/>
    </row>
    <row r="153" spans="1:2" s="8" customFormat="1" ht="15.75">
      <c r="A153" s="11"/>
      <c r="B153" s="11"/>
    </row>
    <row r="154" spans="1:2" s="8" customFormat="1" ht="15.75">
      <c r="A154" s="11"/>
      <c r="B154" s="11"/>
    </row>
    <row r="155" spans="1:2" s="8" customFormat="1" ht="15.75">
      <c r="A155" s="11"/>
      <c r="B155" s="11"/>
    </row>
    <row r="156" spans="1:2" s="8" customFormat="1" ht="15.75">
      <c r="A156" s="11"/>
      <c r="B156" s="11"/>
    </row>
    <row r="157" spans="1:2" s="8" customFormat="1" ht="15.75">
      <c r="A157" s="11"/>
      <c r="B157" s="11"/>
    </row>
    <row r="158" spans="1:2" s="8" customFormat="1" ht="15.75">
      <c r="A158" s="11"/>
      <c r="B158" s="11"/>
    </row>
    <row r="159" spans="1:2" s="8" customFormat="1" ht="15.75">
      <c r="A159" s="11"/>
      <c r="B159" s="11"/>
    </row>
    <row r="160" spans="1:2" s="8" customFormat="1" ht="15.75">
      <c r="A160" s="11"/>
      <c r="B160" s="11"/>
    </row>
    <row r="161" spans="1:2" s="8" customFormat="1" ht="15.75">
      <c r="A161" s="11"/>
      <c r="B161" s="11"/>
    </row>
    <row r="162" spans="1:2" s="8" customFormat="1" ht="15.75">
      <c r="A162" s="11"/>
      <c r="B162" s="11"/>
    </row>
    <row r="163" spans="1:2" s="8" customFormat="1" ht="15.75">
      <c r="A163" s="11"/>
      <c r="B163" s="11"/>
    </row>
    <row r="164" spans="1:2" s="8" customFormat="1" ht="15.75">
      <c r="A164" s="11"/>
      <c r="B164" s="11"/>
    </row>
    <row r="165" spans="1:2" s="8" customFormat="1" ht="15.75">
      <c r="A165" s="11"/>
      <c r="B165" s="11"/>
    </row>
    <row r="166" spans="1:2" s="8" customFormat="1" ht="15.75">
      <c r="A166" s="11"/>
      <c r="B166" s="11"/>
    </row>
    <row r="167" spans="1:2" s="8" customFormat="1" ht="15.75">
      <c r="A167" s="11"/>
      <c r="B167" s="11"/>
    </row>
    <row r="168" spans="1:2" s="8" customFormat="1" ht="15.75">
      <c r="A168" s="11"/>
      <c r="B168" s="11"/>
    </row>
    <row r="169" spans="1:2" s="8" customFormat="1" ht="15.75">
      <c r="A169" s="11"/>
      <c r="B169" s="11"/>
    </row>
    <row r="170" spans="1:2" s="8" customFormat="1" ht="15.75">
      <c r="A170" s="11"/>
      <c r="B170" s="11"/>
    </row>
    <row r="171" spans="1:2" s="8" customFormat="1" ht="15.75">
      <c r="A171" s="11"/>
      <c r="B171" s="11"/>
    </row>
    <row r="172" spans="1:2" s="8" customFormat="1" ht="15.75">
      <c r="A172" s="11"/>
      <c r="B172" s="11"/>
    </row>
    <row r="173" spans="1:2" s="8" customFormat="1" ht="15.75">
      <c r="A173" s="11"/>
      <c r="B173" s="11"/>
    </row>
    <row r="174" spans="1:2" s="8" customFormat="1" ht="15.75">
      <c r="A174" s="11"/>
      <c r="B174" s="11"/>
    </row>
    <row r="175" spans="1:2" s="8" customFormat="1" ht="15.75">
      <c r="A175" s="11"/>
      <c r="B175" s="11"/>
    </row>
    <row r="176" spans="1:2" s="8" customFormat="1" ht="15.75">
      <c r="A176" s="11"/>
      <c r="B176" s="11"/>
    </row>
    <row r="177" spans="1:2" s="8" customFormat="1" ht="15.75">
      <c r="A177" s="11"/>
      <c r="B177" s="11"/>
    </row>
    <row r="178" spans="1:2" s="8" customFormat="1" ht="15.75">
      <c r="A178" s="11"/>
      <c r="B178" s="11"/>
    </row>
    <row r="179" spans="1:2" s="8" customFormat="1" ht="15.75">
      <c r="A179" s="11"/>
      <c r="B179" s="11"/>
    </row>
    <row r="180" spans="1:2" s="8" customFormat="1" ht="15.75">
      <c r="A180" s="11"/>
      <c r="B180" s="11"/>
    </row>
    <row r="181" spans="1:2" s="8" customFormat="1" ht="15.75">
      <c r="A181" s="11"/>
      <c r="B181" s="11"/>
    </row>
    <row r="182" spans="1:2" s="8" customFormat="1" ht="15.75">
      <c r="A182" s="11"/>
      <c r="B182" s="11"/>
    </row>
    <row r="183" spans="1:2" s="8" customFormat="1" ht="15.75">
      <c r="A183" s="11"/>
      <c r="B183" s="11"/>
    </row>
    <row r="184" spans="1:2" s="8" customFormat="1" ht="15.75">
      <c r="A184" s="11"/>
      <c r="B184" s="11"/>
    </row>
    <row r="185" spans="1:2" s="8" customFormat="1" ht="15.75">
      <c r="A185" s="11"/>
      <c r="B185" s="11"/>
    </row>
    <row r="186" spans="1:2" s="8" customFormat="1" ht="15.75">
      <c r="A186" s="11"/>
      <c r="B186" s="11"/>
    </row>
    <row r="187" spans="1:2" s="8" customFormat="1" ht="15.75">
      <c r="A187" s="11"/>
      <c r="B187" s="11"/>
    </row>
    <row r="188" spans="1:2" s="8" customFormat="1" ht="15.75">
      <c r="A188" s="11"/>
      <c r="B188" s="11"/>
    </row>
    <row r="189" spans="1:2" s="8" customFormat="1" ht="15.75">
      <c r="A189" s="11"/>
      <c r="B189" s="11"/>
    </row>
    <row r="190" spans="1:2" s="8" customFormat="1" ht="15.75">
      <c r="A190" s="11"/>
      <c r="B190" s="11"/>
    </row>
    <row r="191" spans="1:2" s="8" customFormat="1" ht="15.75">
      <c r="A191" s="11"/>
      <c r="B191" s="11"/>
    </row>
    <row r="192" spans="1:2" s="8" customFormat="1" ht="15.75">
      <c r="A192" s="11"/>
      <c r="B192" s="11"/>
    </row>
    <row r="193" spans="1:2" s="8" customFormat="1" ht="15.75">
      <c r="A193" s="11"/>
      <c r="B193" s="11"/>
    </row>
    <row r="194" spans="1:2" s="8" customFormat="1" ht="15.75">
      <c r="A194" s="11"/>
      <c r="B194" s="11"/>
    </row>
    <row r="195" spans="1:2" s="8" customFormat="1" ht="15.75">
      <c r="A195" s="11"/>
      <c r="B195" s="11"/>
    </row>
    <row r="196" spans="1:2" s="8" customFormat="1" ht="15.75">
      <c r="A196" s="11"/>
      <c r="B196" s="11"/>
    </row>
    <row r="197" spans="1:2" s="8" customFormat="1" ht="15.75">
      <c r="A197" s="11"/>
      <c r="B197" s="11"/>
    </row>
    <row r="198" spans="1:2" s="8" customFormat="1" ht="15.75">
      <c r="A198" s="11"/>
      <c r="B198" s="11"/>
    </row>
    <row r="199" spans="1:2" s="8" customFormat="1" ht="15.75">
      <c r="A199" s="11"/>
      <c r="B199" s="11"/>
    </row>
    <row r="200" spans="1:2" s="8" customFormat="1" ht="15.75">
      <c r="A200" s="11"/>
      <c r="B200" s="11"/>
    </row>
    <row r="201" spans="1:2" s="8" customFormat="1" ht="15.75">
      <c r="A201" s="11"/>
      <c r="B201" s="11"/>
    </row>
    <row r="202" spans="1:2" s="8" customFormat="1" ht="15.75">
      <c r="A202" s="11"/>
      <c r="B202" s="11"/>
    </row>
    <row r="203" spans="1:2" s="8" customFormat="1" ht="15.75">
      <c r="A203" s="11"/>
      <c r="B203" s="11"/>
    </row>
    <row r="204" spans="1:2" s="8" customFormat="1" ht="15.75">
      <c r="A204" s="11"/>
      <c r="B204" s="11"/>
    </row>
    <row r="205" spans="1:2" s="8" customFormat="1" ht="15.75">
      <c r="A205" s="11"/>
      <c r="B205" s="11"/>
    </row>
    <row r="206" spans="1:2" s="8" customFormat="1" ht="15.75">
      <c r="A206" s="11"/>
      <c r="B206" s="11"/>
    </row>
    <row r="207" spans="1:2" s="8" customFormat="1" ht="15.75">
      <c r="A207" s="11"/>
      <c r="B207" s="11"/>
    </row>
    <row r="208" spans="1:2" s="8" customFormat="1" ht="15.75">
      <c r="A208" s="11"/>
      <c r="B208" s="11"/>
    </row>
    <row r="209" spans="1:2" s="8" customFormat="1" ht="15.75">
      <c r="A209" s="11"/>
      <c r="B209" s="11"/>
    </row>
    <row r="210" spans="1:2" s="8" customFormat="1" ht="15.75">
      <c r="A210" s="11"/>
      <c r="B210" s="11"/>
    </row>
    <row r="211" spans="1:2" s="8" customFormat="1" ht="15.75">
      <c r="A211" s="11"/>
      <c r="B211" s="11"/>
    </row>
    <row r="212" spans="1:2" s="8" customFormat="1" ht="15.75">
      <c r="A212" s="11"/>
      <c r="B212" s="11"/>
    </row>
    <row r="213" spans="1:2" s="8" customFormat="1" ht="15.75">
      <c r="A213" s="11"/>
      <c r="B213" s="11"/>
    </row>
    <row r="214" spans="1:2" s="8" customFormat="1" ht="15.75">
      <c r="A214" s="11"/>
      <c r="B214" s="11"/>
    </row>
    <row r="215" spans="1:2" s="8" customFormat="1" ht="15.75">
      <c r="A215" s="11"/>
      <c r="B215" s="11"/>
    </row>
    <row r="216" spans="1:2" s="8" customFormat="1" ht="15.75">
      <c r="A216" s="11"/>
      <c r="B216" s="11"/>
    </row>
    <row r="217" spans="1:2" s="8" customFormat="1" ht="15.75">
      <c r="A217" s="11"/>
      <c r="B217" s="11"/>
    </row>
    <row r="218" spans="1:2" s="8" customFormat="1" ht="15.75">
      <c r="A218" s="11"/>
      <c r="B218" s="11"/>
    </row>
    <row r="219" spans="1:2" s="8" customFormat="1" ht="15.75">
      <c r="A219" s="11"/>
      <c r="B219" s="11"/>
    </row>
    <row r="220" spans="1:2" s="8" customFormat="1" ht="15.75">
      <c r="A220" s="11"/>
      <c r="B220" s="11"/>
    </row>
    <row r="221" spans="1:2" s="8" customFormat="1" ht="15.75">
      <c r="A221" s="11"/>
      <c r="B221" s="11"/>
    </row>
  </sheetData>
  <sheetProtection algorithmName="SHA-512" hashValue="tHN9qIH2ib5He51QrR4KIVSHuiyJ+Y8d0NNAWQ0w+HHixKOcUAKl7SUBT5raYKXa4DoNGMnU8xEcMhGsRERJHQ==" saltValue="ZnLYGr3KL5FYATakCaQEOw==" spinCount="100000" sheet="1" objects="1" scenarios="1" formatCells="0" formatColumns="0" formatRows="0"/>
  <phoneticPr fontId="58" type="noConversion"/>
  <dataValidations count="1">
    <dataValidation type="whole" allowBlank="1" showInputMessage="1" showErrorMessage="1" errorTitle="Data Input" error="Please enter total amount of Months of construction. Maximum for this cell is 30." sqref="E4" xr:uid="{00000000-0002-0000-0F00-000000000000}">
      <formula1>1</formula1>
      <formula2>30</formula2>
    </dataValidation>
  </dataValidations>
  <pageMargins left="0.7" right="0.7" top="0.75" bottom="0.75" header="0.3" footer="0.3"/>
  <pageSetup scale="35" orientation="landscape" r:id="rId1"/>
  <headerFooter alignWithMargins="0">
    <oddFooter>&amp;L&amp;A&amp;C&amp;P of &amp;N</oddFooter>
  </headerFooter>
  <rowBreaks count="1" manualBreakCount="1">
    <brk id="83" max="36" man="1"/>
  </rowBreaks>
  <colBreaks count="1" manualBreakCount="1">
    <brk id="17" max="109"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wst03_4_Amortizations">
    <tabColor rgb="FF00B050"/>
    <pageSetUpPr autoPageBreaks="0"/>
  </sheetPr>
  <dimension ref="A1:BN503"/>
  <sheetViews>
    <sheetView zoomScale="85" zoomScaleNormal="85" workbookViewId="0"/>
  </sheetViews>
  <sheetFormatPr defaultColWidth="9.5" defaultRowHeight="12.75" zeroHeight="1"/>
  <cols>
    <col min="1" max="1" width="3" style="11" customWidth="1"/>
    <col min="2" max="2" width="9" style="11" customWidth="1"/>
    <col min="3" max="3" width="11.5" style="11" customWidth="1"/>
    <col min="4" max="7" width="14.5" style="11" customWidth="1"/>
    <col min="8" max="8" width="16.5" style="11" bestFit="1" customWidth="1"/>
    <col min="9" max="9" width="15.5" style="11" customWidth="1"/>
    <col min="10" max="10" width="3" style="11" customWidth="1"/>
    <col min="11" max="11" width="9" style="11" customWidth="1"/>
    <col min="12" max="12" width="11.5" style="11" customWidth="1"/>
    <col min="13" max="16" width="14.5" style="11" customWidth="1"/>
    <col min="17" max="17" width="16.5" style="11" bestFit="1" customWidth="1"/>
    <col min="18" max="18" width="3" style="11" customWidth="1"/>
    <col min="19" max="19" width="9" style="11" customWidth="1"/>
    <col min="20" max="20" width="11.5" style="11" customWidth="1"/>
    <col min="21" max="24" width="14.5" style="11" customWidth="1"/>
    <col min="25" max="25" width="16.5" style="11" bestFit="1" customWidth="1"/>
    <col min="26" max="26" width="3" style="11" customWidth="1"/>
    <col min="27" max="27" width="9" style="11" customWidth="1"/>
    <col min="28" max="28" width="11.5" style="11" customWidth="1"/>
    <col min="29" max="32" width="14.5" style="11" customWidth="1"/>
    <col min="33" max="33" width="16.5" style="11" bestFit="1" customWidth="1"/>
    <col min="34" max="34" width="3" style="11" customWidth="1"/>
    <col min="35" max="35" width="9" style="11" customWidth="1"/>
    <col min="36" max="36" width="11.5" style="11" customWidth="1"/>
    <col min="37" max="40" width="14.5" style="11" customWidth="1"/>
    <col min="41" max="41" width="16.5" style="11" bestFit="1" customWidth="1"/>
    <col min="42" max="42" width="3" style="11" customWidth="1"/>
    <col min="43" max="43" width="9" style="11" customWidth="1"/>
    <col min="44" max="44" width="11.5" style="11" customWidth="1"/>
    <col min="45" max="48" width="14.5" style="11" customWidth="1"/>
    <col min="49" max="49" width="16.5" style="11" bestFit="1" customWidth="1"/>
    <col min="50" max="50" width="3" style="11" customWidth="1"/>
    <col min="51" max="51" width="9" style="11" customWidth="1"/>
    <col min="52" max="52" width="11.5" style="11" customWidth="1"/>
    <col min="53" max="56" width="14.5" style="11" customWidth="1"/>
    <col min="57" max="57" width="16.5" style="11" bestFit="1" customWidth="1"/>
    <col min="58" max="58" width="3" style="11" customWidth="1"/>
    <col min="59" max="59" width="9" style="11" customWidth="1"/>
    <col min="60" max="60" width="11.5" style="11" customWidth="1"/>
    <col min="61" max="64" width="14.5" style="11" customWidth="1"/>
    <col min="65" max="65" width="16.5" style="11" bestFit="1" customWidth="1"/>
    <col min="66" max="66" width="3" style="11" customWidth="1"/>
    <col min="67" max="71" width="14.5" style="11" customWidth="1"/>
    <col min="72" max="72" width="8.5" style="11" bestFit="1" customWidth="1"/>
    <col min="73" max="73" width="9" style="11" customWidth="1"/>
    <col min="74" max="79" width="14.5" style="11" customWidth="1"/>
    <col min="80" max="83" width="9" style="11" customWidth="1"/>
    <col min="84" max="84" width="18" style="11" customWidth="1"/>
    <col min="85" max="114" width="12" style="11" customWidth="1"/>
    <col min="115" max="116" width="9" style="11" customWidth="1"/>
    <col min="117" max="16384" width="9.5" style="11"/>
  </cols>
  <sheetData>
    <row r="1" spans="1:66" s="9" customFormat="1" ht="27" thickTop="1">
      <c r="A1" s="61" t="s">
        <v>1690</v>
      </c>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row>
    <row r="2" spans="1:66" s="9" customFormat="1" ht="21">
      <c r="A2" s="663" t="str">
        <f>IF(rng01_ProjectName="","[Project Name]", rng01_ProjectName)</f>
        <v>[Project Name]</v>
      </c>
      <c r="B2" s="664"/>
      <c r="C2" s="676"/>
      <c r="D2" s="676"/>
      <c r="E2" s="665"/>
      <c r="F2" s="666"/>
      <c r="G2" s="665"/>
      <c r="H2" s="665"/>
      <c r="I2" s="675"/>
      <c r="J2" s="664"/>
      <c r="K2" s="664"/>
      <c r="L2" s="666" t="s">
        <v>245</v>
      </c>
      <c r="M2" s="667">
        <f>tbl00ModelProgress[[#Totals],[Date of Progress /
Last Edit]]</f>
        <v>0</v>
      </c>
      <c r="N2" s="665"/>
      <c r="O2" s="666"/>
      <c r="P2" s="666"/>
      <c r="Q2" s="677"/>
      <c r="R2" s="664"/>
      <c r="S2" s="664"/>
      <c r="T2" s="676"/>
      <c r="U2" s="676"/>
      <c r="V2" s="665"/>
      <c r="W2" s="666"/>
      <c r="X2" s="666"/>
      <c r="Y2" s="677"/>
      <c r="Z2" s="664"/>
      <c r="AA2" s="664"/>
      <c r="AB2" s="676"/>
      <c r="AC2" s="676"/>
      <c r="AD2" s="665"/>
      <c r="AE2" s="666"/>
      <c r="AF2" s="666"/>
      <c r="AG2" s="677"/>
      <c r="AH2" s="664"/>
      <c r="AI2" s="664"/>
      <c r="AJ2" s="676"/>
      <c r="AK2" s="676"/>
      <c r="AL2" s="665"/>
      <c r="AM2" s="666"/>
      <c r="AN2" s="666"/>
      <c r="AO2" s="677"/>
      <c r="AP2" s="664"/>
      <c r="AQ2" s="664"/>
      <c r="AR2" s="676"/>
      <c r="AS2" s="676"/>
      <c r="AT2" s="665"/>
      <c r="AU2" s="666"/>
      <c r="AV2" s="666"/>
      <c r="AW2" s="677"/>
      <c r="AX2" s="664"/>
      <c r="AY2" s="664"/>
      <c r="AZ2" s="676"/>
      <c r="BA2" s="676"/>
      <c r="BB2" s="665"/>
      <c r="BC2" s="666"/>
      <c r="BD2" s="666"/>
      <c r="BE2" s="677"/>
      <c r="BF2" s="664"/>
      <c r="BG2" s="664"/>
      <c r="BH2" s="676"/>
      <c r="BI2" s="676"/>
      <c r="BJ2" s="665"/>
      <c r="BK2" s="666"/>
      <c r="BL2" s="666"/>
      <c r="BM2" s="677"/>
      <c r="BN2" s="664"/>
    </row>
    <row r="3" spans="1:66" ht="12.75" customHeight="1">
      <c r="B3" s="151"/>
      <c r="C3" s="151"/>
      <c r="K3" s="151"/>
      <c r="L3" s="151"/>
      <c r="S3" s="151"/>
      <c r="T3" s="151"/>
      <c r="AA3" s="151"/>
      <c r="AB3" s="151"/>
      <c r="AI3" s="151"/>
      <c r="AJ3" s="151"/>
      <c r="AQ3" s="151"/>
      <c r="AR3" s="151"/>
      <c r="AY3" s="151"/>
      <c r="AZ3" s="151"/>
      <c r="BG3" s="151"/>
      <c r="BH3" s="151"/>
    </row>
    <row r="4" spans="1:66" ht="12.75" customHeight="1">
      <c r="B4" s="1157" t="s">
        <v>1691</v>
      </c>
      <c r="C4" s="1157"/>
      <c r="D4" s="538"/>
      <c r="E4" s="153" t="str">
        <f>'02_3_SOURCES'!$B$9</f>
        <v/>
      </c>
      <c r="F4" s="538"/>
      <c r="G4" s="538"/>
      <c r="H4" s="538"/>
      <c r="K4" s="1157" t="s">
        <v>1692</v>
      </c>
      <c r="L4" s="1157"/>
      <c r="M4" s="538"/>
      <c r="N4" s="153" t="str">
        <f>'02_3_SOURCES'!$B$10</f>
        <v>RIH Second Mortgage</v>
      </c>
      <c r="O4" s="538"/>
      <c r="P4" s="538"/>
      <c r="S4" s="1157" t="s">
        <v>1693</v>
      </c>
      <c r="T4" s="1157"/>
      <c r="U4" s="538"/>
      <c r="V4" s="153">
        <f>'02_3_SOURCES'!$B$11</f>
        <v>0</v>
      </c>
      <c r="W4" s="538"/>
      <c r="X4" s="538"/>
      <c r="AA4" s="1157" t="s">
        <v>1694</v>
      </c>
      <c r="AB4" s="1157"/>
      <c r="AC4" s="538"/>
      <c r="AD4" s="153">
        <f>'02_3_SOURCES'!$B$12</f>
        <v>0</v>
      </c>
      <c r="AE4" s="538"/>
      <c r="AF4" s="538"/>
      <c r="AI4" s="1157" t="s">
        <v>1695</v>
      </c>
      <c r="AJ4" s="1157"/>
      <c r="AK4" s="538"/>
      <c r="AL4" s="153">
        <f>'02_3_SOURCES'!$B$13</f>
        <v>0</v>
      </c>
      <c r="AM4" s="538"/>
      <c r="AN4" s="538"/>
      <c r="AQ4" s="1157" t="s">
        <v>1696</v>
      </c>
      <c r="AR4" s="1157"/>
      <c r="AS4" s="538"/>
      <c r="AT4" s="153">
        <f>'02_3_SOURCES'!$B$14</f>
        <v>0</v>
      </c>
      <c r="AU4" s="538"/>
      <c r="AV4" s="538"/>
      <c r="AY4" s="1157" t="s">
        <v>1697</v>
      </c>
      <c r="AZ4" s="1157"/>
      <c r="BA4" s="538"/>
      <c r="BB4" s="153">
        <f>'02_3_SOURCES'!$B$15</f>
        <v>0</v>
      </c>
      <c r="BC4" s="538"/>
      <c r="BD4" s="538"/>
      <c r="BG4" s="1157" t="s">
        <v>1698</v>
      </c>
      <c r="BH4" s="1157"/>
      <c r="BI4" s="538"/>
      <c r="BJ4" s="153">
        <f>'02_3_SOURCES'!$B$16</f>
        <v>0</v>
      </c>
      <c r="BK4" s="538"/>
      <c r="BL4" s="538"/>
    </row>
    <row r="5" spans="1:66" ht="12.75" customHeight="1">
      <c r="B5" s="151"/>
      <c r="C5" s="151"/>
      <c r="E5" s="9"/>
      <c r="K5" s="151"/>
      <c r="L5" s="151"/>
      <c r="N5" s="9"/>
      <c r="S5" s="151"/>
      <c r="T5" s="151"/>
      <c r="V5" s="9"/>
      <c r="AA5" s="151"/>
      <c r="AB5" s="151"/>
      <c r="AD5" s="9"/>
      <c r="AI5" s="151"/>
      <c r="AJ5" s="151"/>
      <c r="AL5" s="9"/>
      <c r="AQ5" s="151"/>
      <c r="AR5" s="151"/>
      <c r="AT5" s="9"/>
      <c r="AY5" s="151"/>
      <c r="AZ5" s="151"/>
      <c r="BB5" s="9"/>
      <c r="BG5" s="151"/>
      <c r="BH5" s="151"/>
      <c r="BJ5" s="9"/>
    </row>
    <row r="6" spans="1:66" ht="12.75" customHeight="1">
      <c r="B6" s="159" t="s">
        <v>1699</v>
      </c>
      <c r="C6" s="159"/>
      <c r="E6" s="171">
        <f>'02_3_SOURCES'!K9</f>
        <v>0</v>
      </c>
      <c r="K6" s="159" t="s">
        <v>1700</v>
      </c>
      <c r="L6" s="159"/>
      <c r="N6" s="171">
        <f>'02_3_SOURCES'!K10</f>
        <v>0</v>
      </c>
      <c r="S6" s="159" t="s">
        <v>1701</v>
      </c>
      <c r="T6" s="159"/>
      <c r="V6" s="171">
        <f>'02_3_SOURCES'!K11</f>
        <v>0</v>
      </c>
      <c r="AA6" s="159" t="s">
        <v>1702</v>
      </c>
      <c r="AB6" s="159"/>
      <c r="AD6" s="171">
        <f>'02_3_SOURCES'!K12</f>
        <v>0</v>
      </c>
      <c r="AI6" s="159" t="s">
        <v>1703</v>
      </c>
      <c r="AJ6" s="159"/>
      <c r="AL6" s="171">
        <f>'02_3_SOURCES'!K13</f>
        <v>0</v>
      </c>
      <c r="AQ6" s="159" t="s">
        <v>1704</v>
      </c>
      <c r="AR6" s="159"/>
      <c r="AT6" s="171">
        <f>'02_3_SOURCES'!K14</f>
        <v>0</v>
      </c>
      <c r="AY6" s="159" t="s">
        <v>1705</v>
      </c>
      <c r="AZ6" s="159"/>
      <c r="BB6" s="171">
        <f>'02_3_SOURCES'!K15</f>
        <v>0</v>
      </c>
      <c r="BG6" s="159" t="s">
        <v>1706</v>
      </c>
      <c r="BH6" s="159"/>
      <c r="BJ6" s="171">
        <f>'02_3_SOURCES'!K16</f>
        <v>0</v>
      </c>
    </row>
    <row r="7" spans="1:66" ht="12.75" customHeight="1">
      <c r="B7" s="159" t="s">
        <v>1707</v>
      </c>
      <c r="C7" s="159"/>
      <c r="E7" s="770">
        <f>'02_3_SOURCES'!D9</f>
        <v>0</v>
      </c>
      <c r="K7" s="159" t="s">
        <v>1708</v>
      </c>
      <c r="L7" s="159"/>
      <c r="N7" s="770">
        <f>'02_3_SOURCES'!D10</f>
        <v>0</v>
      </c>
      <c r="S7" s="159" t="s">
        <v>1709</v>
      </c>
      <c r="T7" s="159"/>
      <c r="V7" s="770">
        <f>'02_3_SOURCES'!D11</f>
        <v>0</v>
      </c>
      <c r="AA7" s="159" t="s">
        <v>1710</v>
      </c>
      <c r="AB7" s="159"/>
      <c r="AD7" s="770">
        <f>'02_3_SOURCES'!D12</f>
        <v>0</v>
      </c>
      <c r="AI7" s="159" t="s">
        <v>1711</v>
      </c>
      <c r="AJ7" s="159"/>
      <c r="AL7" s="770">
        <f>'02_3_SOURCES'!D13</f>
        <v>0</v>
      </c>
      <c r="AQ7" s="159" t="s">
        <v>1712</v>
      </c>
      <c r="AR7" s="159"/>
      <c r="AT7" s="770">
        <f>'02_3_SOURCES'!D14</f>
        <v>0</v>
      </c>
      <c r="AY7" s="159" t="s">
        <v>1713</v>
      </c>
      <c r="AZ7" s="159"/>
      <c r="BB7" s="770">
        <f>'02_3_SOURCES'!D15</f>
        <v>0</v>
      </c>
      <c r="BG7" s="159" t="s">
        <v>1714</v>
      </c>
      <c r="BH7" s="159"/>
      <c r="BJ7" s="770">
        <f>'02_3_SOURCES'!D16</f>
        <v>0</v>
      </c>
    </row>
    <row r="8" spans="1:66" ht="12.75" customHeight="1">
      <c r="B8" s="159" t="s">
        <v>1715</v>
      </c>
      <c r="C8" s="159"/>
      <c r="E8" s="175">
        <f>'02_3_SOURCES'!E9</f>
        <v>0</v>
      </c>
      <c r="K8" s="159" t="s">
        <v>1716</v>
      </c>
      <c r="L8" s="159"/>
      <c r="N8" s="175">
        <f>'02_3_SOURCES'!E10</f>
        <v>0</v>
      </c>
      <c r="S8" s="159" t="s">
        <v>1717</v>
      </c>
      <c r="T8" s="159"/>
      <c r="V8" s="175">
        <f>'02_3_SOURCES'!E11</f>
        <v>0</v>
      </c>
      <c r="AA8" s="159" t="s">
        <v>1718</v>
      </c>
      <c r="AB8" s="159"/>
      <c r="AD8" s="175">
        <f>'02_3_SOURCES'!E12</f>
        <v>0</v>
      </c>
      <c r="AI8" s="159" t="s">
        <v>1719</v>
      </c>
      <c r="AJ8" s="159"/>
      <c r="AL8" s="175">
        <f>'02_3_SOURCES'!E13</f>
        <v>0</v>
      </c>
      <c r="AQ8" s="159" t="s">
        <v>1720</v>
      </c>
      <c r="AR8" s="159"/>
      <c r="AT8" s="175">
        <f>'02_3_SOURCES'!E14</f>
        <v>0</v>
      </c>
      <c r="AY8" s="159" t="s">
        <v>1721</v>
      </c>
      <c r="AZ8" s="159"/>
      <c r="BB8" s="175">
        <f>'02_3_SOURCES'!E15</f>
        <v>0</v>
      </c>
      <c r="BG8" s="159" t="s">
        <v>1722</v>
      </c>
      <c r="BH8" s="159"/>
      <c r="BJ8" s="175">
        <f>'02_3_SOURCES'!E16</f>
        <v>0</v>
      </c>
    </row>
    <row r="9" spans="1:66" ht="12.75" customHeight="1">
      <c r="B9" s="159" t="s">
        <v>1723</v>
      </c>
      <c r="E9" s="1493">
        <f>'02_3_SOURCES'!F9</f>
        <v>0</v>
      </c>
      <c r="K9" s="159" t="s">
        <v>1723</v>
      </c>
      <c r="N9" s="1493">
        <f>'02_3_SOURCES'!F10</f>
        <v>0</v>
      </c>
      <c r="S9" s="159" t="s">
        <v>1723</v>
      </c>
      <c r="V9" s="1493">
        <f>'02_3_SOURCES'!F11</f>
        <v>0</v>
      </c>
      <c r="AA9" s="159" t="s">
        <v>1723</v>
      </c>
      <c r="AD9" s="1493">
        <f>'02_3_SOURCES'!F12</f>
        <v>0</v>
      </c>
      <c r="AI9" s="159" t="s">
        <v>1723</v>
      </c>
      <c r="AL9" s="1493">
        <f>'02_3_SOURCES'!F13</f>
        <v>0</v>
      </c>
      <c r="AQ9" s="159" t="s">
        <v>1723</v>
      </c>
      <c r="AT9" s="1493">
        <f>'02_3_SOURCES'!F3</f>
        <v>0</v>
      </c>
      <c r="AY9" s="159" t="s">
        <v>1723</v>
      </c>
      <c r="BB9" s="1493">
        <f>'02_3_SOURCES'!F15</f>
        <v>0</v>
      </c>
      <c r="BG9" s="159" t="s">
        <v>1723</v>
      </c>
      <c r="BJ9" s="1493">
        <f>'02_3_SOURCES'!F16</f>
        <v>0</v>
      </c>
    </row>
    <row r="10" spans="1:66" ht="12.75" customHeight="1"/>
    <row r="11" spans="1:66" ht="12.75" customHeight="1">
      <c r="B11" s="363" t="s">
        <v>1724</v>
      </c>
      <c r="K11" s="363"/>
      <c r="S11" s="363"/>
      <c r="AA11" s="363"/>
      <c r="AI11" s="363"/>
      <c r="AQ11" s="363"/>
      <c r="AY11" s="363"/>
      <c r="BG11" s="363"/>
    </row>
    <row r="12" spans="1:66">
      <c r="B12" s="771" t="s">
        <v>115</v>
      </c>
      <c r="C12" s="771" t="s">
        <v>1637</v>
      </c>
      <c r="D12" s="771" t="s">
        <v>1725</v>
      </c>
      <c r="E12" s="771" t="s">
        <v>1726</v>
      </c>
      <c r="F12" s="771" t="s">
        <v>1727</v>
      </c>
      <c r="G12" s="771" t="s">
        <v>1728</v>
      </c>
      <c r="H12" s="771" t="s">
        <v>1729</v>
      </c>
      <c r="I12" s="771" t="s">
        <v>1730</v>
      </c>
      <c r="J12" s="772"/>
      <c r="K12" s="771" t="s">
        <v>115</v>
      </c>
      <c r="L12" s="771" t="s">
        <v>1637</v>
      </c>
      <c r="M12" s="771" t="s">
        <v>1725</v>
      </c>
      <c r="N12" s="771" t="s">
        <v>1726</v>
      </c>
      <c r="O12" s="771" t="s">
        <v>1727</v>
      </c>
      <c r="P12" s="771" t="s">
        <v>1728</v>
      </c>
      <c r="Q12" s="771" t="s">
        <v>1729</v>
      </c>
      <c r="R12" s="772"/>
      <c r="S12" s="771" t="s">
        <v>115</v>
      </c>
      <c r="T12" s="771" t="s">
        <v>1637</v>
      </c>
      <c r="U12" s="771" t="s">
        <v>1725</v>
      </c>
      <c r="V12" s="771" t="s">
        <v>1726</v>
      </c>
      <c r="W12" s="771" t="s">
        <v>1727</v>
      </c>
      <c r="X12" s="771" t="s">
        <v>1728</v>
      </c>
      <c r="Y12" s="771" t="s">
        <v>1729</v>
      </c>
      <c r="Z12" s="772"/>
      <c r="AA12" s="771" t="s">
        <v>115</v>
      </c>
      <c r="AB12" s="771" t="s">
        <v>1637</v>
      </c>
      <c r="AC12" s="771" t="s">
        <v>1725</v>
      </c>
      <c r="AD12" s="771" t="s">
        <v>1726</v>
      </c>
      <c r="AE12" s="771" t="s">
        <v>1727</v>
      </c>
      <c r="AF12" s="771" t="s">
        <v>1728</v>
      </c>
      <c r="AG12" s="771" t="s">
        <v>1729</v>
      </c>
      <c r="AH12" s="772"/>
      <c r="AI12" s="771" t="s">
        <v>115</v>
      </c>
      <c r="AJ12" s="771" t="s">
        <v>1637</v>
      </c>
      <c r="AK12" s="771" t="s">
        <v>1725</v>
      </c>
      <c r="AL12" s="771" t="s">
        <v>1726</v>
      </c>
      <c r="AM12" s="771" t="s">
        <v>1727</v>
      </c>
      <c r="AN12" s="771" t="s">
        <v>1728</v>
      </c>
      <c r="AO12" s="771" t="s">
        <v>1729</v>
      </c>
      <c r="AP12" s="772"/>
      <c r="AQ12" s="771" t="s">
        <v>115</v>
      </c>
      <c r="AR12" s="771" t="s">
        <v>1637</v>
      </c>
      <c r="AS12" s="771" t="s">
        <v>1725</v>
      </c>
      <c r="AT12" s="771" t="s">
        <v>1726</v>
      </c>
      <c r="AU12" s="771" t="s">
        <v>1727</v>
      </c>
      <c r="AV12" s="771" t="s">
        <v>1728</v>
      </c>
      <c r="AW12" s="771" t="s">
        <v>1729</v>
      </c>
      <c r="AX12" s="772"/>
      <c r="AY12" s="771" t="s">
        <v>115</v>
      </c>
      <c r="AZ12" s="771" t="s">
        <v>1637</v>
      </c>
      <c r="BA12" s="771" t="s">
        <v>1725</v>
      </c>
      <c r="BB12" s="771" t="s">
        <v>1726</v>
      </c>
      <c r="BC12" s="771" t="s">
        <v>1727</v>
      </c>
      <c r="BD12" s="771" t="s">
        <v>1728</v>
      </c>
      <c r="BE12" s="771" t="s">
        <v>1729</v>
      </c>
      <c r="BF12" s="772"/>
      <c r="BG12" s="771" t="s">
        <v>115</v>
      </c>
      <c r="BH12" s="771" t="s">
        <v>1637</v>
      </c>
      <c r="BI12" s="771" t="s">
        <v>1725</v>
      </c>
      <c r="BJ12" s="771" t="s">
        <v>1726</v>
      </c>
      <c r="BK12" s="771" t="s">
        <v>1727</v>
      </c>
      <c r="BL12" s="771" t="s">
        <v>1728</v>
      </c>
      <c r="BM12" s="771" t="s">
        <v>1729</v>
      </c>
      <c r="BN12" s="772"/>
    </row>
    <row r="13" spans="1:66">
      <c r="A13" s="11">
        <f>YEAR(C13)</f>
        <v>1900</v>
      </c>
      <c r="B13" s="773">
        <v>1</v>
      </c>
      <c r="C13" s="774">
        <f>E9</f>
        <v>0</v>
      </c>
      <c r="D13" s="775">
        <f>E6</f>
        <v>0</v>
      </c>
      <c r="E13" s="775">
        <f>IF(D13&gt;0,PMT(E7/12,E8*12,-E6),0)</f>
        <v>0</v>
      </c>
      <c r="F13" s="775">
        <f t="shared" ref="F13:F76" si="0">D13*$E$7/12</f>
        <v>0</v>
      </c>
      <c r="G13" s="775">
        <f>E13-F13</f>
        <v>0</v>
      </c>
      <c r="H13" s="775">
        <f>D13-G13</f>
        <v>0</v>
      </c>
      <c r="I13" s="775">
        <f t="shared" ref="I13:I76" si="1">D13*rng01_MortgageInsurangePremium/12</f>
        <v>0</v>
      </c>
      <c r="J13" s="26"/>
      <c r="K13" s="773">
        <v>1</v>
      </c>
      <c r="L13" s="774">
        <f>N9</f>
        <v>0</v>
      </c>
      <c r="M13" s="775">
        <f>N6</f>
        <v>0</v>
      </c>
      <c r="N13" s="775">
        <f>IF(M13&gt;0,PMT(N7/12,N8*12,-N6),0)</f>
        <v>0</v>
      </c>
      <c r="O13" s="775">
        <f>M13*$N$7/12</f>
        <v>0</v>
      </c>
      <c r="P13" s="775">
        <f>N13-O13</f>
        <v>0</v>
      </c>
      <c r="Q13" s="775">
        <f>M13-P13</f>
        <v>0</v>
      </c>
      <c r="R13" s="26"/>
      <c r="S13" s="773">
        <v>1</v>
      </c>
      <c r="T13" s="774">
        <f>V9</f>
        <v>0</v>
      </c>
      <c r="U13" s="775">
        <f>V6</f>
        <v>0</v>
      </c>
      <c r="V13" s="775">
        <f>IF(U13&gt;0,PMT(V7/12,V8*12,-V6),0)</f>
        <v>0</v>
      </c>
      <c r="W13" s="775">
        <f>U13*V$7/12</f>
        <v>0</v>
      </c>
      <c r="X13" s="775">
        <f>V13-W13</f>
        <v>0</v>
      </c>
      <c r="Y13" s="775">
        <f>U13-X13</f>
        <v>0</v>
      </c>
      <c r="Z13" s="26"/>
      <c r="AA13" s="773">
        <v>1</v>
      </c>
      <c r="AB13" s="774">
        <f>AD9</f>
        <v>0</v>
      </c>
      <c r="AC13" s="775">
        <f>AD6</f>
        <v>0</v>
      </c>
      <c r="AD13" s="775">
        <f>IF(AC13&gt;0,PMT(AD7/12,AD8*12,-AD6),0)</f>
        <v>0</v>
      </c>
      <c r="AE13" s="775">
        <f>AC13*AD$7/12</f>
        <v>0</v>
      </c>
      <c r="AF13" s="775">
        <f>AD13-AE13</f>
        <v>0</v>
      </c>
      <c r="AG13" s="775">
        <f>AC13-AF13</f>
        <v>0</v>
      </c>
      <c r="AH13" s="26"/>
      <c r="AI13" s="773">
        <v>1</v>
      </c>
      <c r="AJ13" s="774">
        <f>AL9</f>
        <v>0</v>
      </c>
      <c r="AK13" s="775">
        <f>AL6</f>
        <v>0</v>
      </c>
      <c r="AL13" s="775">
        <f>IF(AK13&gt;0,PMT(AL7/12,AL8*12,-AL6),0)</f>
        <v>0</v>
      </c>
      <c r="AM13" s="775">
        <f>AK13*AL$7/12</f>
        <v>0</v>
      </c>
      <c r="AN13" s="775">
        <f>AL13-AM13</f>
        <v>0</v>
      </c>
      <c r="AO13" s="775">
        <f>AK13-AN13</f>
        <v>0</v>
      </c>
      <c r="AP13" s="26"/>
      <c r="AQ13" s="773">
        <v>1</v>
      </c>
      <c r="AR13" s="774">
        <f>AT9</f>
        <v>0</v>
      </c>
      <c r="AS13" s="775">
        <f>AT6</f>
        <v>0</v>
      </c>
      <c r="AT13" s="775">
        <f>IF(AS13&gt;0,PMT(AT7/12,AT8*12,-AT6),0)</f>
        <v>0</v>
      </c>
      <c r="AU13" s="775">
        <f>AS13*AT$7/12</f>
        <v>0</v>
      </c>
      <c r="AV13" s="775">
        <f>AT13-AU13</f>
        <v>0</v>
      </c>
      <c r="AW13" s="775">
        <f>AS13-AV13</f>
        <v>0</v>
      </c>
      <c r="AX13" s="26"/>
      <c r="AY13" s="773">
        <v>1</v>
      </c>
      <c r="AZ13" s="774">
        <f>BB9</f>
        <v>0</v>
      </c>
      <c r="BA13" s="775">
        <f>BB6</f>
        <v>0</v>
      </c>
      <c r="BB13" s="775">
        <f>IF(BA13&gt;0,PMT(BB7/12,BB8*12,-BB6),0)</f>
        <v>0</v>
      </c>
      <c r="BC13" s="775">
        <f>BA13*BB$7/12</f>
        <v>0</v>
      </c>
      <c r="BD13" s="775">
        <f>BB13-BC13</f>
        <v>0</v>
      </c>
      <c r="BE13" s="775">
        <f>BA13-BD13</f>
        <v>0</v>
      </c>
      <c r="BF13" s="26"/>
      <c r="BG13" s="773">
        <v>1</v>
      </c>
      <c r="BH13" s="774">
        <f>BJ9</f>
        <v>0</v>
      </c>
      <c r="BI13" s="775">
        <f>BJ6</f>
        <v>0</v>
      </c>
      <c r="BJ13" s="775">
        <f>IF(BI13&gt;0,PMT(BJ7/12,BJ8*12,-BJ6),0)</f>
        <v>0</v>
      </c>
      <c r="BK13" s="775">
        <f>BI13*BJ$7/12</f>
        <v>0</v>
      </c>
      <c r="BL13" s="775">
        <f>BJ13-BK13</f>
        <v>0</v>
      </c>
      <c r="BM13" s="775">
        <f>BI13-BL13</f>
        <v>0</v>
      </c>
      <c r="BN13" s="26"/>
    </row>
    <row r="14" spans="1:66">
      <c r="A14" s="11">
        <f t="shared" ref="A14:A77" si="2">YEAR(C14)</f>
        <v>1900</v>
      </c>
      <c r="B14" s="773">
        <v>2</v>
      </c>
      <c r="C14" s="774">
        <f>DATE(IF(MONTH(C13)=12,YEAR(C13)+1,YEAR(C13)),IF(MONTH(C13)=12,1,MONTH(C13)+1),1)</f>
        <v>32</v>
      </c>
      <c r="D14" s="775">
        <f>H13</f>
        <v>0</v>
      </c>
      <c r="E14" s="775">
        <f>IF(ROUND(D14,0)&gt;0,E13,0)</f>
        <v>0</v>
      </c>
      <c r="F14" s="775">
        <f t="shared" si="0"/>
        <v>0</v>
      </c>
      <c r="G14" s="775">
        <f>E14-F14</f>
        <v>0</v>
      </c>
      <c r="H14" s="775">
        <f>D14-G14</f>
        <v>0</v>
      </c>
      <c r="I14" s="775">
        <f t="shared" si="1"/>
        <v>0</v>
      </c>
      <c r="J14" s="26"/>
      <c r="K14" s="773">
        <v>2</v>
      </c>
      <c r="L14" s="774">
        <f>DATE(IF(MONTH(L13)=12,YEAR(L13)+1,YEAR(L13)),IF(MONTH(L13)=12,1,MONTH(L13)+1),1)</f>
        <v>32</v>
      </c>
      <c r="M14" s="775">
        <f>Q13</f>
        <v>0</v>
      </c>
      <c r="N14" s="775">
        <f>IF(ROUND(M14,0)&gt;0,N13,0)</f>
        <v>0</v>
      </c>
      <c r="O14" s="775">
        <f t="shared" ref="O14:O77" si="3">M14*$N$7/12</f>
        <v>0</v>
      </c>
      <c r="P14" s="775">
        <f>N14-O14</f>
        <v>0</v>
      </c>
      <c r="Q14" s="775">
        <f>M14-P14</f>
        <v>0</v>
      </c>
      <c r="R14" s="26"/>
      <c r="S14" s="773">
        <v>2</v>
      </c>
      <c r="T14" s="774">
        <f>DATE(IF(MONTH(T13)=12,YEAR(T13)+1,YEAR(T13)),IF(MONTH(T13)=12,1,MONTH(T13)+1),1)</f>
        <v>32</v>
      </c>
      <c r="U14" s="775">
        <f>Y13</f>
        <v>0</v>
      </c>
      <c r="V14" s="775">
        <f>IF(ROUND(U14,0)&gt;0,V13,0)</f>
        <v>0</v>
      </c>
      <c r="W14" s="775">
        <f t="shared" ref="W14:W77" si="4">U14*V$7/12</f>
        <v>0</v>
      </c>
      <c r="X14" s="775">
        <f>V14-W14</f>
        <v>0</v>
      </c>
      <c r="Y14" s="775">
        <f>U14-X14</f>
        <v>0</v>
      </c>
      <c r="Z14" s="26"/>
      <c r="AA14" s="773">
        <v>2</v>
      </c>
      <c r="AB14" s="774">
        <f>DATE(IF(MONTH(AB13)=12,YEAR(AB13)+1,YEAR(AB13)),IF(MONTH(AB13)=12,1,MONTH(AB13)+1),1)</f>
        <v>32</v>
      </c>
      <c r="AC14" s="775">
        <f>AG13</f>
        <v>0</v>
      </c>
      <c r="AD14" s="775">
        <f>IF(ROUND(AC14,0)&gt;0,AD13,0)</f>
        <v>0</v>
      </c>
      <c r="AE14" s="775">
        <f t="shared" ref="AE14:AE77" si="5">AC14*AD$7/12</f>
        <v>0</v>
      </c>
      <c r="AF14" s="775">
        <f>AD14-AE14</f>
        <v>0</v>
      </c>
      <c r="AG14" s="775">
        <f>AC14-AF14</f>
        <v>0</v>
      </c>
      <c r="AH14" s="26"/>
      <c r="AI14" s="773">
        <v>2</v>
      </c>
      <c r="AJ14" s="774">
        <f>DATE(IF(MONTH(AJ13)=12,YEAR(AJ13)+1,YEAR(AJ13)),IF(MONTH(AJ13)=12,1,MONTH(AJ13)+1),1)</f>
        <v>32</v>
      </c>
      <c r="AK14" s="775">
        <f>AO13</f>
        <v>0</v>
      </c>
      <c r="AL14" s="775">
        <f>IF(ROUND(AK14,0)&gt;0,AL13,0)</f>
        <v>0</v>
      </c>
      <c r="AM14" s="775">
        <f t="shared" ref="AM14:AM77" si="6">AK14*AL$7/12</f>
        <v>0</v>
      </c>
      <c r="AN14" s="775">
        <f>AL14-AM14</f>
        <v>0</v>
      </c>
      <c r="AO14" s="775">
        <f>AK14-AN14</f>
        <v>0</v>
      </c>
      <c r="AP14" s="26"/>
      <c r="AQ14" s="773">
        <v>2</v>
      </c>
      <c r="AR14" s="774">
        <f>DATE(IF(MONTH(AR13)=12,YEAR(AR13)+1,YEAR(AR13)),IF(MONTH(AR13)=12,1,MONTH(AR13)+1),1)</f>
        <v>32</v>
      </c>
      <c r="AS14" s="775">
        <f>AW13</f>
        <v>0</v>
      </c>
      <c r="AT14" s="775">
        <f>IF(ROUND(AS14,0)&gt;0,AT13,0)</f>
        <v>0</v>
      </c>
      <c r="AU14" s="775">
        <f t="shared" ref="AU14:AU77" si="7">AS14*AT$7/12</f>
        <v>0</v>
      </c>
      <c r="AV14" s="775">
        <f>AT14-AU14</f>
        <v>0</v>
      </c>
      <c r="AW14" s="775">
        <f>AS14-AV14</f>
        <v>0</v>
      </c>
      <c r="AX14" s="26"/>
      <c r="AY14" s="773">
        <v>2</v>
      </c>
      <c r="AZ14" s="774">
        <f>DATE(IF(MONTH(AZ13)=12,YEAR(AZ13)+1,YEAR(AZ13)),IF(MONTH(AZ13)=12,1,MONTH(AZ13)+1),1)</f>
        <v>32</v>
      </c>
      <c r="BA14" s="775">
        <f>BE13</f>
        <v>0</v>
      </c>
      <c r="BB14" s="775">
        <f>IF(ROUND(BA14,0)&gt;0,BB13,0)</f>
        <v>0</v>
      </c>
      <c r="BC14" s="775">
        <f t="shared" ref="BC14:BC77" si="8">BA14*BB$7/12</f>
        <v>0</v>
      </c>
      <c r="BD14" s="775">
        <f>BB14-BC14</f>
        <v>0</v>
      </c>
      <c r="BE14" s="775">
        <f>BA14-BD14</f>
        <v>0</v>
      </c>
      <c r="BF14" s="26"/>
      <c r="BG14" s="773">
        <v>2</v>
      </c>
      <c r="BH14" s="774">
        <f>DATE(IF(MONTH(BH13)=12,YEAR(BH13)+1,YEAR(BH13)),IF(MONTH(BH13)=12,1,MONTH(BH13)+1),1)</f>
        <v>32</v>
      </c>
      <c r="BI14" s="775">
        <f>BM13</f>
        <v>0</v>
      </c>
      <c r="BJ14" s="775">
        <f>IF(ROUND(BI14,0)&gt;0,BJ13,0)</f>
        <v>0</v>
      </c>
      <c r="BK14" s="775">
        <f t="shared" ref="BK14:BK77" si="9">BI14*BJ$7/12</f>
        <v>0</v>
      </c>
      <c r="BL14" s="775">
        <f>BJ14-BK14</f>
        <v>0</v>
      </c>
      <c r="BM14" s="775">
        <f>BI14-BL14</f>
        <v>0</v>
      </c>
      <c r="BN14" s="26"/>
    </row>
    <row r="15" spans="1:66">
      <c r="A15" s="11">
        <f t="shared" si="2"/>
        <v>1900</v>
      </c>
      <c r="B15" s="773">
        <v>3</v>
      </c>
      <c r="C15" s="774">
        <f>DATE(IF(MONTH(C14)=12,YEAR(C14)+1,YEAR(C14)),IF(MONTH(C14)=12,1,MONTH(C14)+1),1)</f>
        <v>61</v>
      </c>
      <c r="D15" s="775">
        <f>H14</f>
        <v>0</v>
      </c>
      <c r="E15" s="775">
        <f t="shared" ref="E15:E78" si="10">IF(ROUND(D15,0)&gt;0,E14,0)</f>
        <v>0</v>
      </c>
      <c r="F15" s="775">
        <f t="shared" si="0"/>
        <v>0</v>
      </c>
      <c r="G15" s="775">
        <f>E15-F15</f>
        <v>0</v>
      </c>
      <c r="H15" s="775">
        <f>D15-G15</f>
        <v>0</v>
      </c>
      <c r="I15" s="775">
        <f t="shared" si="1"/>
        <v>0</v>
      </c>
      <c r="J15" s="26"/>
      <c r="K15" s="773">
        <v>3</v>
      </c>
      <c r="L15" s="774">
        <f>DATE(IF(MONTH(L14)=12,YEAR(L14)+1,YEAR(L14)),IF(MONTH(L14)=12,1,MONTH(L14)+1),1)</f>
        <v>61</v>
      </c>
      <c r="M15" s="775">
        <f>Q14</f>
        <v>0</v>
      </c>
      <c r="N15" s="775">
        <f t="shared" ref="N15:N78" si="11">IF(ROUND(M15,0)&gt;0,N14,0)</f>
        <v>0</v>
      </c>
      <c r="O15" s="775">
        <f t="shared" si="3"/>
        <v>0</v>
      </c>
      <c r="P15" s="775">
        <f>N15-O15</f>
        <v>0</v>
      </c>
      <c r="Q15" s="775">
        <f>M15-P15</f>
        <v>0</v>
      </c>
      <c r="R15" s="26"/>
      <c r="S15" s="773">
        <v>3</v>
      </c>
      <c r="T15" s="774">
        <f>DATE(IF(MONTH(T14)=12,YEAR(T14)+1,YEAR(T14)),IF(MONTH(T14)=12,1,MONTH(T14)+1),1)</f>
        <v>61</v>
      </c>
      <c r="U15" s="775">
        <f>Y14</f>
        <v>0</v>
      </c>
      <c r="V15" s="775">
        <f t="shared" ref="V15:V78" si="12">IF(ROUND(U15,0)&gt;0,V14,0)</f>
        <v>0</v>
      </c>
      <c r="W15" s="775">
        <f t="shared" si="4"/>
        <v>0</v>
      </c>
      <c r="X15" s="775">
        <f>V15-W15</f>
        <v>0</v>
      </c>
      <c r="Y15" s="775">
        <f>U15-X15</f>
        <v>0</v>
      </c>
      <c r="Z15" s="26"/>
      <c r="AA15" s="773">
        <v>3</v>
      </c>
      <c r="AB15" s="774">
        <f>DATE(IF(MONTH(AB14)=12,YEAR(AB14)+1,YEAR(AB14)),IF(MONTH(AB14)=12,1,MONTH(AB14)+1),1)</f>
        <v>61</v>
      </c>
      <c r="AC15" s="775">
        <f>AG14</f>
        <v>0</v>
      </c>
      <c r="AD15" s="775">
        <f t="shared" ref="AD15:AD78" si="13">IF(ROUND(AC15,0)&gt;0,AD14,0)</f>
        <v>0</v>
      </c>
      <c r="AE15" s="775">
        <f t="shared" si="5"/>
        <v>0</v>
      </c>
      <c r="AF15" s="775">
        <f>AD15-AE15</f>
        <v>0</v>
      </c>
      <c r="AG15" s="775">
        <f>AC15-AF15</f>
        <v>0</v>
      </c>
      <c r="AH15" s="26"/>
      <c r="AI15" s="773">
        <v>3</v>
      </c>
      <c r="AJ15" s="774">
        <f>DATE(IF(MONTH(AJ14)=12,YEAR(AJ14)+1,YEAR(AJ14)),IF(MONTH(AJ14)=12,1,MONTH(AJ14)+1),1)</f>
        <v>61</v>
      </c>
      <c r="AK15" s="775">
        <f>AO14</f>
        <v>0</v>
      </c>
      <c r="AL15" s="775">
        <f t="shared" ref="AL15:AL78" si="14">IF(ROUND(AK15,0)&gt;0,AL14,0)</f>
        <v>0</v>
      </c>
      <c r="AM15" s="775">
        <f t="shared" si="6"/>
        <v>0</v>
      </c>
      <c r="AN15" s="775">
        <f>AL15-AM15</f>
        <v>0</v>
      </c>
      <c r="AO15" s="775">
        <f>AK15-AN15</f>
        <v>0</v>
      </c>
      <c r="AP15" s="26"/>
      <c r="AQ15" s="773">
        <v>3</v>
      </c>
      <c r="AR15" s="774">
        <f>DATE(IF(MONTH(AR14)=12,YEAR(AR14)+1,YEAR(AR14)),IF(MONTH(AR14)=12,1,MONTH(AR14)+1),1)</f>
        <v>61</v>
      </c>
      <c r="AS15" s="775">
        <f>AW14</f>
        <v>0</v>
      </c>
      <c r="AT15" s="775">
        <f t="shared" ref="AT15:AT78" si="15">IF(ROUND(AS15,0)&gt;0,AT14,0)</f>
        <v>0</v>
      </c>
      <c r="AU15" s="775">
        <f t="shared" si="7"/>
        <v>0</v>
      </c>
      <c r="AV15" s="775">
        <f>AT15-AU15</f>
        <v>0</v>
      </c>
      <c r="AW15" s="775">
        <f>AS15-AV15</f>
        <v>0</v>
      </c>
      <c r="AX15" s="26"/>
      <c r="AY15" s="773">
        <v>3</v>
      </c>
      <c r="AZ15" s="774">
        <f>DATE(IF(MONTH(AZ14)=12,YEAR(AZ14)+1,YEAR(AZ14)),IF(MONTH(AZ14)=12,1,MONTH(AZ14)+1),1)</f>
        <v>61</v>
      </c>
      <c r="BA15" s="775">
        <f>BE14</f>
        <v>0</v>
      </c>
      <c r="BB15" s="775">
        <f t="shared" ref="BB15:BB78" si="16">IF(ROUND(BA15,0)&gt;0,BB14,0)</f>
        <v>0</v>
      </c>
      <c r="BC15" s="775">
        <f t="shared" si="8"/>
        <v>0</v>
      </c>
      <c r="BD15" s="775">
        <f>BB15-BC15</f>
        <v>0</v>
      </c>
      <c r="BE15" s="775">
        <f>BA15-BD15</f>
        <v>0</v>
      </c>
      <c r="BF15" s="26"/>
      <c r="BG15" s="773">
        <v>3</v>
      </c>
      <c r="BH15" s="774">
        <f>DATE(IF(MONTH(BH14)=12,YEAR(BH14)+1,YEAR(BH14)),IF(MONTH(BH14)=12,1,MONTH(BH14)+1),1)</f>
        <v>61</v>
      </c>
      <c r="BI15" s="775">
        <f>BM14</f>
        <v>0</v>
      </c>
      <c r="BJ15" s="775">
        <f t="shared" ref="BJ15:BJ78" si="17">IF(ROUND(BI15,0)&gt;0,BJ14,0)</f>
        <v>0</v>
      </c>
      <c r="BK15" s="775">
        <f t="shared" si="9"/>
        <v>0</v>
      </c>
      <c r="BL15" s="775">
        <f>BJ15-BK15</f>
        <v>0</v>
      </c>
      <c r="BM15" s="775">
        <f>BI15-BL15</f>
        <v>0</v>
      </c>
      <c r="BN15" s="26"/>
    </row>
    <row r="16" spans="1:66">
      <c r="A16" s="11">
        <f t="shared" si="2"/>
        <v>1900</v>
      </c>
      <c r="B16" s="773">
        <v>4</v>
      </c>
      <c r="C16" s="774">
        <f t="shared" ref="C16:C79" si="18">DATE(IF(MONTH(C15)=12,YEAR(C15)+1,YEAR(C15)),IF(MONTH(C15)=12,1,MONTH(C15)+1),1)</f>
        <v>92</v>
      </c>
      <c r="D16" s="775">
        <f t="shared" ref="D16:D79" si="19">H15</f>
        <v>0</v>
      </c>
      <c r="E16" s="775">
        <f t="shared" si="10"/>
        <v>0</v>
      </c>
      <c r="F16" s="775">
        <f t="shared" si="0"/>
        <v>0</v>
      </c>
      <c r="G16" s="775">
        <f t="shared" ref="G16:G79" si="20">E16-F16</f>
        <v>0</v>
      </c>
      <c r="H16" s="775">
        <f t="shared" ref="H16:H79" si="21">D16-G16</f>
        <v>0</v>
      </c>
      <c r="I16" s="775">
        <f t="shared" si="1"/>
        <v>0</v>
      </c>
      <c r="J16" s="26"/>
      <c r="K16" s="773">
        <v>4</v>
      </c>
      <c r="L16" s="774">
        <f t="shared" ref="L16:L79" si="22">DATE(IF(MONTH(L15)=12,YEAR(L15)+1,YEAR(L15)),IF(MONTH(L15)=12,1,MONTH(L15)+1),1)</f>
        <v>92</v>
      </c>
      <c r="M16" s="775">
        <f t="shared" ref="M16:M79" si="23">Q15</f>
        <v>0</v>
      </c>
      <c r="N16" s="775">
        <f t="shared" si="11"/>
        <v>0</v>
      </c>
      <c r="O16" s="775">
        <f t="shared" si="3"/>
        <v>0</v>
      </c>
      <c r="P16" s="775">
        <f t="shared" ref="P16:P79" si="24">N16-O16</f>
        <v>0</v>
      </c>
      <c r="Q16" s="775">
        <f t="shared" ref="Q16:Q79" si="25">M16-P16</f>
        <v>0</v>
      </c>
      <c r="R16" s="26"/>
      <c r="S16" s="773">
        <v>4</v>
      </c>
      <c r="T16" s="774">
        <f t="shared" ref="T16:T79" si="26">DATE(IF(MONTH(T15)=12,YEAR(T15)+1,YEAR(T15)),IF(MONTH(T15)=12,1,MONTH(T15)+1),1)</f>
        <v>92</v>
      </c>
      <c r="U16" s="775">
        <f t="shared" ref="U16:U79" si="27">Y15</f>
        <v>0</v>
      </c>
      <c r="V16" s="775">
        <f t="shared" si="12"/>
        <v>0</v>
      </c>
      <c r="W16" s="775">
        <f t="shared" si="4"/>
        <v>0</v>
      </c>
      <c r="X16" s="775">
        <f t="shared" ref="X16:X79" si="28">V16-W16</f>
        <v>0</v>
      </c>
      <c r="Y16" s="775">
        <f t="shared" ref="Y16:Y79" si="29">U16-X16</f>
        <v>0</v>
      </c>
      <c r="Z16" s="26"/>
      <c r="AA16" s="773">
        <v>4</v>
      </c>
      <c r="AB16" s="774">
        <f t="shared" ref="AB16:AB79" si="30">DATE(IF(MONTH(AB15)=12,YEAR(AB15)+1,YEAR(AB15)),IF(MONTH(AB15)=12,1,MONTH(AB15)+1),1)</f>
        <v>92</v>
      </c>
      <c r="AC16" s="775">
        <f t="shared" ref="AC16:AC79" si="31">AG15</f>
        <v>0</v>
      </c>
      <c r="AD16" s="775">
        <f t="shared" si="13"/>
        <v>0</v>
      </c>
      <c r="AE16" s="775">
        <f t="shared" si="5"/>
        <v>0</v>
      </c>
      <c r="AF16" s="775">
        <f t="shared" ref="AF16:AF79" si="32">AD16-AE16</f>
        <v>0</v>
      </c>
      <c r="AG16" s="775">
        <f t="shared" ref="AG16:AG79" si="33">AC16-AF16</f>
        <v>0</v>
      </c>
      <c r="AH16" s="26"/>
      <c r="AI16" s="773">
        <v>4</v>
      </c>
      <c r="AJ16" s="774">
        <f t="shared" ref="AJ16:AJ79" si="34">DATE(IF(MONTH(AJ15)=12,YEAR(AJ15)+1,YEAR(AJ15)),IF(MONTH(AJ15)=12,1,MONTH(AJ15)+1),1)</f>
        <v>92</v>
      </c>
      <c r="AK16" s="775">
        <f t="shared" ref="AK16:AK79" si="35">AO15</f>
        <v>0</v>
      </c>
      <c r="AL16" s="775">
        <f t="shared" si="14"/>
        <v>0</v>
      </c>
      <c r="AM16" s="775">
        <f t="shared" si="6"/>
        <v>0</v>
      </c>
      <c r="AN16" s="775">
        <f t="shared" ref="AN16:AN79" si="36">AL16-AM16</f>
        <v>0</v>
      </c>
      <c r="AO16" s="775">
        <f t="shared" ref="AO16:AO79" si="37">AK16-AN16</f>
        <v>0</v>
      </c>
      <c r="AP16" s="26"/>
      <c r="AQ16" s="773">
        <v>4</v>
      </c>
      <c r="AR16" s="774">
        <f t="shared" ref="AR16:AR79" si="38">DATE(IF(MONTH(AR15)=12,YEAR(AR15)+1,YEAR(AR15)),IF(MONTH(AR15)=12,1,MONTH(AR15)+1),1)</f>
        <v>92</v>
      </c>
      <c r="AS16" s="775">
        <f t="shared" ref="AS16:AS79" si="39">AW15</f>
        <v>0</v>
      </c>
      <c r="AT16" s="775">
        <f t="shared" si="15"/>
        <v>0</v>
      </c>
      <c r="AU16" s="775">
        <f t="shared" si="7"/>
        <v>0</v>
      </c>
      <c r="AV16" s="775">
        <f t="shared" ref="AV16:AV79" si="40">AT16-AU16</f>
        <v>0</v>
      </c>
      <c r="AW16" s="775">
        <f t="shared" ref="AW16:AW79" si="41">AS16-AV16</f>
        <v>0</v>
      </c>
      <c r="AX16" s="26"/>
      <c r="AY16" s="773">
        <v>4</v>
      </c>
      <c r="AZ16" s="774">
        <f t="shared" ref="AZ16:AZ79" si="42">DATE(IF(MONTH(AZ15)=12,YEAR(AZ15)+1,YEAR(AZ15)),IF(MONTH(AZ15)=12,1,MONTH(AZ15)+1),1)</f>
        <v>92</v>
      </c>
      <c r="BA16" s="775">
        <f t="shared" ref="BA16:BA79" si="43">BE15</f>
        <v>0</v>
      </c>
      <c r="BB16" s="775">
        <f t="shared" si="16"/>
        <v>0</v>
      </c>
      <c r="BC16" s="775">
        <f t="shared" si="8"/>
        <v>0</v>
      </c>
      <c r="BD16" s="775">
        <f t="shared" ref="BD16:BD79" si="44">BB16-BC16</f>
        <v>0</v>
      </c>
      <c r="BE16" s="775">
        <f t="shared" ref="BE16:BE79" si="45">BA16-BD16</f>
        <v>0</v>
      </c>
      <c r="BF16" s="26"/>
      <c r="BG16" s="773">
        <v>4</v>
      </c>
      <c r="BH16" s="774">
        <f t="shared" ref="BH16:BH79" si="46">DATE(IF(MONTH(BH15)=12,YEAR(BH15)+1,YEAR(BH15)),IF(MONTH(BH15)=12,1,MONTH(BH15)+1),1)</f>
        <v>92</v>
      </c>
      <c r="BI16" s="775">
        <f t="shared" ref="BI16:BI79" si="47">BM15</f>
        <v>0</v>
      </c>
      <c r="BJ16" s="775">
        <f t="shared" si="17"/>
        <v>0</v>
      </c>
      <c r="BK16" s="775">
        <f t="shared" si="9"/>
        <v>0</v>
      </c>
      <c r="BL16" s="775">
        <f t="shared" ref="BL16:BL79" si="48">BJ16-BK16</f>
        <v>0</v>
      </c>
      <c r="BM16" s="775">
        <f t="shared" ref="BM16:BM79" si="49">BI16-BL16</f>
        <v>0</v>
      </c>
      <c r="BN16" s="26"/>
    </row>
    <row r="17" spans="1:65">
      <c r="A17" s="11">
        <f t="shared" si="2"/>
        <v>1900</v>
      </c>
      <c r="B17" s="773">
        <v>5</v>
      </c>
      <c r="C17" s="774">
        <f t="shared" si="18"/>
        <v>122</v>
      </c>
      <c r="D17" s="775">
        <f t="shared" si="19"/>
        <v>0</v>
      </c>
      <c r="E17" s="775">
        <f t="shared" si="10"/>
        <v>0</v>
      </c>
      <c r="F17" s="775">
        <f t="shared" si="0"/>
        <v>0</v>
      </c>
      <c r="G17" s="775">
        <f t="shared" si="20"/>
        <v>0</v>
      </c>
      <c r="H17" s="775">
        <f t="shared" si="21"/>
        <v>0</v>
      </c>
      <c r="I17" s="775">
        <f t="shared" si="1"/>
        <v>0</v>
      </c>
      <c r="K17" s="773">
        <v>5</v>
      </c>
      <c r="L17" s="774">
        <f t="shared" si="22"/>
        <v>122</v>
      </c>
      <c r="M17" s="775">
        <f t="shared" si="23"/>
        <v>0</v>
      </c>
      <c r="N17" s="775">
        <f t="shared" si="11"/>
        <v>0</v>
      </c>
      <c r="O17" s="775">
        <f t="shared" si="3"/>
        <v>0</v>
      </c>
      <c r="P17" s="775">
        <f t="shared" si="24"/>
        <v>0</v>
      </c>
      <c r="Q17" s="775">
        <f t="shared" si="25"/>
        <v>0</v>
      </c>
      <c r="S17" s="773">
        <v>5</v>
      </c>
      <c r="T17" s="774">
        <f t="shared" si="26"/>
        <v>122</v>
      </c>
      <c r="U17" s="775">
        <f t="shared" si="27"/>
        <v>0</v>
      </c>
      <c r="V17" s="775">
        <f t="shared" si="12"/>
        <v>0</v>
      </c>
      <c r="W17" s="775">
        <f t="shared" si="4"/>
        <v>0</v>
      </c>
      <c r="X17" s="775">
        <f t="shared" si="28"/>
        <v>0</v>
      </c>
      <c r="Y17" s="775">
        <f t="shared" si="29"/>
        <v>0</v>
      </c>
      <c r="AA17" s="773">
        <v>5</v>
      </c>
      <c r="AB17" s="774">
        <f t="shared" si="30"/>
        <v>122</v>
      </c>
      <c r="AC17" s="775">
        <f t="shared" si="31"/>
        <v>0</v>
      </c>
      <c r="AD17" s="775">
        <f t="shared" si="13"/>
        <v>0</v>
      </c>
      <c r="AE17" s="775">
        <f t="shared" si="5"/>
        <v>0</v>
      </c>
      <c r="AF17" s="775">
        <f t="shared" si="32"/>
        <v>0</v>
      </c>
      <c r="AG17" s="775">
        <f t="shared" si="33"/>
        <v>0</v>
      </c>
      <c r="AI17" s="773">
        <v>5</v>
      </c>
      <c r="AJ17" s="774">
        <f t="shared" si="34"/>
        <v>122</v>
      </c>
      <c r="AK17" s="775">
        <f t="shared" si="35"/>
        <v>0</v>
      </c>
      <c r="AL17" s="775">
        <f t="shared" si="14"/>
        <v>0</v>
      </c>
      <c r="AM17" s="775">
        <f t="shared" si="6"/>
        <v>0</v>
      </c>
      <c r="AN17" s="775">
        <f t="shared" si="36"/>
        <v>0</v>
      </c>
      <c r="AO17" s="775">
        <f t="shared" si="37"/>
        <v>0</v>
      </c>
      <c r="AQ17" s="773">
        <v>5</v>
      </c>
      <c r="AR17" s="774">
        <f t="shared" si="38"/>
        <v>122</v>
      </c>
      <c r="AS17" s="775">
        <f t="shared" si="39"/>
        <v>0</v>
      </c>
      <c r="AT17" s="775">
        <f t="shared" si="15"/>
        <v>0</v>
      </c>
      <c r="AU17" s="775">
        <f t="shared" si="7"/>
        <v>0</v>
      </c>
      <c r="AV17" s="775">
        <f t="shared" si="40"/>
        <v>0</v>
      </c>
      <c r="AW17" s="775">
        <f t="shared" si="41"/>
        <v>0</v>
      </c>
      <c r="AY17" s="773">
        <v>5</v>
      </c>
      <c r="AZ17" s="774">
        <f t="shared" si="42"/>
        <v>122</v>
      </c>
      <c r="BA17" s="775">
        <f t="shared" si="43"/>
        <v>0</v>
      </c>
      <c r="BB17" s="775">
        <f t="shared" si="16"/>
        <v>0</v>
      </c>
      <c r="BC17" s="775">
        <f t="shared" si="8"/>
        <v>0</v>
      </c>
      <c r="BD17" s="775">
        <f t="shared" si="44"/>
        <v>0</v>
      </c>
      <c r="BE17" s="775">
        <f t="shared" si="45"/>
        <v>0</v>
      </c>
      <c r="BG17" s="773">
        <v>5</v>
      </c>
      <c r="BH17" s="774">
        <f t="shared" si="46"/>
        <v>122</v>
      </c>
      <c r="BI17" s="775">
        <f t="shared" si="47"/>
        <v>0</v>
      </c>
      <c r="BJ17" s="775">
        <f t="shared" si="17"/>
        <v>0</v>
      </c>
      <c r="BK17" s="775">
        <f t="shared" si="9"/>
        <v>0</v>
      </c>
      <c r="BL17" s="775">
        <f t="shared" si="48"/>
        <v>0</v>
      </c>
      <c r="BM17" s="775">
        <f t="shared" si="49"/>
        <v>0</v>
      </c>
    </row>
    <row r="18" spans="1:65">
      <c r="A18" s="11">
        <f t="shared" si="2"/>
        <v>1900</v>
      </c>
      <c r="B18" s="773">
        <v>6</v>
      </c>
      <c r="C18" s="774">
        <f t="shared" si="18"/>
        <v>153</v>
      </c>
      <c r="D18" s="775">
        <f t="shared" si="19"/>
        <v>0</v>
      </c>
      <c r="E18" s="775">
        <f t="shared" si="10"/>
        <v>0</v>
      </c>
      <c r="F18" s="775">
        <f t="shared" si="0"/>
        <v>0</v>
      </c>
      <c r="G18" s="775">
        <f t="shared" si="20"/>
        <v>0</v>
      </c>
      <c r="H18" s="775">
        <f t="shared" si="21"/>
        <v>0</v>
      </c>
      <c r="I18" s="775">
        <f t="shared" si="1"/>
        <v>0</v>
      </c>
      <c r="K18" s="773">
        <v>6</v>
      </c>
      <c r="L18" s="774">
        <f t="shared" si="22"/>
        <v>153</v>
      </c>
      <c r="M18" s="775">
        <f t="shared" si="23"/>
        <v>0</v>
      </c>
      <c r="N18" s="775">
        <f t="shared" si="11"/>
        <v>0</v>
      </c>
      <c r="O18" s="775">
        <f t="shared" si="3"/>
        <v>0</v>
      </c>
      <c r="P18" s="775">
        <f t="shared" si="24"/>
        <v>0</v>
      </c>
      <c r="Q18" s="775">
        <f t="shared" si="25"/>
        <v>0</v>
      </c>
      <c r="S18" s="773">
        <v>6</v>
      </c>
      <c r="T18" s="774">
        <f t="shared" si="26"/>
        <v>153</v>
      </c>
      <c r="U18" s="775">
        <f t="shared" si="27"/>
        <v>0</v>
      </c>
      <c r="V18" s="775">
        <f t="shared" si="12"/>
        <v>0</v>
      </c>
      <c r="W18" s="775">
        <f t="shared" si="4"/>
        <v>0</v>
      </c>
      <c r="X18" s="775">
        <f t="shared" si="28"/>
        <v>0</v>
      </c>
      <c r="Y18" s="775">
        <f t="shared" si="29"/>
        <v>0</v>
      </c>
      <c r="AA18" s="773">
        <v>6</v>
      </c>
      <c r="AB18" s="774">
        <f t="shared" si="30"/>
        <v>153</v>
      </c>
      <c r="AC18" s="775">
        <f t="shared" si="31"/>
        <v>0</v>
      </c>
      <c r="AD18" s="775">
        <f t="shared" si="13"/>
        <v>0</v>
      </c>
      <c r="AE18" s="775">
        <f t="shared" si="5"/>
        <v>0</v>
      </c>
      <c r="AF18" s="775">
        <f t="shared" si="32"/>
        <v>0</v>
      </c>
      <c r="AG18" s="775">
        <f t="shared" si="33"/>
        <v>0</v>
      </c>
      <c r="AI18" s="773">
        <v>6</v>
      </c>
      <c r="AJ18" s="774">
        <f t="shared" si="34"/>
        <v>153</v>
      </c>
      <c r="AK18" s="775">
        <f t="shared" si="35"/>
        <v>0</v>
      </c>
      <c r="AL18" s="775">
        <f t="shared" si="14"/>
        <v>0</v>
      </c>
      <c r="AM18" s="775">
        <f t="shared" si="6"/>
        <v>0</v>
      </c>
      <c r="AN18" s="775">
        <f t="shared" si="36"/>
        <v>0</v>
      </c>
      <c r="AO18" s="775">
        <f t="shared" si="37"/>
        <v>0</v>
      </c>
      <c r="AQ18" s="773">
        <v>6</v>
      </c>
      <c r="AR18" s="774">
        <f t="shared" si="38"/>
        <v>153</v>
      </c>
      <c r="AS18" s="775">
        <f t="shared" si="39"/>
        <v>0</v>
      </c>
      <c r="AT18" s="775">
        <f t="shared" si="15"/>
        <v>0</v>
      </c>
      <c r="AU18" s="775">
        <f t="shared" si="7"/>
        <v>0</v>
      </c>
      <c r="AV18" s="775">
        <f t="shared" si="40"/>
        <v>0</v>
      </c>
      <c r="AW18" s="775">
        <f t="shared" si="41"/>
        <v>0</v>
      </c>
      <c r="AY18" s="773">
        <v>6</v>
      </c>
      <c r="AZ18" s="774">
        <f t="shared" si="42"/>
        <v>153</v>
      </c>
      <c r="BA18" s="775">
        <f t="shared" si="43"/>
        <v>0</v>
      </c>
      <c r="BB18" s="775">
        <f t="shared" si="16"/>
        <v>0</v>
      </c>
      <c r="BC18" s="775">
        <f t="shared" si="8"/>
        <v>0</v>
      </c>
      <c r="BD18" s="775">
        <f t="shared" si="44"/>
        <v>0</v>
      </c>
      <c r="BE18" s="775">
        <f t="shared" si="45"/>
        <v>0</v>
      </c>
      <c r="BG18" s="773">
        <v>6</v>
      </c>
      <c r="BH18" s="774">
        <f t="shared" si="46"/>
        <v>153</v>
      </c>
      <c r="BI18" s="775">
        <f t="shared" si="47"/>
        <v>0</v>
      </c>
      <c r="BJ18" s="775">
        <f t="shared" si="17"/>
        <v>0</v>
      </c>
      <c r="BK18" s="775">
        <f t="shared" si="9"/>
        <v>0</v>
      </c>
      <c r="BL18" s="775">
        <f t="shared" si="48"/>
        <v>0</v>
      </c>
      <c r="BM18" s="775">
        <f t="shared" si="49"/>
        <v>0</v>
      </c>
    </row>
    <row r="19" spans="1:65">
      <c r="A19" s="11">
        <f t="shared" si="2"/>
        <v>1900</v>
      </c>
      <c r="B19" s="773">
        <v>7</v>
      </c>
      <c r="C19" s="774">
        <f t="shared" si="18"/>
        <v>183</v>
      </c>
      <c r="D19" s="775">
        <f t="shared" si="19"/>
        <v>0</v>
      </c>
      <c r="E19" s="775">
        <f t="shared" si="10"/>
        <v>0</v>
      </c>
      <c r="F19" s="775">
        <f t="shared" si="0"/>
        <v>0</v>
      </c>
      <c r="G19" s="775">
        <f t="shared" si="20"/>
        <v>0</v>
      </c>
      <c r="H19" s="775">
        <f t="shared" si="21"/>
        <v>0</v>
      </c>
      <c r="I19" s="775">
        <f t="shared" si="1"/>
        <v>0</v>
      </c>
      <c r="K19" s="773">
        <v>7</v>
      </c>
      <c r="L19" s="774">
        <f t="shared" si="22"/>
        <v>183</v>
      </c>
      <c r="M19" s="775">
        <f t="shared" si="23"/>
        <v>0</v>
      </c>
      <c r="N19" s="775">
        <f t="shared" si="11"/>
        <v>0</v>
      </c>
      <c r="O19" s="775">
        <f t="shared" si="3"/>
        <v>0</v>
      </c>
      <c r="P19" s="775">
        <f t="shared" si="24"/>
        <v>0</v>
      </c>
      <c r="Q19" s="775">
        <f t="shared" si="25"/>
        <v>0</v>
      </c>
      <c r="S19" s="773">
        <v>7</v>
      </c>
      <c r="T19" s="774">
        <f t="shared" si="26"/>
        <v>183</v>
      </c>
      <c r="U19" s="775">
        <f t="shared" si="27"/>
        <v>0</v>
      </c>
      <c r="V19" s="775">
        <f t="shared" si="12"/>
        <v>0</v>
      </c>
      <c r="W19" s="775">
        <f t="shared" si="4"/>
        <v>0</v>
      </c>
      <c r="X19" s="775">
        <f t="shared" si="28"/>
        <v>0</v>
      </c>
      <c r="Y19" s="775">
        <f t="shared" si="29"/>
        <v>0</v>
      </c>
      <c r="AA19" s="773">
        <v>7</v>
      </c>
      <c r="AB19" s="774">
        <f t="shared" si="30"/>
        <v>183</v>
      </c>
      <c r="AC19" s="775">
        <f t="shared" si="31"/>
        <v>0</v>
      </c>
      <c r="AD19" s="775">
        <f t="shared" si="13"/>
        <v>0</v>
      </c>
      <c r="AE19" s="775">
        <f t="shared" si="5"/>
        <v>0</v>
      </c>
      <c r="AF19" s="775">
        <f t="shared" si="32"/>
        <v>0</v>
      </c>
      <c r="AG19" s="775">
        <f t="shared" si="33"/>
        <v>0</v>
      </c>
      <c r="AI19" s="773">
        <v>7</v>
      </c>
      <c r="AJ19" s="774">
        <f t="shared" si="34"/>
        <v>183</v>
      </c>
      <c r="AK19" s="775">
        <f t="shared" si="35"/>
        <v>0</v>
      </c>
      <c r="AL19" s="775">
        <f t="shared" si="14"/>
        <v>0</v>
      </c>
      <c r="AM19" s="775">
        <f t="shared" si="6"/>
        <v>0</v>
      </c>
      <c r="AN19" s="775">
        <f t="shared" si="36"/>
        <v>0</v>
      </c>
      <c r="AO19" s="775">
        <f t="shared" si="37"/>
        <v>0</v>
      </c>
      <c r="AQ19" s="773">
        <v>7</v>
      </c>
      <c r="AR19" s="774">
        <f t="shared" si="38"/>
        <v>183</v>
      </c>
      <c r="AS19" s="775">
        <f t="shared" si="39"/>
        <v>0</v>
      </c>
      <c r="AT19" s="775">
        <f t="shared" si="15"/>
        <v>0</v>
      </c>
      <c r="AU19" s="775">
        <f t="shared" si="7"/>
        <v>0</v>
      </c>
      <c r="AV19" s="775">
        <f t="shared" si="40"/>
        <v>0</v>
      </c>
      <c r="AW19" s="775">
        <f t="shared" si="41"/>
        <v>0</v>
      </c>
      <c r="AY19" s="773">
        <v>7</v>
      </c>
      <c r="AZ19" s="774">
        <f t="shared" si="42"/>
        <v>183</v>
      </c>
      <c r="BA19" s="775">
        <f t="shared" si="43"/>
        <v>0</v>
      </c>
      <c r="BB19" s="775">
        <f t="shared" si="16"/>
        <v>0</v>
      </c>
      <c r="BC19" s="775">
        <f t="shared" si="8"/>
        <v>0</v>
      </c>
      <c r="BD19" s="775">
        <f t="shared" si="44"/>
        <v>0</v>
      </c>
      <c r="BE19" s="775">
        <f t="shared" si="45"/>
        <v>0</v>
      </c>
      <c r="BG19" s="773">
        <v>7</v>
      </c>
      <c r="BH19" s="774">
        <f t="shared" si="46"/>
        <v>183</v>
      </c>
      <c r="BI19" s="775">
        <f t="shared" si="47"/>
        <v>0</v>
      </c>
      <c r="BJ19" s="775">
        <f t="shared" si="17"/>
        <v>0</v>
      </c>
      <c r="BK19" s="775">
        <f t="shared" si="9"/>
        <v>0</v>
      </c>
      <c r="BL19" s="775">
        <f t="shared" si="48"/>
        <v>0</v>
      </c>
      <c r="BM19" s="775">
        <f t="shared" si="49"/>
        <v>0</v>
      </c>
    </row>
    <row r="20" spans="1:65">
      <c r="A20" s="11">
        <f t="shared" si="2"/>
        <v>1900</v>
      </c>
      <c r="B20" s="773">
        <v>8</v>
      </c>
      <c r="C20" s="774">
        <f t="shared" si="18"/>
        <v>214</v>
      </c>
      <c r="D20" s="775">
        <f t="shared" si="19"/>
        <v>0</v>
      </c>
      <c r="E20" s="775">
        <f t="shared" si="10"/>
        <v>0</v>
      </c>
      <c r="F20" s="775">
        <f t="shared" si="0"/>
        <v>0</v>
      </c>
      <c r="G20" s="775">
        <f t="shared" si="20"/>
        <v>0</v>
      </c>
      <c r="H20" s="775">
        <f t="shared" si="21"/>
        <v>0</v>
      </c>
      <c r="I20" s="775">
        <f t="shared" si="1"/>
        <v>0</v>
      </c>
      <c r="K20" s="773">
        <v>8</v>
      </c>
      <c r="L20" s="774">
        <f t="shared" si="22"/>
        <v>214</v>
      </c>
      <c r="M20" s="775">
        <f t="shared" si="23"/>
        <v>0</v>
      </c>
      <c r="N20" s="775">
        <f t="shared" si="11"/>
        <v>0</v>
      </c>
      <c r="O20" s="775">
        <f t="shared" si="3"/>
        <v>0</v>
      </c>
      <c r="P20" s="775">
        <f t="shared" si="24"/>
        <v>0</v>
      </c>
      <c r="Q20" s="775">
        <f t="shared" si="25"/>
        <v>0</v>
      </c>
      <c r="S20" s="773">
        <v>8</v>
      </c>
      <c r="T20" s="774">
        <f t="shared" si="26"/>
        <v>214</v>
      </c>
      <c r="U20" s="775">
        <f t="shared" si="27"/>
        <v>0</v>
      </c>
      <c r="V20" s="775">
        <f t="shared" si="12"/>
        <v>0</v>
      </c>
      <c r="W20" s="775">
        <f t="shared" si="4"/>
        <v>0</v>
      </c>
      <c r="X20" s="775">
        <f t="shared" si="28"/>
        <v>0</v>
      </c>
      <c r="Y20" s="775">
        <f t="shared" si="29"/>
        <v>0</v>
      </c>
      <c r="AA20" s="773">
        <v>8</v>
      </c>
      <c r="AB20" s="774">
        <f t="shared" si="30"/>
        <v>214</v>
      </c>
      <c r="AC20" s="775">
        <f t="shared" si="31"/>
        <v>0</v>
      </c>
      <c r="AD20" s="775">
        <f t="shared" si="13"/>
        <v>0</v>
      </c>
      <c r="AE20" s="775">
        <f t="shared" si="5"/>
        <v>0</v>
      </c>
      <c r="AF20" s="775">
        <f t="shared" si="32"/>
        <v>0</v>
      </c>
      <c r="AG20" s="775">
        <f t="shared" si="33"/>
        <v>0</v>
      </c>
      <c r="AI20" s="773">
        <v>8</v>
      </c>
      <c r="AJ20" s="774">
        <f t="shared" si="34"/>
        <v>214</v>
      </c>
      <c r="AK20" s="775">
        <f t="shared" si="35"/>
        <v>0</v>
      </c>
      <c r="AL20" s="775">
        <f t="shared" si="14"/>
        <v>0</v>
      </c>
      <c r="AM20" s="775">
        <f t="shared" si="6"/>
        <v>0</v>
      </c>
      <c r="AN20" s="775">
        <f t="shared" si="36"/>
        <v>0</v>
      </c>
      <c r="AO20" s="775">
        <f t="shared" si="37"/>
        <v>0</v>
      </c>
      <c r="AQ20" s="773">
        <v>8</v>
      </c>
      <c r="AR20" s="774">
        <f t="shared" si="38"/>
        <v>214</v>
      </c>
      <c r="AS20" s="775">
        <f t="shared" si="39"/>
        <v>0</v>
      </c>
      <c r="AT20" s="775">
        <f t="shared" si="15"/>
        <v>0</v>
      </c>
      <c r="AU20" s="775">
        <f t="shared" si="7"/>
        <v>0</v>
      </c>
      <c r="AV20" s="775">
        <f t="shared" si="40"/>
        <v>0</v>
      </c>
      <c r="AW20" s="775">
        <f t="shared" si="41"/>
        <v>0</v>
      </c>
      <c r="AY20" s="773">
        <v>8</v>
      </c>
      <c r="AZ20" s="774">
        <f t="shared" si="42"/>
        <v>214</v>
      </c>
      <c r="BA20" s="775">
        <f t="shared" si="43"/>
        <v>0</v>
      </c>
      <c r="BB20" s="775">
        <f t="shared" si="16"/>
        <v>0</v>
      </c>
      <c r="BC20" s="775">
        <f t="shared" si="8"/>
        <v>0</v>
      </c>
      <c r="BD20" s="775">
        <f t="shared" si="44"/>
        <v>0</v>
      </c>
      <c r="BE20" s="775">
        <f t="shared" si="45"/>
        <v>0</v>
      </c>
      <c r="BG20" s="773">
        <v>8</v>
      </c>
      <c r="BH20" s="774">
        <f t="shared" si="46"/>
        <v>214</v>
      </c>
      <c r="BI20" s="775">
        <f t="shared" si="47"/>
        <v>0</v>
      </c>
      <c r="BJ20" s="775">
        <f t="shared" si="17"/>
        <v>0</v>
      </c>
      <c r="BK20" s="775">
        <f t="shared" si="9"/>
        <v>0</v>
      </c>
      <c r="BL20" s="775">
        <f t="shared" si="48"/>
        <v>0</v>
      </c>
      <c r="BM20" s="775">
        <f t="shared" si="49"/>
        <v>0</v>
      </c>
    </row>
    <row r="21" spans="1:65">
      <c r="A21" s="11">
        <f t="shared" si="2"/>
        <v>1900</v>
      </c>
      <c r="B21" s="773">
        <v>9</v>
      </c>
      <c r="C21" s="774">
        <f t="shared" si="18"/>
        <v>245</v>
      </c>
      <c r="D21" s="775">
        <f t="shared" si="19"/>
        <v>0</v>
      </c>
      <c r="E21" s="775">
        <f t="shared" si="10"/>
        <v>0</v>
      </c>
      <c r="F21" s="775">
        <f t="shared" si="0"/>
        <v>0</v>
      </c>
      <c r="G21" s="775">
        <f t="shared" si="20"/>
        <v>0</v>
      </c>
      <c r="H21" s="775">
        <f t="shared" si="21"/>
        <v>0</v>
      </c>
      <c r="I21" s="775">
        <f t="shared" si="1"/>
        <v>0</v>
      </c>
      <c r="K21" s="773">
        <v>9</v>
      </c>
      <c r="L21" s="774">
        <f t="shared" si="22"/>
        <v>245</v>
      </c>
      <c r="M21" s="775">
        <f t="shared" si="23"/>
        <v>0</v>
      </c>
      <c r="N21" s="775">
        <f t="shared" si="11"/>
        <v>0</v>
      </c>
      <c r="O21" s="775">
        <f t="shared" si="3"/>
        <v>0</v>
      </c>
      <c r="P21" s="775">
        <f t="shared" si="24"/>
        <v>0</v>
      </c>
      <c r="Q21" s="775">
        <f t="shared" si="25"/>
        <v>0</v>
      </c>
      <c r="S21" s="773">
        <v>9</v>
      </c>
      <c r="T21" s="774">
        <f t="shared" si="26"/>
        <v>245</v>
      </c>
      <c r="U21" s="775">
        <f t="shared" si="27"/>
        <v>0</v>
      </c>
      <c r="V21" s="775">
        <f t="shared" si="12"/>
        <v>0</v>
      </c>
      <c r="W21" s="775">
        <f t="shared" si="4"/>
        <v>0</v>
      </c>
      <c r="X21" s="775">
        <f t="shared" si="28"/>
        <v>0</v>
      </c>
      <c r="Y21" s="775">
        <f t="shared" si="29"/>
        <v>0</v>
      </c>
      <c r="AA21" s="773">
        <v>9</v>
      </c>
      <c r="AB21" s="774">
        <f t="shared" si="30"/>
        <v>245</v>
      </c>
      <c r="AC21" s="775">
        <f t="shared" si="31"/>
        <v>0</v>
      </c>
      <c r="AD21" s="775">
        <f t="shared" si="13"/>
        <v>0</v>
      </c>
      <c r="AE21" s="775">
        <f t="shared" si="5"/>
        <v>0</v>
      </c>
      <c r="AF21" s="775">
        <f t="shared" si="32"/>
        <v>0</v>
      </c>
      <c r="AG21" s="775">
        <f t="shared" si="33"/>
        <v>0</v>
      </c>
      <c r="AI21" s="773">
        <v>9</v>
      </c>
      <c r="AJ21" s="774">
        <f t="shared" si="34"/>
        <v>245</v>
      </c>
      <c r="AK21" s="775">
        <f t="shared" si="35"/>
        <v>0</v>
      </c>
      <c r="AL21" s="775">
        <f t="shared" si="14"/>
        <v>0</v>
      </c>
      <c r="AM21" s="775">
        <f t="shared" si="6"/>
        <v>0</v>
      </c>
      <c r="AN21" s="775">
        <f t="shared" si="36"/>
        <v>0</v>
      </c>
      <c r="AO21" s="775">
        <f t="shared" si="37"/>
        <v>0</v>
      </c>
      <c r="AQ21" s="773">
        <v>9</v>
      </c>
      <c r="AR21" s="774">
        <f t="shared" si="38"/>
        <v>245</v>
      </c>
      <c r="AS21" s="775">
        <f t="shared" si="39"/>
        <v>0</v>
      </c>
      <c r="AT21" s="775">
        <f t="shared" si="15"/>
        <v>0</v>
      </c>
      <c r="AU21" s="775">
        <f t="shared" si="7"/>
        <v>0</v>
      </c>
      <c r="AV21" s="775">
        <f t="shared" si="40"/>
        <v>0</v>
      </c>
      <c r="AW21" s="775">
        <f t="shared" si="41"/>
        <v>0</v>
      </c>
      <c r="AY21" s="773">
        <v>9</v>
      </c>
      <c r="AZ21" s="774">
        <f t="shared" si="42"/>
        <v>245</v>
      </c>
      <c r="BA21" s="775">
        <f t="shared" si="43"/>
        <v>0</v>
      </c>
      <c r="BB21" s="775">
        <f t="shared" si="16"/>
        <v>0</v>
      </c>
      <c r="BC21" s="775">
        <f t="shared" si="8"/>
        <v>0</v>
      </c>
      <c r="BD21" s="775">
        <f t="shared" si="44"/>
        <v>0</v>
      </c>
      <c r="BE21" s="775">
        <f t="shared" si="45"/>
        <v>0</v>
      </c>
      <c r="BG21" s="773">
        <v>9</v>
      </c>
      <c r="BH21" s="774">
        <f t="shared" si="46"/>
        <v>245</v>
      </c>
      <c r="BI21" s="775">
        <f t="shared" si="47"/>
        <v>0</v>
      </c>
      <c r="BJ21" s="775">
        <f t="shared" si="17"/>
        <v>0</v>
      </c>
      <c r="BK21" s="775">
        <f t="shared" si="9"/>
        <v>0</v>
      </c>
      <c r="BL21" s="775">
        <f t="shared" si="48"/>
        <v>0</v>
      </c>
      <c r="BM21" s="775">
        <f t="shared" si="49"/>
        <v>0</v>
      </c>
    </row>
    <row r="22" spans="1:65">
      <c r="A22" s="11">
        <f t="shared" si="2"/>
        <v>1900</v>
      </c>
      <c r="B22" s="773">
        <v>10</v>
      </c>
      <c r="C22" s="774">
        <f t="shared" si="18"/>
        <v>275</v>
      </c>
      <c r="D22" s="775">
        <f t="shared" si="19"/>
        <v>0</v>
      </c>
      <c r="E22" s="775">
        <f t="shared" si="10"/>
        <v>0</v>
      </c>
      <c r="F22" s="775">
        <f t="shared" si="0"/>
        <v>0</v>
      </c>
      <c r="G22" s="775">
        <f t="shared" si="20"/>
        <v>0</v>
      </c>
      <c r="H22" s="775">
        <f t="shared" si="21"/>
        <v>0</v>
      </c>
      <c r="I22" s="775">
        <f t="shared" si="1"/>
        <v>0</v>
      </c>
      <c r="K22" s="773">
        <v>10</v>
      </c>
      <c r="L22" s="774">
        <f t="shared" si="22"/>
        <v>275</v>
      </c>
      <c r="M22" s="775">
        <f t="shared" si="23"/>
        <v>0</v>
      </c>
      <c r="N22" s="775">
        <f t="shared" si="11"/>
        <v>0</v>
      </c>
      <c r="O22" s="775">
        <f t="shared" si="3"/>
        <v>0</v>
      </c>
      <c r="P22" s="775">
        <f t="shared" si="24"/>
        <v>0</v>
      </c>
      <c r="Q22" s="775">
        <f t="shared" si="25"/>
        <v>0</v>
      </c>
      <c r="S22" s="773">
        <v>10</v>
      </c>
      <c r="T22" s="774">
        <f t="shared" si="26"/>
        <v>275</v>
      </c>
      <c r="U22" s="775">
        <f t="shared" si="27"/>
        <v>0</v>
      </c>
      <c r="V22" s="775">
        <f t="shared" si="12"/>
        <v>0</v>
      </c>
      <c r="W22" s="775">
        <f t="shared" si="4"/>
        <v>0</v>
      </c>
      <c r="X22" s="775">
        <f t="shared" si="28"/>
        <v>0</v>
      </c>
      <c r="Y22" s="775">
        <f t="shared" si="29"/>
        <v>0</v>
      </c>
      <c r="AA22" s="773">
        <v>10</v>
      </c>
      <c r="AB22" s="774">
        <f t="shared" si="30"/>
        <v>275</v>
      </c>
      <c r="AC22" s="775">
        <f t="shared" si="31"/>
        <v>0</v>
      </c>
      <c r="AD22" s="775">
        <f t="shared" si="13"/>
        <v>0</v>
      </c>
      <c r="AE22" s="775">
        <f t="shared" si="5"/>
        <v>0</v>
      </c>
      <c r="AF22" s="775">
        <f t="shared" si="32"/>
        <v>0</v>
      </c>
      <c r="AG22" s="775">
        <f t="shared" si="33"/>
        <v>0</v>
      </c>
      <c r="AI22" s="773">
        <v>10</v>
      </c>
      <c r="AJ22" s="774">
        <f t="shared" si="34"/>
        <v>275</v>
      </c>
      <c r="AK22" s="775">
        <f t="shared" si="35"/>
        <v>0</v>
      </c>
      <c r="AL22" s="775">
        <f t="shared" si="14"/>
        <v>0</v>
      </c>
      <c r="AM22" s="775">
        <f t="shared" si="6"/>
        <v>0</v>
      </c>
      <c r="AN22" s="775">
        <f t="shared" si="36"/>
        <v>0</v>
      </c>
      <c r="AO22" s="775">
        <f t="shared" si="37"/>
        <v>0</v>
      </c>
      <c r="AQ22" s="773">
        <v>10</v>
      </c>
      <c r="AR22" s="774">
        <f t="shared" si="38"/>
        <v>275</v>
      </c>
      <c r="AS22" s="775">
        <f t="shared" si="39"/>
        <v>0</v>
      </c>
      <c r="AT22" s="775">
        <f t="shared" si="15"/>
        <v>0</v>
      </c>
      <c r="AU22" s="775">
        <f t="shared" si="7"/>
        <v>0</v>
      </c>
      <c r="AV22" s="775">
        <f t="shared" si="40"/>
        <v>0</v>
      </c>
      <c r="AW22" s="775">
        <f t="shared" si="41"/>
        <v>0</v>
      </c>
      <c r="AY22" s="773">
        <v>10</v>
      </c>
      <c r="AZ22" s="774">
        <f t="shared" si="42"/>
        <v>275</v>
      </c>
      <c r="BA22" s="775">
        <f t="shared" si="43"/>
        <v>0</v>
      </c>
      <c r="BB22" s="775">
        <f t="shared" si="16"/>
        <v>0</v>
      </c>
      <c r="BC22" s="775">
        <f t="shared" si="8"/>
        <v>0</v>
      </c>
      <c r="BD22" s="775">
        <f t="shared" si="44"/>
        <v>0</v>
      </c>
      <c r="BE22" s="775">
        <f t="shared" si="45"/>
        <v>0</v>
      </c>
      <c r="BG22" s="773">
        <v>10</v>
      </c>
      <c r="BH22" s="774">
        <f t="shared" si="46"/>
        <v>275</v>
      </c>
      <c r="BI22" s="775">
        <f t="shared" si="47"/>
        <v>0</v>
      </c>
      <c r="BJ22" s="775">
        <f t="shared" si="17"/>
        <v>0</v>
      </c>
      <c r="BK22" s="775">
        <f t="shared" si="9"/>
        <v>0</v>
      </c>
      <c r="BL22" s="775">
        <f t="shared" si="48"/>
        <v>0</v>
      </c>
      <c r="BM22" s="775">
        <f t="shared" si="49"/>
        <v>0</v>
      </c>
    </row>
    <row r="23" spans="1:65">
      <c r="A23" s="11">
        <f t="shared" si="2"/>
        <v>1900</v>
      </c>
      <c r="B23" s="773">
        <v>11</v>
      </c>
      <c r="C23" s="774">
        <f t="shared" si="18"/>
        <v>306</v>
      </c>
      <c r="D23" s="775">
        <f t="shared" si="19"/>
        <v>0</v>
      </c>
      <c r="E23" s="775">
        <f t="shared" si="10"/>
        <v>0</v>
      </c>
      <c r="F23" s="775">
        <f t="shared" si="0"/>
        <v>0</v>
      </c>
      <c r="G23" s="775">
        <f t="shared" si="20"/>
        <v>0</v>
      </c>
      <c r="H23" s="775">
        <f t="shared" si="21"/>
        <v>0</v>
      </c>
      <c r="I23" s="775">
        <f t="shared" si="1"/>
        <v>0</v>
      </c>
      <c r="K23" s="773">
        <v>11</v>
      </c>
      <c r="L23" s="774">
        <f t="shared" si="22"/>
        <v>306</v>
      </c>
      <c r="M23" s="775">
        <f t="shared" si="23"/>
        <v>0</v>
      </c>
      <c r="N23" s="775">
        <f t="shared" si="11"/>
        <v>0</v>
      </c>
      <c r="O23" s="775">
        <f t="shared" si="3"/>
        <v>0</v>
      </c>
      <c r="P23" s="775">
        <f t="shared" si="24"/>
        <v>0</v>
      </c>
      <c r="Q23" s="775">
        <f t="shared" si="25"/>
        <v>0</v>
      </c>
      <c r="S23" s="773">
        <v>11</v>
      </c>
      <c r="T23" s="774">
        <f t="shared" si="26"/>
        <v>306</v>
      </c>
      <c r="U23" s="775">
        <f t="shared" si="27"/>
        <v>0</v>
      </c>
      <c r="V23" s="775">
        <f t="shared" si="12"/>
        <v>0</v>
      </c>
      <c r="W23" s="775">
        <f t="shared" si="4"/>
        <v>0</v>
      </c>
      <c r="X23" s="775">
        <f t="shared" si="28"/>
        <v>0</v>
      </c>
      <c r="Y23" s="775">
        <f t="shared" si="29"/>
        <v>0</v>
      </c>
      <c r="AA23" s="773">
        <v>11</v>
      </c>
      <c r="AB23" s="774">
        <f t="shared" si="30"/>
        <v>306</v>
      </c>
      <c r="AC23" s="775">
        <f t="shared" si="31"/>
        <v>0</v>
      </c>
      <c r="AD23" s="775">
        <f t="shared" si="13"/>
        <v>0</v>
      </c>
      <c r="AE23" s="775">
        <f t="shared" si="5"/>
        <v>0</v>
      </c>
      <c r="AF23" s="775">
        <f t="shared" si="32"/>
        <v>0</v>
      </c>
      <c r="AG23" s="775">
        <f t="shared" si="33"/>
        <v>0</v>
      </c>
      <c r="AI23" s="773">
        <v>11</v>
      </c>
      <c r="AJ23" s="774">
        <f t="shared" si="34"/>
        <v>306</v>
      </c>
      <c r="AK23" s="775">
        <f t="shared" si="35"/>
        <v>0</v>
      </c>
      <c r="AL23" s="775">
        <f t="shared" si="14"/>
        <v>0</v>
      </c>
      <c r="AM23" s="775">
        <f t="shared" si="6"/>
        <v>0</v>
      </c>
      <c r="AN23" s="775">
        <f t="shared" si="36"/>
        <v>0</v>
      </c>
      <c r="AO23" s="775">
        <f t="shared" si="37"/>
        <v>0</v>
      </c>
      <c r="AQ23" s="773">
        <v>11</v>
      </c>
      <c r="AR23" s="774">
        <f t="shared" si="38"/>
        <v>306</v>
      </c>
      <c r="AS23" s="775">
        <f t="shared" si="39"/>
        <v>0</v>
      </c>
      <c r="AT23" s="775">
        <f t="shared" si="15"/>
        <v>0</v>
      </c>
      <c r="AU23" s="775">
        <f t="shared" si="7"/>
        <v>0</v>
      </c>
      <c r="AV23" s="775">
        <f t="shared" si="40"/>
        <v>0</v>
      </c>
      <c r="AW23" s="775">
        <f t="shared" si="41"/>
        <v>0</v>
      </c>
      <c r="AY23" s="773">
        <v>11</v>
      </c>
      <c r="AZ23" s="774">
        <f t="shared" si="42"/>
        <v>306</v>
      </c>
      <c r="BA23" s="775">
        <f t="shared" si="43"/>
        <v>0</v>
      </c>
      <c r="BB23" s="775">
        <f t="shared" si="16"/>
        <v>0</v>
      </c>
      <c r="BC23" s="775">
        <f t="shared" si="8"/>
        <v>0</v>
      </c>
      <c r="BD23" s="775">
        <f t="shared" si="44"/>
        <v>0</v>
      </c>
      <c r="BE23" s="775">
        <f t="shared" si="45"/>
        <v>0</v>
      </c>
      <c r="BG23" s="773">
        <v>11</v>
      </c>
      <c r="BH23" s="774">
        <f t="shared" si="46"/>
        <v>306</v>
      </c>
      <c r="BI23" s="775">
        <f t="shared" si="47"/>
        <v>0</v>
      </c>
      <c r="BJ23" s="775">
        <f t="shared" si="17"/>
        <v>0</v>
      </c>
      <c r="BK23" s="775">
        <f t="shared" si="9"/>
        <v>0</v>
      </c>
      <c r="BL23" s="775">
        <f t="shared" si="48"/>
        <v>0</v>
      </c>
      <c r="BM23" s="775">
        <f t="shared" si="49"/>
        <v>0</v>
      </c>
    </row>
    <row r="24" spans="1:65">
      <c r="A24" s="11">
        <f t="shared" si="2"/>
        <v>1900</v>
      </c>
      <c r="B24" s="773">
        <v>12</v>
      </c>
      <c r="C24" s="774">
        <f t="shared" si="18"/>
        <v>336</v>
      </c>
      <c r="D24" s="775">
        <f t="shared" si="19"/>
        <v>0</v>
      </c>
      <c r="E24" s="775">
        <f t="shared" si="10"/>
        <v>0</v>
      </c>
      <c r="F24" s="775">
        <f t="shared" si="0"/>
        <v>0</v>
      </c>
      <c r="G24" s="775">
        <f t="shared" si="20"/>
        <v>0</v>
      </c>
      <c r="H24" s="775">
        <f t="shared" si="21"/>
        <v>0</v>
      </c>
      <c r="I24" s="775">
        <f t="shared" si="1"/>
        <v>0</v>
      </c>
      <c r="K24" s="773">
        <v>12</v>
      </c>
      <c r="L24" s="774">
        <f t="shared" si="22"/>
        <v>336</v>
      </c>
      <c r="M24" s="775">
        <f t="shared" si="23"/>
        <v>0</v>
      </c>
      <c r="N24" s="775">
        <f t="shared" si="11"/>
        <v>0</v>
      </c>
      <c r="O24" s="775">
        <f t="shared" si="3"/>
        <v>0</v>
      </c>
      <c r="P24" s="775">
        <f t="shared" si="24"/>
        <v>0</v>
      </c>
      <c r="Q24" s="775">
        <f t="shared" si="25"/>
        <v>0</v>
      </c>
      <c r="S24" s="773">
        <v>12</v>
      </c>
      <c r="T24" s="774">
        <f t="shared" si="26"/>
        <v>336</v>
      </c>
      <c r="U24" s="775">
        <f t="shared" si="27"/>
        <v>0</v>
      </c>
      <c r="V24" s="775">
        <f t="shared" si="12"/>
        <v>0</v>
      </c>
      <c r="W24" s="775">
        <f t="shared" si="4"/>
        <v>0</v>
      </c>
      <c r="X24" s="775">
        <f t="shared" si="28"/>
        <v>0</v>
      </c>
      <c r="Y24" s="775">
        <f t="shared" si="29"/>
        <v>0</v>
      </c>
      <c r="AA24" s="773">
        <v>12</v>
      </c>
      <c r="AB24" s="774">
        <f t="shared" si="30"/>
        <v>336</v>
      </c>
      <c r="AC24" s="775">
        <f t="shared" si="31"/>
        <v>0</v>
      </c>
      <c r="AD24" s="775">
        <f t="shared" si="13"/>
        <v>0</v>
      </c>
      <c r="AE24" s="775">
        <f t="shared" si="5"/>
        <v>0</v>
      </c>
      <c r="AF24" s="775">
        <f t="shared" si="32"/>
        <v>0</v>
      </c>
      <c r="AG24" s="775">
        <f t="shared" si="33"/>
        <v>0</v>
      </c>
      <c r="AI24" s="773">
        <v>12</v>
      </c>
      <c r="AJ24" s="774">
        <f t="shared" si="34"/>
        <v>336</v>
      </c>
      <c r="AK24" s="775">
        <f t="shared" si="35"/>
        <v>0</v>
      </c>
      <c r="AL24" s="775">
        <f t="shared" si="14"/>
        <v>0</v>
      </c>
      <c r="AM24" s="775">
        <f t="shared" si="6"/>
        <v>0</v>
      </c>
      <c r="AN24" s="775">
        <f t="shared" si="36"/>
        <v>0</v>
      </c>
      <c r="AO24" s="775">
        <f t="shared" si="37"/>
        <v>0</v>
      </c>
      <c r="AQ24" s="773">
        <v>12</v>
      </c>
      <c r="AR24" s="774">
        <f t="shared" si="38"/>
        <v>336</v>
      </c>
      <c r="AS24" s="775">
        <f t="shared" si="39"/>
        <v>0</v>
      </c>
      <c r="AT24" s="775">
        <f t="shared" si="15"/>
        <v>0</v>
      </c>
      <c r="AU24" s="775">
        <f t="shared" si="7"/>
        <v>0</v>
      </c>
      <c r="AV24" s="775">
        <f t="shared" si="40"/>
        <v>0</v>
      </c>
      <c r="AW24" s="775">
        <f t="shared" si="41"/>
        <v>0</v>
      </c>
      <c r="AY24" s="773">
        <v>12</v>
      </c>
      <c r="AZ24" s="774">
        <f t="shared" si="42"/>
        <v>336</v>
      </c>
      <c r="BA24" s="775">
        <f t="shared" si="43"/>
        <v>0</v>
      </c>
      <c r="BB24" s="775">
        <f t="shared" si="16"/>
        <v>0</v>
      </c>
      <c r="BC24" s="775">
        <f t="shared" si="8"/>
        <v>0</v>
      </c>
      <c r="BD24" s="775">
        <f t="shared" si="44"/>
        <v>0</v>
      </c>
      <c r="BE24" s="775">
        <f t="shared" si="45"/>
        <v>0</v>
      </c>
      <c r="BG24" s="773">
        <v>12</v>
      </c>
      <c r="BH24" s="774">
        <f t="shared" si="46"/>
        <v>336</v>
      </c>
      <c r="BI24" s="775">
        <f t="shared" si="47"/>
        <v>0</v>
      </c>
      <c r="BJ24" s="775">
        <f t="shared" si="17"/>
        <v>0</v>
      </c>
      <c r="BK24" s="775">
        <f t="shared" si="9"/>
        <v>0</v>
      </c>
      <c r="BL24" s="775">
        <f t="shared" si="48"/>
        <v>0</v>
      </c>
      <c r="BM24" s="775">
        <f t="shared" si="49"/>
        <v>0</v>
      </c>
    </row>
    <row r="25" spans="1:65">
      <c r="A25" s="11">
        <f t="shared" si="2"/>
        <v>1901</v>
      </c>
      <c r="B25" s="773">
        <v>13</v>
      </c>
      <c r="C25" s="774">
        <f t="shared" si="18"/>
        <v>367</v>
      </c>
      <c r="D25" s="775">
        <f t="shared" si="19"/>
        <v>0</v>
      </c>
      <c r="E25" s="775">
        <f t="shared" si="10"/>
        <v>0</v>
      </c>
      <c r="F25" s="775">
        <f t="shared" si="0"/>
        <v>0</v>
      </c>
      <c r="G25" s="775">
        <f t="shared" si="20"/>
        <v>0</v>
      </c>
      <c r="H25" s="775">
        <f t="shared" si="21"/>
        <v>0</v>
      </c>
      <c r="I25" s="775">
        <f t="shared" si="1"/>
        <v>0</v>
      </c>
      <c r="K25" s="773">
        <v>13</v>
      </c>
      <c r="L25" s="774">
        <f t="shared" si="22"/>
        <v>367</v>
      </c>
      <c r="M25" s="775">
        <f t="shared" si="23"/>
        <v>0</v>
      </c>
      <c r="N25" s="775">
        <f t="shared" si="11"/>
        <v>0</v>
      </c>
      <c r="O25" s="775">
        <f t="shared" si="3"/>
        <v>0</v>
      </c>
      <c r="P25" s="775">
        <f t="shared" si="24"/>
        <v>0</v>
      </c>
      <c r="Q25" s="775">
        <f t="shared" si="25"/>
        <v>0</v>
      </c>
      <c r="S25" s="773">
        <v>13</v>
      </c>
      <c r="T25" s="774">
        <f t="shared" si="26"/>
        <v>367</v>
      </c>
      <c r="U25" s="775">
        <f t="shared" si="27"/>
        <v>0</v>
      </c>
      <c r="V25" s="775">
        <f t="shared" si="12"/>
        <v>0</v>
      </c>
      <c r="W25" s="775">
        <f t="shared" si="4"/>
        <v>0</v>
      </c>
      <c r="X25" s="775">
        <f t="shared" si="28"/>
        <v>0</v>
      </c>
      <c r="Y25" s="775">
        <f t="shared" si="29"/>
        <v>0</v>
      </c>
      <c r="AA25" s="773">
        <v>13</v>
      </c>
      <c r="AB25" s="774">
        <f t="shared" si="30"/>
        <v>367</v>
      </c>
      <c r="AC25" s="775">
        <f t="shared" si="31"/>
        <v>0</v>
      </c>
      <c r="AD25" s="775">
        <f t="shared" si="13"/>
        <v>0</v>
      </c>
      <c r="AE25" s="775">
        <f t="shared" si="5"/>
        <v>0</v>
      </c>
      <c r="AF25" s="775">
        <f t="shared" si="32"/>
        <v>0</v>
      </c>
      <c r="AG25" s="775">
        <f t="shared" si="33"/>
        <v>0</v>
      </c>
      <c r="AI25" s="773">
        <v>13</v>
      </c>
      <c r="AJ25" s="774">
        <f t="shared" si="34"/>
        <v>367</v>
      </c>
      <c r="AK25" s="775">
        <f t="shared" si="35"/>
        <v>0</v>
      </c>
      <c r="AL25" s="775">
        <f t="shared" si="14"/>
        <v>0</v>
      </c>
      <c r="AM25" s="775">
        <f t="shared" si="6"/>
        <v>0</v>
      </c>
      <c r="AN25" s="775">
        <f t="shared" si="36"/>
        <v>0</v>
      </c>
      <c r="AO25" s="775">
        <f t="shared" si="37"/>
        <v>0</v>
      </c>
      <c r="AQ25" s="773">
        <v>13</v>
      </c>
      <c r="AR25" s="774">
        <f t="shared" si="38"/>
        <v>367</v>
      </c>
      <c r="AS25" s="775">
        <f t="shared" si="39"/>
        <v>0</v>
      </c>
      <c r="AT25" s="775">
        <f t="shared" si="15"/>
        <v>0</v>
      </c>
      <c r="AU25" s="775">
        <f t="shared" si="7"/>
        <v>0</v>
      </c>
      <c r="AV25" s="775">
        <f t="shared" si="40"/>
        <v>0</v>
      </c>
      <c r="AW25" s="775">
        <f t="shared" si="41"/>
        <v>0</v>
      </c>
      <c r="AY25" s="773">
        <v>13</v>
      </c>
      <c r="AZ25" s="774">
        <f t="shared" si="42"/>
        <v>367</v>
      </c>
      <c r="BA25" s="775">
        <f t="shared" si="43"/>
        <v>0</v>
      </c>
      <c r="BB25" s="775">
        <f t="shared" si="16"/>
        <v>0</v>
      </c>
      <c r="BC25" s="775">
        <f t="shared" si="8"/>
        <v>0</v>
      </c>
      <c r="BD25" s="775">
        <f t="shared" si="44"/>
        <v>0</v>
      </c>
      <c r="BE25" s="775">
        <f t="shared" si="45"/>
        <v>0</v>
      </c>
      <c r="BG25" s="773">
        <v>13</v>
      </c>
      <c r="BH25" s="774">
        <f t="shared" si="46"/>
        <v>367</v>
      </c>
      <c r="BI25" s="775">
        <f t="shared" si="47"/>
        <v>0</v>
      </c>
      <c r="BJ25" s="775">
        <f t="shared" si="17"/>
        <v>0</v>
      </c>
      <c r="BK25" s="775">
        <f t="shared" si="9"/>
        <v>0</v>
      </c>
      <c r="BL25" s="775">
        <f t="shared" si="48"/>
        <v>0</v>
      </c>
      <c r="BM25" s="775">
        <f t="shared" si="49"/>
        <v>0</v>
      </c>
    </row>
    <row r="26" spans="1:65">
      <c r="A26" s="11">
        <f t="shared" si="2"/>
        <v>1901</v>
      </c>
      <c r="B26" s="773">
        <v>14</v>
      </c>
      <c r="C26" s="774">
        <f t="shared" si="18"/>
        <v>398</v>
      </c>
      <c r="D26" s="775">
        <f t="shared" si="19"/>
        <v>0</v>
      </c>
      <c r="E26" s="775">
        <f t="shared" si="10"/>
        <v>0</v>
      </c>
      <c r="F26" s="775">
        <f t="shared" si="0"/>
        <v>0</v>
      </c>
      <c r="G26" s="775">
        <f t="shared" si="20"/>
        <v>0</v>
      </c>
      <c r="H26" s="775">
        <f t="shared" si="21"/>
        <v>0</v>
      </c>
      <c r="I26" s="775">
        <f t="shared" si="1"/>
        <v>0</v>
      </c>
      <c r="K26" s="773">
        <v>14</v>
      </c>
      <c r="L26" s="774">
        <f t="shared" si="22"/>
        <v>398</v>
      </c>
      <c r="M26" s="775">
        <f t="shared" si="23"/>
        <v>0</v>
      </c>
      <c r="N26" s="775">
        <f t="shared" si="11"/>
        <v>0</v>
      </c>
      <c r="O26" s="775">
        <f t="shared" si="3"/>
        <v>0</v>
      </c>
      <c r="P26" s="775">
        <f t="shared" si="24"/>
        <v>0</v>
      </c>
      <c r="Q26" s="775">
        <f t="shared" si="25"/>
        <v>0</v>
      </c>
      <c r="S26" s="773">
        <v>14</v>
      </c>
      <c r="T26" s="774">
        <f t="shared" si="26"/>
        <v>398</v>
      </c>
      <c r="U26" s="775">
        <f t="shared" si="27"/>
        <v>0</v>
      </c>
      <c r="V26" s="775">
        <f t="shared" si="12"/>
        <v>0</v>
      </c>
      <c r="W26" s="775">
        <f t="shared" si="4"/>
        <v>0</v>
      </c>
      <c r="X26" s="775">
        <f t="shared" si="28"/>
        <v>0</v>
      </c>
      <c r="Y26" s="775">
        <f t="shared" si="29"/>
        <v>0</v>
      </c>
      <c r="AA26" s="773">
        <v>14</v>
      </c>
      <c r="AB26" s="774">
        <f t="shared" si="30"/>
        <v>398</v>
      </c>
      <c r="AC26" s="775">
        <f t="shared" si="31"/>
        <v>0</v>
      </c>
      <c r="AD26" s="775">
        <f t="shared" si="13"/>
        <v>0</v>
      </c>
      <c r="AE26" s="775">
        <f t="shared" si="5"/>
        <v>0</v>
      </c>
      <c r="AF26" s="775">
        <f t="shared" si="32"/>
        <v>0</v>
      </c>
      <c r="AG26" s="775">
        <f t="shared" si="33"/>
        <v>0</v>
      </c>
      <c r="AI26" s="773">
        <v>14</v>
      </c>
      <c r="AJ26" s="774">
        <f t="shared" si="34"/>
        <v>398</v>
      </c>
      <c r="AK26" s="775">
        <f t="shared" si="35"/>
        <v>0</v>
      </c>
      <c r="AL26" s="775">
        <f t="shared" si="14"/>
        <v>0</v>
      </c>
      <c r="AM26" s="775">
        <f t="shared" si="6"/>
        <v>0</v>
      </c>
      <c r="AN26" s="775">
        <f t="shared" si="36"/>
        <v>0</v>
      </c>
      <c r="AO26" s="775">
        <f t="shared" si="37"/>
        <v>0</v>
      </c>
      <c r="AQ26" s="773">
        <v>14</v>
      </c>
      <c r="AR26" s="774">
        <f t="shared" si="38"/>
        <v>398</v>
      </c>
      <c r="AS26" s="775">
        <f t="shared" si="39"/>
        <v>0</v>
      </c>
      <c r="AT26" s="775">
        <f t="shared" si="15"/>
        <v>0</v>
      </c>
      <c r="AU26" s="775">
        <f t="shared" si="7"/>
        <v>0</v>
      </c>
      <c r="AV26" s="775">
        <f t="shared" si="40"/>
        <v>0</v>
      </c>
      <c r="AW26" s="775">
        <f t="shared" si="41"/>
        <v>0</v>
      </c>
      <c r="AY26" s="773">
        <v>14</v>
      </c>
      <c r="AZ26" s="774">
        <f t="shared" si="42"/>
        <v>398</v>
      </c>
      <c r="BA26" s="775">
        <f t="shared" si="43"/>
        <v>0</v>
      </c>
      <c r="BB26" s="775">
        <f t="shared" si="16"/>
        <v>0</v>
      </c>
      <c r="BC26" s="775">
        <f t="shared" si="8"/>
        <v>0</v>
      </c>
      <c r="BD26" s="775">
        <f t="shared" si="44"/>
        <v>0</v>
      </c>
      <c r="BE26" s="775">
        <f t="shared" si="45"/>
        <v>0</v>
      </c>
      <c r="BG26" s="773">
        <v>14</v>
      </c>
      <c r="BH26" s="774">
        <f t="shared" si="46"/>
        <v>398</v>
      </c>
      <c r="BI26" s="775">
        <f t="shared" si="47"/>
        <v>0</v>
      </c>
      <c r="BJ26" s="775">
        <f t="shared" si="17"/>
        <v>0</v>
      </c>
      <c r="BK26" s="775">
        <f t="shared" si="9"/>
        <v>0</v>
      </c>
      <c r="BL26" s="775">
        <f t="shared" si="48"/>
        <v>0</v>
      </c>
      <c r="BM26" s="775">
        <f t="shared" si="49"/>
        <v>0</v>
      </c>
    </row>
    <row r="27" spans="1:65">
      <c r="A27" s="11">
        <f t="shared" si="2"/>
        <v>1901</v>
      </c>
      <c r="B27" s="773">
        <v>15</v>
      </c>
      <c r="C27" s="774">
        <f t="shared" si="18"/>
        <v>426</v>
      </c>
      <c r="D27" s="775">
        <f t="shared" si="19"/>
        <v>0</v>
      </c>
      <c r="E27" s="775">
        <f t="shared" si="10"/>
        <v>0</v>
      </c>
      <c r="F27" s="775">
        <f t="shared" si="0"/>
        <v>0</v>
      </c>
      <c r="G27" s="775">
        <f t="shared" si="20"/>
        <v>0</v>
      </c>
      <c r="H27" s="775">
        <f t="shared" si="21"/>
        <v>0</v>
      </c>
      <c r="I27" s="775">
        <f t="shared" si="1"/>
        <v>0</v>
      </c>
      <c r="K27" s="773">
        <v>15</v>
      </c>
      <c r="L27" s="774">
        <f t="shared" si="22"/>
        <v>426</v>
      </c>
      <c r="M27" s="775">
        <f t="shared" si="23"/>
        <v>0</v>
      </c>
      <c r="N27" s="775">
        <f t="shared" si="11"/>
        <v>0</v>
      </c>
      <c r="O27" s="775">
        <f t="shared" si="3"/>
        <v>0</v>
      </c>
      <c r="P27" s="775">
        <f t="shared" si="24"/>
        <v>0</v>
      </c>
      <c r="Q27" s="775">
        <f t="shared" si="25"/>
        <v>0</v>
      </c>
      <c r="S27" s="773">
        <v>15</v>
      </c>
      <c r="T27" s="774">
        <f t="shared" si="26"/>
        <v>426</v>
      </c>
      <c r="U27" s="775">
        <f t="shared" si="27"/>
        <v>0</v>
      </c>
      <c r="V27" s="775">
        <f t="shared" si="12"/>
        <v>0</v>
      </c>
      <c r="W27" s="775">
        <f t="shared" si="4"/>
        <v>0</v>
      </c>
      <c r="X27" s="775">
        <f t="shared" si="28"/>
        <v>0</v>
      </c>
      <c r="Y27" s="775">
        <f t="shared" si="29"/>
        <v>0</v>
      </c>
      <c r="AA27" s="773">
        <v>15</v>
      </c>
      <c r="AB27" s="774">
        <f t="shared" si="30"/>
        <v>426</v>
      </c>
      <c r="AC27" s="775">
        <f t="shared" si="31"/>
        <v>0</v>
      </c>
      <c r="AD27" s="775">
        <f t="shared" si="13"/>
        <v>0</v>
      </c>
      <c r="AE27" s="775">
        <f t="shared" si="5"/>
        <v>0</v>
      </c>
      <c r="AF27" s="775">
        <f t="shared" si="32"/>
        <v>0</v>
      </c>
      <c r="AG27" s="775">
        <f t="shared" si="33"/>
        <v>0</v>
      </c>
      <c r="AI27" s="773">
        <v>15</v>
      </c>
      <c r="AJ27" s="774">
        <f t="shared" si="34"/>
        <v>426</v>
      </c>
      <c r="AK27" s="775">
        <f t="shared" si="35"/>
        <v>0</v>
      </c>
      <c r="AL27" s="775">
        <f t="shared" si="14"/>
        <v>0</v>
      </c>
      <c r="AM27" s="775">
        <f t="shared" si="6"/>
        <v>0</v>
      </c>
      <c r="AN27" s="775">
        <f t="shared" si="36"/>
        <v>0</v>
      </c>
      <c r="AO27" s="775">
        <f t="shared" si="37"/>
        <v>0</v>
      </c>
      <c r="AQ27" s="773">
        <v>15</v>
      </c>
      <c r="AR27" s="774">
        <f t="shared" si="38"/>
        <v>426</v>
      </c>
      <c r="AS27" s="775">
        <f t="shared" si="39"/>
        <v>0</v>
      </c>
      <c r="AT27" s="775">
        <f t="shared" si="15"/>
        <v>0</v>
      </c>
      <c r="AU27" s="775">
        <f t="shared" si="7"/>
        <v>0</v>
      </c>
      <c r="AV27" s="775">
        <f t="shared" si="40"/>
        <v>0</v>
      </c>
      <c r="AW27" s="775">
        <f t="shared" si="41"/>
        <v>0</v>
      </c>
      <c r="AY27" s="773">
        <v>15</v>
      </c>
      <c r="AZ27" s="774">
        <f t="shared" si="42"/>
        <v>426</v>
      </c>
      <c r="BA27" s="775">
        <f t="shared" si="43"/>
        <v>0</v>
      </c>
      <c r="BB27" s="775">
        <f t="shared" si="16"/>
        <v>0</v>
      </c>
      <c r="BC27" s="775">
        <f t="shared" si="8"/>
        <v>0</v>
      </c>
      <c r="BD27" s="775">
        <f t="shared" si="44"/>
        <v>0</v>
      </c>
      <c r="BE27" s="775">
        <f t="shared" si="45"/>
        <v>0</v>
      </c>
      <c r="BG27" s="773">
        <v>15</v>
      </c>
      <c r="BH27" s="774">
        <f t="shared" si="46"/>
        <v>426</v>
      </c>
      <c r="BI27" s="775">
        <f t="shared" si="47"/>
        <v>0</v>
      </c>
      <c r="BJ27" s="775">
        <f t="shared" si="17"/>
        <v>0</v>
      </c>
      <c r="BK27" s="775">
        <f t="shared" si="9"/>
        <v>0</v>
      </c>
      <c r="BL27" s="775">
        <f t="shared" si="48"/>
        <v>0</v>
      </c>
      <c r="BM27" s="775">
        <f t="shared" si="49"/>
        <v>0</v>
      </c>
    </row>
    <row r="28" spans="1:65">
      <c r="A28" s="11">
        <f t="shared" si="2"/>
        <v>1901</v>
      </c>
      <c r="B28" s="773">
        <v>16</v>
      </c>
      <c r="C28" s="774">
        <f t="shared" si="18"/>
        <v>457</v>
      </c>
      <c r="D28" s="775">
        <f t="shared" si="19"/>
        <v>0</v>
      </c>
      <c r="E28" s="775">
        <f t="shared" si="10"/>
        <v>0</v>
      </c>
      <c r="F28" s="775">
        <f t="shared" si="0"/>
        <v>0</v>
      </c>
      <c r="G28" s="775">
        <f t="shared" si="20"/>
        <v>0</v>
      </c>
      <c r="H28" s="775">
        <f t="shared" si="21"/>
        <v>0</v>
      </c>
      <c r="I28" s="775">
        <f t="shared" si="1"/>
        <v>0</v>
      </c>
      <c r="K28" s="773">
        <v>16</v>
      </c>
      <c r="L28" s="774">
        <f t="shared" si="22"/>
        <v>457</v>
      </c>
      <c r="M28" s="775">
        <f t="shared" si="23"/>
        <v>0</v>
      </c>
      <c r="N28" s="775">
        <f t="shared" si="11"/>
        <v>0</v>
      </c>
      <c r="O28" s="775">
        <f t="shared" si="3"/>
        <v>0</v>
      </c>
      <c r="P28" s="775">
        <f t="shared" si="24"/>
        <v>0</v>
      </c>
      <c r="Q28" s="775">
        <f t="shared" si="25"/>
        <v>0</v>
      </c>
      <c r="S28" s="773">
        <v>16</v>
      </c>
      <c r="T28" s="774">
        <f t="shared" si="26"/>
        <v>457</v>
      </c>
      <c r="U28" s="775">
        <f t="shared" si="27"/>
        <v>0</v>
      </c>
      <c r="V28" s="775">
        <f t="shared" si="12"/>
        <v>0</v>
      </c>
      <c r="W28" s="775">
        <f t="shared" si="4"/>
        <v>0</v>
      </c>
      <c r="X28" s="775">
        <f t="shared" si="28"/>
        <v>0</v>
      </c>
      <c r="Y28" s="775">
        <f t="shared" si="29"/>
        <v>0</v>
      </c>
      <c r="AA28" s="773">
        <v>16</v>
      </c>
      <c r="AB28" s="774">
        <f t="shared" si="30"/>
        <v>457</v>
      </c>
      <c r="AC28" s="775">
        <f t="shared" si="31"/>
        <v>0</v>
      </c>
      <c r="AD28" s="775">
        <f t="shared" si="13"/>
        <v>0</v>
      </c>
      <c r="AE28" s="775">
        <f t="shared" si="5"/>
        <v>0</v>
      </c>
      <c r="AF28" s="775">
        <f t="shared" si="32"/>
        <v>0</v>
      </c>
      <c r="AG28" s="775">
        <f t="shared" si="33"/>
        <v>0</v>
      </c>
      <c r="AI28" s="773">
        <v>16</v>
      </c>
      <c r="AJ28" s="774">
        <f t="shared" si="34"/>
        <v>457</v>
      </c>
      <c r="AK28" s="775">
        <f t="shared" si="35"/>
        <v>0</v>
      </c>
      <c r="AL28" s="775">
        <f t="shared" si="14"/>
        <v>0</v>
      </c>
      <c r="AM28" s="775">
        <f t="shared" si="6"/>
        <v>0</v>
      </c>
      <c r="AN28" s="775">
        <f t="shared" si="36"/>
        <v>0</v>
      </c>
      <c r="AO28" s="775">
        <f t="shared" si="37"/>
        <v>0</v>
      </c>
      <c r="AQ28" s="773">
        <v>16</v>
      </c>
      <c r="AR28" s="774">
        <f t="shared" si="38"/>
        <v>457</v>
      </c>
      <c r="AS28" s="775">
        <f t="shared" si="39"/>
        <v>0</v>
      </c>
      <c r="AT28" s="775">
        <f t="shared" si="15"/>
        <v>0</v>
      </c>
      <c r="AU28" s="775">
        <f t="shared" si="7"/>
        <v>0</v>
      </c>
      <c r="AV28" s="775">
        <f t="shared" si="40"/>
        <v>0</v>
      </c>
      <c r="AW28" s="775">
        <f t="shared" si="41"/>
        <v>0</v>
      </c>
      <c r="AY28" s="773">
        <v>16</v>
      </c>
      <c r="AZ28" s="774">
        <f t="shared" si="42"/>
        <v>457</v>
      </c>
      <c r="BA28" s="775">
        <f t="shared" si="43"/>
        <v>0</v>
      </c>
      <c r="BB28" s="775">
        <f t="shared" si="16"/>
        <v>0</v>
      </c>
      <c r="BC28" s="775">
        <f t="shared" si="8"/>
        <v>0</v>
      </c>
      <c r="BD28" s="775">
        <f t="shared" si="44"/>
        <v>0</v>
      </c>
      <c r="BE28" s="775">
        <f t="shared" si="45"/>
        <v>0</v>
      </c>
      <c r="BG28" s="773">
        <v>16</v>
      </c>
      <c r="BH28" s="774">
        <f t="shared" si="46"/>
        <v>457</v>
      </c>
      <c r="BI28" s="775">
        <f t="shared" si="47"/>
        <v>0</v>
      </c>
      <c r="BJ28" s="775">
        <f t="shared" si="17"/>
        <v>0</v>
      </c>
      <c r="BK28" s="775">
        <f t="shared" si="9"/>
        <v>0</v>
      </c>
      <c r="BL28" s="775">
        <f t="shared" si="48"/>
        <v>0</v>
      </c>
      <c r="BM28" s="775">
        <f t="shared" si="49"/>
        <v>0</v>
      </c>
    </row>
    <row r="29" spans="1:65">
      <c r="A29" s="11">
        <f t="shared" si="2"/>
        <v>1901</v>
      </c>
      <c r="B29" s="773">
        <v>17</v>
      </c>
      <c r="C29" s="774">
        <f t="shared" si="18"/>
        <v>487</v>
      </c>
      <c r="D29" s="775">
        <f t="shared" si="19"/>
        <v>0</v>
      </c>
      <c r="E29" s="775">
        <f t="shared" si="10"/>
        <v>0</v>
      </c>
      <c r="F29" s="775">
        <f t="shared" si="0"/>
        <v>0</v>
      </c>
      <c r="G29" s="775">
        <f t="shared" si="20"/>
        <v>0</v>
      </c>
      <c r="H29" s="775">
        <f t="shared" si="21"/>
        <v>0</v>
      </c>
      <c r="I29" s="775">
        <f t="shared" si="1"/>
        <v>0</v>
      </c>
      <c r="K29" s="773">
        <v>17</v>
      </c>
      <c r="L29" s="774">
        <f t="shared" si="22"/>
        <v>487</v>
      </c>
      <c r="M29" s="775">
        <f t="shared" si="23"/>
        <v>0</v>
      </c>
      <c r="N29" s="775">
        <f t="shared" si="11"/>
        <v>0</v>
      </c>
      <c r="O29" s="775">
        <f t="shared" si="3"/>
        <v>0</v>
      </c>
      <c r="P29" s="775">
        <f t="shared" si="24"/>
        <v>0</v>
      </c>
      <c r="Q29" s="775">
        <f t="shared" si="25"/>
        <v>0</v>
      </c>
      <c r="S29" s="773">
        <v>17</v>
      </c>
      <c r="T29" s="774">
        <f t="shared" si="26"/>
        <v>487</v>
      </c>
      <c r="U29" s="775">
        <f t="shared" si="27"/>
        <v>0</v>
      </c>
      <c r="V29" s="775">
        <f t="shared" si="12"/>
        <v>0</v>
      </c>
      <c r="W29" s="775">
        <f t="shared" si="4"/>
        <v>0</v>
      </c>
      <c r="X29" s="775">
        <f t="shared" si="28"/>
        <v>0</v>
      </c>
      <c r="Y29" s="775">
        <f t="shared" si="29"/>
        <v>0</v>
      </c>
      <c r="AA29" s="773">
        <v>17</v>
      </c>
      <c r="AB29" s="774">
        <f t="shared" si="30"/>
        <v>487</v>
      </c>
      <c r="AC29" s="775">
        <f t="shared" si="31"/>
        <v>0</v>
      </c>
      <c r="AD29" s="775">
        <f t="shared" si="13"/>
        <v>0</v>
      </c>
      <c r="AE29" s="775">
        <f t="shared" si="5"/>
        <v>0</v>
      </c>
      <c r="AF29" s="775">
        <f t="shared" si="32"/>
        <v>0</v>
      </c>
      <c r="AG29" s="775">
        <f t="shared" si="33"/>
        <v>0</v>
      </c>
      <c r="AI29" s="773">
        <v>17</v>
      </c>
      <c r="AJ29" s="774">
        <f t="shared" si="34"/>
        <v>487</v>
      </c>
      <c r="AK29" s="775">
        <f t="shared" si="35"/>
        <v>0</v>
      </c>
      <c r="AL29" s="775">
        <f t="shared" si="14"/>
        <v>0</v>
      </c>
      <c r="AM29" s="775">
        <f t="shared" si="6"/>
        <v>0</v>
      </c>
      <c r="AN29" s="775">
        <f t="shared" si="36"/>
        <v>0</v>
      </c>
      <c r="AO29" s="775">
        <f t="shared" si="37"/>
        <v>0</v>
      </c>
      <c r="AQ29" s="773">
        <v>17</v>
      </c>
      <c r="AR29" s="774">
        <f t="shared" si="38"/>
        <v>487</v>
      </c>
      <c r="AS29" s="775">
        <f t="shared" si="39"/>
        <v>0</v>
      </c>
      <c r="AT29" s="775">
        <f t="shared" si="15"/>
        <v>0</v>
      </c>
      <c r="AU29" s="775">
        <f t="shared" si="7"/>
        <v>0</v>
      </c>
      <c r="AV29" s="775">
        <f t="shared" si="40"/>
        <v>0</v>
      </c>
      <c r="AW29" s="775">
        <f t="shared" si="41"/>
        <v>0</v>
      </c>
      <c r="AY29" s="773">
        <v>17</v>
      </c>
      <c r="AZ29" s="774">
        <f t="shared" si="42"/>
        <v>487</v>
      </c>
      <c r="BA29" s="775">
        <f t="shared" si="43"/>
        <v>0</v>
      </c>
      <c r="BB29" s="775">
        <f t="shared" si="16"/>
        <v>0</v>
      </c>
      <c r="BC29" s="775">
        <f t="shared" si="8"/>
        <v>0</v>
      </c>
      <c r="BD29" s="775">
        <f t="shared" si="44"/>
        <v>0</v>
      </c>
      <c r="BE29" s="775">
        <f t="shared" si="45"/>
        <v>0</v>
      </c>
      <c r="BG29" s="773">
        <v>17</v>
      </c>
      <c r="BH29" s="774">
        <f t="shared" si="46"/>
        <v>487</v>
      </c>
      <c r="BI29" s="775">
        <f t="shared" si="47"/>
        <v>0</v>
      </c>
      <c r="BJ29" s="775">
        <f t="shared" si="17"/>
        <v>0</v>
      </c>
      <c r="BK29" s="775">
        <f t="shared" si="9"/>
        <v>0</v>
      </c>
      <c r="BL29" s="775">
        <f t="shared" si="48"/>
        <v>0</v>
      </c>
      <c r="BM29" s="775">
        <f t="shared" si="49"/>
        <v>0</v>
      </c>
    </row>
    <row r="30" spans="1:65">
      <c r="A30" s="11">
        <f t="shared" si="2"/>
        <v>1901</v>
      </c>
      <c r="B30" s="773">
        <v>18</v>
      </c>
      <c r="C30" s="774">
        <f t="shared" si="18"/>
        <v>518</v>
      </c>
      <c r="D30" s="775">
        <f t="shared" si="19"/>
        <v>0</v>
      </c>
      <c r="E30" s="775">
        <f t="shared" si="10"/>
        <v>0</v>
      </c>
      <c r="F30" s="775">
        <f t="shared" si="0"/>
        <v>0</v>
      </c>
      <c r="G30" s="775">
        <f t="shared" si="20"/>
        <v>0</v>
      </c>
      <c r="H30" s="775">
        <f t="shared" si="21"/>
        <v>0</v>
      </c>
      <c r="I30" s="775">
        <f t="shared" si="1"/>
        <v>0</v>
      </c>
      <c r="K30" s="773">
        <v>18</v>
      </c>
      <c r="L30" s="774">
        <f t="shared" si="22"/>
        <v>518</v>
      </c>
      <c r="M30" s="775">
        <f t="shared" si="23"/>
        <v>0</v>
      </c>
      <c r="N30" s="775">
        <f t="shared" si="11"/>
        <v>0</v>
      </c>
      <c r="O30" s="775">
        <f t="shared" si="3"/>
        <v>0</v>
      </c>
      <c r="P30" s="775">
        <f t="shared" si="24"/>
        <v>0</v>
      </c>
      <c r="Q30" s="775">
        <f t="shared" si="25"/>
        <v>0</v>
      </c>
      <c r="S30" s="773">
        <v>18</v>
      </c>
      <c r="T30" s="774">
        <f t="shared" si="26"/>
        <v>518</v>
      </c>
      <c r="U30" s="775">
        <f t="shared" si="27"/>
        <v>0</v>
      </c>
      <c r="V30" s="775">
        <f t="shared" si="12"/>
        <v>0</v>
      </c>
      <c r="W30" s="775">
        <f t="shared" si="4"/>
        <v>0</v>
      </c>
      <c r="X30" s="775">
        <f t="shared" si="28"/>
        <v>0</v>
      </c>
      <c r="Y30" s="775">
        <f t="shared" si="29"/>
        <v>0</v>
      </c>
      <c r="AA30" s="773">
        <v>18</v>
      </c>
      <c r="AB30" s="774">
        <f t="shared" si="30"/>
        <v>518</v>
      </c>
      <c r="AC30" s="775">
        <f t="shared" si="31"/>
        <v>0</v>
      </c>
      <c r="AD30" s="775">
        <f t="shared" si="13"/>
        <v>0</v>
      </c>
      <c r="AE30" s="775">
        <f t="shared" si="5"/>
        <v>0</v>
      </c>
      <c r="AF30" s="775">
        <f t="shared" si="32"/>
        <v>0</v>
      </c>
      <c r="AG30" s="775">
        <f t="shared" si="33"/>
        <v>0</v>
      </c>
      <c r="AI30" s="773">
        <v>18</v>
      </c>
      <c r="AJ30" s="774">
        <f t="shared" si="34"/>
        <v>518</v>
      </c>
      <c r="AK30" s="775">
        <f t="shared" si="35"/>
        <v>0</v>
      </c>
      <c r="AL30" s="775">
        <f t="shared" si="14"/>
        <v>0</v>
      </c>
      <c r="AM30" s="775">
        <f t="shared" si="6"/>
        <v>0</v>
      </c>
      <c r="AN30" s="775">
        <f t="shared" si="36"/>
        <v>0</v>
      </c>
      <c r="AO30" s="775">
        <f t="shared" si="37"/>
        <v>0</v>
      </c>
      <c r="AQ30" s="773">
        <v>18</v>
      </c>
      <c r="AR30" s="774">
        <f t="shared" si="38"/>
        <v>518</v>
      </c>
      <c r="AS30" s="775">
        <f t="shared" si="39"/>
        <v>0</v>
      </c>
      <c r="AT30" s="775">
        <f t="shared" si="15"/>
        <v>0</v>
      </c>
      <c r="AU30" s="775">
        <f t="shared" si="7"/>
        <v>0</v>
      </c>
      <c r="AV30" s="775">
        <f t="shared" si="40"/>
        <v>0</v>
      </c>
      <c r="AW30" s="775">
        <f t="shared" si="41"/>
        <v>0</v>
      </c>
      <c r="AY30" s="773">
        <v>18</v>
      </c>
      <c r="AZ30" s="774">
        <f t="shared" si="42"/>
        <v>518</v>
      </c>
      <c r="BA30" s="775">
        <f t="shared" si="43"/>
        <v>0</v>
      </c>
      <c r="BB30" s="775">
        <f t="shared" si="16"/>
        <v>0</v>
      </c>
      <c r="BC30" s="775">
        <f t="shared" si="8"/>
        <v>0</v>
      </c>
      <c r="BD30" s="775">
        <f t="shared" si="44"/>
        <v>0</v>
      </c>
      <c r="BE30" s="775">
        <f t="shared" si="45"/>
        <v>0</v>
      </c>
      <c r="BG30" s="773">
        <v>18</v>
      </c>
      <c r="BH30" s="774">
        <f t="shared" si="46"/>
        <v>518</v>
      </c>
      <c r="BI30" s="775">
        <f t="shared" si="47"/>
        <v>0</v>
      </c>
      <c r="BJ30" s="775">
        <f t="shared" si="17"/>
        <v>0</v>
      </c>
      <c r="BK30" s="775">
        <f t="shared" si="9"/>
        <v>0</v>
      </c>
      <c r="BL30" s="775">
        <f t="shared" si="48"/>
        <v>0</v>
      </c>
      <c r="BM30" s="775">
        <f t="shared" si="49"/>
        <v>0</v>
      </c>
    </row>
    <row r="31" spans="1:65">
      <c r="A31" s="11">
        <f t="shared" si="2"/>
        <v>1901</v>
      </c>
      <c r="B31" s="773">
        <v>19</v>
      </c>
      <c r="C31" s="774">
        <f t="shared" si="18"/>
        <v>548</v>
      </c>
      <c r="D31" s="775">
        <f t="shared" si="19"/>
        <v>0</v>
      </c>
      <c r="E31" s="775">
        <f t="shared" si="10"/>
        <v>0</v>
      </c>
      <c r="F31" s="775">
        <f t="shared" si="0"/>
        <v>0</v>
      </c>
      <c r="G31" s="775">
        <f t="shared" si="20"/>
        <v>0</v>
      </c>
      <c r="H31" s="775">
        <f t="shared" si="21"/>
        <v>0</v>
      </c>
      <c r="I31" s="775">
        <f t="shared" si="1"/>
        <v>0</v>
      </c>
      <c r="K31" s="773">
        <v>19</v>
      </c>
      <c r="L31" s="774">
        <f t="shared" si="22"/>
        <v>548</v>
      </c>
      <c r="M31" s="775">
        <f t="shared" si="23"/>
        <v>0</v>
      </c>
      <c r="N31" s="775">
        <f t="shared" si="11"/>
        <v>0</v>
      </c>
      <c r="O31" s="775">
        <f t="shared" si="3"/>
        <v>0</v>
      </c>
      <c r="P31" s="775">
        <f t="shared" si="24"/>
        <v>0</v>
      </c>
      <c r="Q31" s="775">
        <f t="shared" si="25"/>
        <v>0</v>
      </c>
      <c r="S31" s="773">
        <v>19</v>
      </c>
      <c r="T31" s="774">
        <f t="shared" si="26"/>
        <v>548</v>
      </c>
      <c r="U31" s="775">
        <f t="shared" si="27"/>
        <v>0</v>
      </c>
      <c r="V31" s="775">
        <f t="shared" si="12"/>
        <v>0</v>
      </c>
      <c r="W31" s="775">
        <f t="shared" si="4"/>
        <v>0</v>
      </c>
      <c r="X31" s="775">
        <f t="shared" si="28"/>
        <v>0</v>
      </c>
      <c r="Y31" s="775">
        <f t="shared" si="29"/>
        <v>0</v>
      </c>
      <c r="AA31" s="773">
        <v>19</v>
      </c>
      <c r="AB31" s="774">
        <f t="shared" si="30"/>
        <v>548</v>
      </c>
      <c r="AC31" s="775">
        <f t="shared" si="31"/>
        <v>0</v>
      </c>
      <c r="AD31" s="775">
        <f t="shared" si="13"/>
        <v>0</v>
      </c>
      <c r="AE31" s="775">
        <f t="shared" si="5"/>
        <v>0</v>
      </c>
      <c r="AF31" s="775">
        <f t="shared" si="32"/>
        <v>0</v>
      </c>
      <c r="AG31" s="775">
        <f t="shared" si="33"/>
        <v>0</v>
      </c>
      <c r="AI31" s="773">
        <v>19</v>
      </c>
      <c r="AJ31" s="774">
        <f t="shared" si="34"/>
        <v>548</v>
      </c>
      <c r="AK31" s="775">
        <f t="shared" si="35"/>
        <v>0</v>
      </c>
      <c r="AL31" s="775">
        <f t="shared" si="14"/>
        <v>0</v>
      </c>
      <c r="AM31" s="775">
        <f t="shared" si="6"/>
        <v>0</v>
      </c>
      <c r="AN31" s="775">
        <f t="shared" si="36"/>
        <v>0</v>
      </c>
      <c r="AO31" s="775">
        <f t="shared" si="37"/>
        <v>0</v>
      </c>
      <c r="AQ31" s="773">
        <v>19</v>
      </c>
      <c r="AR31" s="774">
        <f t="shared" si="38"/>
        <v>548</v>
      </c>
      <c r="AS31" s="775">
        <f t="shared" si="39"/>
        <v>0</v>
      </c>
      <c r="AT31" s="775">
        <f t="shared" si="15"/>
        <v>0</v>
      </c>
      <c r="AU31" s="775">
        <f t="shared" si="7"/>
        <v>0</v>
      </c>
      <c r="AV31" s="775">
        <f t="shared" si="40"/>
        <v>0</v>
      </c>
      <c r="AW31" s="775">
        <f t="shared" si="41"/>
        <v>0</v>
      </c>
      <c r="AY31" s="773">
        <v>19</v>
      </c>
      <c r="AZ31" s="774">
        <f t="shared" si="42"/>
        <v>548</v>
      </c>
      <c r="BA31" s="775">
        <f t="shared" si="43"/>
        <v>0</v>
      </c>
      <c r="BB31" s="775">
        <f t="shared" si="16"/>
        <v>0</v>
      </c>
      <c r="BC31" s="775">
        <f t="shared" si="8"/>
        <v>0</v>
      </c>
      <c r="BD31" s="775">
        <f t="shared" si="44"/>
        <v>0</v>
      </c>
      <c r="BE31" s="775">
        <f t="shared" si="45"/>
        <v>0</v>
      </c>
      <c r="BG31" s="773">
        <v>19</v>
      </c>
      <c r="BH31" s="774">
        <f t="shared" si="46"/>
        <v>548</v>
      </c>
      <c r="BI31" s="775">
        <f t="shared" si="47"/>
        <v>0</v>
      </c>
      <c r="BJ31" s="775">
        <f t="shared" si="17"/>
        <v>0</v>
      </c>
      <c r="BK31" s="775">
        <f t="shared" si="9"/>
        <v>0</v>
      </c>
      <c r="BL31" s="775">
        <f t="shared" si="48"/>
        <v>0</v>
      </c>
      <c r="BM31" s="775">
        <f t="shared" si="49"/>
        <v>0</v>
      </c>
    </row>
    <row r="32" spans="1:65">
      <c r="A32" s="11">
        <f t="shared" si="2"/>
        <v>1901</v>
      </c>
      <c r="B32" s="773">
        <v>20</v>
      </c>
      <c r="C32" s="774">
        <f t="shared" si="18"/>
        <v>579</v>
      </c>
      <c r="D32" s="775">
        <f t="shared" si="19"/>
        <v>0</v>
      </c>
      <c r="E32" s="775">
        <f t="shared" si="10"/>
        <v>0</v>
      </c>
      <c r="F32" s="775">
        <f t="shared" si="0"/>
        <v>0</v>
      </c>
      <c r="G32" s="775">
        <f t="shared" si="20"/>
        <v>0</v>
      </c>
      <c r="H32" s="775">
        <f t="shared" si="21"/>
        <v>0</v>
      </c>
      <c r="I32" s="775">
        <f t="shared" si="1"/>
        <v>0</v>
      </c>
      <c r="K32" s="773">
        <v>20</v>
      </c>
      <c r="L32" s="774">
        <f t="shared" si="22"/>
        <v>579</v>
      </c>
      <c r="M32" s="775">
        <f t="shared" si="23"/>
        <v>0</v>
      </c>
      <c r="N32" s="775">
        <f t="shared" si="11"/>
        <v>0</v>
      </c>
      <c r="O32" s="775">
        <f t="shared" si="3"/>
        <v>0</v>
      </c>
      <c r="P32" s="775">
        <f t="shared" si="24"/>
        <v>0</v>
      </c>
      <c r="Q32" s="775">
        <f t="shared" si="25"/>
        <v>0</v>
      </c>
      <c r="S32" s="773">
        <v>20</v>
      </c>
      <c r="T32" s="774">
        <f t="shared" si="26"/>
        <v>579</v>
      </c>
      <c r="U32" s="775">
        <f t="shared" si="27"/>
        <v>0</v>
      </c>
      <c r="V32" s="775">
        <f t="shared" si="12"/>
        <v>0</v>
      </c>
      <c r="W32" s="775">
        <f t="shared" si="4"/>
        <v>0</v>
      </c>
      <c r="X32" s="775">
        <f t="shared" si="28"/>
        <v>0</v>
      </c>
      <c r="Y32" s="775">
        <f t="shared" si="29"/>
        <v>0</v>
      </c>
      <c r="AA32" s="773">
        <v>20</v>
      </c>
      <c r="AB32" s="774">
        <f t="shared" si="30"/>
        <v>579</v>
      </c>
      <c r="AC32" s="775">
        <f t="shared" si="31"/>
        <v>0</v>
      </c>
      <c r="AD32" s="775">
        <f t="shared" si="13"/>
        <v>0</v>
      </c>
      <c r="AE32" s="775">
        <f t="shared" si="5"/>
        <v>0</v>
      </c>
      <c r="AF32" s="775">
        <f t="shared" si="32"/>
        <v>0</v>
      </c>
      <c r="AG32" s="775">
        <f t="shared" si="33"/>
        <v>0</v>
      </c>
      <c r="AI32" s="773">
        <v>20</v>
      </c>
      <c r="AJ32" s="774">
        <f t="shared" si="34"/>
        <v>579</v>
      </c>
      <c r="AK32" s="775">
        <f t="shared" si="35"/>
        <v>0</v>
      </c>
      <c r="AL32" s="775">
        <f t="shared" si="14"/>
        <v>0</v>
      </c>
      <c r="AM32" s="775">
        <f t="shared" si="6"/>
        <v>0</v>
      </c>
      <c r="AN32" s="775">
        <f t="shared" si="36"/>
        <v>0</v>
      </c>
      <c r="AO32" s="775">
        <f t="shared" si="37"/>
        <v>0</v>
      </c>
      <c r="AQ32" s="773">
        <v>20</v>
      </c>
      <c r="AR32" s="774">
        <f t="shared" si="38"/>
        <v>579</v>
      </c>
      <c r="AS32" s="775">
        <f t="shared" si="39"/>
        <v>0</v>
      </c>
      <c r="AT32" s="775">
        <f t="shared" si="15"/>
        <v>0</v>
      </c>
      <c r="AU32" s="775">
        <f t="shared" si="7"/>
        <v>0</v>
      </c>
      <c r="AV32" s="775">
        <f t="shared" si="40"/>
        <v>0</v>
      </c>
      <c r="AW32" s="775">
        <f t="shared" si="41"/>
        <v>0</v>
      </c>
      <c r="AY32" s="773">
        <v>20</v>
      </c>
      <c r="AZ32" s="774">
        <f t="shared" si="42"/>
        <v>579</v>
      </c>
      <c r="BA32" s="775">
        <f t="shared" si="43"/>
        <v>0</v>
      </c>
      <c r="BB32" s="775">
        <f t="shared" si="16"/>
        <v>0</v>
      </c>
      <c r="BC32" s="775">
        <f t="shared" si="8"/>
        <v>0</v>
      </c>
      <c r="BD32" s="775">
        <f t="shared" si="44"/>
        <v>0</v>
      </c>
      <c r="BE32" s="775">
        <f t="shared" si="45"/>
        <v>0</v>
      </c>
      <c r="BG32" s="773">
        <v>20</v>
      </c>
      <c r="BH32" s="774">
        <f t="shared" si="46"/>
        <v>579</v>
      </c>
      <c r="BI32" s="775">
        <f t="shared" si="47"/>
        <v>0</v>
      </c>
      <c r="BJ32" s="775">
        <f t="shared" si="17"/>
        <v>0</v>
      </c>
      <c r="BK32" s="775">
        <f t="shared" si="9"/>
        <v>0</v>
      </c>
      <c r="BL32" s="775">
        <f t="shared" si="48"/>
        <v>0</v>
      </c>
      <c r="BM32" s="775">
        <f t="shared" si="49"/>
        <v>0</v>
      </c>
    </row>
    <row r="33" spans="1:65">
      <c r="A33" s="11">
        <f t="shared" si="2"/>
        <v>1901</v>
      </c>
      <c r="B33" s="773">
        <v>21</v>
      </c>
      <c r="C33" s="774">
        <f t="shared" si="18"/>
        <v>610</v>
      </c>
      <c r="D33" s="775">
        <f t="shared" si="19"/>
        <v>0</v>
      </c>
      <c r="E33" s="775">
        <f t="shared" si="10"/>
        <v>0</v>
      </c>
      <c r="F33" s="775">
        <f t="shared" si="0"/>
        <v>0</v>
      </c>
      <c r="G33" s="775">
        <f t="shared" si="20"/>
        <v>0</v>
      </c>
      <c r="H33" s="775">
        <f t="shared" si="21"/>
        <v>0</v>
      </c>
      <c r="I33" s="775">
        <f t="shared" si="1"/>
        <v>0</v>
      </c>
      <c r="K33" s="773">
        <v>21</v>
      </c>
      <c r="L33" s="774">
        <f t="shared" si="22"/>
        <v>610</v>
      </c>
      <c r="M33" s="775">
        <f t="shared" si="23"/>
        <v>0</v>
      </c>
      <c r="N33" s="775">
        <f t="shared" si="11"/>
        <v>0</v>
      </c>
      <c r="O33" s="775">
        <f t="shared" si="3"/>
        <v>0</v>
      </c>
      <c r="P33" s="775">
        <f t="shared" si="24"/>
        <v>0</v>
      </c>
      <c r="Q33" s="775">
        <f t="shared" si="25"/>
        <v>0</v>
      </c>
      <c r="S33" s="773">
        <v>21</v>
      </c>
      <c r="T33" s="774">
        <f t="shared" si="26"/>
        <v>610</v>
      </c>
      <c r="U33" s="775">
        <f t="shared" si="27"/>
        <v>0</v>
      </c>
      <c r="V33" s="775">
        <f t="shared" si="12"/>
        <v>0</v>
      </c>
      <c r="W33" s="775">
        <f t="shared" si="4"/>
        <v>0</v>
      </c>
      <c r="X33" s="775">
        <f t="shared" si="28"/>
        <v>0</v>
      </c>
      <c r="Y33" s="775">
        <f t="shared" si="29"/>
        <v>0</v>
      </c>
      <c r="AA33" s="773">
        <v>21</v>
      </c>
      <c r="AB33" s="774">
        <f t="shared" si="30"/>
        <v>610</v>
      </c>
      <c r="AC33" s="775">
        <f t="shared" si="31"/>
        <v>0</v>
      </c>
      <c r="AD33" s="775">
        <f t="shared" si="13"/>
        <v>0</v>
      </c>
      <c r="AE33" s="775">
        <f t="shared" si="5"/>
        <v>0</v>
      </c>
      <c r="AF33" s="775">
        <f t="shared" si="32"/>
        <v>0</v>
      </c>
      <c r="AG33" s="775">
        <f t="shared" si="33"/>
        <v>0</v>
      </c>
      <c r="AI33" s="773">
        <v>21</v>
      </c>
      <c r="AJ33" s="774">
        <f t="shared" si="34"/>
        <v>610</v>
      </c>
      <c r="AK33" s="775">
        <f t="shared" si="35"/>
        <v>0</v>
      </c>
      <c r="AL33" s="775">
        <f t="shared" si="14"/>
        <v>0</v>
      </c>
      <c r="AM33" s="775">
        <f t="shared" si="6"/>
        <v>0</v>
      </c>
      <c r="AN33" s="775">
        <f t="shared" si="36"/>
        <v>0</v>
      </c>
      <c r="AO33" s="775">
        <f t="shared" si="37"/>
        <v>0</v>
      </c>
      <c r="AQ33" s="773">
        <v>21</v>
      </c>
      <c r="AR33" s="774">
        <f t="shared" si="38"/>
        <v>610</v>
      </c>
      <c r="AS33" s="775">
        <f t="shared" si="39"/>
        <v>0</v>
      </c>
      <c r="AT33" s="775">
        <f t="shared" si="15"/>
        <v>0</v>
      </c>
      <c r="AU33" s="775">
        <f t="shared" si="7"/>
        <v>0</v>
      </c>
      <c r="AV33" s="775">
        <f t="shared" si="40"/>
        <v>0</v>
      </c>
      <c r="AW33" s="775">
        <f t="shared" si="41"/>
        <v>0</v>
      </c>
      <c r="AY33" s="773">
        <v>21</v>
      </c>
      <c r="AZ33" s="774">
        <f t="shared" si="42"/>
        <v>610</v>
      </c>
      <c r="BA33" s="775">
        <f t="shared" si="43"/>
        <v>0</v>
      </c>
      <c r="BB33" s="775">
        <f t="shared" si="16"/>
        <v>0</v>
      </c>
      <c r="BC33" s="775">
        <f t="shared" si="8"/>
        <v>0</v>
      </c>
      <c r="BD33" s="775">
        <f t="shared" si="44"/>
        <v>0</v>
      </c>
      <c r="BE33" s="775">
        <f t="shared" si="45"/>
        <v>0</v>
      </c>
      <c r="BG33" s="773">
        <v>21</v>
      </c>
      <c r="BH33" s="774">
        <f t="shared" si="46"/>
        <v>610</v>
      </c>
      <c r="BI33" s="775">
        <f t="shared" si="47"/>
        <v>0</v>
      </c>
      <c r="BJ33" s="775">
        <f t="shared" si="17"/>
        <v>0</v>
      </c>
      <c r="BK33" s="775">
        <f t="shared" si="9"/>
        <v>0</v>
      </c>
      <c r="BL33" s="775">
        <f t="shared" si="48"/>
        <v>0</v>
      </c>
      <c r="BM33" s="775">
        <f t="shared" si="49"/>
        <v>0</v>
      </c>
    </row>
    <row r="34" spans="1:65">
      <c r="A34" s="11">
        <f t="shared" si="2"/>
        <v>1901</v>
      </c>
      <c r="B34" s="773">
        <v>22</v>
      </c>
      <c r="C34" s="774">
        <f t="shared" si="18"/>
        <v>640</v>
      </c>
      <c r="D34" s="775">
        <f t="shared" si="19"/>
        <v>0</v>
      </c>
      <c r="E34" s="775">
        <f t="shared" si="10"/>
        <v>0</v>
      </c>
      <c r="F34" s="775">
        <f t="shared" si="0"/>
        <v>0</v>
      </c>
      <c r="G34" s="775">
        <f t="shared" si="20"/>
        <v>0</v>
      </c>
      <c r="H34" s="775">
        <f t="shared" si="21"/>
        <v>0</v>
      </c>
      <c r="I34" s="775">
        <f t="shared" si="1"/>
        <v>0</v>
      </c>
      <c r="K34" s="773">
        <v>22</v>
      </c>
      <c r="L34" s="774">
        <f t="shared" si="22"/>
        <v>640</v>
      </c>
      <c r="M34" s="775">
        <f t="shared" si="23"/>
        <v>0</v>
      </c>
      <c r="N34" s="775">
        <f t="shared" si="11"/>
        <v>0</v>
      </c>
      <c r="O34" s="775">
        <f t="shared" si="3"/>
        <v>0</v>
      </c>
      <c r="P34" s="775">
        <f t="shared" si="24"/>
        <v>0</v>
      </c>
      <c r="Q34" s="775">
        <f t="shared" si="25"/>
        <v>0</v>
      </c>
      <c r="S34" s="773">
        <v>22</v>
      </c>
      <c r="T34" s="774">
        <f t="shared" si="26"/>
        <v>640</v>
      </c>
      <c r="U34" s="775">
        <f t="shared" si="27"/>
        <v>0</v>
      </c>
      <c r="V34" s="775">
        <f t="shared" si="12"/>
        <v>0</v>
      </c>
      <c r="W34" s="775">
        <f t="shared" si="4"/>
        <v>0</v>
      </c>
      <c r="X34" s="775">
        <f t="shared" si="28"/>
        <v>0</v>
      </c>
      <c r="Y34" s="775">
        <f t="shared" si="29"/>
        <v>0</v>
      </c>
      <c r="AA34" s="773">
        <v>22</v>
      </c>
      <c r="AB34" s="774">
        <f t="shared" si="30"/>
        <v>640</v>
      </c>
      <c r="AC34" s="775">
        <f t="shared" si="31"/>
        <v>0</v>
      </c>
      <c r="AD34" s="775">
        <f t="shared" si="13"/>
        <v>0</v>
      </c>
      <c r="AE34" s="775">
        <f t="shared" si="5"/>
        <v>0</v>
      </c>
      <c r="AF34" s="775">
        <f t="shared" si="32"/>
        <v>0</v>
      </c>
      <c r="AG34" s="775">
        <f t="shared" si="33"/>
        <v>0</v>
      </c>
      <c r="AI34" s="773">
        <v>22</v>
      </c>
      <c r="AJ34" s="774">
        <f t="shared" si="34"/>
        <v>640</v>
      </c>
      <c r="AK34" s="775">
        <f t="shared" si="35"/>
        <v>0</v>
      </c>
      <c r="AL34" s="775">
        <f t="shared" si="14"/>
        <v>0</v>
      </c>
      <c r="AM34" s="775">
        <f t="shared" si="6"/>
        <v>0</v>
      </c>
      <c r="AN34" s="775">
        <f t="shared" si="36"/>
        <v>0</v>
      </c>
      <c r="AO34" s="775">
        <f t="shared" si="37"/>
        <v>0</v>
      </c>
      <c r="AQ34" s="773">
        <v>22</v>
      </c>
      <c r="AR34" s="774">
        <f t="shared" si="38"/>
        <v>640</v>
      </c>
      <c r="AS34" s="775">
        <f t="shared" si="39"/>
        <v>0</v>
      </c>
      <c r="AT34" s="775">
        <f t="shared" si="15"/>
        <v>0</v>
      </c>
      <c r="AU34" s="775">
        <f t="shared" si="7"/>
        <v>0</v>
      </c>
      <c r="AV34" s="775">
        <f t="shared" si="40"/>
        <v>0</v>
      </c>
      <c r="AW34" s="775">
        <f t="shared" si="41"/>
        <v>0</v>
      </c>
      <c r="AY34" s="773">
        <v>22</v>
      </c>
      <c r="AZ34" s="774">
        <f t="shared" si="42"/>
        <v>640</v>
      </c>
      <c r="BA34" s="775">
        <f t="shared" si="43"/>
        <v>0</v>
      </c>
      <c r="BB34" s="775">
        <f t="shared" si="16"/>
        <v>0</v>
      </c>
      <c r="BC34" s="775">
        <f t="shared" si="8"/>
        <v>0</v>
      </c>
      <c r="BD34" s="775">
        <f t="shared" si="44"/>
        <v>0</v>
      </c>
      <c r="BE34" s="775">
        <f t="shared" si="45"/>
        <v>0</v>
      </c>
      <c r="BG34" s="773">
        <v>22</v>
      </c>
      <c r="BH34" s="774">
        <f t="shared" si="46"/>
        <v>640</v>
      </c>
      <c r="BI34" s="775">
        <f t="shared" si="47"/>
        <v>0</v>
      </c>
      <c r="BJ34" s="775">
        <f t="shared" si="17"/>
        <v>0</v>
      </c>
      <c r="BK34" s="775">
        <f t="shared" si="9"/>
        <v>0</v>
      </c>
      <c r="BL34" s="775">
        <f t="shared" si="48"/>
        <v>0</v>
      </c>
      <c r="BM34" s="775">
        <f t="shared" si="49"/>
        <v>0</v>
      </c>
    </row>
    <row r="35" spans="1:65">
      <c r="A35" s="11">
        <f t="shared" si="2"/>
        <v>1901</v>
      </c>
      <c r="B35" s="773">
        <v>23</v>
      </c>
      <c r="C35" s="774">
        <f t="shared" si="18"/>
        <v>671</v>
      </c>
      <c r="D35" s="775">
        <f t="shared" si="19"/>
        <v>0</v>
      </c>
      <c r="E35" s="775">
        <f t="shared" si="10"/>
        <v>0</v>
      </c>
      <c r="F35" s="775">
        <f t="shared" si="0"/>
        <v>0</v>
      </c>
      <c r="G35" s="775">
        <f t="shared" si="20"/>
        <v>0</v>
      </c>
      <c r="H35" s="775">
        <f t="shared" si="21"/>
        <v>0</v>
      </c>
      <c r="I35" s="775">
        <f t="shared" si="1"/>
        <v>0</v>
      </c>
      <c r="K35" s="773">
        <v>23</v>
      </c>
      <c r="L35" s="774">
        <f t="shared" si="22"/>
        <v>671</v>
      </c>
      <c r="M35" s="775">
        <f t="shared" si="23"/>
        <v>0</v>
      </c>
      <c r="N35" s="775">
        <f t="shared" si="11"/>
        <v>0</v>
      </c>
      <c r="O35" s="775">
        <f t="shared" si="3"/>
        <v>0</v>
      </c>
      <c r="P35" s="775">
        <f t="shared" si="24"/>
        <v>0</v>
      </c>
      <c r="Q35" s="775">
        <f t="shared" si="25"/>
        <v>0</v>
      </c>
      <c r="S35" s="773">
        <v>23</v>
      </c>
      <c r="T35" s="774">
        <f t="shared" si="26"/>
        <v>671</v>
      </c>
      <c r="U35" s="775">
        <f t="shared" si="27"/>
        <v>0</v>
      </c>
      <c r="V35" s="775">
        <f t="shared" si="12"/>
        <v>0</v>
      </c>
      <c r="W35" s="775">
        <f t="shared" si="4"/>
        <v>0</v>
      </c>
      <c r="X35" s="775">
        <f t="shared" si="28"/>
        <v>0</v>
      </c>
      <c r="Y35" s="775">
        <f t="shared" si="29"/>
        <v>0</v>
      </c>
      <c r="AA35" s="773">
        <v>23</v>
      </c>
      <c r="AB35" s="774">
        <f t="shared" si="30"/>
        <v>671</v>
      </c>
      <c r="AC35" s="775">
        <f t="shared" si="31"/>
        <v>0</v>
      </c>
      <c r="AD35" s="775">
        <f t="shared" si="13"/>
        <v>0</v>
      </c>
      <c r="AE35" s="775">
        <f t="shared" si="5"/>
        <v>0</v>
      </c>
      <c r="AF35" s="775">
        <f t="shared" si="32"/>
        <v>0</v>
      </c>
      <c r="AG35" s="775">
        <f t="shared" si="33"/>
        <v>0</v>
      </c>
      <c r="AI35" s="773">
        <v>23</v>
      </c>
      <c r="AJ35" s="774">
        <f t="shared" si="34"/>
        <v>671</v>
      </c>
      <c r="AK35" s="775">
        <f t="shared" si="35"/>
        <v>0</v>
      </c>
      <c r="AL35" s="775">
        <f t="shared" si="14"/>
        <v>0</v>
      </c>
      <c r="AM35" s="775">
        <f t="shared" si="6"/>
        <v>0</v>
      </c>
      <c r="AN35" s="775">
        <f t="shared" si="36"/>
        <v>0</v>
      </c>
      <c r="AO35" s="775">
        <f t="shared" si="37"/>
        <v>0</v>
      </c>
      <c r="AQ35" s="773">
        <v>23</v>
      </c>
      <c r="AR35" s="774">
        <f t="shared" si="38"/>
        <v>671</v>
      </c>
      <c r="AS35" s="775">
        <f t="shared" si="39"/>
        <v>0</v>
      </c>
      <c r="AT35" s="775">
        <f t="shared" si="15"/>
        <v>0</v>
      </c>
      <c r="AU35" s="775">
        <f t="shared" si="7"/>
        <v>0</v>
      </c>
      <c r="AV35" s="775">
        <f t="shared" si="40"/>
        <v>0</v>
      </c>
      <c r="AW35" s="775">
        <f t="shared" si="41"/>
        <v>0</v>
      </c>
      <c r="AY35" s="773">
        <v>23</v>
      </c>
      <c r="AZ35" s="774">
        <f t="shared" si="42"/>
        <v>671</v>
      </c>
      <c r="BA35" s="775">
        <f t="shared" si="43"/>
        <v>0</v>
      </c>
      <c r="BB35" s="775">
        <f t="shared" si="16"/>
        <v>0</v>
      </c>
      <c r="BC35" s="775">
        <f t="shared" si="8"/>
        <v>0</v>
      </c>
      <c r="BD35" s="775">
        <f t="shared" si="44"/>
        <v>0</v>
      </c>
      <c r="BE35" s="775">
        <f t="shared" si="45"/>
        <v>0</v>
      </c>
      <c r="BG35" s="773">
        <v>23</v>
      </c>
      <c r="BH35" s="774">
        <f t="shared" si="46"/>
        <v>671</v>
      </c>
      <c r="BI35" s="775">
        <f t="shared" si="47"/>
        <v>0</v>
      </c>
      <c r="BJ35" s="775">
        <f t="shared" si="17"/>
        <v>0</v>
      </c>
      <c r="BK35" s="775">
        <f t="shared" si="9"/>
        <v>0</v>
      </c>
      <c r="BL35" s="775">
        <f t="shared" si="48"/>
        <v>0</v>
      </c>
      <c r="BM35" s="775">
        <f t="shared" si="49"/>
        <v>0</v>
      </c>
    </row>
    <row r="36" spans="1:65">
      <c r="A36" s="11">
        <f t="shared" si="2"/>
        <v>1901</v>
      </c>
      <c r="B36" s="773">
        <v>24</v>
      </c>
      <c r="C36" s="774">
        <f t="shared" si="18"/>
        <v>701</v>
      </c>
      <c r="D36" s="775">
        <f t="shared" si="19"/>
        <v>0</v>
      </c>
      <c r="E36" s="775">
        <f t="shared" si="10"/>
        <v>0</v>
      </c>
      <c r="F36" s="775">
        <f t="shared" si="0"/>
        <v>0</v>
      </c>
      <c r="G36" s="775">
        <f t="shared" si="20"/>
        <v>0</v>
      </c>
      <c r="H36" s="775">
        <f t="shared" si="21"/>
        <v>0</v>
      </c>
      <c r="I36" s="775">
        <f t="shared" si="1"/>
        <v>0</v>
      </c>
      <c r="K36" s="773">
        <v>24</v>
      </c>
      <c r="L36" s="774">
        <f t="shared" si="22"/>
        <v>701</v>
      </c>
      <c r="M36" s="775">
        <f t="shared" si="23"/>
        <v>0</v>
      </c>
      <c r="N36" s="775">
        <f t="shared" si="11"/>
        <v>0</v>
      </c>
      <c r="O36" s="775">
        <f t="shared" si="3"/>
        <v>0</v>
      </c>
      <c r="P36" s="775">
        <f t="shared" si="24"/>
        <v>0</v>
      </c>
      <c r="Q36" s="775">
        <f t="shared" si="25"/>
        <v>0</v>
      </c>
      <c r="S36" s="773">
        <v>24</v>
      </c>
      <c r="T36" s="774">
        <f t="shared" si="26"/>
        <v>701</v>
      </c>
      <c r="U36" s="775">
        <f t="shared" si="27"/>
        <v>0</v>
      </c>
      <c r="V36" s="775">
        <f t="shared" si="12"/>
        <v>0</v>
      </c>
      <c r="W36" s="775">
        <f t="shared" si="4"/>
        <v>0</v>
      </c>
      <c r="X36" s="775">
        <f t="shared" si="28"/>
        <v>0</v>
      </c>
      <c r="Y36" s="775">
        <f t="shared" si="29"/>
        <v>0</v>
      </c>
      <c r="AA36" s="773">
        <v>24</v>
      </c>
      <c r="AB36" s="774">
        <f t="shared" si="30"/>
        <v>701</v>
      </c>
      <c r="AC36" s="775">
        <f t="shared" si="31"/>
        <v>0</v>
      </c>
      <c r="AD36" s="775">
        <f t="shared" si="13"/>
        <v>0</v>
      </c>
      <c r="AE36" s="775">
        <f t="shared" si="5"/>
        <v>0</v>
      </c>
      <c r="AF36" s="775">
        <f t="shared" si="32"/>
        <v>0</v>
      </c>
      <c r="AG36" s="775">
        <f t="shared" si="33"/>
        <v>0</v>
      </c>
      <c r="AI36" s="773">
        <v>24</v>
      </c>
      <c r="AJ36" s="774">
        <f t="shared" si="34"/>
        <v>701</v>
      </c>
      <c r="AK36" s="775">
        <f t="shared" si="35"/>
        <v>0</v>
      </c>
      <c r="AL36" s="775">
        <f t="shared" si="14"/>
        <v>0</v>
      </c>
      <c r="AM36" s="775">
        <f t="shared" si="6"/>
        <v>0</v>
      </c>
      <c r="AN36" s="775">
        <f t="shared" si="36"/>
        <v>0</v>
      </c>
      <c r="AO36" s="775">
        <f t="shared" si="37"/>
        <v>0</v>
      </c>
      <c r="AQ36" s="773">
        <v>24</v>
      </c>
      <c r="AR36" s="774">
        <f t="shared" si="38"/>
        <v>701</v>
      </c>
      <c r="AS36" s="775">
        <f t="shared" si="39"/>
        <v>0</v>
      </c>
      <c r="AT36" s="775">
        <f t="shared" si="15"/>
        <v>0</v>
      </c>
      <c r="AU36" s="775">
        <f t="shared" si="7"/>
        <v>0</v>
      </c>
      <c r="AV36" s="775">
        <f t="shared" si="40"/>
        <v>0</v>
      </c>
      <c r="AW36" s="775">
        <f t="shared" si="41"/>
        <v>0</v>
      </c>
      <c r="AY36" s="773">
        <v>24</v>
      </c>
      <c r="AZ36" s="774">
        <f t="shared" si="42"/>
        <v>701</v>
      </c>
      <c r="BA36" s="775">
        <f t="shared" si="43"/>
        <v>0</v>
      </c>
      <c r="BB36" s="775">
        <f t="shared" si="16"/>
        <v>0</v>
      </c>
      <c r="BC36" s="775">
        <f t="shared" si="8"/>
        <v>0</v>
      </c>
      <c r="BD36" s="775">
        <f t="shared" si="44"/>
        <v>0</v>
      </c>
      <c r="BE36" s="775">
        <f t="shared" si="45"/>
        <v>0</v>
      </c>
      <c r="BG36" s="773">
        <v>24</v>
      </c>
      <c r="BH36" s="774">
        <f t="shared" si="46"/>
        <v>701</v>
      </c>
      <c r="BI36" s="775">
        <f t="shared" si="47"/>
        <v>0</v>
      </c>
      <c r="BJ36" s="775">
        <f t="shared" si="17"/>
        <v>0</v>
      </c>
      <c r="BK36" s="775">
        <f t="shared" si="9"/>
        <v>0</v>
      </c>
      <c r="BL36" s="775">
        <f t="shared" si="48"/>
        <v>0</v>
      </c>
      <c r="BM36" s="775">
        <f t="shared" si="49"/>
        <v>0</v>
      </c>
    </row>
    <row r="37" spans="1:65">
      <c r="A37" s="11">
        <f t="shared" si="2"/>
        <v>1902</v>
      </c>
      <c r="B37" s="773">
        <v>25</v>
      </c>
      <c r="C37" s="774">
        <f t="shared" si="18"/>
        <v>732</v>
      </c>
      <c r="D37" s="775">
        <f t="shared" si="19"/>
        <v>0</v>
      </c>
      <c r="E37" s="775">
        <f t="shared" si="10"/>
        <v>0</v>
      </c>
      <c r="F37" s="775">
        <f t="shared" si="0"/>
        <v>0</v>
      </c>
      <c r="G37" s="775">
        <f t="shared" si="20"/>
        <v>0</v>
      </c>
      <c r="H37" s="775">
        <f t="shared" si="21"/>
        <v>0</v>
      </c>
      <c r="I37" s="775">
        <f t="shared" si="1"/>
        <v>0</v>
      </c>
      <c r="K37" s="773">
        <v>25</v>
      </c>
      <c r="L37" s="774">
        <f t="shared" si="22"/>
        <v>732</v>
      </c>
      <c r="M37" s="775">
        <f t="shared" si="23"/>
        <v>0</v>
      </c>
      <c r="N37" s="775">
        <f t="shared" si="11"/>
        <v>0</v>
      </c>
      <c r="O37" s="775">
        <f t="shared" si="3"/>
        <v>0</v>
      </c>
      <c r="P37" s="775">
        <f t="shared" si="24"/>
        <v>0</v>
      </c>
      <c r="Q37" s="775">
        <f t="shared" si="25"/>
        <v>0</v>
      </c>
      <c r="S37" s="773">
        <v>25</v>
      </c>
      <c r="T37" s="774">
        <f t="shared" si="26"/>
        <v>732</v>
      </c>
      <c r="U37" s="775">
        <f t="shared" si="27"/>
        <v>0</v>
      </c>
      <c r="V37" s="775">
        <f t="shared" si="12"/>
        <v>0</v>
      </c>
      <c r="W37" s="775">
        <f t="shared" si="4"/>
        <v>0</v>
      </c>
      <c r="X37" s="775">
        <f t="shared" si="28"/>
        <v>0</v>
      </c>
      <c r="Y37" s="775">
        <f t="shared" si="29"/>
        <v>0</v>
      </c>
      <c r="AA37" s="773">
        <v>25</v>
      </c>
      <c r="AB37" s="774">
        <f t="shared" si="30"/>
        <v>732</v>
      </c>
      <c r="AC37" s="775">
        <f t="shared" si="31"/>
        <v>0</v>
      </c>
      <c r="AD37" s="775">
        <f t="shared" si="13"/>
        <v>0</v>
      </c>
      <c r="AE37" s="775">
        <f t="shared" si="5"/>
        <v>0</v>
      </c>
      <c r="AF37" s="775">
        <f t="shared" si="32"/>
        <v>0</v>
      </c>
      <c r="AG37" s="775">
        <f t="shared" si="33"/>
        <v>0</v>
      </c>
      <c r="AI37" s="773">
        <v>25</v>
      </c>
      <c r="AJ37" s="774">
        <f t="shared" si="34"/>
        <v>732</v>
      </c>
      <c r="AK37" s="775">
        <f t="shared" si="35"/>
        <v>0</v>
      </c>
      <c r="AL37" s="775">
        <f t="shared" si="14"/>
        <v>0</v>
      </c>
      <c r="AM37" s="775">
        <f t="shared" si="6"/>
        <v>0</v>
      </c>
      <c r="AN37" s="775">
        <f t="shared" si="36"/>
        <v>0</v>
      </c>
      <c r="AO37" s="775">
        <f t="shared" si="37"/>
        <v>0</v>
      </c>
      <c r="AQ37" s="773">
        <v>25</v>
      </c>
      <c r="AR37" s="774">
        <f t="shared" si="38"/>
        <v>732</v>
      </c>
      <c r="AS37" s="775">
        <f t="shared" si="39"/>
        <v>0</v>
      </c>
      <c r="AT37" s="775">
        <f t="shared" si="15"/>
        <v>0</v>
      </c>
      <c r="AU37" s="775">
        <f t="shared" si="7"/>
        <v>0</v>
      </c>
      <c r="AV37" s="775">
        <f t="shared" si="40"/>
        <v>0</v>
      </c>
      <c r="AW37" s="775">
        <f t="shared" si="41"/>
        <v>0</v>
      </c>
      <c r="AY37" s="773">
        <v>25</v>
      </c>
      <c r="AZ37" s="774">
        <f t="shared" si="42"/>
        <v>732</v>
      </c>
      <c r="BA37" s="775">
        <f t="shared" si="43"/>
        <v>0</v>
      </c>
      <c r="BB37" s="775">
        <f t="shared" si="16"/>
        <v>0</v>
      </c>
      <c r="BC37" s="775">
        <f t="shared" si="8"/>
        <v>0</v>
      </c>
      <c r="BD37" s="775">
        <f t="shared" si="44"/>
        <v>0</v>
      </c>
      <c r="BE37" s="775">
        <f t="shared" si="45"/>
        <v>0</v>
      </c>
      <c r="BG37" s="773">
        <v>25</v>
      </c>
      <c r="BH37" s="774">
        <f t="shared" si="46"/>
        <v>732</v>
      </c>
      <c r="BI37" s="775">
        <f t="shared" si="47"/>
        <v>0</v>
      </c>
      <c r="BJ37" s="775">
        <f t="shared" si="17"/>
        <v>0</v>
      </c>
      <c r="BK37" s="775">
        <f t="shared" si="9"/>
        <v>0</v>
      </c>
      <c r="BL37" s="775">
        <f t="shared" si="48"/>
        <v>0</v>
      </c>
      <c r="BM37" s="775">
        <f t="shared" si="49"/>
        <v>0</v>
      </c>
    </row>
    <row r="38" spans="1:65">
      <c r="A38" s="11">
        <f t="shared" si="2"/>
        <v>1902</v>
      </c>
      <c r="B38" s="773">
        <v>26</v>
      </c>
      <c r="C38" s="774">
        <f t="shared" si="18"/>
        <v>763</v>
      </c>
      <c r="D38" s="775">
        <f t="shared" si="19"/>
        <v>0</v>
      </c>
      <c r="E38" s="775">
        <f t="shared" si="10"/>
        <v>0</v>
      </c>
      <c r="F38" s="775">
        <f t="shared" si="0"/>
        <v>0</v>
      </c>
      <c r="G38" s="775">
        <f t="shared" si="20"/>
        <v>0</v>
      </c>
      <c r="H38" s="775">
        <f t="shared" si="21"/>
        <v>0</v>
      </c>
      <c r="I38" s="775">
        <f t="shared" si="1"/>
        <v>0</v>
      </c>
      <c r="K38" s="773">
        <v>26</v>
      </c>
      <c r="L38" s="774">
        <f t="shared" si="22"/>
        <v>763</v>
      </c>
      <c r="M38" s="775">
        <f t="shared" si="23"/>
        <v>0</v>
      </c>
      <c r="N38" s="775">
        <f t="shared" si="11"/>
        <v>0</v>
      </c>
      <c r="O38" s="775">
        <f t="shared" si="3"/>
        <v>0</v>
      </c>
      <c r="P38" s="775">
        <f t="shared" si="24"/>
        <v>0</v>
      </c>
      <c r="Q38" s="775">
        <f t="shared" si="25"/>
        <v>0</v>
      </c>
      <c r="S38" s="773">
        <v>26</v>
      </c>
      <c r="T38" s="774">
        <f t="shared" si="26"/>
        <v>763</v>
      </c>
      <c r="U38" s="775">
        <f t="shared" si="27"/>
        <v>0</v>
      </c>
      <c r="V38" s="775">
        <f t="shared" si="12"/>
        <v>0</v>
      </c>
      <c r="W38" s="775">
        <f t="shared" si="4"/>
        <v>0</v>
      </c>
      <c r="X38" s="775">
        <f t="shared" si="28"/>
        <v>0</v>
      </c>
      <c r="Y38" s="775">
        <f t="shared" si="29"/>
        <v>0</v>
      </c>
      <c r="AA38" s="773">
        <v>26</v>
      </c>
      <c r="AB38" s="774">
        <f t="shared" si="30"/>
        <v>763</v>
      </c>
      <c r="AC38" s="775">
        <f t="shared" si="31"/>
        <v>0</v>
      </c>
      <c r="AD38" s="775">
        <f t="shared" si="13"/>
        <v>0</v>
      </c>
      <c r="AE38" s="775">
        <f t="shared" si="5"/>
        <v>0</v>
      </c>
      <c r="AF38" s="775">
        <f t="shared" si="32"/>
        <v>0</v>
      </c>
      <c r="AG38" s="775">
        <f t="shared" si="33"/>
        <v>0</v>
      </c>
      <c r="AI38" s="773">
        <v>26</v>
      </c>
      <c r="AJ38" s="774">
        <f t="shared" si="34"/>
        <v>763</v>
      </c>
      <c r="AK38" s="775">
        <f t="shared" si="35"/>
        <v>0</v>
      </c>
      <c r="AL38" s="775">
        <f t="shared" si="14"/>
        <v>0</v>
      </c>
      <c r="AM38" s="775">
        <f t="shared" si="6"/>
        <v>0</v>
      </c>
      <c r="AN38" s="775">
        <f t="shared" si="36"/>
        <v>0</v>
      </c>
      <c r="AO38" s="775">
        <f t="shared" si="37"/>
        <v>0</v>
      </c>
      <c r="AQ38" s="773">
        <v>26</v>
      </c>
      <c r="AR38" s="774">
        <f t="shared" si="38"/>
        <v>763</v>
      </c>
      <c r="AS38" s="775">
        <f t="shared" si="39"/>
        <v>0</v>
      </c>
      <c r="AT38" s="775">
        <f t="shared" si="15"/>
        <v>0</v>
      </c>
      <c r="AU38" s="775">
        <f t="shared" si="7"/>
        <v>0</v>
      </c>
      <c r="AV38" s="775">
        <f t="shared" si="40"/>
        <v>0</v>
      </c>
      <c r="AW38" s="775">
        <f t="shared" si="41"/>
        <v>0</v>
      </c>
      <c r="AY38" s="773">
        <v>26</v>
      </c>
      <c r="AZ38" s="774">
        <f t="shared" si="42"/>
        <v>763</v>
      </c>
      <c r="BA38" s="775">
        <f t="shared" si="43"/>
        <v>0</v>
      </c>
      <c r="BB38" s="775">
        <f t="shared" si="16"/>
        <v>0</v>
      </c>
      <c r="BC38" s="775">
        <f t="shared" si="8"/>
        <v>0</v>
      </c>
      <c r="BD38" s="775">
        <f t="shared" si="44"/>
        <v>0</v>
      </c>
      <c r="BE38" s="775">
        <f t="shared" si="45"/>
        <v>0</v>
      </c>
      <c r="BG38" s="773">
        <v>26</v>
      </c>
      <c r="BH38" s="774">
        <f t="shared" si="46"/>
        <v>763</v>
      </c>
      <c r="BI38" s="775">
        <f t="shared" si="47"/>
        <v>0</v>
      </c>
      <c r="BJ38" s="775">
        <f t="shared" si="17"/>
        <v>0</v>
      </c>
      <c r="BK38" s="775">
        <f t="shared" si="9"/>
        <v>0</v>
      </c>
      <c r="BL38" s="775">
        <f t="shared" si="48"/>
        <v>0</v>
      </c>
      <c r="BM38" s="775">
        <f t="shared" si="49"/>
        <v>0</v>
      </c>
    </row>
    <row r="39" spans="1:65">
      <c r="A39" s="11">
        <f t="shared" si="2"/>
        <v>1902</v>
      </c>
      <c r="B39" s="773">
        <v>27</v>
      </c>
      <c r="C39" s="774">
        <f t="shared" si="18"/>
        <v>791</v>
      </c>
      <c r="D39" s="775">
        <f t="shared" si="19"/>
        <v>0</v>
      </c>
      <c r="E39" s="775">
        <f t="shared" si="10"/>
        <v>0</v>
      </c>
      <c r="F39" s="775">
        <f t="shared" si="0"/>
        <v>0</v>
      </c>
      <c r="G39" s="775">
        <f t="shared" si="20"/>
        <v>0</v>
      </c>
      <c r="H39" s="775">
        <f t="shared" si="21"/>
        <v>0</v>
      </c>
      <c r="I39" s="775">
        <f t="shared" si="1"/>
        <v>0</v>
      </c>
      <c r="K39" s="773">
        <v>27</v>
      </c>
      <c r="L39" s="774">
        <f t="shared" si="22"/>
        <v>791</v>
      </c>
      <c r="M39" s="775">
        <f t="shared" si="23"/>
        <v>0</v>
      </c>
      <c r="N39" s="775">
        <f t="shared" si="11"/>
        <v>0</v>
      </c>
      <c r="O39" s="775">
        <f t="shared" si="3"/>
        <v>0</v>
      </c>
      <c r="P39" s="775">
        <f t="shared" si="24"/>
        <v>0</v>
      </c>
      <c r="Q39" s="775">
        <f t="shared" si="25"/>
        <v>0</v>
      </c>
      <c r="S39" s="773">
        <v>27</v>
      </c>
      <c r="T39" s="774">
        <f t="shared" si="26"/>
        <v>791</v>
      </c>
      <c r="U39" s="775">
        <f t="shared" si="27"/>
        <v>0</v>
      </c>
      <c r="V39" s="775">
        <f t="shared" si="12"/>
        <v>0</v>
      </c>
      <c r="W39" s="775">
        <f t="shared" si="4"/>
        <v>0</v>
      </c>
      <c r="X39" s="775">
        <f t="shared" si="28"/>
        <v>0</v>
      </c>
      <c r="Y39" s="775">
        <f t="shared" si="29"/>
        <v>0</v>
      </c>
      <c r="AA39" s="773">
        <v>27</v>
      </c>
      <c r="AB39" s="774">
        <f t="shared" si="30"/>
        <v>791</v>
      </c>
      <c r="AC39" s="775">
        <f t="shared" si="31"/>
        <v>0</v>
      </c>
      <c r="AD39" s="775">
        <f t="shared" si="13"/>
        <v>0</v>
      </c>
      <c r="AE39" s="775">
        <f t="shared" si="5"/>
        <v>0</v>
      </c>
      <c r="AF39" s="775">
        <f t="shared" si="32"/>
        <v>0</v>
      </c>
      <c r="AG39" s="775">
        <f t="shared" si="33"/>
        <v>0</v>
      </c>
      <c r="AI39" s="773">
        <v>27</v>
      </c>
      <c r="AJ39" s="774">
        <f t="shared" si="34"/>
        <v>791</v>
      </c>
      <c r="AK39" s="775">
        <f t="shared" si="35"/>
        <v>0</v>
      </c>
      <c r="AL39" s="775">
        <f t="shared" si="14"/>
        <v>0</v>
      </c>
      <c r="AM39" s="775">
        <f t="shared" si="6"/>
        <v>0</v>
      </c>
      <c r="AN39" s="775">
        <f t="shared" si="36"/>
        <v>0</v>
      </c>
      <c r="AO39" s="775">
        <f t="shared" si="37"/>
        <v>0</v>
      </c>
      <c r="AQ39" s="773">
        <v>27</v>
      </c>
      <c r="AR39" s="774">
        <f t="shared" si="38"/>
        <v>791</v>
      </c>
      <c r="AS39" s="775">
        <f t="shared" si="39"/>
        <v>0</v>
      </c>
      <c r="AT39" s="775">
        <f t="shared" si="15"/>
        <v>0</v>
      </c>
      <c r="AU39" s="775">
        <f t="shared" si="7"/>
        <v>0</v>
      </c>
      <c r="AV39" s="775">
        <f t="shared" si="40"/>
        <v>0</v>
      </c>
      <c r="AW39" s="775">
        <f t="shared" si="41"/>
        <v>0</v>
      </c>
      <c r="AY39" s="773">
        <v>27</v>
      </c>
      <c r="AZ39" s="774">
        <f t="shared" si="42"/>
        <v>791</v>
      </c>
      <c r="BA39" s="775">
        <f t="shared" si="43"/>
        <v>0</v>
      </c>
      <c r="BB39" s="775">
        <f t="shared" si="16"/>
        <v>0</v>
      </c>
      <c r="BC39" s="775">
        <f t="shared" si="8"/>
        <v>0</v>
      </c>
      <c r="BD39" s="775">
        <f t="shared" si="44"/>
        <v>0</v>
      </c>
      <c r="BE39" s="775">
        <f t="shared" si="45"/>
        <v>0</v>
      </c>
      <c r="BG39" s="773">
        <v>27</v>
      </c>
      <c r="BH39" s="774">
        <f t="shared" si="46"/>
        <v>791</v>
      </c>
      <c r="BI39" s="775">
        <f t="shared" si="47"/>
        <v>0</v>
      </c>
      <c r="BJ39" s="775">
        <f t="shared" si="17"/>
        <v>0</v>
      </c>
      <c r="BK39" s="775">
        <f t="shared" si="9"/>
        <v>0</v>
      </c>
      <c r="BL39" s="775">
        <f t="shared" si="48"/>
        <v>0</v>
      </c>
      <c r="BM39" s="775">
        <f t="shared" si="49"/>
        <v>0</v>
      </c>
    </row>
    <row r="40" spans="1:65">
      <c r="A40" s="11">
        <f t="shared" si="2"/>
        <v>1902</v>
      </c>
      <c r="B40" s="773">
        <v>28</v>
      </c>
      <c r="C40" s="774">
        <f t="shared" si="18"/>
        <v>822</v>
      </c>
      <c r="D40" s="775">
        <f t="shared" si="19"/>
        <v>0</v>
      </c>
      <c r="E40" s="775">
        <f t="shared" si="10"/>
        <v>0</v>
      </c>
      <c r="F40" s="775">
        <f t="shared" si="0"/>
        <v>0</v>
      </c>
      <c r="G40" s="775">
        <f t="shared" si="20"/>
        <v>0</v>
      </c>
      <c r="H40" s="775">
        <f t="shared" si="21"/>
        <v>0</v>
      </c>
      <c r="I40" s="775">
        <f t="shared" si="1"/>
        <v>0</v>
      </c>
      <c r="K40" s="773">
        <v>28</v>
      </c>
      <c r="L40" s="774">
        <f t="shared" si="22"/>
        <v>822</v>
      </c>
      <c r="M40" s="775">
        <f t="shared" si="23"/>
        <v>0</v>
      </c>
      <c r="N40" s="775">
        <f t="shared" si="11"/>
        <v>0</v>
      </c>
      <c r="O40" s="775">
        <f t="shared" si="3"/>
        <v>0</v>
      </c>
      <c r="P40" s="775">
        <f t="shared" si="24"/>
        <v>0</v>
      </c>
      <c r="Q40" s="775">
        <f t="shared" si="25"/>
        <v>0</v>
      </c>
      <c r="S40" s="773">
        <v>28</v>
      </c>
      <c r="T40" s="774">
        <f t="shared" si="26"/>
        <v>822</v>
      </c>
      <c r="U40" s="775">
        <f t="shared" si="27"/>
        <v>0</v>
      </c>
      <c r="V40" s="775">
        <f t="shared" si="12"/>
        <v>0</v>
      </c>
      <c r="W40" s="775">
        <f t="shared" si="4"/>
        <v>0</v>
      </c>
      <c r="X40" s="775">
        <f t="shared" si="28"/>
        <v>0</v>
      </c>
      <c r="Y40" s="775">
        <f t="shared" si="29"/>
        <v>0</v>
      </c>
      <c r="AA40" s="773">
        <v>28</v>
      </c>
      <c r="AB40" s="774">
        <f t="shared" si="30"/>
        <v>822</v>
      </c>
      <c r="AC40" s="775">
        <f t="shared" si="31"/>
        <v>0</v>
      </c>
      <c r="AD40" s="775">
        <f t="shared" si="13"/>
        <v>0</v>
      </c>
      <c r="AE40" s="775">
        <f t="shared" si="5"/>
        <v>0</v>
      </c>
      <c r="AF40" s="775">
        <f t="shared" si="32"/>
        <v>0</v>
      </c>
      <c r="AG40" s="775">
        <f t="shared" si="33"/>
        <v>0</v>
      </c>
      <c r="AI40" s="773">
        <v>28</v>
      </c>
      <c r="AJ40" s="774">
        <f t="shared" si="34"/>
        <v>822</v>
      </c>
      <c r="AK40" s="775">
        <f t="shared" si="35"/>
        <v>0</v>
      </c>
      <c r="AL40" s="775">
        <f t="shared" si="14"/>
        <v>0</v>
      </c>
      <c r="AM40" s="775">
        <f t="shared" si="6"/>
        <v>0</v>
      </c>
      <c r="AN40" s="775">
        <f t="shared" si="36"/>
        <v>0</v>
      </c>
      <c r="AO40" s="775">
        <f t="shared" si="37"/>
        <v>0</v>
      </c>
      <c r="AQ40" s="773">
        <v>28</v>
      </c>
      <c r="AR40" s="774">
        <f t="shared" si="38"/>
        <v>822</v>
      </c>
      <c r="AS40" s="775">
        <f t="shared" si="39"/>
        <v>0</v>
      </c>
      <c r="AT40" s="775">
        <f t="shared" si="15"/>
        <v>0</v>
      </c>
      <c r="AU40" s="775">
        <f t="shared" si="7"/>
        <v>0</v>
      </c>
      <c r="AV40" s="775">
        <f t="shared" si="40"/>
        <v>0</v>
      </c>
      <c r="AW40" s="775">
        <f t="shared" si="41"/>
        <v>0</v>
      </c>
      <c r="AY40" s="773">
        <v>28</v>
      </c>
      <c r="AZ40" s="774">
        <f t="shared" si="42"/>
        <v>822</v>
      </c>
      <c r="BA40" s="775">
        <f t="shared" si="43"/>
        <v>0</v>
      </c>
      <c r="BB40" s="775">
        <f t="shared" si="16"/>
        <v>0</v>
      </c>
      <c r="BC40" s="775">
        <f t="shared" si="8"/>
        <v>0</v>
      </c>
      <c r="BD40" s="775">
        <f t="shared" si="44"/>
        <v>0</v>
      </c>
      <c r="BE40" s="775">
        <f t="shared" si="45"/>
        <v>0</v>
      </c>
      <c r="BG40" s="773">
        <v>28</v>
      </c>
      <c r="BH40" s="774">
        <f t="shared" si="46"/>
        <v>822</v>
      </c>
      <c r="BI40" s="775">
        <f t="shared" si="47"/>
        <v>0</v>
      </c>
      <c r="BJ40" s="775">
        <f t="shared" si="17"/>
        <v>0</v>
      </c>
      <c r="BK40" s="775">
        <f t="shared" si="9"/>
        <v>0</v>
      </c>
      <c r="BL40" s="775">
        <f t="shared" si="48"/>
        <v>0</v>
      </c>
      <c r="BM40" s="775">
        <f t="shared" si="49"/>
        <v>0</v>
      </c>
    </row>
    <row r="41" spans="1:65">
      <c r="A41" s="11">
        <f t="shared" si="2"/>
        <v>1902</v>
      </c>
      <c r="B41" s="773">
        <v>29</v>
      </c>
      <c r="C41" s="774">
        <f t="shared" si="18"/>
        <v>852</v>
      </c>
      <c r="D41" s="775">
        <f t="shared" si="19"/>
        <v>0</v>
      </c>
      <c r="E41" s="775">
        <f t="shared" si="10"/>
        <v>0</v>
      </c>
      <c r="F41" s="775">
        <f t="shared" si="0"/>
        <v>0</v>
      </c>
      <c r="G41" s="775">
        <f t="shared" si="20"/>
        <v>0</v>
      </c>
      <c r="H41" s="775">
        <f t="shared" si="21"/>
        <v>0</v>
      </c>
      <c r="I41" s="775">
        <f t="shared" si="1"/>
        <v>0</v>
      </c>
      <c r="K41" s="773">
        <v>29</v>
      </c>
      <c r="L41" s="774">
        <f t="shared" si="22"/>
        <v>852</v>
      </c>
      <c r="M41" s="775">
        <f t="shared" si="23"/>
        <v>0</v>
      </c>
      <c r="N41" s="775">
        <f t="shared" si="11"/>
        <v>0</v>
      </c>
      <c r="O41" s="775">
        <f t="shared" si="3"/>
        <v>0</v>
      </c>
      <c r="P41" s="775">
        <f t="shared" si="24"/>
        <v>0</v>
      </c>
      <c r="Q41" s="775">
        <f t="shared" si="25"/>
        <v>0</v>
      </c>
      <c r="S41" s="773">
        <v>29</v>
      </c>
      <c r="T41" s="774">
        <f t="shared" si="26"/>
        <v>852</v>
      </c>
      <c r="U41" s="775">
        <f t="shared" si="27"/>
        <v>0</v>
      </c>
      <c r="V41" s="775">
        <f t="shared" si="12"/>
        <v>0</v>
      </c>
      <c r="W41" s="775">
        <f t="shared" si="4"/>
        <v>0</v>
      </c>
      <c r="X41" s="775">
        <f t="shared" si="28"/>
        <v>0</v>
      </c>
      <c r="Y41" s="775">
        <f t="shared" si="29"/>
        <v>0</v>
      </c>
      <c r="AA41" s="773">
        <v>29</v>
      </c>
      <c r="AB41" s="774">
        <f t="shared" si="30"/>
        <v>852</v>
      </c>
      <c r="AC41" s="775">
        <f t="shared" si="31"/>
        <v>0</v>
      </c>
      <c r="AD41" s="775">
        <f t="shared" si="13"/>
        <v>0</v>
      </c>
      <c r="AE41" s="775">
        <f t="shared" si="5"/>
        <v>0</v>
      </c>
      <c r="AF41" s="775">
        <f t="shared" si="32"/>
        <v>0</v>
      </c>
      <c r="AG41" s="775">
        <f t="shared" si="33"/>
        <v>0</v>
      </c>
      <c r="AI41" s="773">
        <v>29</v>
      </c>
      <c r="AJ41" s="774">
        <f t="shared" si="34"/>
        <v>852</v>
      </c>
      <c r="AK41" s="775">
        <f t="shared" si="35"/>
        <v>0</v>
      </c>
      <c r="AL41" s="775">
        <f t="shared" si="14"/>
        <v>0</v>
      </c>
      <c r="AM41" s="775">
        <f t="shared" si="6"/>
        <v>0</v>
      </c>
      <c r="AN41" s="775">
        <f t="shared" si="36"/>
        <v>0</v>
      </c>
      <c r="AO41" s="775">
        <f t="shared" si="37"/>
        <v>0</v>
      </c>
      <c r="AQ41" s="773">
        <v>29</v>
      </c>
      <c r="AR41" s="774">
        <f t="shared" si="38"/>
        <v>852</v>
      </c>
      <c r="AS41" s="775">
        <f t="shared" si="39"/>
        <v>0</v>
      </c>
      <c r="AT41" s="775">
        <f t="shared" si="15"/>
        <v>0</v>
      </c>
      <c r="AU41" s="775">
        <f t="shared" si="7"/>
        <v>0</v>
      </c>
      <c r="AV41" s="775">
        <f t="shared" si="40"/>
        <v>0</v>
      </c>
      <c r="AW41" s="775">
        <f t="shared" si="41"/>
        <v>0</v>
      </c>
      <c r="AY41" s="773">
        <v>29</v>
      </c>
      <c r="AZ41" s="774">
        <f t="shared" si="42"/>
        <v>852</v>
      </c>
      <c r="BA41" s="775">
        <f t="shared" si="43"/>
        <v>0</v>
      </c>
      <c r="BB41" s="775">
        <f t="shared" si="16"/>
        <v>0</v>
      </c>
      <c r="BC41" s="775">
        <f t="shared" si="8"/>
        <v>0</v>
      </c>
      <c r="BD41" s="775">
        <f t="shared" si="44"/>
        <v>0</v>
      </c>
      <c r="BE41" s="775">
        <f t="shared" si="45"/>
        <v>0</v>
      </c>
      <c r="BG41" s="773">
        <v>29</v>
      </c>
      <c r="BH41" s="774">
        <f t="shared" si="46"/>
        <v>852</v>
      </c>
      <c r="BI41" s="775">
        <f t="shared" si="47"/>
        <v>0</v>
      </c>
      <c r="BJ41" s="775">
        <f t="shared" si="17"/>
        <v>0</v>
      </c>
      <c r="BK41" s="775">
        <f t="shared" si="9"/>
        <v>0</v>
      </c>
      <c r="BL41" s="775">
        <f t="shared" si="48"/>
        <v>0</v>
      </c>
      <c r="BM41" s="775">
        <f t="shared" si="49"/>
        <v>0</v>
      </c>
    </row>
    <row r="42" spans="1:65">
      <c r="A42" s="11">
        <f t="shared" si="2"/>
        <v>1902</v>
      </c>
      <c r="B42" s="773">
        <v>30</v>
      </c>
      <c r="C42" s="774">
        <f t="shared" si="18"/>
        <v>883</v>
      </c>
      <c r="D42" s="775">
        <f t="shared" si="19"/>
        <v>0</v>
      </c>
      <c r="E42" s="775">
        <f t="shared" si="10"/>
        <v>0</v>
      </c>
      <c r="F42" s="775">
        <f t="shared" si="0"/>
        <v>0</v>
      </c>
      <c r="G42" s="775">
        <f t="shared" si="20"/>
        <v>0</v>
      </c>
      <c r="H42" s="775">
        <f t="shared" si="21"/>
        <v>0</v>
      </c>
      <c r="I42" s="775">
        <f t="shared" si="1"/>
        <v>0</v>
      </c>
      <c r="K42" s="773">
        <v>30</v>
      </c>
      <c r="L42" s="774">
        <f t="shared" si="22"/>
        <v>883</v>
      </c>
      <c r="M42" s="775">
        <f t="shared" si="23"/>
        <v>0</v>
      </c>
      <c r="N42" s="775">
        <f t="shared" si="11"/>
        <v>0</v>
      </c>
      <c r="O42" s="775">
        <f t="shared" si="3"/>
        <v>0</v>
      </c>
      <c r="P42" s="775">
        <f t="shared" si="24"/>
        <v>0</v>
      </c>
      <c r="Q42" s="775">
        <f t="shared" si="25"/>
        <v>0</v>
      </c>
      <c r="S42" s="773">
        <v>30</v>
      </c>
      <c r="T42" s="774">
        <f t="shared" si="26"/>
        <v>883</v>
      </c>
      <c r="U42" s="775">
        <f t="shared" si="27"/>
        <v>0</v>
      </c>
      <c r="V42" s="775">
        <f t="shared" si="12"/>
        <v>0</v>
      </c>
      <c r="W42" s="775">
        <f t="shared" si="4"/>
        <v>0</v>
      </c>
      <c r="X42" s="775">
        <f t="shared" si="28"/>
        <v>0</v>
      </c>
      <c r="Y42" s="775">
        <f t="shared" si="29"/>
        <v>0</v>
      </c>
      <c r="AA42" s="773">
        <v>30</v>
      </c>
      <c r="AB42" s="774">
        <f t="shared" si="30"/>
        <v>883</v>
      </c>
      <c r="AC42" s="775">
        <f t="shared" si="31"/>
        <v>0</v>
      </c>
      <c r="AD42" s="775">
        <f t="shared" si="13"/>
        <v>0</v>
      </c>
      <c r="AE42" s="775">
        <f t="shared" si="5"/>
        <v>0</v>
      </c>
      <c r="AF42" s="775">
        <f t="shared" si="32"/>
        <v>0</v>
      </c>
      <c r="AG42" s="775">
        <f t="shared" si="33"/>
        <v>0</v>
      </c>
      <c r="AI42" s="773">
        <v>30</v>
      </c>
      <c r="AJ42" s="774">
        <f t="shared" si="34"/>
        <v>883</v>
      </c>
      <c r="AK42" s="775">
        <f t="shared" si="35"/>
        <v>0</v>
      </c>
      <c r="AL42" s="775">
        <f t="shared" si="14"/>
        <v>0</v>
      </c>
      <c r="AM42" s="775">
        <f t="shared" si="6"/>
        <v>0</v>
      </c>
      <c r="AN42" s="775">
        <f t="shared" si="36"/>
        <v>0</v>
      </c>
      <c r="AO42" s="775">
        <f t="shared" si="37"/>
        <v>0</v>
      </c>
      <c r="AQ42" s="773">
        <v>30</v>
      </c>
      <c r="AR42" s="774">
        <f t="shared" si="38"/>
        <v>883</v>
      </c>
      <c r="AS42" s="775">
        <f t="shared" si="39"/>
        <v>0</v>
      </c>
      <c r="AT42" s="775">
        <f t="shared" si="15"/>
        <v>0</v>
      </c>
      <c r="AU42" s="775">
        <f t="shared" si="7"/>
        <v>0</v>
      </c>
      <c r="AV42" s="775">
        <f t="shared" si="40"/>
        <v>0</v>
      </c>
      <c r="AW42" s="775">
        <f t="shared" si="41"/>
        <v>0</v>
      </c>
      <c r="AY42" s="773">
        <v>30</v>
      </c>
      <c r="AZ42" s="774">
        <f t="shared" si="42"/>
        <v>883</v>
      </c>
      <c r="BA42" s="775">
        <f t="shared" si="43"/>
        <v>0</v>
      </c>
      <c r="BB42" s="775">
        <f t="shared" si="16"/>
        <v>0</v>
      </c>
      <c r="BC42" s="775">
        <f t="shared" si="8"/>
        <v>0</v>
      </c>
      <c r="BD42" s="775">
        <f t="shared" si="44"/>
        <v>0</v>
      </c>
      <c r="BE42" s="775">
        <f t="shared" si="45"/>
        <v>0</v>
      </c>
      <c r="BG42" s="773">
        <v>30</v>
      </c>
      <c r="BH42" s="774">
        <f t="shared" si="46"/>
        <v>883</v>
      </c>
      <c r="BI42" s="775">
        <f t="shared" si="47"/>
        <v>0</v>
      </c>
      <c r="BJ42" s="775">
        <f t="shared" si="17"/>
        <v>0</v>
      </c>
      <c r="BK42" s="775">
        <f t="shared" si="9"/>
        <v>0</v>
      </c>
      <c r="BL42" s="775">
        <f t="shared" si="48"/>
        <v>0</v>
      </c>
      <c r="BM42" s="775">
        <f t="shared" si="49"/>
        <v>0</v>
      </c>
    </row>
    <row r="43" spans="1:65">
      <c r="A43" s="11">
        <f t="shared" si="2"/>
        <v>1902</v>
      </c>
      <c r="B43" s="773">
        <v>31</v>
      </c>
      <c r="C43" s="774">
        <f t="shared" si="18"/>
        <v>913</v>
      </c>
      <c r="D43" s="775">
        <f t="shared" si="19"/>
        <v>0</v>
      </c>
      <c r="E43" s="775">
        <f t="shared" si="10"/>
        <v>0</v>
      </c>
      <c r="F43" s="775">
        <f t="shared" si="0"/>
        <v>0</v>
      </c>
      <c r="G43" s="775">
        <f t="shared" si="20"/>
        <v>0</v>
      </c>
      <c r="H43" s="775">
        <f t="shared" si="21"/>
        <v>0</v>
      </c>
      <c r="I43" s="775">
        <f t="shared" si="1"/>
        <v>0</v>
      </c>
      <c r="K43" s="773">
        <v>31</v>
      </c>
      <c r="L43" s="774">
        <f t="shared" si="22"/>
        <v>913</v>
      </c>
      <c r="M43" s="775">
        <f t="shared" si="23"/>
        <v>0</v>
      </c>
      <c r="N43" s="775">
        <f t="shared" si="11"/>
        <v>0</v>
      </c>
      <c r="O43" s="775">
        <f t="shared" si="3"/>
        <v>0</v>
      </c>
      <c r="P43" s="775">
        <f t="shared" si="24"/>
        <v>0</v>
      </c>
      <c r="Q43" s="775">
        <f t="shared" si="25"/>
        <v>0</v>
      </c>
      <c r="S43" s="773">
        <v>31</v>
      </c>
      <c r="T43" s="774">
        <f t="shared" si="26"/>
        <v>913</v>
      </c>
      <c r="U43" s="775">
        <f t="shared" si="27"/>
        <v>0</v>
      </c>
      <c r="V43" s="775">
        <f t="shared" si="12"/>
        <v>0</v>
      </c>
      <c r="W43" s="775">
        <f t="shared" si="4"/>
        <v>0</v>
      </c>
      <c r="X43" s="775">
        <f t="shared" si="28"/>
        <v>0</v>
      </c>
      <c r="Y43" s="775">
        <f t="shared" si="29"/>
        <v>0</v>
      </c>
      <c r="AA43" s="773">
        <v>31</v>
      </c>
      <c r="AB43" s="774">
        <f t="shared" si="30"/>
        <v>913</v>
      </c>
      <c r="AC43" s="775">
        <f t="shared" si="31"/>
        <v>0</v>
      </c>
      <c r="AD43" s="775">
        <f t="shared" si="13"/>
        <v>0</v>
      </c>
      <c r="AE43" s="775">
        <f t="shared" si="5"/>
        <v>0</v>
      </c>
      <c r="AF43" s="775">
        <f t="shared" si="32"/>
        <v>0</v>
      </c>
      <c r="AG43" s="775">
        <f t="shared" si="33"/>
        <v>0</v>
      </c>
      <c r="AI43" s="773">
        <v>31</v>
      </c>
      <c r="AJ43" s="774">
        <f t="shared" si="34"/>
        <v>913</v>
      </c>
      <c r="AK43" s="775">
        <f t="shared" si="35"/>
        <v>0</v>
      </c>
      <c r="AL43" s="775">
        <f t="shared" si="14"/>
        <v>0</v>
      </c>
      <c r="AM43" s="775">
        <f t="shared" si="6"/>
        <v>0</v>
      </c>
      <c r="AN43" s="775">
        <f t="shared" si="36"/>
        <v>0</v>
      </c>
      <c r="AO43" s="775">
        <f t="shared" si="37"/>
        <v>0</v>
      </c>
      <c r="AQ43" s="773">
        <v>31</v>
      </c>
      <c r="AR43" s="774">
        <f t="shared" si="38"/>
        <v>913</v>
      </c>
      <c r="AS43" s="775">
        <f t="shared" si="39"/>
        <v>0</v>
      </c>
      <c r="AT43" s="775">
        <f t="shared" si="15"/>
        <v>0</v>
      </c>
      <c r="AU43" s="775">
        <f t="shared" si="7"/>
        <v>0</v>
      </c>
      <c r="AV43" s="775">
        <f t="shared" si="40"/>
        <v>0</v>
      </c>
      <c r="AW43" s="775">
        <f t="shared" si="41"/>
        <v>0</v>
      </c>
      <c r="AY43" s="773">
        <v>31</v>
      </c>
      <c r="AZ43" s="774">
        <f t="shared" si="42"/>
        <v>913</v>
      </c>
      <c r="BA43" s="775">
        <f t="shared" si="43"/>
        <v>0</v>
      </c>
      <c r="BB43" s="775">
        <f t="shared" si="16"/>
        <v>0</v>
      </c>
      <c r="BC43" s="775">
        <f t="shared" si="8"/>
        <v>0</v>
      </c>
      <c r="BD43" s="775">
        <f t="shared" si="44"/>
        <v>0</v>
      </c>
      <c r="BE43" s="775">
        <f t="shared" si="45"/>
        <v>0</v>
      </c>
      <c r="BG43" s="773">
        <v>31</v>
      </c>
      <c r="BH43" s="774">
        <f t="shared" si="46"/>
        <v>913</v>
      </c>
      <c r="BI43" s="775">
        <f t="shared" si="47"/>
        <v>0</v>
      </c>
      <c r="BJ43" s="775">
        <f t="shared" si="17"/>
        <v>0</v>
      </c>
      <c r="BK43" s="775">
        <f t="shared" si="9"/>
        <v>0</v>
      </c>
      <c r="BL43" s="775">
        <f t="shared" si="48"/>
        <v>0</v>
      </c>
      <c r="BM43" s="775">
        <f t="shared" si="49"/>
        <v>0</v>
      </c>
    </row>
    <row r="44" spans="1:65">
      <c r="A44" s="11">
        <f t="shared" si="2"/>
        <v>1902</v>
      </c>
      <c r="B44" s="773">
        <v>32</v>
      </c>
      <c r="C44" s="774">
        <f t="shared" si="18"/>
        <v>944</v>
      </c>
      <c r="D44" s="775">
        <f t="shared" si="19"/>
        <v>0</v>
      </c>
      <c r="E44" s="775">
        <f t="shared" si="10"/>
        <v>0</v>
      </c>
      <c r="F44" s="775">
        <f t="shared" si="0"/>
        <v>0</v>
      </c>
      <c r="G44" s="775">
        <f t="shared" si="20"/>
        <v>0</v>
      </c>
      <c r="H44" s="775">
        <f t="shared" si="21"/>
        <v>0</v>
      </c>
      <c r="I44" s="775">
        <f t="shared" si="1"/>
        <v>0</v>
      </c>
      <c r="K44" s="773">
        <v>32</v>
      </c>
      <c r="L44" s="774">
        <f t="shared" si="22"/>
        <v>944</v>
      </c>
      <c r="M44" s="775">
        <f t="shared" si="23"/>
        <v>0</v>
      </c>
      <c r="N44" s="775">
        <f t="shared" si="11"/>
        <v>0</v>
      </c>
      <c r="O44" s="775">
        <f t="shared" si="3"/>
        <v>0</v>
      </c>
      <c r="P44" s="775">
        <f t="shared" si="24"/>
        <v>0</v>
      </c>
      <c r="Q44" s="775">
        <f t="shared" si="25"/>
        <v>0</v>
      </c>
      <c r="S44" s="773">
        <v>32</v>
      </c>
      <c r="T44" s="774">
        <f t="shared" si="26"/>
        <v>944</v>
      </c>
      <c r="U44" s="775">
        <f t="shared" si="27"/>
        <v>0</v>
      </c>
      <c r="V44" s="775">
        <f t="shared" si="12"/>
        <v>0</v>
      </c>
      <c r="W44" s="775">
        <f t="shared" si="4"/>
        <v>0</v>
      </c>
      <c r="X44" s="775">
        <f t="shared" si="28"/>
        <v>0</v>
      </c>
      <c r="Y44" s="775">
        <f t="shared" si="29"/>
        <v>0</v>
      </c>
      <c r="AA44" s="773">
        <v>32</v>
      </c>
      <c r="AB44" s="774">
        <f t="shared" si="30"/>
        <v>944</v>
      </c>
      <c r="AC44" s="775">
        <f t="shared" si="31"/>
        <v>0</v>
      </c>
      <c r="AD44" s="775">
        <f t="shared" si="13"/>
        <v>0</v>
      </c>
      <c r="AE44" s="775">
        <f t="shared" si="5"/>
        <v>0</v>
      </c>
      <c r="AF44" s="775">
        <f t="shared" si="32"/>
        <v>0</v>
      </c>
      <c r="AG44" s="775">
        <f t="shared" si="33"/>
        <v>0</v>
      </c>
      <c r="AI44" s="773">
        <v>32</v>
      </c>
      <c r="AJ44" s="774">
        <f t="shared" si="34"/>
        <v>944</v>
      </c>
      <c r="AK44" s="775">
        <f t="shared" si="35"/>
        <v>0</v>
      </c>
      <c r="AL44" s="775">
        <f t="shared" si="14"/>
        <v>0</v>
      </c>
      <c r="AM44" s="775">
        <f t="shared" si="6"/>
        <v>0</v>
      </c>
      <c r="AN44" s="775">
        <f t="shared" si="36"/>
        <v>0</v>
      </c>
      <c r="AO44" s="775">
        <f t="shared" si="37"/>
        <v>0</v>
      </c>
      <c r="AQ44" s="773">
        <v>32</v>
      </c>
      <c r="AR44" s="774">
        <f t="shared" si="38"/>
        <v>944</v>
      </c>
      <c r="AS44" s="775">
        <f t="shared" si="39"/>
        <v>0</v>
      </c>
      <c r="AT44" s="775">
        <f t="shared" si="15"/>
        <v>0</v>
      </c>
      <c r="AU44" s="775">
        <f t="shared" si="7"/>
        <v>0</v>
      </c>
      <c r="AV44" s="775">
        <f t="shared" si="40"/>
        <v>0</v>
      </c>
      <c r="AW44" s="775">
        <f t="shared" si="41"/>
        <v>0</v>
      </c>
      <c r="AY44" s="773">
        <v>32</v>
      </c>
      <c r="AZ44" s="774">
        <f t="shared" si="42"/>
        <v>944</v>
      </c>
      <c r="BA44" s="775">
        <f t="shared" si="43"/>
        <v>0</v>
      </c>
      <c r="BB44" s="775">
        <f t="shared" si="16"/>
        <v>0</v>
      </c>
      <c r="BC44" s="775">
        <f t="shared" si="8"/>
        <v>0</v>
      </c>
      <c r="BD44" s="775">
        <f t="shared" si="44"/>
        <v>0</v>
      </c>
      <c r="BE44" s="775">
        <f t="shared" si="45"/>
        <v>0</v>
      </c>
      <c r="BG44" s="773">
        <v>32</v>
      </c>
      <c r="BH44" s="774">
        <f t="shared" si="46"/>
        <v>944</v>
      </c>
      <c r="BI44" s="775">
        <f t="shared" si="47"/>
        <v>0</v>
      </c>
      <c r="BJ44" s="775">
        <f t="shared" si="17"/>
        <v>0</v>
      </c>
      <c r="BK44" s="775">
        <f t="shared" si="9"/>
        <v>0</v>
      </c>
      <c r="BL44" s="775">
        <f t="shared" si="48"/>
        <v>0</v>
      </c>
      <c r="BM44" s="775">
        <f t="shared" si="49"/>
        <v>0</v>
      </c>
    </row>
    <row r="45" spans="1:65">
      <c r="A45" s="11">
        <f t="shared" si="2"/>
        <v>1902</v>
      </c>
      <c r="B45" s="773">
        <v>33</v>
      </c>
      <c r="C45" s="774">
        <f t="shared" si="18"/>
        <v>975</v>
      </c>
      <c r="D45" s="775">
        <f t="shared" si="19"/>
        <v>0</v>
      </c>
      <c r="E45" s="775">
        <f t="shared" si="10"/>
        <v>0</v>
      </c>
      <c r="F45" s="775">
        <f t="shared" si="0"/>
        <v>0</v>
      </c>
      <c r="G45" s="775">
        <f t="shared" si="20"/>
        <v>0</v>
      </c>
      <c r="H45" s="775">
        <f t="shared" si="21"/>
        <v>0</v>
      </c>
      <c r="I45" s="775">
        <f t="shared" si="1"/>
        <v>0</v>
      </c>
      <c r="K45" s="773">
        <v>33</v>
      </c>
      <c r="L45" s="774">
        <f t="shared" si="22"/>
        <v>975</v>
      </c>
      <c r="M45" s="775">
        <f t="shared" si="23"/>
        <v>0</v>
      </c>
      <c r="N45" s="775">
        <f t="shared" si="11"/>
        <v>0</v>
      </c>
      <c r="O45" s="775">
        <f t="shared" si="3"/>
        <v>0</v>
      </c>
      <c r="P45" s="775">
        <f t="shared" si="24"/>
        <v>0</v>
      </c>
      <c r="Q45" s="775">
        <f t="shared" si="25"/>
        <v>0</v>
      </c>
      <c r="S45" s="773">
        <v>33</v>
      </c>
      <c r="T45" s="774">
        <f t="shared" si="26"/>
        <v>975</v>
      </c>
      <c r="U45" s="775">
        <f t="shared" si="27"/>
        <v>0</v>
      </c>
      <c r="V45" s="775">
        <f t="shared" si="12"/>
        <v>0</v>
      </c>
      <c r="W45" s="775">
        <f t="shared" si="4"/>
        <v>0</v>
      </c>
      <c r="X45" s="775">
        <f t="shared" si="28"/>
        <v>0</v>
      </c>
      <c r="Y45" s="775">
        <f t="shared" si="29"/>
        <v>0</v>
      </c>
      <c r="AA45" s="773">
        <v>33</v>
      </c>
      <c r="AB45" s="774">
        <f t="shared" si="30"/>
        <v>975</v>
      </c>
      <c r="AC45" s="775">
        <f t="shared" si="31"/>
        <v>0</v>
      </c>
      <c r="AD45" s="775">
        <f t="shared" si="13"/>
        <v>0</v>
      </c>
      <c r="AE45" s="775">
        <f t="shared" si="5"/>
        <v>0</v>
      </c>
      <c r="AF45" s="775">
        <f t="shared" si="32"/>
        <v>0</v>
      </c>
      <c r="AG45" s="775">
        <f t="shared" si="33"/>
        <v>0</v>
      </c>
      <c r="AI45" s="773">
        <v>33</v>
      </c>
      <c r="AJ45" s="774">
        <f t="shared" si="34"/>
        <v>975</v>
      </c>
      <c r="AK45" s="775">
        <f t="shared" si="35"/>
        <v>0</v>
      </c>
      <c r="AL45" s="775">
        <f t="shared" si="14"/>
        <v>0</v>
      </c>
      <c r="AM45" s="775">
        <f t="shared" si="6"/>
        <v>0</v>
      </c>
      <c r="AN45" s="775">
        <f t="shared" si="36"/>
        <v>0</v>
      </c>
      <c r="AO45" s="775">
        <f t="shared" si="37"/>
        <v>0</v>
      </c>
      <c r="AQ45" s="773">
        <v>33</v>
      </c>
      <c r="AR45" s="774">
        <f t="shared" si="38"/>
        <v>975</v>
      </c>
      <c r="AS45" s="775">
        <f t="shared" si="39"/>
        <v>0</v>
      </c>
      <c r="AT45" s="775">
        <f t="shared" si="15"/>
        <v>0</v>
      </c>
      <c r="AU45" s="775">
        <f t="shared" si="7"/>
        <v>0</v>
      </c>
      <c r="AV45" s="775">
        <f t="shared" si="40"/>
        <v>0</v>
      </c>
      <c r="AW45" s="775">
        <f t="shared" si="41"/>
        <v>0</v>
      </c>
      <c r="AY45" s="773">
        <v>33</v>
      </c>
      <c r="AZ45" s="774">
        <f t="shared" si="42"/>
        <v>975</v>
      </c>
      <c r="BA45" s="775">
        <f t="shared" si="43"/>
        <v>0</v>
      </c>
      <c r="BB45" s="775">
        <f t="shared" si="16"/>
        <v>0</v>
      </c>
      <c r="BC45" s="775">
        <f t="shared" si="8"/>
        <v>0</v>
      </c>
      <c r="BD45" s="775">
        <f t="shared" si="44"/>
        <v>0</v>
      </c>
      <c r="BE45" s="775">
        <f t="shared" si="45"/>
        <v>0</v>
      </c>
      <c r="BG45" s="773">
        <v>33</v>
      </c>
      <c r="BH45" s="774">
        <f t="shared" si="46"/>
        <v>975</v>
      </c>
      <c r="BI45" s="775">
        <f t="shared" si="47"/>
        <v>0</v>
      </c>
      <c r="BJ45" s="775">
        <f t="shared" si="17"/>
        <v>0</v>
      </c>
      <c r="BK45" s="775">
        <f t="shared" si="9"/>
        <v>0</v>
      </c>
      <c r="BL45" s="775">
        <f t="shared" si="48"/>
        <v>0</v>
      </c>
      <c r="BM45" s="775">
        <f t="shared" si="49"/>
        <v>0</v>
      </c>
    </row>
    <row r="46" spans="1:65">
      <c r="A46" s="11">
        <f t="shared" si="2"/>
        <v>1902</v>
      </c>
      <c r="B46" s="773">
        <v>34</v>
      </c>
      <c r="C46" s="774">
        <f t="shared" si="18"/>
        <v>1005</v>
      </c>
      <c r="D46" s="775">
        <f t="shared" si="19"/>
        <v>0</v>
      </c>
      <c r="E46" s="775">
        <f t="shared" si="10"/>
        <v>0</v>
      </c>
      <c r="F46" s="775">
        <f t="shared" si="0"/>
        <v>0</v>
      </c>
      <c r="G46" s="775">
        <f t="shared" si="20"/>
        <v>0</v>
      </c>
      <c r="H46" s="775">
        <f t="shared" si="21"/>
        <v>0</v>
      </c>
      <c r="I46" s="775">
        <f t="shared" si="1"/>
        <v>0</v>
      </c>
      <c r="K46" s="773">
        <v>34</v>
      </c>
      <c r="L46" s="774">
        <f t="shared" si="22"/>
        <v>1005</v>
      </c>
      <c r="M46" s="775">
        <f t="shared" si="23"/>
        <v>0</v>
      </c>
      <c r="N46" s="775">
        <f t="shared" si="11"/>
        <v>0</v>
      </c>
      <c r="O46" s="775">
        <f t="shared" si="3"/>
        <v>0</v>
      </c>
      <c r="P46" s="775">
        <f t="shared" si="24"/>
        <v>0</v>
      </c>
      <c r="Q46" s="775">
        <f t="shared" si="25"/>
        <v>0</v>
      </c>
      <c r="S46" s="773">
        <v>34</v>
      </c>
      <c r="T46" s="774">
        <f t="shared" si="26"/>
        <v>1005</v>
      </c>
      <c r="U46" s="775">
        <f t="shared" si="27"/>
        <v>0</v>
      </c>
      <c r="V46" s="775">
        <f t="shared" si="12"/>
        <v>0</v>
      </c>
      <c r="W46" s="775">
        <f t="shared" si="4"/>
        <v>0</v>
      </c>
      <c r="X46" s="775">
        <f t="shared" si="28"/>
        <v>0</v>
      </c>
      <c r="Y46" s="775">
        <f t="shared" si="29"/>
        <v>0</v>
      </c>
      <c r="AA46" s="773">
        <v>34</v>
      </c>
      <c r="AB46" s="774">
        <f t="shared" si="30"/>
        <v>1005</v>
      </c>
      <c r="AC46" s="775">
        <f t="shared" si="31"/>
        <v>0</v>
      </c>
      <c r="AD46" s="775">
        <f t="shared" si="13"/>
        <v>0</v>
      </c>
      <c r="AE46" s="775">
        <f t="shared" si="5"/>
        <v>0</v>
      </c>
      <c r="AF46" s="775">
        <f t="shared" si="32"/>
        <v>0</v>
      </c>
      <c r="AG46" s="775">
        <f t="shared" si="33"/>
        <v>0</v>
      </c>
      <c r="AI46" s="773">
        <v>34</v>
      </c>
      <c r="AJ46" s="774">
        <f t="shared" si="34"/>
        <v>1005</v>
      </c>
      <c r="AK46" s="775">
        <f t="shared" si="35"/>
        <v>0</v>
      </c>
      <c r="AL46" s="775">
        <f t="shared" si="14"/>
        <v>0</v>
      </c>
      <c r="AM46" s="775">
        <f t="shared" si="6"/>
        <v>0</v>
      </c>
      <c r="AN46" s="775">
        <f t="shared" si="36"/>
        <v>0</v>
      </c>
      <c r="AO46" s="775">
        <f t="shared" si="37"/>
        <v>0</v>
      </c>
      <c r="AQ46" s="773">
        <v>34</v>
      </c>
      <c r="AR46" s="774">
        <f t="shared" si="38"/>
        <v>1005</v>
      </c>
      <c r="AS46" s="775">
        <f t="shared" si="39"/>
        <v>0</v>
      </c>
      <c r="AT46" s="775">
        <f t="shared" si="15"/>
        <v>0</v>
      </c>
      <c r="AU46" s="775">
        <f t="shared" si="7"/>
        <v>0</v>
      </c>
      <c r="AV46" s="775">
        <f t="shared" si="40"/>
        <v>0</v>
      </c>
      <c r="AW46" s="775">
        <f t="shared" si="41"/>
        <v>0</v>
      </c>
      <c r="AY46" s="773">
        <v>34</v>
      </c>
      <c r="AZ46" s="774">
        <f t="shared" si="42"/>
        <v>1005</v>
      </c>
      <c r="BA46" s="775">
        <f t="shared" si="43"/>
        <v>0</v>
      </c>
      <c r="BB46" s="775">
        <f t="shared" si="16"/>
        <v>0</v>
      </c>
      <c r="BC46" s="775">
        <f t="shared" si="8"/>
        <v>0</v>
      </c>
      <c r="BD46" s="775">
        <f t="shared" si="44"/>
        <v>0</v>
      </c>
      <c r="BE46" s="775">
        <f t="shared" si="45"/>
        <v>0</v>
      </c>
      <c r="BG46" s="773">
        <v>34</v>
      </c>
      <c r="BH46" s="774">
        <f t="shared" si="46"/>
        <v>1005</v>
      </c>
      <c r="BI46" s="775">
        <f t="shared" si="47"/>
        <v>0</v>
      </c>
      <c r="BJ46" s="775">
        <f t="shared" si="17"/>
        <v>0</v>
      </c>
      <c r="BK46" s="775">
        <f t="shared" si="9"/>
        <v>0</v>
      </c>
      <c r="BL46" s="775">
        <f t="shared" si="48"/>
        <v>0</v>
      </c>
      <c r="BM46" s="775">
        <f t="shared" si="49"/>
        <v>0</v>
      </c>
    </row>
    <row r="47" spans="1:65">
      <c r="A47" s="11">
        <f t="shared" si="2"/>
        <v>1902</v>
      </c>
      <c r="B47" s="773">
        <v>35</v>
      </c>
      <c r="C47" s="774">
        <f t="shared" si="18"/>
        <v>1036</v>
      </c>
      <c r="D47" s="775">
        <f t="shared" si="19"/>
        <v>0</v>
      </c>
      <c r="E47" s="775">
        <f t="shared" si="10"/>
        <v>0</v>
      </c>
      <c r="F47" s="775">
        <f t="shared" si="0"/>
        <v>0</v>
      </c>
      <c r="G47" s="775">
        <f t="shared" si="20"/>
        <v>0</v>
      </c>
      <c r="H47" s="775">
        <f t="shared" si="21"/>
        <v>0</v>
      </c>
      <c r="I47" s="775">
        <f t="shared" si="1"/>
        <v>0</v>
      </c>
      <c r="K47" s="773">
        <v>35</v>
      </c>
      <c r="L47" s="774">
        <f t="shared" si="22"/>
        <v>1036</v>
      </c>
      <c r="M47" s="775">
        <f t="shared" si="23"/>
        <v>0</v>
      </c>
      <c r="N47" s="775">
        <f t="shared" si="11"/>
        <v>0</v>
      </c>
      <c r="O47" s="775">
        <f t="shared" si="3"/>
        <v>0</v>
      </c>
      <c r="P47" s="775">
        <f t="shared" si="24"/>
        <v>0</v>
      </c>
      <c r="Q47" s="775">
        <f t="shared" si="25"/>
        <v>0</v>
      </c>
      <c r="S47" s="773">
        <v>35</v>
      </c>
      <c r="T47" s="774">
        <f t="shared" si="26"/>
        <v>1036</v>
      </c>
      <c r="U47" s="775">
        <f t="shared" si="27"/>
        <v>0</v>
      </c>
      <c r="V47" s="775">
        <f t="shared" si="12"/>
        <v>0</v>
      </c>
      <c r="W47" s="775">
        <f t="shared" si="4"/>
        <v>0</v>
      </c>
      <c r="X47" s="775">
        <f t="shared" si="28"/>
        <v>0</v>
      </c>
      <c r="Y47" s="775">
        <f t="shared" si="29"/>
        <v>0</v>
      </c>
      <c r="AA47" s="773">
        <v>35</v>
      </c>
      <c r="AB47" s="774">
        <f t="shared" si="30"/>
        <v>1036</v>
      </c>
      <c r="AC47" s="775">
        <f t="shared" si="31"/>
        <v>0</v>
      </c>
      <c r="AD47" s="775">
        <f t="shared" si="13"/>
        <v>0</v>
      </c>
      <c r="AE47" s="775">
        <f t="shared" si="5"/>
        <v>0</v>
      </c>
      <c r="AF47" s="775">
        <f t="shared" si="32"/>
        <v>0</v>
      </c>
      <c r="AG47" s="775">
        <f t="shared" si="33"/>
        <v>0</v>
      </c>
      <c r="AI47" s="773">
        <v>35</v>
      </c>
      <c r="AJ47" s="774">
        <f t="shared" si="34"/>
        <v>1036</v>
      </c>
      <c r="AK47" s="775">
        <f t="shared" si="35"/>
        <v>0</v>
      </c>
      <c r="AL47" s="775">
        <f t="shared" si="14"/>
        <v>0</v>
      </c>
      <c r="AM47" s="775">
        <f t="shared" si="6"/>
        <v>0</v>
      </c>
      <c r="AN47" s="775">
        <f t="shared" si="36"/>
        <v>0</v>
      </c>
      <c r="AO47" s="775">
        <f t="shared" si="37"/>
        <v>0</v>
      </c>
      <c r="AQ47" s="773">
        <v>35</v>
      </c>
      <c r="AR47" s="774">
        <f t="shared" si="38"/>
        <v>1036</v>
      </c>
      <c r="AS47" s="775">
        <f t="shared" si="39"/>
        <v>0</v>
      </c>
      <c r="AT47" s="775">
        <f t="shared" si="15"/>
        <v>0</v>
      </c>
      <c r="AU47" s="775">
        <f t="shared" si="7"/>
        <v>0</v>
      </c>
      <c r="AV47" s="775">
        <f t="shared" si="40"/>
        <v>0</v>
      </c>
      <c r="AW47" s="775">
        <f t="shared" si="41"/>
        <v>0</v>
      </c>
      <c r="AY47" s="773">
        <v>35</v>
      </c>
      <c r="AZ47" s="774">
        <f t="shared" si="42"/>
        <v>1036</v>
      </c>
      <c r="BA47" s="775">
        <f t="shared" si="43"/>
        <v>0</v>
      </c>
      <c r="BB47" s="775">
        <f t="shared" si="16"/>
        <v>0</v>
      </c>
      <c r="BC47" s="775">
        <f t="shared" si="8"/>
        <v>0</v>
      </c>
      <c r="BD47" s="775">
        <f t="shared" si="44"/>
        <v>0</v>
      </c>
      <c r="BE47" s="775">
        <f t="shared" si="45"/>
        <v>0</v>
      </c>
      <c r="BG47" s="773">
        <v>35</v>
      </c>
      <c r="BH47" s="774">
        <f t="shared" si="46"/>
        <v>1036</v>
      </c>
      <c r="BI47" s="775">
        <f t="shared" si="47"/>
        <v>0</v>
      </c>
      <c r="BJ47" s="775">
        <f t="shared" si="17"/>
        <v>0</v>
      </c>
      <c r="BK47" s="775">
        <f t="shared" si="9"/>
        <v>0</v>
      </c>
      <c r="BL47" s="775">
        <f t="shared" si="48"/>
        <v>0</v>
      </c>
      <c r="BM47" s="775">
        <f t="shared" si="49"/>
        <v>0</v>
      </c>
    </row>
    <row r="48" spans="1:65">
      <c r="A48" s="11">
        <f t="shared" si="2"/>
        <v>1902</v>
      </c>
      <c r="B48" s="773">
        <v>36</v>
      </c>
      <c r="C48" s="774">
        <f t="shared" si="18"/>
        <v>1066</v>
      </c>
      <c r="D48" s="775">
        <f t="shared" si="19"/>
        <v>0</v>
      </c>
      <c r="E48" s="775">
        <f t="shared" si="10"/>
        <v>0</v>
      </c>
      <c r="F48" s="775">
        <f t="shared" si="0"/>
        <v>0</v>
      </c>
      <c r="G48" s="775">
        <f t="shared" si="20"/>
        <v>0</v>
      </c>
      <c r="H48" s="775">
        <f t="shared" si="21"/>
        <v>0</v>
      </c>
      <c r="I48" s="775">
        <f t="shared" si="1"/>
        <v>0</v>
      </c>
      <c r="K48" s="773">
        <v>36</v>
      </c>
      <c r="L48" s="774">
        <f t="shared" si="22"/>
        <v>1066</v>
      </c>
      <c r="M48" s="775">
        <f t="shared" si="23"/>
        <v>0</v>
      </c>
      <c r="N48" s="775">
        <f t="shared" si="11"/>
        <v>0</v>
      </c>
      <c r="O48" s="775">
        <f t="shared" si="3"/>
        <v>0</v>
      </c>
      <c r="P48" s="775">
        <f t="shared" si="24"/>
        <v>0</v>
      </c>
      <c r="Q48" s="775">
        <f t="shared" si="25"/>
        <v>0</v>
      </c>
      <c r="S48" s="773">
        <v>36</v>
      </c>
      <c r="T48" s="774">
        <f t="shared" si="26"/>
        <v>1066</v>
      </c>
      <c r="U48" s="775">
        <f t="shared" si="27"/>
        <v>0</v>
      </c>
      <c r="V48" s="775">
        <f t="shared" si="12"/>
        <v>0</v>
      </c>
      <c r="W48" s="775">
        <f t="shared" si="4"/>
        <v>0</v>
      </c>
      <c r="X48" s="775">
        <f t="shared" si="28"/>
        <v>0</v>
      </c>
      <c r="Y48" s="775">
        <f t="shared" si="29"/>
        <v>0</v>
      </c>
      <c r="AA48" s="773">
        <v>36</v>
      </c>
      <c r="AB48" s="774">
        <f t="shared" si="30"/>
        <v>1066</v>
      </c>
      <c r="AC48" s="775">
        <f t="shared" si="31"/>
        <v>0</v>
      </c>
      <c r="AD48" s="775">
        <f t="shared" si="13"/>
        <v>0</v>
      </c>
      <c r="AE48" s="775">
        <f t="shared" si="5"/>
        <v>0</v>
      </c>
      <c r="AF48" s="775">
        <f t="shared" si="32"/>
        <v>0</v>
      </c>
      <c r="AG48" s="775">
        <f t="shared" si="33"/>
        <v>0</v>
      </c>
      <c r="AI48" s="773">
        <v>36</v>
      </c>
      <c r="AJ48" s="774">
        <f t="shared" si="34"/>
        <v>1066</v>
      </c>
      <c r="AK48" s="775">
        <f t="shared" si="35"/>
        <v>0</v>
      </c>
      <c r="AL48" s="775">
        <f t="shared" si="14"/>
        <v>0</v>
      </c>
      <c r="AM48" s="775">
        <f t="shared" si="6"/>
        <v>0</v>
      </c>
      <c r="AN48" s="775">
        <f t="shared" si="36"/>
        <v>0</v>
      </c>
      <c r="AO48" s="775">
        <f t="shared" si="37"/>
        <v>0</v>
      </c>
      <c r="AQ48" s="773">
        <v>36</v>
      </c>
      <c r="AR48" s="774">
        <f t="shared" si="38"/>
        <v>1066</v>
      </c>
      <c r="AS48" s="775">
        <f t="shared" si="39"/>
        <v>0</v>
      </c>
      <c r="AT48" s="775">
        <f t="shared" si="15"/>
        <v>0</v>
      </c>
      <c r="AU48" s="775">
        <f t="shared" si="7"/>
        <v>0</v>
      </c>
      <c r="AV48" s="775">
        <f t="shared" si="40"/>
        <v>0</v>
      </c>
      <c r="AW48" s="775">
        <f t="shared" si="41"/>
        <v>0</v>
      </c>
      <c r="AY48" s="773">
        <v>36</v>
      </c>
      <c r="AZ48" s="774">
        <f t="shared" si="42"/>
        <v>1066</v>
      </c>
      <c r="BA48" s="775">
        <f t="shared" si="43"/>
        <v>0</v>
      </c>
      <c r="BB48" s="775">
        <f t="shared" si="16"/>
        <v>0</v>
      </c>
      <c r="BC48" s="775">
        <f t="shared" si="8"/>
        <v>0</v>
      </c>
      <c r="BD48" s="775">
        <f t="shared" si="44"/>
        <v>0</v>
      </c>
      <c r="BE48" s="775">
        <f t="shared" si="45"/>
        <v>0</v>
      </c>
      <c r="BG48" s="773">
        <v>36</v>
      </c>
      <c r="BH48" s="774">
        <f t="shared" si="46"/>
        <v>1066</v>
      </c>
      <c r="BI48" s="775">
        <f t="shared" si="47"/>
        <v>0</v>
      </c>
      <c r="BJ48" s="775">
        <f t="shared" si="17"/>
        <v>0</v>
      </c>
      <c r="BK48" s="775">
        <f t="shared" si="9"/>
        <v>0</v>
      </c>
      <c r="BL48" s="775">
        <f t="shared" si="48"/>
        <v>0</v>
      </c>
      <c r="BM48" s="775">
        <f t="shared" si="49"/>
        <v>0</v>
      </c>
    </row>
    <row r="49" spans="1:65">
      <c r="A49" s="11">
        <f t="shared" si="2"/>
        <v>1903</v>
      </c>
      <c r="B49" s="773">
        <v>37</v>
      </c>
      <c r="C49" s="774">
        <f t="shared" si="18"/>
        <v>1097</v>
      </c>
      <c r="D49" s="775">
        <f t="shared" si="19"/>
        <v>0</v>
      </c>
      <c r="E49" s="775">
        <f t="shared" si="10"/>
        <v>0</v>
      </c>
      <c r="F49" s="775">
        <f t="shared" si="0"/>
        <v>0</v>
      </c>
      <c r="G49" s="775">
        <f t="shared" si="20"/>
        <v>0</v>
      </c>
      <c r="H49" s="775">
        <f t="shared" si="21"/>
        <v>0</v>
      </c>
      <c r="I49" s="775">
        <f t="shared" si="1"/>
        <v>0</v>
      </c>
      <c r="K49" s="773">
        <v>37</v>
      </c>
      <c r="L49" s="774">
        <f t="shared" si="22"/>
        <v>1097</v>
      </c>
      <c r="M49" s="775">
        <f t="shared" si="23"/>
        <v>0</v>
      </c>
      <c r="N49" s="775">
        <f t="shared" si="11"/>
        <v>0</v>
      </c>
      <c r="O49" s="775">
        <f t="shared" si="3"/>
        <v>0</v>
      </c>
      <c r="P49" s="775">
        <f t="shared" si="24"/>
        <v>0</v>
      </c>
      <c r="Q49" s="775">
        <f t="shared" si="25"/>
        <v>0</v>
      </c>
      <c r="S49" s="773">
        <v>37</v>
      </c>
      <c r="T49" s="774">
        <f t="shared" si="26"/>
        <v>1097</v>
      </c>
      <c r="U49" s="775">
        <f t="shared" si="27"/>
        <v>0</v>
      </c>
      <c r="V49" s="775">
        <f t="shared" si="12"/>
        <v>0</v>
      </c>
      <c r="W49" s="775">
        <f t="shared" si="4"/>
        <v>0</v>
      </c>
      <c r="X49" s="775">
        <f t="shared" si="28"/>
        <v>0</v>
      </c>
      <c r="Y49" s="775">
        <f t="shared" si="29"/>
        <v>0</v>
      </c>
      <c r="AA49" s="773">
        <v>37</v>
      </c>
      <c r="AB49" s="774">
        <f t="shared" si="30"/>
        <v>1097</v>
      </c>
      <c r="AC49" s="775">
        <f t="shared" si="31"/>
        <v>0</v>
      </c>
      <c r="AD49" s="775">
        <f t="shared" si="13"/>
        <v>0</v>
      </c>
      <c r="AE49" s="775">
        <f t="shared" si="5"/>
        <v>0</v>
      </c>
      <c r="AF49" s="775">
        <f t="shared" si="32"/>
        <v>0</v>
      </c>
      <c r="AG49" s="775">
        <f t="shared" si="33"/>
        <v>0</v>
      </c>
      <c r="AI49" s="773">
        <v>37</v>
      </c>
      <c r="AJ49" s="774">
        <f t="shared" si="34"/>
        <v>1097</v>
      </c>
      <c r="AK49" s="775">
        <f t="shared" si="35"/>
        <v>0</v>
      </c>
      <c r="AL49" s="775">
        <f t="shared" si="14"/>
        <v>0</v>
      </c>
      <c r="AM49" s="775">
        <f t="shared" si="6"/>
        <v>0</v>
      </c>
      <c r="AN49" s="775">
        <f t="shared" si="36"/>
        <v>0</v>
      </c>
      <c r="AO49" s="775">
        <f t="shared" si="37"/>
        <v>0</v>
      </c>
      <c r="AQ49" s="773">
        <v>37</v>
      </c>
      <c r="AR49" s="774">
        <f t="shared" si="38"/>
        <v>1097</v>
      </c>
      <c r="AS49" s="775">
        <f t="shared" si="39"/>
        <v>0</v>
      </c>
      <c r="AT49" s="775">
        <f t="shared" si="15"/>
        <v>0</v>
      </c>
      <c r="AU49" s="775">
        <f t="shared" si="7"/>
        <v>0</v>
      </c>
      <c r="AV49" s="775">
        <f t="shared" si="40"/>
        <v>0</v>
      </c>
      <c r="AW49" s="775">
        <f t="shared" si="41"/>
        <v>0</v>
      </c>
      <c r="AY49" s="773">
        <v>37</v>
      </c>
      <c r="AZ49" s="774">
        <f t="shared" si="42"/>
        <v>1097</v>
      </c>
      <c r="BA49" s="775">
        <f t="shared" si="43"/>
        <v>0</v>
      </c>
      <c r="BB49" s="775">
        <f t="shared" si="16"/>
        <v>0</v>
      </c>
      <c r="BC49" s="775">
        <f t="shared" si="8"/>
        <v>0</v>
      </c>
      <c r="BD49" s="775">
        <f t="shared" si="44"/>
        <v>0</v>
      </c>
      <c r="BE49" s="775">
        <f t="shared" si="45"/>
        <v>0</v>
      </c>
      <c r="BG49" s="773">
        <v>37</v>
      </c>
      <c r="BH49" s="774">
        <f t="shared" si="46"/>
        <v>1097</v>
      </c>
      <c r="BI49" s="775">
        <f t="shared" si="47"/>
        <v>0</v>
      </c>
      <c r="BJ49" s="775">
        <f t="shared" si="17"/>
        <v>0</v>
      </c>
      <c r="BK49" s="775">
        <f t="shared" si="9"/>
        <v>0</v>
      </c>
      <c r="BL49" s="775">
        <f t="shared" si="48"/>
        <v>0</v>
      </c>
      <c r="BM49" s="775">
        <f t="shared" si="49"/>
        <v>0</v>
      </c>
    </row>
    <row r="50" spans="1:65">
      <c r="A50" s="11">
        <f t="shared" si="2"/>
        <v>1903</v>
      </c>
      <c r="B50" s="773">
        <v>38</v>
      </c>
      <c r="C50" s="774">
        <f t="shared" si="18"/>
        <v>1128</v>
      </c>
      <c r="D50" s="775">
        <f t="shared" si="19"/>
        <v>0</v>
      </c>
      <c r="E50" s="775">
        <f t="shared" si="10"/>
        <v>0</v>
      </c>
      <c r="F50" s="775">
        <f t="shared" si="0"/>
        <v>0</v>
      </c>
      <c r="G50" s="775">
        <f t="shared" si="20"/>
        <v>0</v>
      </c>
      <c r="H50" s="775">
        <f t="shared" si="21"/>
        <v>0</v>
      </c>
      <c r="I50" s="775">
        <f t="shared" si="1"/>
        <v>0</v>
      </c>
      <c r="K50" s="773">
        <v>38</v>
      </c>
      <c r="L50" s="774">
        <f t="shared" si="22"/>
        <v>1128</v>
      </c>
      <c r="M50" s="775">
        <f t="shared" si="23"/>
        <v>0</v>
      </c>
      <c r="N50" s="775">
        <f t="shared" si="11"/>
        <v>0</v>
      </c>
      <c r="O50" s="775">
        <f t="shared" si="3"/>
        <v>0</v>
      </c>
      <c r="P50" s="775">
        <f t="shared" si="24"/>
        <v>0</v>
      </c>
      <c r="Q50" s="775">
        <f t="shared" si="25"/>
        <v>0</v>
      </c>
      <c r="S50" s="773">
        <v>38</v>
      </c>
      <c r="T50" s="774">
        <f t="shared" si="26"/>
        <v>1128</v>
      </c>
      <c r="U50" s="775">
        <f t="shared" si="27"/>
        <v>0</v>
      </c>
      <c r="V50" s="775">
        <f t="shared" si="12"/>
        <v>0</v>
      </c>
      <c r="W50" s="775">
        <f t="shared" si="4"/>
        <v>0</v>
      </c>
      <c r="X50" s="775">
        <f t="shared" si="28"/>
        <v>0</v>
      </c>
      <c r="Y50" s="775">
        <f t="shared" si="29"/>
        <v>0</v>
      </c>
      <c r="AA50" s="773">
        <v>38</v>
      </c>
      <c r="AB50" s="774">
        <f t="shared" si="30"/>
        <v>1128</v>
      </c>
      <c r="AC50" s="775">
        <f t="shared" si="31"/>
        <v>0</v>
      </c>
      <c r="AD50" s="775">
        <f t="shared" si="13"/>
        <v>0</v>
      </c>
      <c r="AE50" s="775">
        <f t="shared" si="5"/>
        <v>0</v>
      </c>
      <c r="AF50" s="775">
        <f t="shared" si="32"/>
        <v>0</v>
      </c>
      <c r="AG50" s="775">
        <f t="shared" si="33"/>
        <v>0</v>
      </c>
      <c r="AI50" s="773">
        <v>38</v>
      </c>
      <c r="AJ50" s="774">
        <f t="shared" si="34"/>
        <v>1128</v>
      </c>
      <c r="AK50" s="775">
        <f t="shared" si="35"/>
        <v>0</v>
      </c>
      <c r="AL50" s="775">
        <f t="shared" si="14"/>
        <v>0</v>
      </c>
      <c r="AM50" s="775">
        <f t="shared" si="6"/>
        <v>0</v>
      </c>
      <c r="AN50" s="775">
        <f t="shared" si="36"/>
        <v>0</v>
      </c>
      <c r="AO50" s="775">
        <f t="shared" si="37"/>
        <v>0</v>
      </c>
      <c r="AQ50" s="773">
        <v>38</v>
      </c>
      <c r="AR50" s="774">
        <f t="shared" si="38"/>
        <v>1128</v>
      </c>
      <c r="AS50" s="775">
        <f t="shared" si="39"/>
        <v>0</v>
      </c>
      <c r="AT50" s="775">
        <f t="shared" si="15"/>
        <v>0</v>
      </c>
      <c r="AU50" s="775">
        <f t="shared" si="7"/>
        <v>0</v>
      </c>
      <c r="AV50" s="775">
        <f t="shared" si="40"/>
        <v>0</v>
      </c>
      <c r="AW50" s="775">
        <f t="shared" si="41"/>
        <v>0</v>
      </c>
      <c r="AY50" s="773">
        <v>38</v>
      </c>
      <c r="AZ50" s="774">
        <f t="shared" si="42"/>
        <v>1128</v>
      </c>
      <c r="BA50" s="775">
        <f t="shared" si="43"/>
        <v>0</v>
      </c>
      <c r="BB50" s="775">
        <f t="shared" si="16"/>
        <v>0</v>
      </c>
      <c r="BC50" s="775">
        <f t="shared" si="8"/>
        <v>0</v>
      </c>
      <c r="BD50" s="775">
        <f t="shared" si="44"/>
        <v>0</v>
      </c>
      <c r="BE50" s="775">
        <f t="shared" si="45"/>
        <v>0</v>
      </c>
      <c r="BG50" s="773">
        <v>38</v>
      </c>
      <c r="BH50" s="774">
        <f t="shared" si="46"/>
        <v>1128</v>
      </c>
      <c r="BI50" s="775">
        <f t="shared" si="47"/>
        <v>0</v>
      </c>
      <c r="BJ50" s="775">
        <f t="shared" si="17"/>
        <v>0</v>
      </c>
      <c r="BK50" s="775">
        <f t="shared" si="9"/>
        <v>0</v>
      </c>
      <c r="BL50" s="775">
        <f t="shared" si="48"/>
        <v>0</v>
      </c>
      <c r="BM50" s="775">
        <f t="shared" si="49"/>
        <v>0</v>
      </c>
    </row>
    <row r="51" spans="1:65">
      <c r="A51" s="11">
        <f t="shared" si="2"/>
        <v>1903</v>
      </c>
      <c r="B51" s="773">
        <v>39</v>
      </c>
      <c r="C51" s="774">
        <f t="shared" si="18"/>
        <v>1156</v>
      </c>
      <c r="D51" s="775">
        <f t="shared" si="19"/>
        <v>0</v>
      </c>
      <c r="E51" s="775">
        <f t="shared" si="10"/>
        <v>0</v>
      </c>
      <c r="F51" s="775">
        <f t="shared" si="0"/>
        <v>0</v>
      </c>
      <c r="G51" s="775">
        <f t="shared" si="20"/>
        <v>0</v>
      </c>
      <c r="H51" s="775">
        <f t="shared" si="21"/>
        <v>0</v>
      </c>
      <c r="I51" s="775">
        <f t="shared" si="1"/>
        <v>0</v>
      </c>
      <c r="K51" s="773">
        <v>39</v>
      </c>
      <c r="L51" s="774">
        <f t="shared" si="22"/>
        <v>1156</v>
      </c>
      <c r="M51" s="775">
        <f t="shared" si="23"/>
        <v>0</v>
      </c>
      <c r="N51" s="775">
        <f t="shared" si="11"/>
        <v>0</v>
      </c>
      <c r="O51" s="775">
        <f t="shared" si="3"/>
        <v>0</v>
      </c>
      <c r="P51" s="775">
        <f t="shared" si="24"/>
        <v>0</v>
      </c>
      <c r="Q51" s="775">
        <f t="shared" si="25"/>
        <v>0</v>
      </c>
      <c r="S51" s="773">
        <v>39</v>
      </c>
      <c r="T51" s="774">
        <f t="shared" si="26"/>
        <v>1156</v>
      </c>
      <c r="U51" s="775">
        <f t="shared" si="27"/>
        <v>0</v>
      </c>
      <c r="V51" s="775">
        <f t="shared" si="12"/>
        <v>0</v>
      </c>
      <c r="W51" s="775">
        <f t="shared" si="4"/>
        <v>0</v>
      </c>
      <c r="X51" s="775">
        <f t="shared" si="28"/>
        <v>0</v>
      </c>
      <c r="Y51" s="775">
        <f t="shared" si="29"/>
        <v>0</v>
      </c>
      <c r="AA51" s="773">
        <v>39</v>
      </c>
      <c r="AB51" s="774">
        <f t="shared" si="30"/>
        <v>1156</v>
      </c>
      <c r="AC51" s="775">
        <f t="shared" si="31"/>
        <v>0</v>
      </c>
      <c r="AD51" s="775">
        <f t="shared" si="13"/>
        <v>0</v>
      </c>
      <c r="AE51" s="775">
        <f t="shared" si="5"/>
        <v>0</v>
      </c>
      <c r="AF51" s="775">
        <f t="shared" si="32"/>
        <v>0</v>
      </c>
      <c r="AG51" s="775">
        <f t="shared" si="33"/>
        <v>0</v>
      </c>
      <c r="AI51" s="773">
        <v>39</v>
      </c>
      <c r="AJ51" s="774">
        <f t="shared" si="34"/>
        <v>1156</v>
      </c>
      <c r="AK51" s="775">
        <f t="shared" si="35"/>
        <v>0</v>
      </c>
      <c r="AL51" s="775">
        <f t="shared" si="14"/>
        <v>0</v>
      </c>
      <c r="AM51" s="775">
        <f t="shared" si="6"/>
        <v>0</v>
      </c>
      <c r="AN51" s="775">
        <f t="shared" si="36"/>
        <v>0</v>
      </c>
      <c r="AO51" s="775">
        <f t="shared" si="37"/>
        <v>0</v>
      </c>
      <c r="AQ51" s="773">
        <v>39</v>
      </c>
      <c r="AR51" s="774">
        <f t="shared" si="38"/>
        <v>1156</v>
      </c>
      <c r="AS51" s="775">
        <f t="shared" si="39"/>
        <v>0</v>
      </c>
      <c r="AT51" s="775">
        <f t="shared" si="15"/>
        <v>0</v>
      </c>
      <c r="AU51" s="775">
        <f t="shared" si="7"/>
        <v>0</v>
      </c>
      <c r="AV51" s="775">
        <f t="shared" si="40"/>
        <v>0</v>
      </c>
      <c r="AW51" s="775">
        <f t="shared" si="41"/>
        <v>0</v>
      </c>
      <c r="AY51" s="773">
        <v>39</v>
      </c>
      <c r="AZ51" s="774">
        <f t="shared" si="42"/>
        <v>1156</v>
      </c>
      <c r="BA51" s="775">
        <f t="shared" si="43"/>
        <v>0</v>
      </c>
      <c r="BB51" s="775">
        <f t="shared" si="16"/>
        <v>0</v>
      </c>
      <c r="BC51" s="775">
        <f t="shared" si="8"/>
        <v>0</v>
      </c>
      <c r="BD51" s="775">
        <f t="shared" si="44"/>
        <v>0</v>
      </c>
      <c r="BE51" s="775">
        <f t="shared" si="45"/>
        <v>0</v>
      </c>
      <c r="BG51" s="773">
        <v>39</v>
      </c>
      <c r="BH51" s="774">
        <f t="shared" si="46"/>
        <v>1156</v>
      </c>
      <c r="BI51" s="775">
        <f t="shared" si="47"/>
        <v>0</v>
      </c>
      <c r="BJ51" s="775">
        <f t="shared" si="17"/>
        <v>0</v>
      </c>
      <c r="BK51" s="775">
        <f t="shared" si="9"/>
        <v>0</v>
      </c>
      <c r="BL51" s="775">
        <f t="shared" si="48"/>
        <v>0</v>
      </c>
      <c r="BM51" s="775">
        <f t="shared" si="49"/>
        <v>0</v>
      </c>
    </row>
    <row r="52" spans="1:65">
      <c r="A52" s="11">
        <f t="shared" si="2"/>
        <v>1903</v>
      </c>
      <c r="B52" s="773">
        <v>40</v>
      </c>
      <c r="C52" s="774">
        <f t="shared" si="18"/>
        <v>1187</v>
      </c>
      <c r="D52" s="775">
        <f t="shared" si="19"/>
        <v>0</v>
      </c>
      <c r="E52" s="775">
        <f t="shared" si="10"/>
        <v>0</v>
      </c>
      <c r="F52" s="775">
        <f t="shared" si="0"/>
        <v>0</v>
      </c>
      <c r="G52" s="775">
        <f t="shared" si="20"/>
        <v>0</v>
      </c>
      <c r="H52" s="775">
        <f t="shared" si="21"/>
        <v>0</v>
      </c>
      <c r="I52" s="775">
        <f t="shared" si="1"/>
        <v>0</v>
      </c>
      <c r="K52" s="773">
        <v>40</v>
      </c>
      <c r="L52" s="774">
        <f t="shared" si="22"/>
        <v>1187</v>
      </c>
      <c r="M52" s="775">
        <f t="shared" si="23"/>
        <v>0</v>
      </c>
      <c r="N52" s="775">
        <f t="shared" si="11"/>
        <v>0</v>
      </c>
      <c r="O52" s="775">
        <f t="shared" si="3"/>
        <v>0</v>
      </c>
      <c r="P52" s="775">
        <f t="shared" si="24"/>
        <v>0</v>
      </c>
      <c r="Q52" s="775">
        <f t="shared" si="25"/>
        <v>0</v>
      </c>
      <c r="S52" s="773">
        <v>40</v>
      </c>
      <c r="T52" s="774">
        <f t="shared" si="26"/>
        <v>1187</v>
      </c>
      <c r="U52" s="775">
        <f t="shared" si="27"/>
        <v>0</v>
      </c>
      <c r="V52" s="775">
        <f t="shared" si="12"/>
        <v>0</v>
      </c>
      <c r="W52" s="775">
        <f t="shared" si="4"/>
        <v>0</v>
      </c>
      <c r="X52" s="775">
        <f t="shared" si="28"/>
        <v>0</v>
      </c>
      <c r="Y52" s="775">
        <f t="shared" si="29"/>
        <v>0</v>
      </c>
      <c r="AA52" s="773">
        <v>40</v>
      </c>
      <c r="AB52" s="774">
        <f t="shared" si="30"/>
        <v>1187</v>
      </c>
      <c r="AC52" s="775">
        <f t="shared" si="31"/>
        <v>0</v>
      </c>
      <c r="AD52" s="775">
        <f t="shared" si="13"/>
        <v>0</v>
      </c>
      <c r="AE52" s="775">
        <f t="shared" si="5"/>
        <v>0</v>
      </c>
      <c r="AF52" s="775">
        <f t="shared" si="32"/>
        <v>0</v>
      </c>
      <c r="AG52" s="775">
        <f t="shared" si="33"/>
        <v>0</v>
      </c>
      <c r="AI52" s="773">
        <v>40</v>
      </c>
      <c r="AJ52" s="774">
        <f t="shared" si="34"/>
        <v>1187</v>
      </c>
      <c r="AK52" s="775">
        <f t="shared" si="35"/>
        <v>0</v>
      </c>
      <c r="AL52" s="775">
        <f t="shared" si="14"/>
        <v>0</v>
      </c>
      <c r="AM52" s="775">
        <f t="shared" si="6"/>
        <v>0</v>
      </c>
      <c r="AN52" s="775">
        <f t="shared" si="36"/>
        <v>0</v>
      </c>
      <c r="AO52" s="775">
        <f t="shared" si="37"/>
        <v>0</v>
      </c>
      <c r="AQ52" s="773">
        <v>40</v>
      </c>
      <c r="AR52" s="774">
        <f t="shared" si="38"/>
        <v>1187</v>
      </c>
      <c r="AS52" s="775">
        <f t="shared" si="39"/>
        <v>0</v>
      </c>
      <c r="AT52" s="775">
        <f t="shared" si="15"/>
        <v>0</v>
      </c>
      <c r="AU52" s="775">
        <f t="shared" si="7"/>
        <v>0</v>
      </c>
      <c r="AV52" s="775">
        <f t="shared" si="40"/>
        <v>0</v>
      </c>
      <c r="AW52" s="775">
        <f t="shared" si="41"/>
        <v>0</v>
      </c>
      <c r="AY52" s="773">
        <v>40</v>
      </c>
      <c r="AZ52" s="774">
        <f t="shared" si="42"/>
        <v>1187</v>
      </c>
      <c r="BA52" s="775">
        <f t="shared" si="43"/>
        <v>0</v>
      </c>
      <c r="BB52" s="775">
        <f t="shared" si="16"/>
        <v>0</v>
      </c>
      <c r="BC52" s="775">
        <f t="shared" si="8"/>
        <v>0</v>
      </c>
      <c r="BD52" s="775">
        <f t="shared" si="44"/>
        <v>0</v>
      </c>
      <c r="BE52" s="775">
        <f t="shared" si="45"/>
        <v>0</v>
      </c>
      <c r="BG52" s="773">
        <v>40</v>
      </c>
      <c r="BH52" s="774">
        <f t="shared" si="46"/>
        <v>1187</v>
      </c>
      <c r="BI52" s="775">
        <f t="shared" si="47"/>
        <v>0</v>
      </c>
      <c r="BJ52" s="775">
        <f t="shared" si="17"/>
        <v>0</v>
      </c>
      <c r="BK52" s="775">
        <f t="shared" si="9"/>
        <v>0</v>
      </c>
      <c r="BL52" s="775">
        <f t="shared" si="48"/>
        <v>0</v>
      </c>
      <c r="BM52" s="775">
        <f t="shared" si="49"/>
        <v>0</v>
      </c>
    </row>
    <row r="53" spans="1:65">
      <c r="A53" s="11">
        <f t="shared" si="2"/>
        <v>1903</v>
      </c>
      <c r="B53" s="773">
        <v>41</v>
      </c>
      <c r="C53" s="774">
        <f t="shared" si="18"/>
        <v>1217</v>
      </c>
      <c r="D53" s="775">
        <f t="shared" si="19"/>
        <v>0</v>
      </c>
      <c r="E53" s="775">
        <f t="shared" si="10"/>
        <v>0</v>
      </c>
      <c r="F53" s="775">
        <f t="shared" si="0"/>
        <v>0</v>
      </c>
      <c r="G53" s="775">
        <f t="shared" si="20"/>
        <v>0</v>
      </c>
      <c r="H53" s="775">
        <f t="shared" si="21"/>
        <v>0</v>
      </c>
      <c r="I53" s="775">
        <f t="shared" si="1"/>
        <v>0</v>
      </c>
      <c r="K53" s="773">
        <v>41</v>
      </c>
      <c r="L53" s="774">
        <f t="shared" si="22"/>
        <v>1217</v>
      </c>
      <c r="M53" s="775">
        <f t="shared" si="23"/>
        <v>0</v>
      </c>
      <c r="N53" s="775">
        <f t="shared" si="11"/>
        <v>0</v>
      </c>
      <c r="O53" s="775">
        <f t="shared" si="3"/>
        <v>0</v>
      </c>
      <c r="P53" s="775">
        <f t="shared" si="24"/>
        <v>0</v>
      </c>
      <c r="Q53" s="775">
        <f t="shared" si="25"/>
        <v>0</v>
      </c>
      <c r="S53" s="773">
        <v>41</v>
      </c>
      <c r="T53" s="774">
        <f t="shared" si="26"/>
        <v>1217</v>
      </c>
      <c r="U53" s="775">
        <f t="shared" si="27"/>
        <v>0</v>
      </c>
      <c r="V53" s="775">
        <f t="shared" si="12"/>
        <v>0</v>
      </c>
      <c r="W53" s="775">
        <f t="shared" si="4"/>
        <v>0</v>
      </c>
      <c r="X53" s="775">
        <f t="shared" si="28"/>
        <v>0</v>
      </c>
      <c r="Y53" s="775">
        <f t="shared" si="29"/>
        <v>0</v>
      </c>
      <c r="AA53" s="773">
        <v>41</v>
      </c>
      <c r="AB53" s="774">
        <f t="shared" si="30"/>
        <v>1217</v>
      </c>
      <c r="AC53" s="775">
        <f t="shared" si="31"/>
        <v>0</v>
      </c>
      <c r="AD53" s="775">
        <f t="shared" si="13"/>
        <v>0</v>
      </c>
      <c r="AE53" s="775">
        <f t="shared" si="5"/>
        <v>0</v>
      </c>
      <c r="AF53" s="775">
        <f t="shared" si="32"/>
        <v>0</v>
      </c>
      <c r="AG53" s="775">
        <f t="shared" si="33"/>
        <v>0</v>
      </c>
      <c r="AI53" s="773">
        <v>41</v>
      </c>
      <c r="AJ53" s="774">
        <f t="shared" si="34"/>
        <v>1217</v>
      </c>
      <c r="AK53" s="775">
        <f t="shared" si="35"/>
        <v>0</v>
      </c>
      <c r="AL53" s="775">
        <f t="shared" si="14"/>
        <v>0</v>
      </c>
      <c r="AM53" s="775">
        <f t="shared" si="6"/>
        <v>0</v>
      </c>
      <c r="AN53" s="775">
        <f t="shared" si="36"/>
        <v>0</v>
      </c>
      <c r="AO53" s="775">
        <f t="shared" si="37"/>
        <v>0</v>
      </c>
      <c r="AQ53" s="773">
        <v>41</v>
      </c>
      <c r="AR53" s="774">
        <f t="shared" si="38"/>
        <v>1217</v>
      </c>
      <c r="AS53" s="775">
        <f t="shared" si="39"/>
        <v>0</v>
      </c>
      <c r="AT53" s="775">
        <f t="shared" si="15"/>
        <v>0</v>
      </c>
      <c r="AU53" s="775">
        <f t="shared" si="7"/>
        <v>0</v>
      </c>
      <c r="AV53" s="775">
        <f t="shared" si="40"/>
        <v>0</v>
      </c>
      <c r="AW53" s="775">
        <f t="shared" si="41"/>
        <v>0</v>
      </c>
      <c r="AY53" s="773">
        <v>41</v>
      </c>
      <c r="AZ53" s="774">
        <f t="shared" si="42"/>
        <v>1217</v>
      </c>
      <c r="BA53" s="775">
        <f t="shared" si="43"/>
        <v>0</v>
      </c>
      <c r="BB53" s="775">
        <f t="shared" si="16"/>
        <v>0</v>
      </c>
      <c r="BC53" s="775">
        <f t="shared" si="8"/>
        <v>0</v>
      </c>
      <c r="BD53" s="775">
        <f t="shared" si="44"/>
        <v>0</v>
      </c>
      <c r="BE53" s="775">
        <f t="shared" si="45"/>
        <v>0</v>
      </c>
      <c r="BG53" s="773">
        <v>41</v>
      </c>
      <c r="BH53" s="774">
        <f t="shared" si="46"/>
        <v>1217</v>
      </c>
      <c r="BI53" s="775">
        <f t="shared" si="47"/>
        <v>0</v>
      </c>
      <c r="BJ53" s="775">
        <f t="shared" si="17"/>
        <v>0</v>
      </c>
      <c r="BK53" s="775">
        <f t="shared" si="9"/>
        <v>0</v>
      </c>
      <c r="BL53" s="775">
        <f t="shared" si="48"/>
        <v>0</v>
      </c>
      <c r="BM53" s="775">
        <f t="shared" si="49"/>
        <v>0</v>
      </c>
    </row>
    <row r="54" spans="1:65">
      <c r="A54" s="11">
        <f t="shared" si="2"/>
        <v>1903</v>
      </c>
      <c r="B54" s="773">
        <v>42</v>
      </c>
      <c r="C54" s="774">
        <f t="shared" si="18"/>
        <v>1248</v>
      </c>
      <c r="D54" s="775">
        <f t="shared" si="19"/>
        <v>0</v>
      </c>
      <c r="E54" s="775">
        <f t="shared" si="10"/>
        <v>0</v>
      </c>
      <c r="F54" s="775">
        <f t="shared" si="0"/>
        <v>0</v>
      </c>
      <c r="G54" s="775">
        <f t="shared" si="20"/>
        <v>0</v>
      </c>
      <c r="H54" s="775">
        <f t="shared" si="21"/>
        <v>0</v>
      </c>
      <c r="I54" s="775">
        <f t="shared" si="1"/>
        <v>0</v>
      </c>
      <c r="K54" s="773">
        <v>42</v>
      </c>
      <c r="L54" s="774">
        <f t="shared" si="22"/>
        <v>1248</v>
      </c>
      <c r="M54" s="775">
        <f t="shared" si="23"/>
        <v>0</v>
      </c>
      <c r="N54" s="775">
        <f t="shared" si="11"/>
        <v>0</v>
      </c>
      <c r="O54" s="775">
        <f t="shared" si="3"/>
        <v>0</v>
      </c>
      <c r="P54" s="775">
        <f t="shared" si="24"/>
        <v>0</v>
      </c>
      <c r="Q54" s="775">
        <f t="shared" si="25"/>
        <v>0</v>
      </c>
      <c r="S54" s="773">
        <v>42</v>
      </c>
      <c r="T54" s="774">
        <f t="shared" si="26"/>
        <v>1248</v>
      </c>
      <c r="U54" s="775">
        <f t="shared" si="27"/>
        <v>0</v>
      </c>
      <c r="V54" s="775">
        <f t="shared" si="12"/>
        <v>0</v>
      </c>
      <c r="W54" s="775">
        <f t="shared" si="4"/>
        <v>0</v>
      </c>
      <c r="X54" s="775">
        <f t="shared" si="28"/>
        <v>0</v>
      </c>
      <c r="Y54" s="775">
        <f t="shared" si="29"/>
        <v>0</v>
      </c>
      <c r="AA54" s="773">
        <v>42</v>
      </c>
      <c r="AB54" s="774">
        <f t="shared" si="30"/>
        <v>1248</v>
      </c>
      <c r="AC54" s="775">
        <f t="shared" si="31"/>
        <v>0</v>
      </c>
      <c r="AD54" s="775">
        <f t="shared" si="13"/>
        <v>0</v>
      </c>
      <c r="AE54" s="775">
        <f t="shared" si="5"/>
        <v>0</v>
      </c>
      <c r="AF54" s="775">
        <f t="shared" si="32"/>
        <v>0</v>
      </c>
      <c r="AG54" s="775">
        <f t="shared" si="33"/>
        <v>0</v>
      </c>
      <c r="AI54" s="773">
        <v>42</v>
      </c>
      <c r="AJ54" s="774">
        <f t="shared" si="34"/>
        <v>1248</v>
      </c>
      <c r="AK54" s="775">
        <f t="shared" si="35"/>
        <v>0</v>
      </c>
      <c r="AL54" s="775">
        <f t="shared" si="14"/>
        <v>0</v>
      </c>
      <c r="AM54" s="775">
        <f t="shared" si="6"/>
        <v>0</v>
      </c>
      <c r="AN54" s="775">
        <f t="shared" si="36"/>
        <v>0</v>
      </c>
      <c r="AO54" s="775">
        <f t="shared" si="37"/>
        <v>0</v>
      </c>
      <c r="AQ54" s="773">
        <v>42</v>
      </c>
      <c r="AR54" s="774">
        <f t="shared" si="38"/>
        <v>1248</v>
      </c>
      <c r="AS54" s="775">
        <f t="shared" si="39"/>
        <v>0</v>
      </c>
      <c r="AT54" s="775">
        <f t="shared" si="15"/>
        <v>0</v>
      </c>
      <c r="AU54" s="775">
        <f t="shared" si="7"/>
        <v>0</v>
      </c>
      <c r="AV54" s="775">
        <f t="shared" si="40"/>
        <v>0</v>
      </c>
      <c r="AW54" s="775">
        <f t="shared" si="41"/>
        <v>0</v>
      </c>
      <c r="AY54" s="773">
        <v>42</v>
      </c>
      <c r="AZ54" s="774">
        <f t="shared" si="42"/>
        <v>1248</v>
      </c>
      <c r="BA54" s="775">
        <f t="shared" si="43"/>
        <v>0</v>
      </c>
      <c r="BB54" s="775">
        <f t="shared" si="16"/>
        <v>0</v>
      </c>
      <c r="BC54" s="775">
        <f t="shared" si="8"/>
        <v>0</v>
      </c>
      <c r="BD54" s="775">
        <f t="shared" si="44"/>
        <v>0</v>
      </c>
      <c r="BE54" s="775">
        <f t="shared" si="45"/>
        <v>0</v>
      </c>
      <c r="BG54" s="773">
        <v>42</v>
      </c>
      <c r="BH54" s="774">
        <f t="shared" si="46"/>
        <v>1248</v>
      </c>
      <c r="BI54" s="775">
        <f t="shared" si="47"/>
        <v>0</v>
      </c>
      <c r="BJ54" s="775">
        <f t="shared" si="17"/>
        <v>0</v>
      </c>
      <c r="BK54" s="775">
        <f t="shared" si="9"/>
        <v>0</v>
      </c>
      <c r="BL54" s="775">
        <f t="shared" si="48"/>
        <v>0</v>
      </c>
      <c r="BM54" s="775">
        <f t="shared" si="49"/>
        <v>0</v>
      </c>
    </row>
    <row r="55" spans="1:65">
      <c r="A55" s="11">
        <f t="shared" si="2"/>
        <v>1903</v>
      </c>
      <c r="B55" s="773">
        <v>43</v>
      </c>
      <c r="C55" s="774">
        <f t="shared" si="18"/>
        <v>1278</v>
      </c>
      <c r="D55" s="775">
        <f t="shared" si="19"/>
        <v>0</v>
      </c>
      <c r="E55" s="775">
        <f t="shared" si="10"/>
        <v>0</v>
      </c>
      <c r="F55" s="775">
        <f t="shared" si="0"/>
        <v>0</v>
      </c>
      <c r="G55" s="775">
        <f t="shared" si="20"/>
        <v>0</v>
      </c>
      <c r="H55" s="775">
        <f t="shared" si="21"/>
        <v>0</v>
      </c>
      <c r="I55" s="775">
        <f t="shared" si="1"/>
        <v>0</v>
      </c>
      <c r="K55" s="773">
        <v>43</v>
      </c>
      <c r="L55" s="774">
        <f t="shared" si="22"/>
        <v>1278</v>
      </c>
      <c r="M55" s="775">
        <f t="shared" si="23"/>
        <v>0</v>
      </c>
      <c r="N55" s="775">
        <f t="shared" si="11"/>
        <v>0</v>
      </c>
      <c r="O55" s="775">
        <f t="shared" si="3"/>
        <v>0</v>
      </c>
      <c r="P55" s="775">
        <f t="shared" si="24"/>
        <v>0</v>
      </c>
      <c r="Q55" s="775">
        <f t="shared" si="25"/>
        <v>0</v>
      </c>
      <c r="S55" s="773">
        <v>43</v>
      </c>
      <c r="T55" s="774">
        <f t="shared" si="26"/>
        <v>1278</v>
      </c>
      <c r="U55" s="775">
        <f t="shared" si="27"/>
        <v>0</v>
      </c>
      <c r="V55" s="775">
        <f t="shared" si="12"/>
        <v>0</v>
      </c>
      <c r="W55" s="775">
        <f t="shared" si="4"/>
        <v>0</v>
      </c>
      <c r="X55" s="775">
        <f t="shared" si="28"/>
        <v>0</v>
      </c>
      <c r="Y55" s="775">
        <f t="shared" si="29"/>
        <v>0</v>
      </c>
      <c r="AA55" s="773">
        <v>43</v>
      </c>
      <c r="AB55" s="774">
        <f t="shared" si="30"/>
        <v>1278</v>
      </c>
      <c r="AC55" s="775">
        <f t="shared" si="31"/>
        <v>0</v>
      </c>
      <c r="AD55" s="775">
        <f t="shared" si="13"/>
        <v>0</v>
      </c>
      <c r="AE55" s="775">
        <f t="shared" si="5"/>
        <v>0</v>
      </c>
      <c r="AF55" s="775">
        <f t="shared" si="32"/>
        <v>0</v>
      </c>
      <c r="AG55" s="775">
        <f t="shared" si="33"/>
        <v>0</v>
      </c>
      <c r="AI55" s="773">
        <v>43</v>
      </c>
      <c r="AJ55" s="774">
        <f t="shared" si="34"/>
        <v>1278</v>
      </c>
      <c r="AK55" s="775">
        <f t="shared" si="35"/>
        <v>0</v>
      </c>
      <c r="AL55" s="775">
        <f t="shared" si="14"/>
        <v>0</v>
      </c>
      <c r="AM55" s="775">
        <f t="shared" si="6"/>
        <v>0</v>
      </c>
      <c r="AN55" s="775">
        <f t="shared" si="36"/>
        <v>0</v>
      </c>
      <c r="AO55" s="775">
        <f t="shared" si="37"/>
        <v>0</v>
      </c>
      <c r="AQ55" s="773">
        <v>43</v>
      </c>
      <c r="AR55" s="774">
        <f t="shared" si="38"/>
        <v>1278</v>
      </c>
      <c r="AS55" s="775">
        <f t="shared" si="39"/>
        <v>0</v>
      </c>
      <c r="AT55" s="775">
        <f t="shared" si="15"/>
        <v>0</v>
      </c>
      <c r="AU55" s="775">
        <f t="shared" si="7"/>
        <v>0</v>
      </c>
      <c r="AV55" s="775">
        <f t="shared" si="40"/>
        <v>0</v>
      </c>
      <c r="AW55" s="775">
        <f t="shared" si="41"/>
        <v>0</v>
      </c>
      <c r="AY55" s="773">
        <v>43</v>
      </c>
      <c r="AZ55" s="774">
        <f t="shared" si="42"/>
        <v>1278</v>
      </c>
      <c r="BA55" s="775">
        <f t="shared" si="43"/>
        <v>0</v>
      </c>
      <c r="BB55" s="775">
        <f t="shared" si="16"/>
        <v>0</v>
      </c>
      <c r="BC55" s="775">
        <f t="shared" si="8"/>
        <v>0</v>
      </c>
      <c r="BD55" s="775">
        <f t="shared" si="44"/>
        <v>0</v>
      </c>
      <c r="BE55" s="775">
        <f t="shared" si="45"/>
        <v>0</v>
      </c>
      <c r="BG55" s="773">
        <v>43</v>
      </c>
      <c r="BH55" s="774">
        <f t="shared" si="46"/>
        <v>1278</v>
      </c>
      <c r="BI55" s="775">
        <f t="shared" si="47"/>
        <v>0</v>
      </c>
      <c r="BJ55" s="775">
        <f t="shared" si="17"/>
        <v>0</v>
      </c>
      <c r="BK55" s="775">
        <f t="shared" si="9"/>
        <v>0</v>
      </c>
      <c r="BL55" s="775">
        <f t="shared" si="48"/>
        <v>0</v>
      </c>
      <c r="BM55" s="775">
        <f t="shared" si="49"/>
        <v>0</v>
      </c>
    </row>
    <row r="56" spans="1:65">
      <c r="A56" s="11">
        <f t="shared" si="2"/>
        <v>1903</v>
      </c>
      <c r="B56" s="773">
        <v>44</v>
      </c>
      <c r="C56" s="774">
        <f t="shared" si="18"/>
        <v>1309</v>
      </c>
      <c r="D56" s="775">
        <f t="shared" si="19"/>
        <v>0</v>
      </c>
      <c r="E56" s="775">
        <f t="shared" si="10"/>
        <v>0</v>
      </c>
      <c r="F56" s="775">
        <f t="shared" si="0"/>
        <v>0</v>
      </c>
      <c r="G56" s="775">
        <f t="shared" si="20"/>
        <v>0</v>
      </c>
      <c r="H56" s="775">
        <f t="shared" si="21"/>
        <v>0</v>
      </c>
      <c r="I56" s="775">
        <f t="shared" si="1"/>
        <v>0</v>
      </c>
      <c r="K56" s="773">
        <v>44</v>
      </c>
      <c r="L56" s="774">
        <f t="shared" si="22"/>
        <v>1309</v>
      </c>
      <c r="M56" s="775">
        <f t="shared" si="23"/>
        <v>0</v>
      </c>
      <c r="N56" s="775">
        <f t="shared" si="11"/>
        <v>0</v>
      </c>
      <c r="O56" s="775">
        <f t="shared" si="3"/>
        <v>0</v>
      </c>
      <c r="P56" s="775">
        <f t="shared" si="24"/>
        <v>0</v>
      </c>
      <c r="Q56" s="775">
        <f t="shared" si="25"/>
        <v>0</v>
      </c>
      <c r="S56" s="773">
        <v>44</v>
      </c>
      <c r="T56" s="774">
        <f t="shared" si="26"/>
        <v>1309</v>
      </c>
      <c r="U56" s="775">
        <f t="shared" si="27"/>
        <v>0</v>
      </c>
      <c r="V56" s="775">
        <f t="shared" si="12"/>
        <v>0</v>
      </c>
      <c r="W56" s="775">
        <f t="shared" si="4"/>
        <v>0</v>
      </c>
      <c r="X56" s="775">
        <f t="shared" si="28"/>
        <v>0</v>
      </c>
      <c r="Y56" s="775">
        <f t="shared" si="29"/>
        <v>0</v>
      </c>
      <c r="AA56" s="773">
        <v>44</v>
      </c>
      <c r="AB56" s="774">
        <f t="shared" si="30"/>
        <v>1309</v>
      </c>
      <c r="AC56" s="775">
        <f t="shared" si="31"/>
        <v>0</v>
      </c>
      <c r="AD56" s="775">
        <f t="shared" si="13"/>
        <v>0</v>
      </c>
      <c r="AE56" s="775">
        <f t="shared" si="5"/>
        <v>0</v>
      </c>
      <c r="AF56" s="775">
        <f t="shared" si="32"/>
        <v>0</v>
      </c>
      <c r="AG56" s="775">
        <f t="shared" si="33"/>
        <v>0</v>
      </c>
      <c r="AI56" s="773">
        <v>44</v>
      </c>
      <c r="AJ56" s="774">
        <f t="shared" si="34"/>
        <v>1309</v>
      </c>
      <c r="AK56" s="775">
        <f t="shared" si="35"/>
        <v>0</v>
      </c>
      <c r="AL56" s="775">
        <f t="shared" si="14"/>
        <v>0</v>
      </c>
      <c r="AM56" s="775">
        <f t="shared" si="6"/>
        <v>0</v>
      </c>
      <c r="AN56" s="775">
        <f t="shared" si="36"/>
        <v>0</v>
      </c>
      <c r="AO56" s="775">
        <f t="shared" si="37"/>
        <v>0</v>
      </c>
      <c r="AQ56" s="773">
        <v>44</v>
      </c>
      <c r="AR56" s="774">
        <f t="shared" si="38"/>
        <v>1309</v>
      </c>
      <c r="AS56" s="775">
        <f t="shared" si="39"/>
        <v>0</v>
      </c>
      <c r="AT56" s="775">
        <f t="shared" si="15"/>
        <v>0</v>
      </c>
      <c r="AU56" s="775">
        <f t="shared" si="7"/>
        <v>0</v>
      </c>
      <c r="AV56" s="775">
        <f t="shared" si="40"/>
        <v>0</v>
      </c>
      <c r="AW56" s="775">
        <f t="shared" si="41"/>
        <v>0</v>
      </c>
      <c r="AY56" s="773">
        <v>44</v>
      </c>
      <c r="AZ56" s="774">
        <f t="shared" si="42"/>
        <v>1309</v>
      </c>
      <c r="BA56" s="775">
        <f t="shared" si="43"/>
        <v>0</v>
      </c>
      <c r="BB56" s="775">
        <f t="shared" si="16"/>
        <v>0</v>
      </c>
      <c r="BC56" s="775">
        <f t="shared" si="8"/>
        <v>0</v>
      </c>
      <c r="BD56" s="775">
        <f t="shared" si="44"/>
        <v>0</v>
      </c>
      <c r="BE56" s="775">
        <f t="shared" si="45"/>
        <v>0</v>
      </c>
      <c r="BG56" s="773">
        <v>44</v>
      </c>
      <c r="BH56" s="774">
        <f t="shared" si="46"/>
        <v>1309</v>
      </c>
      <c r="BI56" s="775">
        <f t="shared" si="47"/>
        <v>0</v>
      </c>
      <c r="BJ56" s="775">
        <f t="shared" si="17"/>
        <v>0</v>
      </c>
      <c r="BK56" s="775">
        <f t="shared" si="9"/>
        <v>0</v>
      </c>
      <c r="BL56" s="775">
        <f t="shared" si="48"/>
        <v>0</v>
      </c>
      <c r="BM56" s="775">
        <f t="shared" si="49"/>
        <v>0</v>
      </c>
    </row>
    <row r="57" spans="1:65">
      <c r="A57" s="11">
        <f t="shared" si="2"/>
        <v>1903</v>
      </c>
      <c r="B57" s="773">
        <v>45</v>
      </c>
      <c r="C57" s="774">
        <f t="shared" si="18"/>
        <v>1340</v>
      </c>
      <c r="D57" s="775">
        <f t="shared" si="19"/>
        <v>0</v>
      </c>
      <c r="E57" s="775">
        <f t="shared" si="10"/>
        <v>0</v>
      </c>
      <c r="F57" s="775">
        <f t="shared" si="0"/>
        <v>0</v>
      </c>
      <c r="G57" s="775">
        <f t="shared" si="20"/>
        <v>0</v>
      </c>
      <c r="H57" s="775">
        <f t="shared" si="21"/>
        <v>0</v>
      </c>
      <c r="I57" s="775">
        <f t="shared" si="1"/>
        <v>0</v>
      </c>
      <c r="K57" s="773">
        <v>45</v>
      </c>
      <c r="L57" s="774">
        <f t="shared" si="22"/>
        <v>1340</v>
      </c>
      <c r="M57" s="775">
        <f t="shared" si="23"/>
        <v>0</v>
      </c>
      <c r="N57" s="775">
        <f t="shared" si="11"/>
        <v>0</v>
      </c>
      <c r="O57" s="775">
        <f t="shared" si="3"/>
        <v>0</v>
      </c>
      <c r="P57" s="775">
        <f t="shared" si="24"/>
        <v>0</v>
      </c>
      <c r="Q57" s="775">
        <f t="shared" si="25"/>
        <v>0</v>
      </c>
      <c r="S57" s="773">
        <v>45</v>
      </c>
      <c r="T57" s="774">
        <f t="shared" si="26"/>
        <v>1340</v>
      </c>
      <c r="U57" s="775">
        <f t="shared" si="27"/>
        <v>0</v>
      </c>
      <c r="V57" s="775">
        <f t="shared" si="12"/>
        <v>0</v>
      </c>
      <c r="W57" s="775">
        <f t="shared" si="4"/>
        <v>0</v>
      </c>
      <c r="X57" s="775">
        <f t="shared" si="28"/>
        <v>0</v>
      </c>
      <c r="Y57" s="775">
        <f t="shared" si="29"/>
        <v>0</v>
      </c>
      <c r="AA57" s="773">
        <v>45</v>
      </c>
      <c r="AB57" s="774">
        <f t="shared" si="30"/>
        <v>1340</v>
      </c>
      <c r="AC57" s="775">
        <f t="shared" si="31"/>
        <v>0</v>
      </c>
      <c r="AD57" s="775">
        <f t="shared" si="13"/>
        <v>0</v>
      </c>
      <c r="AE57" s="775">
        <f t="shared" si="5"/>
        <v>0</v>
      </c>
      <c r="AF57" s="775">
        <f t="shared" si="32"/>
        <v>0</v>
      </c>
      <c r="AG57" s="775">
        <f t="shared" si="33"/>
        <v>0</v>
      </c>
      <c r="AI57" s="773">
        <v>45</v>
      </c>
      <c r="AJ57" s="774">
        <f t="shared" si="34"/>
        <v>1340</v>
      </c>
      <c r="AK57" s="775">
        <f t="shared" si="35"/>
        <v>0</v>
      </c>
      <c r="AL57" s="775">
        <f t="shared" si="14"/>
        <v>0</v>
      </c>
      <c r="AM57" s="775">
        <f t="shared" si="6"/>
        <v>0</v>
      </c>
      <c r="AN57" s="775">
        <f t="shared" si="36"/>
        <v>0</v>
      </c>
      <c r="AO57" s="775">
        <f t="shared" si="37"/>
        <v>0</v>
      </c>
      <c r="AQ57" s="773">
        <v>45</v>
      </c>
      <c r="AR57" s="774">
        <f t="shared" si="38"/>
        <v>1340</v>
      </c>
      <c r="AS57" s="775">
        <f t="shared" si="39"/>
        <v>0</v>
      </c>
      <c r="AT57" s="775">
        <f t="shared" si="15"/>
        <v>0</v>
      </c>
      <c r="AU57" s="775">
        <f t="shared" si="7"/>
        <v>0</v>
      </c>
      <c r="AV57" s="775">
        <f t="shared" si="40"/>
        <v>0</v>
      </c>
      <c r="AW57" s="775">
        <f t="shared" si="41"/>
        <v>0</v>
      </c>
      <c r="AY57" s="773">
        <v>45</v>
      </c>
      <c r="AZ57" s="774">
        <f t="shared" si="42"/>
        <v>1340</v>
      </c>
      <c r="BA57" s="775">
        <f t="shared" si="43"/>
        <v>0</v>
      </c>
      <c r="BB57" s="775">
        <f t="shared" si="16"/>
        <v>0</v>
      </c>
      <c r="BC57" s="775">
        <f t="shared" si="8"/>
        <v>0</v>
      </c>
      <c r="BD57" s="775">
        <f t="shared" si="44"/>
        <v>0</v>
      </c>
      <c r="BE57" s="775">
        <f t="shared" si="45"/>
        <v>0</v>
      </c>
      <c r="BG57" s="773">
        <v>45</v>
      </c>
      <c r="BH57" s="774">
        <f t="shared" si="46"/>
        <v>1340</v>
      </c>
      <c r="BI57" s="775">
        <f t="shared" si="47"/>
        <v>0</v>
      </c>
      <c r="BJ57" s="775">
        <f t="shared" si="17"/>
        <v>0</v>
      </c>
      <c r="BK57" s="775">
        <f t="shared" si="9"/>
        <v>0</v>
      </c>
      <c r="BL57" s="775">
        <f t="shared" si="48"/>
        <v>0</v>
      </c>
      <c r="BM57" s="775">
        <f t="shared" si="49"/>
        <v>0</v>
      </c>
    </row>
    <row r="58" spans="1:65">
      <c r="A58" s="11">
        <f t="shared" si="2"/>
        <v>1903</v>
      </c>
      <c r="B58" s="773">
        <v>46</v>
      </c>
      <c r="C58" s="774">
        <f t="shared" si="18"/>
        <v>1370</v>
      </c>
      <c r="D58" s="775">
        <f t="shared" si="19"/>
        <v>0</v>
      </c>
      <c r="E58" s="775">
        <f t="shared" si="10"/>
        <v>0</v>
      </c>
      <c r="F58" s="775">
        <f t="shared" si="0"/>
        <v>0</v>
      </c>
      <c r="G58" s="775">
        <f t="shared" si="20"/>
        <v>0</v>
      </c>
      <c r="H58" s="775">
        <f t="shared" si="21"/>
        <v>0</v>
      </c>
      <c r="I58" s="775">
        <f t="shared" si="1"/>
        <v>0</v>
      </c>
      <c r="K58" s="773">
        <v>46</v>
      </c>
      <c r="L58" s="774">
        <f t="shared" si="22"/>
        <v>1370</v>
      </c>
      <c r="M58" s="775">
        <f t="shared" si="23"/>
        <v>0</v>
      </c>
      <c r="N58" s="775">
        <f t="shared" si="11"/>
        <v>0</v>
      </c>
      <c r="O58" s="775">
        <f t="shared" si="3"/>
        <v>0</v>
      </c>
      <c r="P58" s="775">
        <f t="shared" si="24"/>
        <v>0</v>
      </c>
      <c r="Q58" s="775">
        <f t="shared" si="25"/>
        <v>0</v>
      </c>
      <c r="S58" s="773">
        <v>46</v>
      </c>
      <c r="T58" s="774">
        <f t="shared" si="26"/>
        <v>1370</v>
      </c>
      <c r="U58" s="775">
        <f t="shared" si="27"/>
        <v>0</v>
      </c>
      <c r="V58" s="775">
        <f t="shared" si="12"/>
        <v>0</v>
      </c>
      <c r="W58" s="775">
        <f t="shared" si="4"/>
        <v>0</v>
      </c>
      <c r="X58" s="775">
        <f t="shared" si="28"/>
        <v>0</v>
      </c>
      <c r="Y58" s="775">
        <f t="shared" si="29"/>
        <v>0</v>
      </c>
      <c r="AA58" s="773">
        <v>46</v>
      </c>
      <c r="AB58" s="774">
        <f t="shared" si="30"/>
        <v>1370</v>
      </c>
      <c r="AC58" s="775">
        <f t="shared" si="31"/>
        <v>0</v>
      </c>
      <c r="AD58" s="775">
        <f t="shared" si="13"/>
        <v>0</v>
      </c>
      <c r="AE58" s="775">
        <f t="shared" si="5"/>
        <v>0</v>
      </c>
      <c r="AF58" s="775">
        <f t="shared" si="32"/>
        <v>0</v>
      </c>
      <c r="AG58" s="775">
        <f t="shared" si="33"/>
        <v>0</v>
      </c>
      <c r="AI58" s="773">
        <v>46</v>
      </c>
      <c r="AJ58" s="774">
        <f t="shared" si="34"/>
        <v>1370</v>
      </c>
      <c r="AK58" s="775">
        <f t="shared" si="35"/>
        <v>0</v>
      </c>
      <c r="AL58" s="775">
        <f t="shared" si="14"/>
        <v>0</v>
      </c>
      <c r="AM58" s="775">
        <f t="shared" si="6"/>
        <v>0</v>
      </c>
      <c r="AN58" s="775">
        <f t="shared" si="36"/>
        <v>0</v>
      </c>
      <c r="AO58" s="775">
        <f t="shared" si="37"/>
        <v>0</v>
      </c>
      <c r="AQ58" s="773">
        <v>46</v>
      </c>
      <c r="AR58" s="774">
        <f t="shared" si="38"/>
        <v>1370</v>
      </c>
      <c r="AS58" s="775">
        <f t="shared" si="39"/>
        <v>0</v>
      </c>
      <c r="AT58" s="775">
        <f t="shared" si="15"/>
        <v>0</v>
      </c>
      <c r="AU58" s="775">
        <f t="shared" si="7"/>
        <v>0</v>
      </c>
      <c r="AV58" s="775">
        <f t="shared" si="40"/>
        <v>0</v>
      </c>
      <c r="AW58" s="775">
        <f t="shared" si="41"/>
        <v>0</v>
      </c>
      <c r="AY58" s="773">
        <v>46</v>
      </c>
      <c r="AZ58" s="774">
        <f t="shared" si="42"/>
        <v>1370</v>
      </c>
      <c r="BA58" s="775">
        <f t="shared" si="43"/>
        <v>0</v>
      </c>
      <c r="BB58" s="775">
        <f t="shared" si="16"/>
        <v>0</v>
      </c>
      <c r="BC58" s="775">
        <f t="shared" si="8"/>
        <v>0</v>
      </c>
      <c r="BD58" s="775">
        <f t="shared" si="44"/>
        <v>0</v>
      </c>
      <c r="BE58" s="775">
        <f t="shared" si="45"/>
        <v>0</v>
      </c>
      <c r="BG58" s="773">
        <v>46</v>
      </c>
      <c r="BH58" s="774">
        <f t="shared" si="46"/>
        <v>1370</v>
      </c>
      <c r="BI58" s="775">
        <f t="shared" si="47"/>
        <v>0</v>
      </c>
      <c r="BJ58" s="775">
        <f t="shared" si="17"/>
        <v>0</v>
      </c>
      <c r="BK58" s="775">
        <f t="shared" si="9"/>
        <v>0</v>
      </c>
      <c r="BL58" s="775">
        <f t="shared" si="48"/>
        <v>0</v>
      </c>
      <c r="BM58" s="775">
        <f t="shared" si="49"/>
        <v>0</v>
      </c>
    </row>
    <row r="59" spans="1:65">
      <c r="A59" s="11">
        <f t="shared" si="2"/>
        <v>1903</v>
      </c>
      <c r="B59" s="773">
        <v>47</v>
      </c>
      <c r="C59" s="774">
        <f t="shared" si="18"/>
        <v>1401</v>
      </c>
      <c r="D59" s="775">
        <f t="shared" si="19"/>
        <v>0</v>
      </c>
      <c r="E59" s="775">
        <f t="shared" si="10"/>
        <v>0</v>
      </c>
      <c r="F59" s="775">
        <f t="shared" si="0"/>
        <v>0</v>
      </c>
      <c r="G59" s="775">
        <f t="shared" si="20"/>
        <v>0</v>
      </c>
      <c r="H59" s="775">
        <f t="shared" si="21"/>
        <v>0</v>
      </c>
      <c r="I59" s="775">
        <f t="shared" si="1"/>
        <v>0</v>
      </c>
      <c r="K59" s="773">
        <v>47</v>
      </c>
      <c r="L59" s="774">
        <f t="shared" si="22"/>
        <v>1401</v>
      </c>
      <c r="M59" s="775">
        <f t="shared" si="23"/>
        <v>0</v>
      </c>
      <c r="N59" s="775">
        <f t="shared" si="11"/>
        <v>0</v>
      </c>
      <c r="O59" s="775">
        <f t="shared" si="3"/>
        <v>0</v>
      </c>
      <c r="P59" s="775">
        <f t="shared" si="24"/>
        <v>0</v>
      </c>
      <c r="Q59" s="775">
        <f t="shared" si="25"/>
        <v>0</v>
      </c>
      <c r="S59" s="773">
        <v>47</v>
      </c>
      <c r="T59" s="774">
        <f t="shared" si="26"/>
        <v>1401</v>
      </c>
      <c r="U59" s="775">
        <f t="shared" si="27"/>
        <v>0</v>
      </c>
      <c r="V59" s="775">
        <f t="shared" si="12"/>
        <v>0</v>
      </c>
      <c r="W59" s="775">
        <f t="shared" si="4"/>
        <v>0</v>
      </c>
      <c r="X59" s="775">
        <f t="shared" si="28"/>
        <v>0</v>
      </c>
      <c r="Y59" s="775">
        <f t="shared" si="29"/>
        <v>0</v>
      </c>
      <c r="AA59" s="773">
        <v>47</v>
      </c>
      <c r="AB59" s="774">
        <f t="shared" si="30"/>
        <v>1401</v>
      </c>
      <c r="AC59" s="775">
        <f t="shared" si="31"/>
        <v>0</v>
      </c>
      <c r="AD59" s="775">
        <f t="shared" si="13"/>
        <v>0</v>
      </c>
      <c r="AE59" s="775">
        <f t="shared" si="5"/>
        <v>0</v>
      </c>
      <c r="AF59" s="775">
        <f t="shared" si="32"/>
        <v>0</v>
      </c>
      <c r="AG59" s="775">
        <f t="shared" si="33"/>
        <v>0</v>
      </c>
      <c r="AI59" s="773">
        <v>47</v>
      </c>
      <c r="AJ59" s="774">
        <f t="shared" si="34"/>
        <v>1401</v>
      </c>
      <c r="AK59" s="775">
        <f t="shared" si="35"/>
        <v>0</v>
      </c>
      <c r="AL59" s="775">
        <f t="shared" si="14"/>
        <v>0</v>
      </c>
      <c r="AM59" s="775">
        <f t="shared" si="6"/>
        <v>0</v>
      </c>
      <c r="AN59" s="775">
        <f t="shared" si="36"/>
        <v>0</v>
      </c>
      <c r="AO59" s="775">
        <f t="shared" si="37"/>
        <v>0</v>
      </c>
      <c r="AQ59" s="773">
        <v>47</v>
      </c>
      <c r="AR59" s="774">
        <f t="shared" si="38"/>
        <v>1401</v>
      </c>
      <c r="AS59" s="775">
        <f t="shared" si="39"/>
        <v>0</v>
      </c>
      <c r="AT59" s="775">
        <f t="shared" si="15"/>
        <v>0</v>
      </c>
      <c r="AU59" s="775">
        <f t="shared" si="7"/>
        <v>0</v>
      </c>
      <c r="AV59" s="775">
        <f t="shared" si="40"/>
        <v>0</v>
      </c>
      <c r="AW59" s="775">
        <f t="shared" si="41"/>
        <v>0</v>
      </c>
      <c r="AY59" s="773">
        <v>47</v>
      </c>
      <c r="AZ59" s="774">
        <f t="shared" si="42"/>
        <v>1401</v>
      </c>
      <c r="BA59" s="775">
        <f t="shared" si="43"/>
        <v>0</v>
      </c>
      <c r="BB59" s="775">
        <f t="shared" si="16"/>
        <v>0</v>
      </c>
      <c r="BC59" s="775">
        <f t="shared" si="8"/>
        <v>0</v>
      </c>
      <c r="BD59" s="775">
        <f t="shared" si="44"/>
        <v>0</v>
      </c>
      <c r="BE59" s="775">
        <f t="shared" si="45"/>
        <v>0</v>
      </c>
      <c r="BG59" s="773">
        <v>47</v>
      </c>
      <c r="BH59" s="774">
        <f t="shared" si="46"/>
        <v>1401</v>
      </c>
      <c r="BI59" s="775">
        <f t="shared" si="47"/>
        <v>0</v>
      </c>
      <c r="BJ59" s="775">
        <f t="shared" si="17"/>
        <v>0</v>
      </c>
      <c r="BK59" s="775">
        <f t="shared" si="9"/>
        <v>0</v>
      </c>
      <c r="BL59" s="775">
        <f t="shared" si="48"/>
        <v>0</v>
      </c>
      <c r="BM59" s="775">
        <f t="shared" si="49"/>
        <v>0</v>
      </c>
    </row>
    <row r="60" spans="1:65">
      <c r="A60" s="11">
        <f t="shared" si="2"/>
        <v>1903</v>
      </c>
      <c r="B60" s="773">
        <v>48</v>
      </c>
      <c r="C60" s="774">
        <f t="shared" si="18"/>
        <v>1431</v>
      </c>
      <c r="D60" s="775">
        <f t="shared" si="19"/>
        <v>0</v>
      </c>
      <c r="E60" s="775">
        <f t="shared" si="10"/>
        <v>0</v>
      </c>
      <c r="F60" s="775">
        <f t="shared" si="0"/>
        <v>0</v>
      </c>
      <c r="G60" s="775">
        <f t="shared" si="20"/>
        <v>0</v>
      </c>
      <c r="H60" s="775">
        <f t="shared" si="21"/>
        <v>0</v>
      </c>
      <c r="I60" s="775">
        <f t="shared" si="1"/>
        <v>0</v>
      </c>
      <c r="K60" s="773">
        <v>48</v>
      </c>
      <c r="L60" s="774">
        <f t="shared" si="22"/>
        <v>1431</v>
      </c>
      <c r="M60" s="775">
        <f t="shared" si="23"/>
        <v>0</v>
      </c>
      <c r="N60" s="775">
        <f t="shared" si="11"/>
        <v>0</v>
      </c>
      <c r="O60" s="775">
        <f t="shared" si="3"/>
        <v>0</v>
      </c>
      <c r="P60" s="775">
        <f t="shared" si="24"/>
        <v>0</v>
      </c>
      <c r="Q60" s="775">
        <f t="shared" si="25"/>
        <v>0</v>
      </c>
      <c r="S60" s="773">
        <v>48</v>
      </c>
      <c r="T60" s="774">
        <f t="shared" si="26"/>
        <v>1431</v>
      </c>
      <c r="U60" s="775">
        <f t="shared" si="27"/>
        <v>0</v>
      </c>
      <c r="V60" s="775">
        <f t="shared" si="12"/>
        <v>0</v>
      </c>
      <c r="W60" s="775">
        <f t="shared" si="4"/>
        <v>0</v>
      </c>
      <c r="X60" s="775">
        <f t="shared" si="28"/>
        <v>0</v>
      </c>
      <c r="Y60" s="775">
        <f t="shared" si="29"/>
        <v>0</v>
      </c>
      <c r="AA60" s="773">
        <v>48</v>
      </c>
      <c r="AB60" s="774">
        <f t="shared" si="30"/>
        <v>1431</v>
      </c>
      <c r="AC60" s="775">
        <f t="shared" si="31"/>
        <v>0</v>
      </c>
      <c r="AD60" s="775">
        <f t="shared" si="13"/>
        <v>0</v>
      </c>
      <c r="AE60" s="775">
        <f t="shared" si="5"/>
        <v>0</v>
      </c>
      <c r="AF60" s="775">
        <f t="shared" si="32"/>
        <v>0</v>
      </c>
      <c r="AG60" s="775">
        <f t="shared" si="33"/>
        <v>0</v>
      </c>
      <c r="AI60" s="773">
        <v>48</v>
      </c>
      <c r="AJ60" s="774">
        <f t="shared" si="34"/>
        <v>1431</v>
      </c>
      <c r="AK60" s="775">
        <f t="shared" si="35"/>
        <v>0</v>
      </c>
      <c r="AL60" s="775">
        <f t="shared" si="14"/>
        <v>0</v>
      </c>
      <c r="AM60" s="775">
        <f t="shared" si="6"/>
        <v>0</v>
      </c>
      <c r="AN60" s="775">
        <f t="shared" si="36"/>
        <v>0</v>
      </c>
      <c r="AO60" s="775">
        <f t="shared" si="37"/>
        <v>0</v>
      </c>
      <c r="AQ60" s="773">
        <v>48</v>
      </c>
      <c r="AR60" s="774">
        <f t="shared" si="38"/>
        <v>1431</v>
      </c>
      <c r="AS60" s="775">
        <f t="shared" si="39"/>
        <v>0</v>
      </c>
      <c r="AT60" s="775">
        <f t="shared" si="15"/>
        <v>0</v>
      </c>
      <c r="AU60" s="775">
        <f t="shared" si="7"/>
        <v>0</v>
      </c>
      <c r="AV60" s="775">
        <f t="shared" si="40"/>
        <v>0</v>
      </c>
      <c r="AW60" s="775">
        <f t="shared" si="41"/>
        <v>0</v>
      </c>
      <c r="AY60" s="773">
        <v>48</v>
      </c>
      <c r="AZ60" s="774">
        <f t="shared" si="42"/>
        <v>1431</v>
      </c>
      <c r="BA60" s="775">
        <f t="shared" si="43"/>
        <v>0</v>
      </c>
      <c r="BB60" s="775">
        <f t="shared" si="16"/>
        <v>0</v>
      </c>
      <c r="BC60" s="775">
        <f t="shared" si="8"/>
        <v>0</v>
      </c>
      <c r="BD60" s="775">
        <f t="shared" si="44"/>
        <v>0</v>
      </c>
      <c r="BE60" s="775">
        <f t="shared" si="45"/>
        <v>0</v>
      </c>
      <c r="BG60" s="773">
        <v>48</v>
      </c>
      <c r="BH60" s="774">
        <f t="shared" si="46"/>
        <v>1431</v>
      </c>
      <c r="BI60" s="775">
        <f t="shared" si="47"/>
        <v>0</v>
      </c>
      <c r="BJ60" s="775">
        <f t="shared" si="17"/>
        <v>0</v>
      </c>
      <c r="BK60" s="775">
        <f t="shared" si="9"/>
        <v>0</v>
      </c>
      <c r="BL60" s="775">
        <f t="shared" si="48"/>
        <v>0</v>
      </c>
      <c r="BM60" s="775">
        <f t="shared" si="49"/>
        <v>0</v>
      </c>
    </row>
    <row r="61" spans="1:65">
      <c r="A61" s="11">
        <f t="shared" si="2"/>
        <v>1904</v>
      </c>
      <c r="B61" s="773">
        <v>49</v>
      </c>
      <c r="C61" s="774">
        <f t="shared" si="18"/>
        <v>1462</v>
      </c>
      <c r="D61" s="775">
        <f t="shared" si="19"/>
        <v>0</v>
      </c>
      <c r="E61" s="775">
        <f t="shared" si="10"/>
        <v>0</v>
      </c>
      <c r="F61" s="775">
        <f t="shared" si="0"/>
        <v>0</v>
      </c>
      <c r="G61" s="775">
        <f t="shared" si="20"/>
        <v>0</v>
      </c>
      <c r="H61" s="775">
        <f t="shared" si="21"/>
        <v>0</v>
      </c>
      <c r="I61" s="775">
        <f t="shared" si="1"/>
        <v>0</v>
      </c>
      <c r="K61" s="773">
        <v>49</v>
      </c>
      <c r="L61" s="774">
        <f t="shared" si="22"/>
        <v>1462</v>
      </c>
      <c r="M61" s="775">
        <f t="shared" si="23"/>
        <v>0</v>
      </c>
      <c r="N61" s="775">
        <f t="shared" si="11"/>
        <v>0</v>
      </c>
      <c r="O61" s="775">
        <f t="shared" si="3"/>
        <v>0</v>
      </c>
      <c r="P61" s="775">
        <f t="shared" si="24"/>
        <v>0</v>
      </c>
      <c r="Q61" s="775">
        <f t="shared" si="25"/>
        <v>0</v>
      </c>
      <c r="S61" s="773">
        <v>49</v>
      </c>
      <c r="T61" s="774">
        <f t="shared" si="26"/>
        <v>1462</v>
      </c>
      <c r="U61" s="775">
        <f t="shared" si="27"/>
        <v>0</v>
      </c>
      <c r="V61" s="775">
        <f t="shared" si="12"/>
        <v>0</v>
      </c>
      <c r="W61" s="775">
        <f t="shared" si="4"/>
        <v>0</v>
      </c>
      <c r="X61" s="775">
        <f t="shared" si="28"/>
        <v>0</v>
      </c>
      <c r="Y61" s="775">
        <f t="shared" si="29"/>
        <v>0</v>
      </c>
      <c r="AA61" s="773">
        <v>49</v>
      </c>
      <c r="AB61" s="774">
        <f t="shared" si="30"/>
        <v>1462</v>
      </c>
      <c r="AC61" s="775">
        <f t="shared" si="31"/>
        <v>0</v>
      </c>
      <c r="AD61" s="775">
        <f t="shared" si="13"/>
        <v>0</v>
      </c>
      <c r="AE61" s="775">
        <f t="shared" si="5"/>
        <v>0</v>
      </c>
      <c r="AF61" s="775">
        <f t="shared" si="32"/>
        <v>0</v>
      </c>
      <c r="AG61" s="775">
        <f t="shared" si="33"/>
        <v>0</v>
      </c>
      <c r="AI61" s="773">
        <v>49</v>
      </c>
      <c r="AJ61" s="774">
        <f t="shared" si="34"/>
        <v>1462</v>
      </c>
      <c r="AK61" s="775">
        <f t="shared" si="35"/>
        <v>0</v>
      </c>
      <c r="AL61" s="775">
        <f t="shared" si="14"/>
        <v>0</v>
      </c>
      <c r="AM61" s="775">
        <f t="shared" si="6"/>
        <v>0</v>
      </c>
      <c r="AN61" s="775">
        <f t="shared" si="36"/>
        <v>0</v>
      </c>
      <c r="AO61" s="775">
        <f t="shared" si="37"/>
        <v>0</v>
      </c>
      <c r="AQ61" s="773">
        <v>49</v>
      </c>
      <c r="AR61" s="774">
        <f t="shared" si="38"/>
        <v>1462</v>
      </c>
      <c r="AS61" s="775">
        <f t="shared" si="39"/>
        <v>0</v>
      </c>
      <c r="AT61" s="775">
        <f t="shared" si="15"/>
        <v>0</v>
      </c>
      <c r="AU61" s="775">
        <f t="shared" si="7"/>
        <v>0</v>
      </c>
      <c r="AV61" s="775">
        <f t="shared" si="40"/>
        <v>0</v>
      </c>
      <c r="AW61" s="775">
        <f t="shared" si="41"/>
        <v>0</v>
      </c>
      <c r="AY61" s="773">
        <v>49</v>
      </c>
      <c r="AZ61" s="774">
        <f t="shared" si="42"/>
        <v>1462</v>
      </c>
      <c r="BA61" s="775">
        <f t="shared" si="43"/>
        <v>0</v>
      </c>
      <c r="BB61" s="775">
        <f t="shared" si="16"/>
        <v>0</v>
      </c>
      <c r="BC61" s="775">
        <f t="shared" si="8"/>
        <v>0</v>
      </c>
      <c r="BD61" s="775">
        <f t="shared" si="44"/>
        <v>0</v>
      </c>
      <c r="BE61" s="775">
        <f t="shared" si="45"/>
        <v>0</v>
      </c>
      <c r="BG61" s="773">
        <v>49</v>
      </c>
      <c r="BH61" s="774">
        <f t="shared" si="46"/>
        <v>1462</v>
      </c>
      <c r="BI61" s="775">
        <f t="shared" si="47"/>
        <v>0</v>
      </c>
      <c r="BJ61" s="775">
        <f t="shared" si="17"/>
        <v>0</v>
      </c>
      <c r="BK61" s="775">
        <f t="shared" si="9"/>
        <v>0</v>
      </c>
      <c r="BL61" s="775">
        <f t="shared" si="48"/>
        <v>0</v>
      </c>
      <c r="BM61" s="775">
        <f t="shared" si="49"/>
        <v>0</v>
      </c>
    </row>
    <row r="62" spans="1:65">
      <c r="A62" s="11">
        <f t="shared" si="2"/>
        <v>1904</v>
      </c>
      <c r="B62" s="773">
        <v>50</v>
      </c>
      <c r="C62" s="774">
        <f t="shared" si="18"/>
        <v>1493</v>
      </c>
      <c r="D62" s="775">
        <f t="shared" si="19"/>
        <v>0</v>
      </c>
      <c r="E62" s="775">
        <f t="shared" si="10"/>
        <v>0</v>
      </c>
      <c r="F62" s="775">
        <f t="shared" si="0"/>
        <v>0</v>
      </c>
      <c r="G62" s="775">
        <f t="shared" si="20"/>
        <v>0</v>
      </c>
      <c r="H62" s="775">
        <f t="shared" si="21"/>
        <v>0</v>
      </c>
      <c r="I62" s="775">
        <f t="shared" si="1"/>
        <v>0</v>
      </c>
      <c r="K62" s="773">
        <v>50</v>
      </c>
      <c r="L62" s="774">
        <f t="shared" si="22"/>
        <v>1493</v>
      </c>
      <c r="M62" s="775">
        <f t="shared" si="23"/>
        <v>0</v>
      </c>
      <c r="N62" s="775">
        <f t="shared" si="11"/>
        <v>0</v>
      </c>
      <c r="O62" s="775">
        <f t="shared" si="3"/>
        <v>0</v>
      </c>
      <c r="P62" s="775">
        <f t="shared" si="24"/>
        <v>0</v>
      </c>
      <c r="Q62" s="775">
        <f t="shared" si="25"/>
        <v>0</v>
      </c>
      <c r="S62" s="773">
        <v>50</v>
      </c>
      <c r="T62" s="774">
        <f t="shared" si="26"/>
        <v>1493</v>
      </c>
      <c r="U62" s="775">
        <f t="shared" si="27"/>
        <v>0</v>
      </c>
      <c r="V62" s="775">
        <f t="shared" si="12"/>
        <v>0</v>
      </c>
      <c r="W62" s="775">
        <f t="shared" si="4"/>
        <v>0</v>
      </c>
      <c r="X62" s="775">
        <f t="shared" si="28"/>
        <v>0</v>
      </c>
      <c r="Y62" s="775">
        <f t="shared" si="29"/>
        <v>0</v>
      </c>
      <c r="AA62" s="773">
        <v>50</v>
      </c>
      <c r="AB62" s="774">
        <f t="shared" si="30"/>
        <v>1493</v>
      </c>
      <c r="AC62" s="775">
        <f t="shared" si="31"/>
        <v>0</v>
      </c>
      <c r="AD62" s="775">
        <f t="shared" si="13"/>
        <v>0</v>
      </c>
      <c r="AE62" s="775">
        <f t="shared" si="5"/>
        <v>0</v>
      </c>
      <c r="AF62" s="775">
        <f t="shared" si="32"/>
        <v>0</v>
      </c>
      <c r="AG62" s="775">
        <f t="shared" si="33"/>
        <v>0</v>
      </c>
      <c r="AI62" s="773">
        <v>50</v>
      </c>
      <c r="AJ62" s="774">
        <f t="shared" si="34"/>
        <v>1493</v>
      </c>
      <c r="AK62" s="775">
        <f t="shared" si="35"/>
        <v>0</v>
      </c>
      <c r="AL62" s="775">
        <f t="shared" si="14"/>
        <v>0</v>
      </c>
      <c r="AM62" s="775">
        <f t="shared" si="6"/>
        <v>0</v>
      </c>
      <c r="AN62" s="775">
        <f t="shared" si="36"/>
        <v>0</v>
      </c>
      <c r="AO62" s="775">
        <f t="shared" si="37"/>
        <v>0</v>
      </c>
      <c r="AQ62" s="773">
        <v>50</v>
      </c>
      <c r="AR62" s="774">
        <f t="shared" si="38"/>
        <v>1493</v>
      </c>
      <c r="AS62" s="775">
        <f t="shared" si="39"/>
        <v>0</v>
      </c>
      <c r="AT62" s="775">
        <f t="shared" si="15"/>
        <v>0</v>
      </c>
      <c r="AU62" s="775">
        <f t="shared" si="7"/>
        <v>0</v>
      </c>
      <c r="AV62" s="775">
        <f t="shared" si="40"/>
        <v>0</v>
      </c>
      <c r="AW62" s="775">
        <f t="shared" si="41"/>
        <v>0</v>
      </c>
      <c r="AY62" s="773">
        <v>50</v>
      </c>
      <c r="AZ62" s="774">
        <f t="shared" si="42"/>
        <v>1493</v>
      </c>
      <c r="BA62" s="775">
        <f t="shared" si="43"/>
        <v>0</v>
      </c>
      <c r="BB62" s="775">
        <f t="shared" si="16"/>
        <v>0</v>
      </c>
      <c r="BC62" s="775">
        <f t="shared" si="8"/>
        <v>0</v>
      </c>
      <c r="BD62" s="775">
        <f t="shared" si="44"/>
        <v>0</v>
      </c>
      <c r="BE62" s="775">
        <f t="shared" si="45"/>
        <v>0</v>
      </c>
      <c r="BG62" s="773">
        <v>50</v>
      </c>
      <c r="BH62" s="774">
        <f t="shared" si="46"/>
        <v>1493</v>
      </c>
      <c r="BI62" s="775">
        <f t="shared" si="47"/>
        <v>0</v>
      </c>
      <c r="BJ62" s="775">
        <f t="shared" si="17"/>
        <v>0</v>
      </c>
      <c r="BK62" s="775">
        <f t="shared" si="9"/>
        <v>0</v>
      </c>
      <c r="BL62" s="775">
        <f t="shared" si="48"/>
        <v>0</v>
      </c>
      <c r="BM62" s="775">
        <f t="shared" si="49"/>
        <v>0</v>
      </c>
    </row>
    <row r="63" spans="1:65">
      <c r="A63" s="11">
        <f t="shared" si="2"/>
        <v>1904</v>
      </c>
      <c r="B63" s="773">
        <v>51</v>
      </c>
      <c r="C63" s="774">
        <f t="shared" si="18"/>
        <v>1522</v>
      </c>
      <c r="D63" s="775">
        <f t="shared" si="19"/>
        <v>0</v>
      </c>
      <c r="E63" s="775">
        <f t="shared" si="10"/>
        <v>0</v>
      </c>
      <c r="F63" s="775">
        <f t="shared" si="0"/>
        <v>0</v>
      </c>
      <c r="G63" s="775">
        <f t="shared" si="20"/>
        <v>0</v>
      </c>
      <c r="H63" s="775">
        <f t="shared" si="21"/>
        <v>0</v>
      </c>
      <c r="I63" s="775">
        <f t="shared" si="1"/>
        <v>0</v>
      </c>
      <c r="K63" s="773">
        <v>51</v>
      </c>
      <c r="L63" s="774">
        <f t="shared" si="22"/>
        <v>1522</v>
      </c>
      <c r="M63" s="775">
        <f t="shared" si="23"/>
        <v>0</v>
      </c>
      <c r="N63" s="775">
        <f t="shared" si="11"/>
        <v>0</v>
      </c>
      <c r="O63" s="775">
        <f t="shared" si="3"/>
        <v>0</v>
      </c>
      <c r="P63" s="775">
        <f t="shared" si="24"/>
        <v>0</v>
      </c>
      <c r="Q63" s="775">
        <f t="shared" si="25"/>
        <v>0</v>
      </c>
      <c r="S63" s="773">
        <v>51</v>
      </c>
      <c r="T63" s="774">
        <f t="shared" si="26"/>
        <v>1522</v>
      </c>
      <c r="U63" s="775">
        <f t="shared" si="27"/>
        <v>0</v>
      </c>
      <c r="V63" s="775">
        <f t="shared" si="12"/>
        <v>0</v>
      </c>
      <c r="W63" s="775">
        <f t="shared" si="4"/>
        <v>0</v>
      </c>
      <c r="X63" s="775">
        <f t="shared" si="28"/>
        <v>0</v>
      </c>
      <c r="Y63" s="775">
        <f t="shared" si="29"/>
        <v>0</v>
      </c>
      <c r="AA63" s="773">
        <v>51</v>
      </c>
      <c r="AB63" s="774">
        <f t="shared" si="30"/>
        <v>1522</v>
      </c>
      <c r="AC63" s="775">
        <f t="shared" si="31"/>
        <v>0</v>
      </c>
      <c r="AD63" s="775">
        <f t="shared" si="13"/>
        <v>0</v>
      </c>
      <c r="AE63" s="775">
        <f t="shared" si="5"/>
        <v>0</v>
      </c>
      <c r="AF63" s="775">
        <f t="shared" si="32"/>
        <v>0</v>
      </c>
      <c r="AG63" s="775">
        <f t="shared" si="33"/>
        <v>0</v>
      </c>
      <c r="AI63" s="773">
        <v>51</v>
      </c>
      <c r="AJ63" s="774">
        <f t="shared" si="34"/>
        <v>1522</v>
      </c>
      <c r="AK63" s="775">
        <f t="shared" si="35"/>
        <v>0</v>
      </c>
      <c r="AL63" s="775">
        <f t="shared" si="14"/>
        <v>0</v>
      </c>
      <c r="AM63" s="775">
        <f t="shared" si="6"/>
        <v>0</v>
      </c>
      <c r="AN63" s="775">
        <f t="shared" si="36"/>
        <v>0</v>
      </c>
      <c r="AO63" s="775">
        <f t="shared" si="37"/>
        <v>0</v>
      </c>
      <c r="AQ63" s="773">
        <v>51</v>
      </c>
      <c r="AR63" s="774">
        <f t="shared" si="38"/>
        <v>1522</v>
      </c>
      <c r="AS63" s="775">
        <f t="shared" si="39"/>
        <v>0</v>
      </c>
      <c r="AT63" s="775">
        <f t="shared" si="15"/>
        <v>0</v>
      </c>
      <c r="AU63" s="775">
        <f t="shared" si="7"/>
        <v>0</v>
      </c>
      <c r="AV63" s="775">
        <f t="shared" si="40"/>
        <v>0</v>
      </c>
      <c r="AW63" s="775">
        <f t="shared" si="41"/>
        <v>0</v>
      </c>
      <c r="AY63" s="773">
        <v>51</v>
      </c>
      <c r="AZ63" s="774">
        <f t="shared" si="42"/>
        <v>1522</v>
      </c>
      <c r="BA63" s="775">
        <f t="shared" si="43"/>
        <v>0</v>
      </c>
      <c r="BB63" s="775">
        <f t="shared" si="16"/>
        <v>0</v>
      </c>
      <c r="BC63" s="775">
        <f t="shared" si="8"/>
        <v>0</v>
      </c>
      <c r="BD63" s="775">
        <f t="shared" si="44"/>
        <v>0</v>
      </c>
      <c r="BE63" s="775">
        <f t="shared" si="45"/>
        <v>0</v>
      </c>
      <c r="BG63" s="773">
        <v>51</v>
      </c>
      <c r="BH63" s="774">
        <f t="shared" si="46"/>
        <v>1522</v>
      </c>
      <c r="BI63" s="775">
        <f t="shared" si="47"/>
        <v>0</v>
      </c>
      <c r="BJ63" s="775">
        <f t="shared" si="17"/>
        <v>0</v>
      </c>
      <c r="BK63" s="775">
        <f t="shared" si="9"/>
        <v>0</v>
      </c>
      <c r="BL63" s="775">
        <f t="shared" si="48"/>
        <v>0</v>
      </c>
      <c r="BM63" s="775">
        <f t="shared" si="49"/>
        <v>0</v>
      </c>
    </row>
    <row r="64" spans="1:65">
      <c r="A64" s="11">
        <f t="shared" si="2"/>
        <v>1904</v>
      </c>
      <c r="B64" s="773">
        <v>52</v>
      </c>
      <c r="C64" s="774">
        <f t="shared" si="18"/>
        <v>1553</v>
      </c>
      <c r="D64" s="775">
        <f t="shared" si="19"/>
        <v>0</v>
      </c>
      <c r="E64" s="775">
        <f t="shared" si="10"/>
        <v>0</v>
      </c>
      <c r="F64" s="775">
        <f t="shared" si="0"/>
        <v>0</v>
      </c>
      <c r="G64" s="775">
        <f t="shared" si="20"/>
        <v>0</v>
      </c>
      <c r="H64" s="775">
        <f t="shared" si="21"/>
        <v>0</v>
      </c>
      <c r="I64" s="775">
        <f t="shared" si="1"/>
        <v>0</v>
      </c>
      <c r="K64" s="773">
        <v>52</v>
      </c>
      <c r="L64" s="774">
        <f t="shared" si="22"/>
        <v>1553</v>
      </c>
      <c r="M64" s="775">
        <f t="shared" si="23"/>
        <v>0</v>
      </c>
      <c r="N64" s="775">
        <f t="shared" si="11"/>
        <v>0</v>
      </c>
      <c r="O64" s="775">
        <f t="shared" si="3"/>
        <v>0</v>
      </c>
      <c r="P64" s="775">
        <f t="shared" si="24"/>
        <v>0</v>
      </c>
      <c r="Q64" s="775">
        <f t="shared" si="25"/>
        <v>0</v>
      </c>
      <c r="S64" s="773">
        <v>52</v>
      </c>
      <c r="T64" s="774">
        <f t="shared" si="26"/>
        <v>1553</v>
      </c>
      <c r="U64" s="775">
        <f t="shared" si="27"/>
        <v>0</v>
      </c>
      <c r="V64" s="775">
        <f t="shared" si="12"/>
        <v>0</v>
      </c>
      <c r="W64" s="775">
        <f t="shared" si="4"/>
        <v>0</v>
      </c>
      <c r="X64" s="775">
        <f t="shared" si="28"/>
        <v>0</v>
      </c>
      <c r="Y64" s="775">
        <f t="shared" si="29"/>
        <v>0</v>
      </c>
      <c r="AA64" s="773">
        <v>52</v>
      </c>
      <c r="AB64" s="774">
        <f t="shared" si="30"/>
        <v>1553</v>
      </c>
      <c r="AC64" s="775">
        <f t="shared" si="31"/>
        <v>0</v>
      </c>
      <c r="AD64" s="775">
        <f t="shared" si="13"/>
        <v>0</v>
      </c>
      <c r="AE64" s="775">
        <f t="shared" si="5"/>
        <v>0</v>
      </c>
      <c r="AF64" s="775">
        <f t="shared" si="32"/>
        <v>0</v>
      </c>
      <c r="AG64" s="775">
        <f t="shared" si="33"/>
        <v>0</v>
      </c>
      <c r="AI64" s="773">
        <v>52</v>
      </c>
      <c r="AJ64" s="774">
        <f t="shared" si="34"/>
        <v>1553</v>
      </c>
      <c r="AK64" s="775">
        <f t="shared" si="35"/>
        <v>0</v>
      </c>
      <c r="AL64" s="775">
        <f t="shared" si="14"/>
        <v>0</v>
      </c>
      <c r="AM64" s="775">
        <f t="shared" si="6"/>
        <v>0</v>
      </c>
      <c r="AN64" s="775">
        <f t="shared" si="36"/>
        <v>0</v>
      </c>
      <c r="AO64" s="775">
        <f t="shared" si="37"/>
        <v>0</v>
      </c>
      <c r="AQ64" s="773">
        <v>52</v>
      </c>
      <c r="AR64" s="774">
        <f t="shared" si="38"/>
        <v>1553</v>
      </c>
      <c r="AS64" s="775">
        <f t="shared" si="39"/>
        <v>0</v>
      </c>
      <c r="AT64" s="775">
        <f t="shared" si="15"/>
        <v>0</v>
      </c>
      <c r="AU64" s="775">
        <f t="shared" si="7"/>
        <v>0</v>
      </c>
      <c r="AV64" s="775">
        <f t="shared" si="40"/>
        <v>0</v>
      </c>
      <c r="AW64" s="775">
        <f t="shared" si="41"/>
        <v>0</v>
      </c>
      <c r="AY64" s="773">
        <v>52</v>
      </c>
      <c r="AZ64" s="774">
        <f t="shared" si="42"/>
        <v>1553</v>
      </c>
      <c r="BA64" s="775">
        <f t="shared" si="43"/>
        <v>0</v>
      </c>
      <c r="BB64" s="775">
        <f t="shared" si="16"/>
        <v>0</v>
      </c>
      <c r="BC64" s="775">
        <f t="shared" si="8"/>
        <v>0</v>
      </c>
      <c r="BD64" s="775">
        <f t="shared" si="44"/>
        <v>0</v>
      </c>
      <c r="BE64" s="775">
        <f t="shared" si="45"/>
        <v>0</v>
      </c>
      <c r="BG64" s="773">
        <v>52</v>
      </c>
      <c r="BH64" s="774">
        <f t="shared" si="46"/>
        <v>1553</v>
      </c>
      <c r="BI64" s="775">
        <f t="shared" si="47"/>
        <v>0</v>
      </c>
      <c r="BJ64" s="775">
        <f t="shared" si="17"/>
        <v>0</v>
      </c>
      <c r="BK64" s="775">
        <f t="shared" si="9"/>
        <v>0</v>
      </c>
      <c r="BL64" s="775">
        <f t="shared" si="48"/>
        <v>0</v>
      </c>
      <c r="BM64" s="775">
        <f t="shared" si="49"/>
        <v>0</v>
      </c>
    </row>
    <row r="65" spans="1:65">
      <c r="A65" s="11">
        <f t="shared" si="2"/>
        <v>1904</v>
      </c>
      <c r="B65" s="773">
        <v>53</v>
      </c>
      <c r="C65" s="774">
        <f t="shared" si="18"/>
        <v>1583</v>
      </c>
      <c r="D65" s="775">
        <f t="shared" si="19"/>
        <v>0</v>
      </c>
      <c r="E65" s="775">
        <f t="shared" si="10"/>
        <v>0</v>
      </c>
      <c r="F65" s="775">
        <f t="shared" si="0"/>
        <v>0</v>
      </c>
      <c r="G65" s="775">
        <f t="shared" si="20"/>
        <v>0</v>
      </c>
      <c r="H65" s="775">
        <f t="shared" si="21"/>
        <v>0</v>
      </c>
      <c r="I65" s="775">
        <f t="shared" si="1"/>
        <v>0</v>
      </c>
      <c r="K65" s="773">
        <v>53</v>
      </c>
      <c r="L65" s="774">
        <f t="shared" si="22"/>
        <v>1583</v>
      </c>
      <c r="M65" s="775">
        <f t="shared" si="23"/>
        <v>0</v>
      </c>
      <c r="N65" s="775">
        <f t="shared" si="11"/>
        <v>0</v>
      </c>
      <c r="O65" s="775">
        <f t="shared" si="3"/>
        <v>0</v>
      </c>
      <c r="P65" s="775">
        <f t="shared" si="24"/>
        <v>0</v>
      </c>
      <c r="Q65" s="775">
        <f t="shared" si="25"/>
        <v>0</v>
      </c>
      <c r="S65" s="773">
        <v>53</v>
      </c>
      <c r="T65" s="774">
        <f t="shared" si="26"/>
        <v>1583</v>
      </c>
      <c r="U65" s="775">
        <f t="shared" si="27"/>
        <v>0</v>
      </c>
      <c r="V65" s="775">
        <f t="shared" si="12"/>
        <v>0</v>
      </c>
      <c r="W65" s="775">
        <f t="shared" si="4"/>
        <v>0</v>
      </c>
      <c r="X65" s="775">
        <f t="shared" si="28"/>
        <v>0</v>
      </c>
      <c r="Y65" s="775">
        <f t="shared" si="29"/>
        <v>0</v>
      </c>
      <c r="AA65" s="773">
        <v>53</v>
      </c>
      <c r="AB65" s="774">
        <f t="shared" si="30"/>
        <v>1583</v>
      </c>
      <c r="AC65" s="775">
        <f t="shared" si="31"/>
        <v>0</v>
      </c>
      <c r="AD65" s="775">
        <f t="shared" si="13"/>
        <v>0</v>
      </c>
      <c r="AE65" s="775">
        <f t="shared" si="5"/>
        <v>0</v>
      </c>
      <c r="AF65" s="775">
        <f t="shared" si="32"/>
        <v>0</v>
      </c>
      <c r="AG65" s="775">
        <f t="shared" si="33"/>
        <v>0</v>
      </c>
      <c r="AI65" s="773">
        <v>53</v>
      </c>
      <c r="AJ65" s="774">
        <f t="shared" si="34"/>
        <v>1583</v>
      </c>
      <c r="AK65" s="775">
        <f t="shared" si="35"/>
        <v>0</v>
      </c>
      <c r="AL65" s="775">
        <f t="shared" si="14"/>
        <v>0</v>
      </c>
      <c r="AM65" s="775">
        <f t="shared" si="6"/>
        <v>0</v>
      </c>
      <c r="AN65" s="775">
        <f t="shared" si="36"/>
        <v>0</v>
      </c>
      <c r="AO65" s="775">
        <f t="shared" si="37"/>
        <v>0</v>
      </c>
      <c r="AQ65" s="773">
        <v>53</v>
      </c>
      <c r="AR65" s="774">
        <f t="shared" si="38"/>
        <v>1583</v>
      </c>
      <c r="AS65" s="775">
        <f t="shared" si="39"/>
        <v>0</v>
      </c>
      <c r="AT65" s="775">
        <f t="shared" si="15"/>
        <v>0</v>
      </c>
      <c r="AU65" s="775">
        <f t="shared" si="7"/>
        <v>0</v>
      </c>
      <c r="AV65" s="775">
        <f t="shared" si="40"/>
        <v>0</v>
      </c>
      <c r="AW65" s="775">
        <f t="shared" si="41"/>
        <v>0</v>
      </c>
      <c r="AY65" s="773">
        <v>53</v>
      </c>
      <c r="AZ65" s="774">
        <f t="shared" si="42"/>
        <v>1583</v>
      </c>
      <c r="BA65" s="775">
        <f t="shared" si="43"/>
        <v>0</v>
      </c>
      <c r="BB65" s="775">
        <f t="shared" si="16"/>
        <v>0</v>
      </c>
      <c r="BC65" s="775">
        <f t="shared" si="8"/>
        <v>0</v>
      </c>
      <c r="BD65" s="775">
        <f t="shared" si="44"/>
        <v>0</v>
      </c>
      <c r="BE65" s="775">
        <f t="shared" si="45"/>
        <v>0</v>
      </c>
      <c r="BG65" s="773">
        <v>53</v>
      </c>
      <c r="BH65" s="774">
        <f t="shared" si="46"/>
        <v>1583</v>
      </c>
      <c r="BI65" s="775">
        <f t="shared" si="47"/>
        <v>0</v>
      </c>
      <c r="BJ65" s="775">
        <f t="shared" si="17"/>
        <v>0</v>
      </c>
      <c r="BK65" s="775">
        <f t="shared" si="9"/>
        <v>0</v>
      </c>
      <c r="BL65" s="775">
        <f t="shared" si="48"/>
        <v>0</v>
      </c>
      <c r="BM65" s="775">
        <f t="shared" si="49"/>
        <v>0</v>
      </c>
    </row>
    <row r="66" spans="1:65">
      <c r="A66" s="11">
        <f t="shared" si="2"/>
        <v>1904</v>
      </c>
      <c r="B66" s="773">
        <v>54</v>
      </c>
      <c r="C66" s="774">
        <f t="shared" si="18"/>
        <v>1614</v>
      </c>
      <c r="D66" s="775">
        <f t="shared" si="19"/>
        <v>0</v>
      </c>
      <c r="E66" s="775">
        <f t="shared" si="10"/>
        <v>0</v>
      </c>
      <c r="F66" s="775">
        <f t="shared" si="0"/>
        <v>0</v>
      </c>
      <c r="G66" s="775">
        <f t="shared" si="20"/>
        <v>0</v>
      </c>
      <c r="H66" s="775">
        <f t="shared" si="21"/>
        <v>0</v>
      </c>
      <c r="I66" s="775">
        <f t="shared" si="1"/>
        <v>0</v>
      </c>
      <c r="K66" s="773">
        <v>54</v>
      </c>
      <c r="L66" s="774">
        <f t="shared" si="22"/>
        <v>1614</v>
      </c>
      <c r="M66" s="775">
        <f t="shared" si="23"/>
        <v>0</v>
      </c>
      <c r="N66" s="775">
        <f t="shared" si="11"/>
        <v>0</v>
      </c>
      <c r="O66" s="775">
        <f t="shared" si="3"/>
        <v>0</v>
      </c>
      <c r="P66" s="775">
        <f t="shared" si="24"/>
        <v>0</v>
      </c>
      <c r="Q66" s="775">
        <f t="shared" si="25"/>
        <v>0</v>
      </c>
      <c r="S66" s="773">
        <v>54</v>
      </c>
      <c r="T66" s="774">
        <f t="shared" si="26"/>
        <v>1614</v>
      </c>
      <c r="U66" s="775">
        <f t="shared" si="27"/>
        <v>0</v>
      </c>
      <c r="V66" s="775">
        <f t="shared" si="12"/>
        <v>0</v>
      </c>
      <c r="W66" s="775">
        <f t="shared" si="4"/>
        <v>0</v>
      </c>
      <c r="X66" s="775">
        <f t="shared" si="28"/>
        <v>0</v>
      </c>
      <c r="Y66" s="775">
        <f t="shared" si="29"/>
        <v>0</v>
      </c>
      <c r="AA66" s="773">
        <v>54</v>
      </c>
      <c r="AB66" s="774">
        <f t="shared" si="30"/>
        <v>1614</v>
      </c>
      <c r="AC66" s="775">
        <f t="shared" si="31"/>
        <v>0</v>
      </c>
      <c r="AD66" s="775">
        <f t="shared" si="13"/>
        <v>0</v>
      </c>
      <c r="AE66" s="775">
        <f t="shared" si="5"/>
        <v>0</v>
      </c>
      <c r="AF66" s="775">
        <f t="shared" si="32"/>
        <v>0</v>
      </c>
      <c r="AG66" s="775">
        <f t="shared" si="33"/>
        <v>0</v>
      </c>
      <c r="AI66" s="773">
        <v>54</v>
      </c>
      <c r="AJ66" s="774">
        <f t="shared" si="34"/>
        <v>1614</v>
      </c>
      <c r="AK66" s="775">
        <f t="shared" si="35"/>
        <v>0</v>
      </c>
      <c r="AL66" s="775">
        <f t="shared" si="14"/>
        <v>0</v>
      </c>
      <c r="AM66" s="775">
        <f t="shared" si="6"/>
        <v>0</v>
      </c>
      <c r="AN66" s="775">
        <f t="shared" si="36"/>
        <v>0</v>
      </c>
      <c r="AO66" s="775">
        <f t="shared" si="37"/>
        <v>0</v>
      </c>
      <c r="AQ66" s="773">
        <v>54</v>
      </c>
      <c r="AR66" s="774">
        <f t="shared" si="38"/>
        <v>1614</v>
      </c>
      <c r="AS66" s="775">
        <f t="shared" si="39"/>
        <v>0</v>
      </c>
      <c r="AT66" s="775">
        <f t="shared" si="15"/>
        <v>0</v>
      </c>
      <c r="AU66" s="775">
        <f t="shared" si="7"/>
        <v>0</v>
      </c>
      <c r="AV66" s="775">
        <f t="shared" si="40"/>
        <v>0</v>
      </c>
      <c r="AW66" s="775">
        <f t="shared" si="41"/>
        <v>0</v>
      </c>
      <c r="AY66" s="773">
        <v>54</v>
      </c>
      <c r="AZ66" s="774">
        <f t="shared" si="42"/>
        <v>1614</v>
      </c>
      <c r="BA66" s="775">
        <f t="shared" si="43"/>
        <v>0</v>
      </c>
      <c r="BB66" s="775">
        <f t="shared" si="16"/>
        <v>0</v>
      </c>
      <c r="BC66" s="775">
        <f t="shared" si="8"/>
        <v>0</v>
      </c>
      <c r="BD66" s="775">
        <f t="shared" si="44"/>
        <v>0</v>
      </c>
      <c r="BE66" s="775">
        <f t="shared" si="45"/>
        <v>0</v>
      </c>
      <c r="BG66" s="773">
        <v>54</v>
      </c>
      <c r="BH66" s="774">
        <f t="shared" si="46"/>
        <v>1614</v>
      </c>
      <c r="BI66" s="775">
        <f t="shared" si="47"/>
        <v>0</v>
      </c>
      <c r="BJ66" s="775">
        <f t="shared" si="17"/>
        <v>0</v>
      </c>
      <c r="BK66" s="775">
        <f t="shared" si="9"/>
        <v>0</v>
      </c>
      <c r="BL66" s="775">
        <f t="shared" si="48"/>
        <v>0</v>
      </c>
      <c r="BM66" s="775">
        <f t="shared" si="49"/>
        <v>0</v>
      </c>
    </row>
    <row r="67" spans="1:65">
      <c r="A67" s="11">
        <f t="shared" si="2"/>
        <v>1904</v>
      </c>
      <c r="B67" s="773">
        <v>55</v>
      </c>
      <c r="C67" s="774">
        <f t="shared" si="18"/>
        <v>1644</v>
      </c>
      <c r="D67" s="775">
        <f t="shared" si="19"/>
        <v>0</v>
      </c>
      <c r="E67" s="775">
        <f t="shared" si="10"/>
        <v>0</v>
      </c>
      <c r="F67" s="775">
        <f t="shared" si="0"/>
        <v>0</v>
      </c>
      <c r="G67" s="775">
        <f t="shared" si="20"/>
        <v>0</v>
      </c>
      <c r="H67" s="775">
        <f t="shared" si="21"/>
        <v>0</v>
      </c>
      <c r="I67" s="775">
        <f t="shared" si="1"/>
        <v>0</v>
      </c>
      <c r="K67" s="773">
        <v>55</v>
      </c>
      <c r="L67" s="774">
        <f t="shared" si="22"/>
        <v>1644</v>
      </c>
      <c r="M67" s="775">
        <f t="shared" si="23"/>
        <v>0</v>
      </c>
      <c r="N67" s="775">
        <f t="shared" si="11"/>
        <v>0</v>
      </c>
      <c r="O67" s="775">
        <f t="shared" si="3"/>
        <v>0</v>
      </c>
      <c r="P67" s="775">
        <f t="shared" si="24"/>
        <v>0</v>
      </c>
      <c r="Q67" s="775">
        <f t="shared" si="25"/>
        <v>0</v>
      </c>
      <c r="S67" s="773">
        <v>55</v>
      </c>
      <c r="T67" s="774">
        <f t="shared" si="26"/>
        <v>1644</v>
      </c>
      <c r="U67" s="775">
        <f t="shared" si="27"/>
        <v>0</v>
      </c>
      <c r="V67" s="775">
        <f t="shared" si="12"/>
        <v>0</v>
      </c>
      <c r="W67" s="775">
        <f t="shared" si="4"/>
        <v>0</v>
      </c>
      <c r="X67" s="775">
        <f t="shared" si="28"/>
        <v>0</v>
      </c>
      <c r="Y67" s="775">
        <f t="shared" si="29"/>
        <v>0</v>
      </c>
      <c r="AA67" s="773">
        <v>55</v>
      </c>
      <c r="AB67" s="774">
        <f t="shared" si="30"/>
        <v>1644</v>
      </c>
      <c r="AC67" s="775">
        <f t="shared" si="31"/>
        <v>0</v>
      </c>
      <c r="AD67" s="775">
        <f t="shared" si="13"/>
        <v>0</v>
      </c>
      <c r="AE67" s="775">
        <f t="shared" si="5"/>
        <v>0</v>
      </c>
      <c r="AF67" s="775">
        <f t="shared" si="32"/>
        <v>0</v>
      </c>
      <c r="AG67" s="775">
        <f t="shared" si="33"/>
        <v>0</v>
      </c>
      <c r="AI67" s="773">
        <v>55</v>
      </c>
      <c r="AJ67" s="774">
        <f t="shared" si="34"/>
        <v>1644</v>
      </c>
      <c r="AK67" s="775">
        <f t="shared" si="35"/>
        <v>0</v>
      </c>
      <c r="AL67" s="775">
        <f t="shared" si="14"/>
        <v>0</v>
      </c>
      <c r="AM67" s="775">
        <f t="shared" si="6"/>
        <v>0</v>
      </c>
      <c r="AN67" s="775">
        <f t="shared" si="36"/>
        <v>0</v>
      </c>
      <c r="AO67" s="775">
        <f t="shared" si="37"/>
        <v>0</v>
      </c>
      <c r="AQ67" s="773">
        <v>55</v>
      </c>
      <c r="AR67" s="774">
        <f t="shared" si="38"/>
        <v>1644</v>
      </c>
      <c r="AS67" s="775">
        <f t="shared" si="39"/>
        <v>0</v>
      </c>
      <c r="AT67" s="775">
        <f t="shared" si="15"/>
        <v>0</v>
      </c>
      <c r="AU67" s="775">
        <f t="shared" si="7"/>
        <v>0</v>
      </c>
      <c r="AV67" s="775">
        <f t="shared" si="40"/>
        <v>0</v>
      </c>
      <c r="AW67" s="775">
        <f t="shared" si="41"/>
        <v>0</v>
      </c>
      <c r="AY67" s="773">
        <v>55</v>
      </c>
      <c r="AZ67" s="774">
        <f t="shared" si="42"/>
        <v>1644</v>
      </c>
      <c r="BA67" s="775">
        <f t="shared" si="43"/>
        <v>0</v>
      </c>
      <c r="BB67" s="775">
        <f t="shared" si="16"/>
        <v>0</v>
      </c>
      <c r="BC67" s="775">
        <f t="shared" si="8"/>
        <v>0</v>
      </c>
      <c r="BD67" s="775">
        <f t="shared" si="44"/>
        <v>0</v>
      </c>
      <c r="BE67" s="775">
        <f t="shared" si="45"/>
        <v>0</v>
      </c>
      <c r="BG67" s="773">
        <v>55</v>
      </c>
      <c r="BH67" s="774">
        <f t="shared" si="46"/>
        <v>1644</v>
      </c>
      <c r="BI67" s="775">
        <f t="shared" si="47"/>
        <v>0</v>
      </c>
      <c r="BJ67" s="775">
        <f t="shared" si="17"/>
        <v>0</v>
      </c>
      <c r="BK67" s="775">
        <f t="shared" si="9"/>
        <v>0</v>
      </c>
      <c r="BL67" s="775">
        <f t="shared" si="48"/>
        <v>0</v>
      </c>
      <c r="BM67" s="775">
        <f t="shared" si="49"/>
        <v>0</v>
      </c>
    </row>
    <row r="68" spans="1:65">
      <c r="A68" s="11">
        <f t="shared" si="2"/>
        <v>1904</v>
      </c>
      <c r="B68" s="773">
        <v>56</v>
      </c>
      <c r="C68" s="774">
        <f t="shared" si="18"/>
        <v>1675</v>
      </c>
      <c r="D68" s="775">
        <f t="shared" si="19"/>
        <v>0</v>
      </c>
      <c r="E68" s="775">
        <f t="shared" si="10"/>
        <v>0</v>
      </c>
      <c r="F68" s="775">
        <f t="shared" si="0"/>
        <v>0</v>
      </c>
      <c r="G68" s="775">
        <f t="shared" si="20"/>
        <v>0</v>
      </c>
      <c r="H68" s="775">
        <f t="shared" si="21"/>
        <v>0</v>
      </c>
      <c r="I68" s="775">
        <f t="shared" si="1"/>
        <v>0</v>
      </c>
      <c r="K68" s="773">
        <v>56</v>
      </c>
      <c r="L68" s="774">
        <f t="shared" si="22"/>
        <v>1675</v>
      </c>
      <c r="M68" s="775">
        <f t="shared" si="23"/>
        <v>0</v>
      </c>
      <c r="N68" s="775">
        <f t="shared" si="11"/>
        <v>0</v>
      </c>
      <c r="O68" s="775">
        <f t="shared" si="3"/>
        <v>0</v>
      </c>
      <c r="P68" s="775">
        <f t="shared" si="24"/>
        <v>0</v>
      </c>
      <c r="Q68" s="775">
        <f t="shared" si="25"/>
        <v>0</v>
      </c>
      <c r="S68" s="773">
        <v>56</v>
      </c>
      <c r="T68" s="774">
        <f t="shared" si="26"/>
        <v>1675</v>
      </c>
      <c r="U68" s="775">
        <f t="shared" si="27"/>
        <v>0</v>
      </c>
      <c r="V68" s="775">
        <f t="shared" si="12"/>
        <v>0</v>
      </c>
      <c r="W68" s="775">
        <f t="shared" si="4"/>
        <v>0</v>
      </c>
      <c r="X68" s="775">
        <f t="shared" si="28"/>
        <v>0</v>
      </c>
      <c r="Y68" s="775">
        <f t="shared" si="29"/>
        <v>0</v>
      </c>
      <c r="AA68" s="773">
        <v>56</v>
      </c>
      <c r="AB68" s="774">
        <f t="shared" si="30"/>
        <v>1675</v>
      </c>
      <c r="AC68" s="775">
        <f t="shared" si="31"/>
        <v>0</v>
      </c>
      <c r="AD68" s="775">
        <f t="shared" si="13"/>
        <v>0</v>
      </c>
      <c r="AE68" s="775">
        <f t="shared" si="5"/>
        <v>0</v>
      </c>
      <c r="AF68" s="775">
        <f t="shared" si="32"/>
        <v>0</v>
      </c>
      <c r="AG68" s="775">
        <f t="shared" si="33"/>
        <v>0</v>
      </c>
      <c r="AI68" s="773">
        <v>56</v>
      </c>
      <c r="AJ68" s="774">
        <f t="shared" si="34"/>
        <v>1675</v>
      </c>
      <c r="AK68" s="775">
        <f t="shared" si="35"/>
        <v>0</v>
      </c>
      <c r="AL68" s="775">
        <f t="shared" si="14"/>
        <v>0</v>
      </c>
      <c r="AM68" s="775">
        <f t="shared" si="6"/>
        <v>0</v>
      </c>
      <c r="AN68" s="775">
        <f t="shared" si="36"/>
        <v>0</v>
      </c>
      <c r="AO68" s="775">
        <f t="shared" si="37"/>
        <v>0</v>
      </c>
      <c r="AQ68" s="773">
        <v>56</v>
      </c>
      <c r="AR68" s="774">
        <f t="shared" si="38"/>
        <v>1675</v>
      </c>
      <c r="AS68" s="775">
        <f t="shared" si="39"/>
        <v>0</v>
      </c>
      <c r="AT68" s="775">
        <f t="shared" si="15"/>
        <v>0</v>
      </c>
      <c r="AU68" s="775">
        <f t="shared" si="7"/>
        <v>0</v>
      </c>
      <c r="AV68" s="775">
        <f t="shared" si="40"/>
        <v>0</v>
      </c>
      <c r="AW68" s="775">
        <f t="shared" si="41"/>
        <v>0</v>
      </c>
      <c r="AY68" s="773">
        <v>56</v>
      </c>
      <c r="AZ68" s="774">
        <f t="shared" si="42"/>
        <v>1675</v>
      </c>
      <c r="BA68" s="775">
        <f t="shared" si="43"/>
        <v>0</v>
      </c>
      <c r="BB68" s="775">
        <f t="shared" si="16"/>
        <v>0</v>
      </c>
      <c r="BC68" s="775">
        <f t="shared" si="8"/>
        <v>0</v>
      </c>
      <c r="BD68" s="775">
        <f t="shared" si="44"/>
        <v>0</v>
      </c>
      <c r="BE68" s="775">
        <f t="shared" si="45"/>
        <v>0</v>
      </c>
      <c r="BG68" s="773">
        <v>56</v>
      </c>
      <c r="BH68" s="774">
        <f t="shared" si="46"/>
        <v>1675</v>
      </c>
      <c r="BI68" s="775">
        <f t="shared" si="47"/>
        <v>0</v>
      </c>
      <c r="BJ68" s="775">
        <f t="shared" si="17"/>
        <v>0</v>
      </c>
      <c r="BK68" s="775">
        <f t="shared" si="9"/>
        <v>0</v>
      </c>
      <c r="BL68" s="775">
        <f t="shared" si="48"/>
        <v>0</v>
      </c>
      <c r="BM68" s="775">
        <f t="shared" si="49"/>
        <v>0</v>
      </c>
    </row>
    <row r="69" spans="1:65">
      <c r="A69" s="11">
        <f t="shared" si="2"/>
        <v>1904</v>
      </c>
      <c r="B69" s="773">
        <v>57</v>
      </c>
      <c r="C69" s="774">
        <f t="shared" si="18"/>
        <v>1706</v>
      </c>
      <c r="D69" s="775">
        <f t="shared" si="19"/>
        <v>0</v>
      </c>
      <c r="E69" s="775">
        <f t="shared" si="10"/>
        <v>0</v>
      </c>
      <c r="F69" s="775">
        <f t="shared" si="0"/>
        <v>0</v>
      </c>
      <c r="G69" s="775">
        <f t="shared" si="20"/>
        <v>0</v>
      </c>
      <c r="H69" s="775">
        <f t="shared" si="21"/>
        <v>0</v>
      </c>
      <c r="I69" s="775">
        <f t="shared" si="1"/>
        <v>0</v>
      </c>
      <c r="K69" s="773">
        <v>57</v>
      </c>
      <c r="L69" s="774">
        <f t="shared" si="22"/>
        <v>1706</v>
      </c>
      <c r="M69" s="775">
        <f t="shared" si="23"/>
        <v>0</v>
      </c>
      <c r="N69" s="775">
        <f t="shared" si="11"/>
        <v>0</v>
      </c>
      <c r="O69" s="775">
        <f t="shared" si="3"/>
        <v>0</v>
      </c>
      <c r="P69" s="775">
        <f t="shared" si="24"/>
        <v>0</v>
      </c>
      <c r="Q69" s="775">
        <f t="shared" si="25"/>
        <v>0</v>
      </c>
      <c r="S69" s="773">
        <v>57</v>
      </c>
      <c r="T69" s="774">
        <f t="shared" si="26"/>
        <v>1706</v>
      </c>
      <c r="U69" s="775">
        <f t="shared" si="27"/>
        <v>0</v>
      </c>
      <c r="V69" s="775">
        <f t="shared" si="12"/>
        <v>0</v>
      </c>
      <c r="W69" s="775">
        <f t="shared" si="4"/>
        <v>0</v>
      </c>
      <c r="X69" s="775">
        <f t="shared" si="28"/>
        <v>0</v>
      </c>
      <c r="Y69" s="775">
        <f t="shared" si="29"/>
        <v>0</v>
      </c>
      <c r="AA69" s="773">
        <v>57</v>
      </c>
      <c r="AB69" s="774">
        <f t="shared" si="30"/>
        <v>1706</v>
      </c>
      <c r="AC69" s="775">
        <f t="shared" si="31"/>
        <v>0</v>
      </c>
      <c r="AD69" s="775">
        <f t="shared" si="13"/>
        <v>0</v>
      </c>
      <c r="AE69" s="775">
        <f t="shared" si="5"/>
        <v>0</v>
      </c>
      <c r="AF69" s="775">
        <f t="shared" si="32"/>
        <v>0</v>
      </c>
      <c r="AG69" s="775">
        <f t="shared" si="33"/>
        <v>0</v>
      </c>
      <c r="AI69" s="773">
        <v>57</v>
      </c>
      <c r="AJ69" s="774">
        <f t="shared" si="34"/>
        <v>1706</v>
      </c>
      <c r="AK69" s="775">
        <f t="shared" si="35"/>
        <v>0</v>
      </c>
      <c r="AL69" s="775">
        <f t="shared" si="14"/>
        <v>0</v>
      </c>
      <c r="AM69" s="775">
        <f t="shared" si="6"/>
        <v>0</v>
      </c>
      <c r="AN69" s="775">
        <f t="shared" si="36"/>
        <v>0</v>
      </c>
      <c r="AO69" s="775">
        <f t="shared" si="37"/>
        <v>0</v>
      </c>
      <c r="AQ69" s="773">
        <v>57</v>
      </c>
      <c r="AR69" s="774">
        <f t="shared" si="38"/>
        <v>1706</v>
      </c>
      <c r="AS69" s="775">
        <f t="shared" si="39"/>
        <v>0</v>
      </c>
      <c r="AT69" s="775">
        <f t="shared" si="15"/>
        <v>0</v>
      </c>
      <c r="AU69" s="775">
        <f t="shared" si="7"/>
        <v>0</v>
      </c>
      <c r="AV69" s="775">
        <f t="shared" si="40"/>
        <v>0</v>
      </c>
      <c r="AW69" s="775">
        <f t="shared" si="41"/>
        <v>0</v>
      </c>
      <c r="AY69" s="773">
        <v>57</v>
      </c>
      <c r="AZ69" s="774">
        <f t="shared" si="42"/>
        <v>1706</v>
      </c>
      <c r="BA69" s="775">
        <f t="shared" si="43"/>
        <v>0</v>
      </c>
      <c r="BB69" s="775">
        <f t="shared" si="16"/>
        <v>0</v>
      </c>
      <c r="BC69" s="775">
        <f t="shared" si="8"/>
        <v>0</v>
      </c>
      <c r="BD69" s="775">
        <f t="shared" si="44"/>
        <v>0</v>
      </c>
      <c r="BE69" s="775">
        <f t="shared" si="45"/>
        <v>0</v>
      </c>
      <c r="BG69" s="773">
        <v>57</v>
      </c>
      <c r="BH69" s="774">
        <f t="shared" si="46"/>
        <v>1706</v>
      </c>
      <c r="BI69" s="775">
        <f t="shared" si="47"/>
        <v>0</v>
      </c>
      <c r="BJ69" s="775">
        <f t="shared" si="17"/>
        <v>0</v>
      </c>
      <c r="BK69" s="775">
        <f t="shared" si="9"/>
        <v>0</v>
      </c>
      <c r="BL69" s="775">
        <f t="shared" si="48"/>
        <v>0</v>
      </c>
      <c r="BM69" s="775">
        <f t="shared" si="49"/>
        <v>0</v>
      </c>
    </row>
    <row r="70" spans="1:65">
      <c r="A70" s="11">
        <f t="shared" si="2"/>
        <v>1904</v>
      </c>
      <c r="B70" s="773">
        <v>58</v>
      </c>
      <c r="C70" s="774">
        <f t="shared" si="18"/>
        <v>1736</v>
      </c>
      <c r="D70" s="775">
        <f t="shared" si="19"/>
        <v>0</v>
      </c>
      <c r="E70" s="775">
        <f t="shared" si="10"/>
        <v>0</v>
      </c>
      <c r="F70" s="775">
        <f t="shared" si="0"/>
        <v>0</v>
      </c>
      <c r="G70" s="775">
        <f t="shared" si="20"/>
        <v>0</v>
      </c>
      <c r="H70" s="775">
        <f t="shared" si="21"/>
        <v>0</v>
      </c>
      <c r="I70" s="775">
        <f t="shared" si="1"/>
        <v>0</v>
      </c>
      <c r="K70" s="773">
        <v>58</v>
      </c>
      <c r="L70" s="774">
        <f t="shared" si="22"/>
        <v>1736</v>
      </c>
      <c r="M70" s="775">
        <f t="shared" si="23"/>
        <v>0</v>
      </c>
      <c r="N70" s="775">
        <f t="shared" si="11"/>
        <v>0</v>
      </c>
      <c r="O70" s="775">
        <f t="shared" si="3"/>
        <v>0</v>
      </c>
      <c r="P70" s="775">
        <f t="shared" si="24"/>
        <v>0</v>
      </c>
      <c r="Q70" s="775">
        <f t="shared" si="25"/>
        <v>0</v>
      </c>
      <c r="S70" s="773">
        <v>58</v>
      </c>
      <c r="T70" s="774">
        <f t="shared" si="26"/>
        <v>1736</v>
      </c>
      <c r="U70" s="775">
        <f t="shared" si="27"/>
        <v>0</v>
      </c>
      <c r="V70" s="775">
        <f t="shared" si="12"/>
        <v>0</v>
      </c>
      <c r="W70" s="775">
        <f t="shared" si="4"/>
        <v>0</v>
      </c>
      <c r="X70" s="775">
        <f t="shared" si="28"/>
        <v>0</v>
      </c>
      <c r="Y70" s="775">
        <f t="shared" si="29"/>
        <v>0</v>
      </c>
      <c r="AA70" s="773">
        <v>58</v>
      </c>
      <c r="AB70" s="774">
        <f t="shared" si="30"/>
        <v>1736</v>
      </c>
      <c r="AC70" s="775">
        <f t="shared" si="31"/>
        <v>0</v>
      </c>
      <c r="AD70" s="775">
        <f t="shared" si="13"/>
        <v>0</v>
      </c>
      <c r="AE70" s="775">
        <f t="shared" si="5"/>
        <v>0</v>
      </c>
      <c r="AF70" s="775">
        <f t="shared" si="32"/>
        <v>0</v>
      </c>
      <c r="AG70" s="775">
        <f t="shared" si="33"/>
        <v>0</v>
      </c>
      <c r="AI70" s="773">
        <v>58</v>
      </c>
      <c r="AJ70" s="774">
        <f t="shared" si="34"/>
        <v>1736</v>
      </c>
      <c r="AK70" s="775">
        <f t="shared" si="35"/>
        <v>0</v>
      </c>
      <c r="AL70" s="775">
        <f t="shared" si="14"/>
        <v>0</v>
      </c>
      <c r="AM70" s="775">
        <f t="shared" si="6"/>
        <v>0</v>
      </c>
      <c r="AN70" s="775">
        <f t="shared" si="36"/>
        <v>0</v>
      </c>
      <c r="AO70" s="775">
        <f t="shared" si="37"/>
        <v>0</v>
      </c>
      <c r="AQ70" s="773">
        <v>58</v>
      </c>
      <c r="AR70" s="774">
        <f t="shared" si="38"/>
        <v>1736</v>
      </c>
      <c r="AS70" s="775">
        <f t="shared" si="39"/>
        <v>0</v>
      </c>
      <c r="AT70" s="775">
        <f t="shared" si="15"/>
        <v>0</v>
      </c>
      <c r="AU70" s="775">
        <f t="shared" si="7"/>
        <v>0</v>
      </c>
      <c r="AV70" s="775">
        <f t="shared" si="40"/>
        <v>0</v>
      </c>
      <c r="AW70" s="775">
        <f t="shared" si="41"/>
        <v>0</v>
      </c>
      <c r="AY70" s="773">
        <v>58</v>
      </c>
      <c r="AZ70" s="774">
        <f t="shared" si="42"/>
        <v>1736</v>
      </c>
      <c r="BA70" s="775">
        <f t="shared" si="43"/>
        <v>0</v>
      </c>
      <c r="BB70" s="775">
        <f t="shared" si="16"/>
        <v>0</v>
      </c>
      <c r="BC70" s="775">
        <f t="shared" si="8"/>
        <v>0</v>
      </c>
      <c r="BD70" s="775">
        <f t="shared" si="44"/>
        <v>0</v>
      </c>
      <c r="BE70" s="775">
        <f t="shared" si="45"/>
        <v>0</v>
      </c>
      <c r="BG70" s="773">
        <v>58</v>
      </c>
      <c r="BH70" s="774">
        <f t="shared" si="46"/>
        <v>1736</v>
      </c>
      <c r="BI70" s="775">
        <f t="shared" si="47"/>
        <v>0</v>
      </c>
      <c r="BJ70" s="775">
        <f t="shared" si="17"/>
        <v>0</v>
      </c>
      <c r="BK70" s="775">
        <f t="shared" si="9"/>
        <v>0</v>
      </c>
      <c r="BL70" s="775">
        <f t="shared" si="48"/>
        <v>0</v>
      </c>
      <c r="BM70" s="775">
        <f t="shared" si="49"/>
        <v>0</v>
      </c>
    </row>
    <row r="71" spans="1:65">
      <c r="A71" s="11">
        <f t="shared" si="2"/>
        <v>1904</v>
      </c>
      <c r="B71" s="773">
        <v>59</v>
      </c>
      <c r="C71" s="774">
        <f t="shared" si="18"/>
        <v>1767</v>
      </c>
      <c r="D71" s="775">
        <f t="shared" si="19"/>
        <v>0</v>
      </c>
      <c r="E71" s="775">
        <f t="shared" si="10"/>
        <v>0</v>
      </c>
      <c r="F71" s="775">
        <f t="shared" si="0"/>
        <v>0</v>
      </c>
      <c r="G71" s="775">
        <f t="shared" si="20"/>
        <v>0</v>
      </c>
      <c r="H71" s="775">
        <f t="shared" si="21"/>
        <v>0</v>
      </c>
      <c r="I71" s="775">
        <f t="shared" si="1"/>
        <v>0</v>
      </c>
      <c r="K71" s="773">
        <v>59</v>
      </c>
      <c r="L71" s="774">
        <f t="shared" si="22"/>
        <v>1767</v>
      </c>
      <c r="M71" s="775">
        <f t="shared" si="23"/>
        <v>0</v>
      </c>
      <c r="N71" s="775">
        <f t="shared" si="11"/>
        <v>0</v>
      </c>
      <c r="O71" s="775">
        <f t="shared" si="3"/>
        <v>0</v>
      </c>
      <c r="P71" s="775">
        <f t="shared" si="24"/>
        <v>0</v>
      </c>
      <c r="Q71" s="775">
        <f t="shared" si="25"/>
        <v>0</v>
      </c>
      <c r="S71" s="773">
        <v>59</v>
      </c>
      <c r="T71" s="774">
        <f t="shared" si="26"/>
        <v>1767</v>
      </c>
      <c r="U71" s="775">
        <f t="shared" si="27"/>
        <v>0</v>
      </c>
      <c r="V71" s="775">
        <f t="shared" si="12"/>
        <v>0</v>
      </c>
      <c r="W71" s="775">
        <f t="shared" si="4"/>
        <v>0</v>
      </c>
      <c r="X71" s="775">
        <f t="shared" si="28"/>
        <v>0</v>
      </c>
      <c r="Y71" s="775">
        <f t="shared" si="29"/>
        <v>0</v>
      </c>
      <c r="AA71" s="773">
        <v>59</v>
      </c>
      <c r="AB71" s="774">
        <f t="shared" si="30"/>
        <v>1767</v>
      </c>
      <c r="AC71" s="775">
        <f t="shared" si="31"/>
        <v>0</v>
      </c>
      <c r="AD71" s="775">
        <f t="shared" si="13"/>
        <v>0</v>
      </c>
      <c r="AE71" s="775">
        <f t="shared" si="5"/>
        <v>0</v>
      </c>
      <c r="AF71" s="775">
        <f t="shared" si="32"/>
        <v>0</v>
      </c>
      <c r="AG71" s="775">
        <f t="shared" si="33"/>
        <v>0</v>
      </c>
      <c r="AI71" s="773">
        <v>59</v>
      </c>
      <c r="AJ71" s="774">
        <f t="shared" si="34"/>
        <v>1767</v>
      </c>
      <c r="AK71" s="775">
        <f t="shared" si="35"/>
        <v>0</v>
      </c>
      <c r="AL71" s="775">
        <f t="shared" si="14"/>
        <v>0</v>
      </c>
      <c r="AM71" s="775">
        <f t="shared" si="6"/>
        <v>0</v>
      </c>
      <c r="AN71" s="775">
        <f t="shared" si="36"/>
        <v>0</v>
      </c>
      <c r="AO71" s="775">
        <f t="shared" si="37"/>
        <v>0</v>
      </c>
      <c r="AQ71" s="773">
        <v>59</v>
      </c>
      <c r="AR71" s="774">
        <f t="shared" si="38"/>
        <v>1767</v>
      </c>
      <c r="AS71" s="775">
        <f t="shared" si="39"/>
        <v>0</v>
      </c>
      <c r="AT71" s="775">
        <f t="shared" si="15"/>
        <v>0</v>
      </c>
      <c r="AU71" s="775">
        <f t="shared" si="7"/>
        <v>0</v>
      </c>
      <c r="AV71" s="775">
        <f t="shared" si="40"/>
        <v>0</v>
      </c>
      <c r="AW71" s="775">
        <f t="shared" si="41"/>
        <v>0</v>
      </c>
      <c r="AY71" s="773">
        <v>59</v>
      </c>
      <c r="AZ71" s="774">
        <f t="shared" si="42"/>
        <v>1767</v>
      </c>
      <c r="BA71" s="775">
        <f t="shared" si="43"/>
        <v>0</v>
      </c>
      <c r="BB71" s="775">
        <f t="shared" si="16"/>
        <v>0</v>
      </c>
      <c r="BC71" s="775">
        <f t="shared" si="8"/>
        <v>0</v>
      </c>
      <c r="BD71" s="775">
        <f t="shared" si="44"/>
        <v>0</v>
      </c>
      <c r="BE71" s="775">
        <f t="shared" si="45"/>
        <v>0</v>
      </c>
      <c r="BG71" s="773">
        <v>59</v>
      </c>
      <c r="BH71" s="774">
        <f t="shared" si="46"/>
        <v>1767</v>
      </c>
      <c r="BI71" s="775">
        <f t="shared" si="47"/>
        <v>0</v>
      </c>
      <c r="BJ71" s="775">
        <f t="shared" si="17"/>
        <v>0</v>
      </c>
      <c r="BK71" s="775">
        <f t="shared" si="9"/>
        <v>0</v>
      </c>
      <c r="BL71" s="775">
        <f t="shared" si="48"/>
        <v>0</v>
      </c>
      <c r="BM71" s="775">
        <f t="shared" si="49"/>
        <v>0</v>
      </c>
    </row>
    <row r="72" spans="1:65">
      <c r="A72" s="11">
        <f t="shared" si="2"/>
        <v>1904</v>
      </c>
      <c r="B72" s="773">
        <v>60</v>
      </c>
      <c r="C72" s="774">
        <f t="shared" si="18"/>
        <v>1797</v>
      </c>
      <c r="D72" s="775">
        <f t="shared" si="19"/>
        <v>0</v>
      </c>
      <c r="E72" s="775">
        <f t="shared" si="10"/>
        <v>0</v>
      </c>
      <c r="F72" s="775">
        <f t="shared" si="0"/>
        <v>0</v>
      </c>
      <c r="G72" s="775">
        <f t="shared" si="20"/>
        <v>0</v>
      </c>
      <c r="H72" s="775">
        <f t="shared" si="21"/>
        <v>0</v>
      </c>
      <c r="I72" s="775">
        <f t="shared" si="1"/>
        <v>0</v>
      </c>
      <c r="K72" s="773">
        <v>60</v>
      </c>
      <c r="L72" s="774">
        <f t="shared" si="22"/>
        <v>1797</v>
      </c>
      <c r="M72" s="775">
        <f t="shared" si="23"/>
        <v>0</v>
      </c>
      <c r="N72" s="775">
        <f t="shared" si="11"/>
        <v>0</v>
      </c>
      <c r="O72" s="775">
        <f t="shared" si="3"/>
        <v>0</v>
      </c>
      <c r="P72" s="775">
        <f t="shared" si="24"/>
        <v>0</v>
      </c>
      <c r="Q72" s="775">
        <f t="shared" si="25"/>
        <v>0</v>
      </c>
      <c r="S72" s="773">
        <v>60</v>
      </c>
      <c r="T72" s="774">
        <f t="shared" si="26"/>
        <v>1797</v>
      </c>
      <c r="U72" s="775">
        <f t="shared" si="27"/>
        <v>0</v>
      </c>
      <c r="V72" s="775">
        <f t="shared" si="12"/>
        <v>0</v>
      </c>
      <c r="W72" s="775">
        <f t="shared" si="4"/>
        <v>0</v>
      </c>
      <c r="X72" s="775">
        <f t="shared" si="28"/>
        <v>0</v>
      </c>
      <c r="Y72" s="775">
        <f t="shared" si="29"/>
        <v>0</v>
      </c>
      <c r="AA72" s="773">
        <v>60</v>
      </c>
      <c r="AB72" s="774">
        <f t="shared" si="30"/>
        <v>1797</v>
      </c>
      <c r="AC72" s="775">
        <f t="shared" si="31"/>
        <v>0</v>
      </c>
      <c r="AD72" s="775">
        <f t="shared" si="13"/>
        <v>0</v>
      </c>
      <c r="AE72" s="775">
        <f t="shared" si="5"/>
        <v>0</v>
      </c>
      <c r="AF72" s="775">
        <f t="shared" si="32"/>
        <v>0</v>
      </c>
      <c r="AG72" s="775">
        <f t="shared" si="33"/>
        <v>0</v>
      </c>
      <c r="AI72" s="773">
        <v>60</v>
      </c>
      <c r="AJ72" s="774">
        <f t="shared" si="34"/>
        <v>1797</v>
      </c>
      <c r="AK72" s="775">
        <f t="shared" si="35"/>
        <v>0</v>
      </c>
      <c r="AL72" s="775">
        <f t="shared" si="14"/>
        <v>0</v>
      </c>
      <c r="AM72" s="775">
        <f t="shared" si="6"/>
        <v>0</v>
      </c>
      <c r="AN72" s="775">
        <f t="shared" si="36"/>
        <v>0</v>
      </c>
      <c r="AO72" s="775">
        <f t="shared" si="37"/>
        <v>0</v>
      </c>
      <c r="AQ72" s="773">
        <v>60</v>
      </c>
      <c r="AR72" s="774">
        <f t="shared" si="38"/>
        <v>1797</v>
      </c>
      <c r="AS72" s="775">
        <f t="shared" si="39"/>
        <v>0</v>
      </c>
      <c r="AT72" s="775">
        <f t="shared" si="15"/>
        <v>0</v>
      </c>
      <c r="AU72" s="775">
        <f t="shared" si="7"/>
        <v>0</v>
      </c>
      <c r="AV72" s="775">
        <f t="shared" si="40"/>
        <v>0</v>
      </c>
      <c r="AW72" s="775">
        <f t="shared" si="41"/>
        <v>0</v>
      </c>
      <c r="AY72" s="773">
        <v>60</v>
      </c>
      <c r="AZ72" s="774">
        <f t="shared" si="42"/>
        <v>1797</v>
      </c>
      <c r="BA72" s="775">
        <f t="shared" si="43"/>
        <v>0</v>
      </c>
      <c r="BB72" s="775">
        <f t="shared" si="16"/>
        <v>0</v>
      </c>
      <c r="BC72" s="775">
        <f t="shared" si="8"/>
        <v>0</v>
      </c>
      <c r="BD72" s="775">
        <f t="shared" si="44"/>
        <v>0</v>
      </c>
      <c r="BE72" s="775">
        <f t="shared" si="45"/>
        <v>0</v>
      </c>
      <c r="BG72" s="773">
        <v>60</v>
      </c>
      <c r="BH72" s="774">
        <f t="shared" si="46"/>
        <v>1797</v>
      </c>
      <c r="BI72" s="775">
        <f t="shared" si="47"/>
        <v>0</v>
      </c>
      <c r="BJ72" s="775">
        <f t="shared" si="17"/>
        <v>0</v>
      </c>
      <c r="BK72" s="775">
        <f t="shared" si="9"/>
        <v>0</v>
      </c>
      <c r="BL72" s="775">
        <f t="shared" si="48"/>
        <v>0</v>
      </c>
      <c r="BM72" s="775">
        <f t="shared" si="49"/>
        <v>0</v>
      </c>
    </row>
    <row r="73" spans="1:65">
      <c r="A73" s="11">
        <f t="shared" si="2"/>
        <v>1905</v>
      </c>
      <c r="B73" s="773">
        <v>61</v>
      </c>
      <c r="C73" s="774">
        <f t="shared" si="18"/>
        <v>1828</v>
      </c>
      <c r="D73" s="775">
        <f t="shared" si="19"/>
        <v>0</v>
      </c>
      <c r="E73" s="775">
        <f t="shared" si="10"/>
        <v>0</v>
      </c>
      <c r="F73" s="775">
        <f t="shared" si="0"/>
        <v>0</v>
      </c>
      <c r="G73" s="775">
        <f t="shared" si="20"/>
        <v>0</v>
      </c>
      <c r="H73" s="775">
        <f t="shared" si="21"/>
        <v>0</v>
      </c>
      <c r="I73" s="775">
        <f t="shared" si="1"/>
        <v>0</v>
      </c>
      <c r="K73" s="773">
        <v>61</v>
      </c>
      <c r="L73" s="774">
        <f t="shared" si="22"/>
        <v>1828</v>
      </c>
      <c r="M73" s="775">
        <f t="shared" si="23"/>
        <v>0</v>
      </c>
      <c r="N73" s="775">
        <f t="shared" si="11"/>
        <v>0</v>
      </c>
      <c r="O73" s="775">
        <f t="shared" si="3"/>
        <v>0</v>
      </c>
      <c r="P73" s="775">
        <f t="shared" si="24"/>
        <v>0</v>
      </c>
      <c r="Q73" s="775">
        <f t="shared" si="25"/>
        <v>0</v>
      </c>
      <c r="S73" s="773">
        <v>61</v>
      </c>
      <c r="T73" s="774">
        <f t="shared" si="26"/>
        <v>1828</v>
      </c>
      <c r="U73" s="775">
        <f t="shared" si="27"/>
        <v>0</v>
      </c>
      <c r="V73" s="775">
        <f t="shared" si="12"/>
        <v>0</v>
      </c>
      <c r="W73" s="775">
        <f t="shared" si="4"/>
        <v>0</v>
      </c>
      <c r="X73" s="775">
        <f t="shared" si="28"/>
        <v>0</v>
      </c>
      <c r="Y73" s="775">
        <f t="shared" si="29"/>
        <v>0</v>
      </c>
      <c r="AA73" s="773">
        <v>61</v>
      </c>
      <c r="AB73" s="774">
        <f t="shared" si="30"/>
        <v>1828</v>
      </c>
      <c r="AC73" s="775">
        <f t="shared" si="31"/>
        <v>0</v>
      </c>
      <c r="AD73" s="775">
        <f t="shared" si="13"/>
        <v>0</v>
      </c>
      <c r="AE73" s="775">
        <f t="shared" si="5"/>
        <v>0</v>
      </c>
      <c r="AF73" s="775">
        <f t="shared" si="32"/>
        <v>0</v>
      </c>
      <c r="AG73" s="775">
        <f t="shared" si="33"/>
        <v>0</v>
      </c>
      <c r="AI73" s="773">
        <v>61</v>
      </c>
      <c r="AJ73" s="774">
        <f t="shared" si="34"/>
        <v>1828</v>
      </c>
      <c r="AK73" s="775">
        <f t="shared" si="35"/>
        <v>0</v>
      </c>
      <c r="AL73" s="775">
        <f t="shared" si="14"/>
        <v>0</v>
      </c>
      <c r="AM73" s="775">
        <f t="shared" si="6"/>
        <v>0</v>
      </c>
      <c r="AN73" s="775">
        <f t="shared" si="36"/>
        <v>0</v>
      </c>
      <c r="AO73" s="775">
        <f t="shared" si="37"/>
        <v>0</v>
      </c>
      <c r="AQ73" s="773">
        <v>61</v>
      </c>
      <c r="AR73" s="774">
        <f t="shared" si="38"/>
        <v>1828</v>
      </c>
      <c r="AS73" s="775">
        <f t="shared" si="39"/>
        <v>0</v>
      </c>
      <c r="AT73" s="775">
        <f t="shared" si="15"/>
        <v>0</v>
      </c>
      <c r="AU73" s="775">
        <f t="shared" si="7"/>
        <v>0</v>
      </c>
      <c r="AV73" s="775">
        <f t="shared" si="40"/>
        <v>0</v>
      </c>
      <c r="AW73" s="775">
        <f t="shared" si="41"/>
        <v>0</v>
      </c>
      <c r="AY73" s="773">
        <v>61</v>
      </c>
      <c r="AZ73" s="774">
        <f t="shared" si="42"/>
        <v>1828</v>
      </c>
      <c r="BA73" s="775">
        <f t="shared" si="43"/>
        <v>0</v>
      </c>
      <c r="BB73" s="775">
        <f t="shared" si="16"/>
        <v>0</v>
      </c>
      <c r="BC73" s="775">
        <f t="shared" si="8"/>
        <v>0</v>
      </c>
      <c r="BD73" s="775">
        <f t="shared" si="44"/>
        <v>0</v>
      </c>
      <c r="BE73" s="775">
        <f t="shared" si="45"/>
        <v>0</v>
      </c>
      <c r="BG73" s="773">
        <v>61</v>
      </c>
      <c r="BH73" s="774">
        <f t="shared" si="46"/>
        <v>1828</v>
      </c>
      <c r="BI73" s="775">
        <f t="shared" si="47"/>
        <v>0</v>
      </c>
      <c r="BJ73" s="775">
        <f t="shared" si="17"/>
        <v>0</v>
      </c>
      <c r="BK73" s="775">
        <f t="shared" si="9"/>
        <v>0</v>
      </c>
      <c r="BL73" s="775">
        <f t="shared" si="48"/>
        <v>0</v>
      </c>
      <c r="BM73" s="775">
        <f t="shared" si="49"/>
        <v>0</v>
      </c>
    </row>
    <row r="74" spans="1:65">
      <c r="A74" s="11">
        <f t="shared" si="2"/>
        <v>1905</v>
      </c>
      <c r="B74" s="773">
        <v>62</v>
      </c>
      <c r="C74" s="774">
        <f t="shared" si="18"/>
        <v>1859</v>
      </c>
      <c r="D74" s="775">
        <f t="shared" si="19"/>
        <v>0</v>
      </c>
      <c r="E74" s="775">
        <f t="shared" si="10"/>
        <v>0</v>
      </c>
      <c r="F74" s="775">
        <f t="shared" si="0"/>
        <v>0</v>
      </c>
      <c r="G74" s="775">
        <f t="shared" si="20"/>
        <v>0</v>
      </c>
      <c r="H74" s="775">
        <f t="shared" si="21"/>
        <v>0</v>
      </c>
      <c r="I74" s="775">
        <f t="shared" si="1"/>
        <v>0</v>
      </c>
      <c r="K74" s="773">
        <v>62</v>
      </c>
      <c r="L74" s="774">
        <f t="shared" si="22"/>
        <v>1859</v>
      </c>
      <c r="M74" s="775">
        <f t="shared" si="23"/>
        <v>0</v>
      </c>
      <c r="N74" s="775">
        <f t="shared" si="11"/>
        <v>0</v>
      </c>
      <c r="O74" s="775">
        <f t="shared" si="3"/>
        <v>0</v>
      </c>
      <c r="P74" s="775">
        <f t="shared" si="24"/>
        <v>0</v>
      </c>
      <c r="Q74" s="775">
        <f t="shared" si="25"/>
        <v>0</v>
      </c>
      <c r="S74" s="773">
        <v>62</v>
      </c>
      <c r="T74" s="774">
        <f t="shared" si="26"/>
        <v>1859</v>
      </c>
      <c r="U74" s="775">
        <f t="shared" si="27"/>
        <v>0</v>
      </c>
      <c r="V74" s="775">
        <f t="shared" si="12"/>
        <v>0</v>
      </c>
      <c r="W74" s="775">
        <f t="shared" si="4"/>
        <v>0</v>
      </c>
      <c r="X74" s="775">
        <f t="shared" si="28"/>
        <v>0</v>
      </c>
      <c r="Y74" s="775">
        <f t="shared" si="29"/>
        <v>0</v>
      </c>
      <c r="AA74" s="773">
        <v>62</v>
      </c>
      <c r="AB74" s="774">
        <f t="shared" si="30"/>
        <v>1859</v>
      </c>
      <c r="AC74" s="775">
        <f t="shared" si="31"/>
        <v>0</v>
      </c>
      <c r="AD74" s="775">
        <f t="shared" si="13"/>
        <v>0</v>
      </c>
      <c r="AE74" s="775">
        <f t="shared" si="5"/>
        <v>0</v>
      </c>
      <c r="AF74" s="775">
        <f t="shared" si="32"/>
        <v>0</v>
      </c>
      <c r="AG74" s="775">
        <f t="shared" si="33"/>
        <v>0</v>
      </c>
      <c r="AI74" s="773">
        <v>62</v>
      </c>
      <c r="AJ74" s="774">
        <f t="shared" si="34"/>
        <v>1859</v>
      </c>
      <c r="AK74" s="775">
        <f t="shared" si="35"/>
        <v>0</v>
      </c>
      <c r="AL74" s="775">
        <f t="shared" si="14"/>
        <v>0</v>
      </c>
      <c r="AM74" s="775">
        <f t="shared" si="6"/>
        <v>0</v>
      </c>
      <c r="AN74" s="775">
        <f t="shared" si="36"/>
        <v>0</v>
      </c>
      <c r="AO74" s="775">
        <f t="shared" si="37"/>
        <v>0</v>
      </c>
      <c r="AQ74" s="773">
        <v>62</v>
      </c>
      <c r="AR74" s="774">
        <f t="shared" si="38"/>
        <v>1859</v>
      </c>
      <c r="AS74" s="775">
        <f t="shared" si="39"/>
        <v>0</v>
      </c>
      <c r="AT74" s="775">
        <f t="shared" si="15"/>
        <v>0</v>
      </c>
      <c r="AU74" s="775">
        <f t="shared" si="7"/>
        <v>0</v>
      </c>
      <c r="AV74" s="775">
        <f t="shared" si="40"/>
        <v>0</v>
      </c>
      <c r="AW74" s="775">
        <f t="shared" si="41"/>
        <v>0</v>
      </c>
      <c r="AY74" s="773">
        <v>62</v>
      </c>
      <c r="AZ74" s="774">
        <f t="shared" si="42"/>
        <v>1859</v>
      </c>
      <c r="BA74" s="775">
        <f t="shared" si="43"/>
        <v>0</v>
      </c>
      <c r="BB74" s="775">
        <f t="shared" si="16"/>
        <v>0</v>
      </c>
      <c r="BC74" s="775">
        <f t="shared" si="8"/>
        <v>0</v>
      </c>
      <c r="BD74" s="775">
        <f t="shared" si="44"/>
        <v>0</v>
      </c>
      <c r="BE74" s="775">
        <f t="shared" si="45"/>
        <v>0</v>
      </c>
      <c r="BG74" s="773">
        <v>62</v>
      </c>
      <c r="BH74" s="774">
        <f t="shared" si="46"/>
        <v>1859</v>
      </c>
      <c r="BI74" s="775">
        <f t="shared" si="47"/>
        <v>0</v>
      </c>
      <c r="BJ74" s="775">
        <f t="shared" si="17"/>
        <v>0</v>
      </c>
      <c r="BK74" s="775">
        <f t="shared" si="9"/>
        <v>0</v>
      </c>
      <c r="BL74" s="775">
        <f t="shared" si="48"/>
        <v>0</v>
      </c>
      <c r="BM74" s="775">
        <f t="shared" si="49"/>
        <v>0</v>
      </c>
    </row>
    <row r="75" spans="1:65">
      <c r="A75" s="11">
        <f t="shared" si="2"/>
        <v>1905</v>
      </c>
      <c r="B75" s="773">
        <v>63</v>
      </c>
      <c r="C75" s="774">
        <f t="shared" si="18"/>
        <v>1887</v>
      </c>
      <c r="D75" s="775">
        <f t="shared" si="19"/>
        <v>0</v>
      </c>
      <c r="E75" s="775">
        <f t="shared" si="10"/>
        <v>0</v>
      </c>
      <c r="F75" s="775">
        <f t="shared" si="0"/>
        <v>0</v>
      </c>
      <c r="G75" s="775">
        <f t="shared" si="20"/>
        <v>0</v>
      </c>
      <c r="H75" s="775">
        <f t="shared" si="21"/>
        <v>0</v>
      </c>
      <c r="I75" s="775">
        <f t="shared" si="1"/>
        <v>0</v>
      </c>
      <c r="K75" s="773">
        <v>63</v>
      </c>
      <c r="L75" s="774">
        <f t="shared" si="22"/>
        <v>1887</v>
      </c>
      <c r="M75" s="775">
        <f t="shared" si="23"/>
        <v>0</v>
      </c>
      <c r="N75" s="775">
        <f t="shared" si="11"/>
        <v>0</v>
      </c>
      <c r="O75" s="775">
        <f t="shared" si="3"/>
        <v>0</v>
      </c>
      <c r="P75" s="775">
        <f t="shared" si="24"/>
        <v>0</v>
      </c>
      <c r="Q75" s="775">
        <f t="shared" si="25"/>
        <v>0</v>
      </c>
      <c r="S75" s="773">
        <v>63</v>
      </c>
      <c r="T75" s="774">
        <f t="shared" si="26"/>
        <v>1887</v>
      </c>
      <c r="U75" s="775">
        <f t="shared" si="27"/>
        <v>0</v>
      </c>
      <c r="V75" s="775">
        <f t="shared" si="12"/>
        <v>0</v>
      </c>
      <c r="W75" s="775">
        <f t="shared" si="4"/>
        <v>0</v>
      </c>
      <c r="X75" s="775">
        <f t="shared" si="28"/>
        <v>0</v>
      </c>
      <c r="Y75" s="775">
        <f t="shared" si="29"/>
        <v>0</v>
      </c>
      <c r="AA75" s="773">
        <v>63</v>
      </c>
      <c r="AB75" s="774">
        <f t="shared" si="30"/>
        <v>1887</v>
      </c>
      <c r="AC75" s="775">
        <f t="shared" si="31"/>
        <v>0</v>
      </c>
      <c r="AD75" s="775">
        <f t="shared" si="13"/>
        <v>0</v>
      </c>
      <c r="AE75" s="775">
        <f t="shared" si="5"/>
        <v>0</v>
      </c>
      <c r="AF75" s="775">
        <f t="shared" si="32"/>
        <v>0</v>
      </c>
      <c r="AG75" s="775">
        <f t="shared" si="33"/>
        <v>0</v>
      </c>
      <c r="AI75" s="773">
        <v>63</v>
      </c>
      <c r="AJ75" s="774">
        <f t="shared" si="34"/>
        <v>1887</v>
      </c>
      <c r="AK75" s="775">
        <f t="shared" si="35"/>
        <v>0</v>
      </c>
      <c r="AL75" s="775">
        <f t="shared" si="14"/>
        <v>0</v>
      </c>
      <c r="AM75" s="775">
        <f t="shared" si="6"/>
        <v>0</v>
      </c>
      <c r="AN75" s="775">
        <f t="shared" si="36"/>
        <v>0</v>
      </c>
      <c r="AO75" s="775">
        <f t="shared" si="37"/>
        <v>0</v>
      </c>
      <c r="AQ75" s="773">
        <v>63</v>
      </c>
      <c r="AR75" s="774">
        <f t="shared" si="38"/>
        <v>1887</v>
      </c>
      <c r="AS75" s="775">
        <f t="shared" si="39"/>
        <v>0</v>
      </c>
      <c r="AT75" s="775">
        <f t="shared" si="15"/>
        <v>0</v>
      </c>
      <c r="AU75" s="775">
        <f t="shared" si="7"/>
        <v>0</v>
      </c>
      <c r="AV75" s="775">
        <f t="shared" si="40"/>
        <v>0</v>
      </c>
      <c r="AW75" s="775">
        <f t="shared" si="41"/>
        <v>0</v>
      </c>
      <c r="AY75" s="773">
        <v>63</v>
      </c>
      <c r="AZ75" s="774">
        <f t="shared" si="42"/>
        <v>1887</v>
      </c>
      <c r="BA75" s="775">
        <f t="shared" si="43"/>
        <v>0</v>
      </c>
      <c r="BB75" s="775">
        <f t="shared" si="16"/>
        <v>0</v>
      </c>
      <c r="BC75" s="775">
        <f t="shared" si="8"/>
        <v>0</v>
      </c>
      <c r="BD75" s="775">
        <f t="shared" si="44"/>
        <v>0</v>
      </c>
      <c r="BE75" s="775">
        <f t="shared" si="45"/>
        <v>0</v>
      </c>
      <c r="BG75" s="773">
        <v>63</v>
      </c>
      <c r="BH75" s="774">
        <f t="shared" si="46"/>
        <v>1887</v>
      </c>
      <c r="BI75" s="775">
        <f t="shared" si="47"/>
        <v>0</v>
      </c>
      <c r="BJ75" s="775">
        <f t="shared" si="17"/>
        <v>0</v>
      </c>
      <c r="BK75" s="775">
        <f t="shared" si="9"/>
        <v>0</v>
      </c>
      <c r="BL75" s="775">
        <f t="shared" si="48"/>
        <v>0</v>
      </c>
      <c r="BM75" s="775">
        <f t="shared" si="49"/>
        <v>0</v>
      </c>
    </row>
    <row r="76" spans="1:65">
      <c r="A76" s="11">
        <f t="shared" si="2"/>
        <v>1905</v>
      </c>
      <c r="B76" s="773">
        <v>64</v>
      </c>
      <c r="C76" s="774">
        <f t="shared" si="18"/>
        <v>1918</v>
      </c>
      <c r="D76" s="775">
        <f t="shared" si="19"/>
        <v>0</v>
      </c>
      <c r="E76" s="775">
        <f t="shared" si="10"/>
        <v>0</v>
      </c>
      <c r="F76" s="775">
        <f t="shared" si="0"/>
        <v>0</v>
      </c>
      <c r="G76" s="775">
        <f t="shared" si="20"/>
        <v>0</v>
      </c>
      <c r="H76" s="775">
        <f t="shared" si="21"/>
        <v>0</v>
      </c>
      <c r="I76" s="775">
        <f t="shared" si="1"/>
        <v>0</v>
      </c>
      <c r="K76" s="773">
        <v>64</v>
      </c>
      <c r="L76" s="774">
        <f t="shared" si="22"/>
        <v>1918</v>
      </c>
      <c r="M76" s="775">
        <f t="shared" si="23"/>
        <v>0</v>
      </c>
      <c r="N76" s="775">
        <f t="shared" si="11"/>
        <v>0</v>
      </c>
      <c r="O76" s="775">
        <f t="shared" si="3"/>
        <v>0</v>
      </c>
      <c r="P76" s="775">
        <f t="shared" si="24"/>
        <v>0</v>
      </c>
      <c r="Q76" s="775">
        <f t="shared" si="25"/>
        <v>0</v>
      </c>
      <c r="S76" s="773">
        <v>64</v>
      </c>
      <c r="T76" s="774">
        <f t="shared" si="26"/>
        <v>1918</v>
      </c>
      <c r="U76" s="775">
        <f t="shared" si="27"/>
        <v>0</v>
      </c>
      <c r="V76" s="775">
        <f t="shared" si="12"/>
        <v>0</v>
      </c>
      <c r="W76" s="775">
        <f t="shared" si="4"/>
        <v>0</v>
      </c>
      <c r="X76" s="775">
        <f t="shared" si="28"/>
        <v>0</v>
      </c>
      <c r="Y76" s="775">
        <f t="shared" si="29"/>
        <v>0</v>
      </c>
      <c r="AA76" s="773">
        <v>64</v>
      </c>
      <c r="AB76" s="774">
        <f t="shared" si="30"/>
        <v>1918</v>
      </c>
      <c r="AC76" s="775">
        <f t="shared" si="31"/>
        <v>0</v>
      </c>
      <c r="AD76" s="775">
        <f t="shared" si="13"/>
        <v>0</v>
      </c>
      <c r="AE76" s="775">
        <f t="shared" si="5"/>
        <v>0</v>
      </c>
      <c r="AF76" s="775">
        <f t="shared" si="32"/>
        <v>0</v>
      </c>
      <c r="AG76" s="775">
        <f t="shared" si="33"/>
        <v>0</v>
      </c>
      <c r="AI76" s="773">
        <v>64</v>
      </c>
      <c r="AJ76" s="774">
        <f t="shared" si="34"/>
        <v>1918</v>
      </c>
      <c r="AK76" s="775">
        <f t="shared" si="35"/>
        <v>0</v>
      </c>
      <c r="AL76" s="775">
        <f t="shared" si="14"/>
        <v>0</v>
      </c>
      <c r="AM76" s="775">
        <f t="shared" si="6"/>
        <v>0</v>
      </c>
      <c r="AN76" s="775">
        <f t="shared" si="36"/>
        <v>0</v>
      </c>
      <c r="AO76" s="775">
        <f t="shared" si="37"/>
        <v>0</v>
      </c>
      <c r="AQ76" s="773">
        <v>64</v>
      </c>
      <c r="AR76" s="774">
        <f t="shared" si="38"/>
        <v>1918</v>
      </c>
      <c r="AS76" s="775">
        <f t="shared" si="39"/>
        <v>0</v>
      </c>
      <c r="AT76" s="775">
        <f t="shared" si="15"/>
        <v>0</v>
      </c>
      <c r="AU76" s="775">
        <f t="shared" si="7"/>
        <v>0</v>
      </c>
      <c r="AV76" s="775">
        <f t="shared" si="40"/>
        <v>0</v>
      </c>
      <c r="AW76" s="775">
        <f t="shared" si="41"/>
        <v>0</v>
      </c>
      <c r="AY76" s="773">
        <v>64</v>
      </c>
      <c r="AZ76" s="774">
        <f t="shared" si="42"/>
        <v>1918</v>
      </c>
      <c r="BA76" s="775">
        <f t="shared" si="43"/>
        <v>0</v>
      </c>
      <c r="BB76" s="775">
        <f t="shared" si="16"/>
        <v>0</v>
      </c>
      <c r="BC76" s="775">
        <f t="shared" si="8"/>
        <v>0</v>
      </c>
      <c r="BD76" s="775">
        <f t="shared" si="44"/>
        <v>0</v>
      </c>
      <c r="BE76" s="775">
        <f t="shared" si="45"/>
        <v>0</v>
      </c>
      <c r="BG76" s="773">
        <v>64</v>
      </c>
      <c r="BH76" s="774">
        <f t="shared" si="46"/>
        <v>1918</v>
      </c>
      <c r="BI76" s="775">
        <f t="shared" si="47"/>
        <v>0</v>
      </c>
      <c r="BJ76" s="775">
        <f t="shared" si="17"/>
        <v>0</v>
      </c>
      <c r="BK76" s="775">
        <f t="shared" si="9"/>
        <v>0</v>
      </c>
      <c r="BL76" s="775">
        <f t="shared" si="48"/>
        <v>0</v>
      </c>
      <c r="BM76" s="775">
        <f t="shared" si="49"/>
        <v>0</v>
      </c>
    </row>
    <row r="77" spans="1:65">
      <c r="A77" s="11">
        <f t="shared" si="2"/>
        <v>1905</v>
      </c>
      <c r="B77" s="773">
        <v>65</v>
      </c>
      <c r="C77" s="774">
        <f t="shared" si="18"/>
        <v>1948</v>
      </c>
      <c r="D77" s="775">
        <f t="shared" si="19"/>
        <v>0</v>
      </c>
      <c r="E77" s="775">
        <f t="shared" si="10"/>
        <v>0</v>
      </c>
      <c r="F77" s="775">
        <f t="shared" ref="F77:F140" si="50">D77*$E$7/12</f>
        <v>0</v>
      </c>
      <c r="G77" s="775">
        <f t="shared" si="20"/>
        <v>0</v>
      </c>
      <c r="H77" s="775">
        <f t="shared" si="21"/>
        <v>0</v>
      </c>
      <c r="I77" s="775">
        <f t="shared" ref="I77:I140" si="51">D77*rng01_MortgageInsurangePremium/12</f>
        <v>0</v>
      </c>
      <c r="K77" s="773">
        <v>65</v>
      </c>
      <c r="L77" s="774">
        <f t="shared" si="22"/>
        <v>1948</v>
      </c>
      <c r="M77" s="775">
        <f t="shared" si="23"/>
        <v>0</v>
      </c>
      <c r="N77" s="775">
        <f t="shared" si="11"/>
        <v>0</v>
      </c>
      <c r="O77" s="775">
        <f t="shared" si="3"/>
        <v>0</v>
      </c>
      <c r="P77" s="775">
        <f t="shared" si="24"/>
        <v>0</v>
      </c>
      <c r="Q77" s="775">
        <f t="shared" si="25"/>
        <v>0</v>
      </c>
      <c r="S77" s="773">
        <v>65</v>
      </c>
      <c r="T77" s="774">
        <f t="shared" si="26"/>
        <v>1948</v>
      </c>
      <c r="U77" s="775">
        <f t="shared" si="27"/>
        <v>0</v>
      </c>
      <c r="V77" s="775">
        <f t="shared" si="12"/>
        <v>0</v>
      </c>
      <c r="W77" s="775">
        <f t="shared" si="4"/>
        <v>0</v>
      </c>
      <c r="X77" s="775">
        <f t="shared" si="28"/>
        <v>0</v>
      </c>
      <c r="Y77" s="775">
        <f t="shared" si="29"/>
        <v>0</v>
      </c>
      <c r="AA77" s="773">
        <v>65</v>
      </c>
      <c r="AB77" s="774">
        <f t="shared" si="30"/>
        <v>1948</v>
      </c>
      <c r="AC77" s="775">
        <f t="shared" si="31"/>
        <v>0</v>
      </c>
      <c r="AD77" s="775">
        <f t="shared" si="13"/>
        <v>0</v>
      </c>
      <c r="AE77" s="775">
        <f t="shared" si="5"/>
        <v>0</v>
      </c>
      <c r="AF77" s="775">
        <f t="shared" si="32"/>
        <v>0</v>
      </c>
      <c r="AG77" s="775">
        <f t="shared" si="33"/>
        <v>0</v>
      </c>
      <c r="AI77" s="773">
        <v>65</v>
      </c>
      <c r="AJ77" s="774">
        <f t="shared" si="34"/>
        <v>1948</v>
      </c>
      <c r="AK77" s="775">
        <f t="shared" si="35"/>
        <v>0</v>
      </c>
      <c r="AL77" s="775">
        <f t="shared" si="14"/>
        <v>0</v>
      </c>
      <c r="AM77" s="775">
        <f t="shared" si="6"/>
        <v>0</v>
      </c>
      <c r="AN77" s="775">
        <f t="shared" si="36"/>
        <v>0</v>
      </c>
      <c r="AO77" s="775">
        <f t="shared" si="37"/>
        <v>0</v>
      </c>
      <c r="AQ77" s="773">
        <v>65</v>
      </c>
      <c r="AR77" s="774">
        <f t="shared" si="38"/>
        <v>1948</v>
      </c>
      <c r="AS77" s="775">
        <f t="shared" si="39"/>
        <v>0</v>
      </c>
      <c r="AT77" s="775">
        <f t="shared" si="15"/>
        <v>0</v>
      </c>
      <c r="AU77" s="775">
        <f t="shared" si="7"/>
        <v>0</v>
      </c>
      <c r="AV77" s="775">
        <f t="shared" si="40"/>
        <v>0</v>
      </c>
      <c r="AW77" s="775">
        <f t="shared" si="41"/>
        <v>0</v>
      </c>
      <c r="AY77" s="773">
        <v>65</v>
      </c>
      <c r="AZ77" s="774">
        <f t="shared" si="42"/>
        <v>1948</v>
      </c>
      <c r="BA77" s="775">
        <f t="shared" si="43"/>
        <v>0</v>
      </c>
      <c r="BB77" s="775">
        <f t="shared" si="16"/>
        <v>0</v>
      </c>
      <c r="BC77" s="775">
        <f t="shared" si="8"/>
        <v>0</v>
      </c>
      <c r="BD77" s="775">
        <f t="shared" si="44"/>
        <v>0</v>
      </c>
      <c r="BE77" s="775">
        <f t="shared" si="45"/>
        <v>0</v>
      </c>
      <c r="BG77" s="773">
        <v>65</v>
      </c>
      <c r="BH77" s="774">
        <f t="shared" si="46"/>
        <v>1948</v>
      </c>
      <c r="BI77" s="775">
        <f t="shared" si="47"/>
        <v>0</v>
      </c>
      <c r="BJ77" s="775">
        <f t="shared" si="17"/>
        <v>0</v>
      </c>
      <c r="BK77" s="775">
        <f t="shared" si="9"/>
        <v>0</v>
      </c>
      <c r="BL77" s="775">
        <f t="shared" si="48"/>
        <v>0</v>
      </c>
      <c r="BM77" s="775">
        <f t="shared" si="49"/>
        <v>0</v>
      </c>
    </row>
    <row r="78" spans="1:65">
      <c r="A78" s="11">
        <f t="shared" ref="A78:A141" si="52">YEAR(C78)</f>
        <v>1905</v>
      </c>
      <c r="B78" s="773">
        <v>66</v>
      </c>
      <c r="C78" s="774">
        <f t="shared" si="18"/>
        <v>1979</v>
      </c>
      <c r="D78" s="775">
        <f t="shared" si="19"/>
        <v>0</v>
      </c>
      <c r="E78" s="775">
        <f t="shared" si="10"/>
        <v>0</v>
      </c>
      <c r="F78" s="775">
        <f t="shared" si="50"/>
        <v>0</v>
      </c>
      <c r="G78" s="775">
        <f t="shared" si="20"/>
        <v>0</v>
      </c>
      <c r="H78" s="775">
        <f t="shared" si="21"/>
        <v>0</v>
      </c>
      <c r="I78" s="775">
        <f t="shared" si="51"/>
        <v>0</v>
      </c>
      <c r="K78" s="773">
        <v>66</v>
      </c>
      <c r="L78" s="774">
        <f t="shared" si="22"/>
        <v>1979</v>
      </c>
      <c r="M78" s="775">
        <f t="shared" si="23"/>
        <v>0</v>
      </c>
      <c r="N78" s="775">
        <f t="shared" si="11"/>
        <v>0</v>
      </c>
      <c r="O78" s="775">
        <f t="shared" ref="O78:O141" si="53">M78*$N$7/12</f>
        <v>0</v>
      </c>
      <c r="P78" s="775">
        <f t="shared" si="24"/>
        <v>0</v>
      </c>
      <c r="Q78" s="775">
        <f t="shared" si="25"/>
        <v>0</v>
      </c>
      <c r="S78" s="773">
        <v>66</v>
      </c>
      <c r="T78" s="774">
        <f t="shared" si="26"/>
        <v>1979</v>
      </c>
      <c r="U78" s="775">
        <f t="shared" si="27"/>
        <v>0</v>
      </c>
      <c r="V78" s="775">
        <f t="shared" si="12"/>
        <v>0</v>
      </c>
      <c r="W78" s="775">
        <f t="shared" ref="W78:W141" si="54">U78*V$7/12</f>
        <v>0</v>
      </c>
      <c r="X78" s="775">
        <f t="shared" si="28"/>
        <v>0</v>
      </c>
      <c r="Y78" s="775">
        <f t="shared" si="29"/>
        <v>0</v>
      </c>
      <c r="AA78" s="773">
        <v>66</v>
      </c>
      <c r="AB78" s="774">
        <f t="shared" si="30"/>
        <v>1979</v>
      </c>
      <c r="AC78" s="775">
        <f t="shared" si="31"/>
        <v>0</v>
      </c>
      <c r="AD78" s="775">
        <f t="shared" si="13"/>
        <v>0</v>
      </c>
      <c r="AE78" s="775">
        <f t="shared" ref="AE78:AE141" si="55">AC78*AD$7/12</f>
        <v>0</v>
      </c>
      <c r="AF78" s="775">
        <f t="shared" si="32"/>
        <v>0</v>
      </c>
      <c r="AG78" s="775">
        <f t="shared" si="33"/>
        <v>0</v>
      </c>
      <c r="AI78" s="773">
        <v>66</v>
      </c>
      <c r="AJ78" s="774">
        <f t="shared" si="34"/>
        <v>1979</v>
      </c>
      <c r="AK78" s="775">
        <f t="shared" si="35"/>
        <v>0</v>
      </c>
      <c r="AL78" s="775">
        <f t="shared" si="14"/>
        <v>0</v>
      </c>
      <c r="AM78" s="775">
        <f t="shared" ref="AM78:AM141" si="56">AK78*AL$7/12</f>
        <v>0</v>
      </c>
      <c r="AN78" s="775">
        <f t="shared" si="36"/>
        <v>0</v>
      </c>
      <c r="AO78" s="775">
        <f t="shared" si="37"/>
        <v>0</v>
      </c>
      <c r="AQ78" s="773">
        <v>66</v>
      </c>
      <c r="AR78" s="774">
        <f t="shared" si="38"/>
        <v>1979</v>
      </c>
      <c r="AS78" s="775">
        <f t="shared" si="39"/>
        <v>0</v>
      </c>
      <c r="AT78" s="775">
        <f t="shared" si="15"/>
        <v>0</v>
      </c>
      <c r="AU78" s="775">
        <f t="shared" ref="AU78:AU141" si="57">AS78*AT$7/12</f>
        <v>0</v>
      </c>
      <c r="AV78" s="775">
        <f t="shared" si="40"/>
        <v>0</v>
      </c>
      <c r="AW78" s="775">
        <f t="shared" si="41"/>
        <v>0</v>
      </c>
      <c r="AY78" s="773">
        <v>66</v>
      </c>
      <c r="AZ78" s="774">
        <f t="shared" si="42"/>
        <v>1979</v>
      </c>
      <c r="BA78" s="775">
        <f t="shared" si="43"/>
        <v>0</v>
      </c>
      <c r="BB78" s="775">
        <f t="shared" si="16"/>
        <v>0</v>
      </c>
      <c r="BC78" s="775">
        <f t="shared" ref="BC78:BC141" si="58">BA78*BB$7/12</f>
        <v>0</v>
      </c>
      <c r="BD78" s="775">
        <f t="shared" si="44"/>
        <v>0</v>
      </c>
      <c r="BE78" s="775">
        <f t="shared" si="45"/>
        <v>0</v>
      </c>
      <c r="BG78" s="773">
        <v>66</v>
      </c>
      <c r="BH78" s="774">
        <f t="shared" si="46"/>
        <v>1979</v>
      </c>
      <c r="BI78" s="775">
        <f t="shared" si="47"/>
        <v>0</v>
      </c>
      <c r="BJ78" s="775">
        <f t="shared" si="17"/>
        <v>0</v>
      </c>
      <c r="BK78" s="775">
        <f t="shared" ref="BK78:BK141" si="59">BI78*BJ$7/12</f>
        <v>0</v>
      </c>
      <c r="BL78" s="775">
        <f t="shared" si="48"/>
        <v>0</v>
      </c>
      <c r="BM78" s="775">
        <f t="shared" si="49"/>
        <v>0</v>
      </c>
    </row>
    <row r="79" spans="1:65">
      <c r="A79" s="11">
        <f t="shared" si="52"/>
        <v>1905</v>
      </c>
      <c r="B79" s="773">
        <v>67</v>
      </c>
      <c r="C79" s="774">
        <f t="shared" si="18"/>
        <v>2009</v>
      </c>
      <c r="D79" s="775">
        <f t="shared" si="19"/>
        <v>0</v>
      </c>
      <c r="E79" s="775">
        <f t="shared" ref="E79:E142" si="60">IF(ROUND(D79,0)&gt;0,E78,0)</f>
        <v>0</v>
      </c>
      <c r="F79" s="775">
        <f t="shared" si="50"/>
        <v>0</v>
      </c>
      <c r="G79" s="775">
        <f t="shared" si="20"/>
        <v>0</v>
      </c>
      <c r="H79" s="775">
        <f t="shared" si="21"/>
        <v>0</v>
      </c>
      <c r="I79" s="775">
        <f t="shared" si="51"/>
        <v>0</v>
      </c>
      <c r="K79" s="773">
        <v>67</v>
      </c>
      <c r="L79" s="774">
        <f t="shared" si="22"/>
        <v>2009</v>
      </c>
      <c r="M79" s="775">
        <f t="shared" si="23"/>
        <v>0</v>
      </c>
      <c r="N79" s="775">
        <f t="shared" ref="N79:N142" si="61">IF(ROUND(M79,0)&gt;0,N78,0)</f>
        <v>0</v>
      </c>
      <c r="O79" s="775">
        <f t="shared" si="53"/>
        <v>0</v>
      </c>
      <c r="P79" s="775">
        <f t="shared" si="24"/>
        <v>0</v>
      </c>
      <c r="Q79" s="775">
        <f t="shared" si="25"/>
        <v>0</v>
      </c>
      <c r="S79" s="773">
        <v>67</v>
      </c>
      <c r="T79" s="774">
        <f t="shared" si="26"/>
        <v>2009</v>
      </c>
      <c r="U79" s="775">
        <f t="shared" si="27"/>
        <v>0</v>
      </c>
      <c r="V79" s="775">
        <f t="shared" ref="V79:V142" si="62">IF(ROUND(U79,0)&gt;0,V78,0)</f>
        <v>0</v>
      </c>
      <c r="W79" s="775">
        <f t="shared" si="54"/>
        <v>0</v>
      </c>
      <c r="X79" s="775">
        <f t="shared" si="28"/>
        <v>0</v>
      </c>
      <c r="Y79" s="775">
        <f t="shared" si="29"/>
        <v>0</v>
      </c>
      <c r="AA79" s="773">
        <v>67</v>
      </c>
      <c r="AB79" s="774">
        <f t="shared" si="30"/>
        <v>2009</v>
      </c>
      <c r="AC79" s="775">
        <f t="shared" si="31"/>
        <v>0</v>
      </c>
      <c r="AD79" s="775">
        <f t="shared" ref="AD79:AD142" si="63">IF(ROUND(AC79,0)&gt;0,AD78,0)</f>
        <v>0</v>
      </c>
      <c r="AE79" s="775">
        <f t="shared" si="55"/>
        <v>0</v>
      </c>
      <c r="AF79" s="775">
        <f t="shared" si="32"/>
        <v>0</v>
      </c>
      <c r="AG79" s="775">
        <f t="shared" si="33"/>
        <v>0</v>
      </c>
      <c r="AI79" s="773">
        <v>67</v>
      </c>
      <c r="AJ79" s="774">
        <f t="shared" si="34"/>
        <v>2009</v>
      </c>
      <c r="AK79" s="775">
        <f t="shared" si="35"/>
        <v>0</v>
      </c>
      <c r="AL79" s="775">
        <f t="shared" ref="AL79:AL142" si="64">IF(ROUND(AK79,0)&gt;0,AL78,0)</f>
        <v>0</v>
      </c>
      <c r="AM79" s="775">
        <f t="shared" si="56"/>
        <v>0</v>
      </c>
      <c r="AN79" s="775">
        <f t="shared" si="36"/>
        <v>0</v>
      </c>
      <c r="AO79" s="775">
        <f t="shared" si="37"/>
        <v>0</v>
      </c>
      <c r="AQ79" s="773">
        <v>67</v>
      </c>
      <c r="AR79" s="774">
        <f t="shared" si="38"/>
        <v>2009</v>
      </c>
      <c r="AS79" s="775">
        <f t="shared" si="39"/>
        <v>0</v>
      </c>
      <c r="AT79" s="775">
        <f t="shared" ref="AT79:AT142" si="65">IF(ROUND(AS79,0)&gt;0,AT78,0)</f>
        <v>0</v>
      </c>
      <c r="AU79" s="775">
        <f t="shared" si="57"/>
        <v>0</v>
      </c>
      <c r="AV79" s="775">
        <f t="shared" si="40"/>
        <v>0</v>
      </c>
      <c r="AW79" s="775">
        <f t="shared" si="41"/>
        <v>0</v>
      </c>
      <c r="AY79" s="773">
        <v>67</v>
      </c>
      <c r="AZ79" s="774">
        <f t="shared" si="42"/>
        <v>2009</v>
      </c>
      <c r="BA79" s="775">
        <f t="shared" si="43"/>
        <v>0</v>
      </c>
      <c r="BB79" s="775">
        <f t="shared" ref="BB79:BB142" si="66">IF(ROUND(BA79,0)&gt;0,BB78,0)</f>
        <v>0</v>
      </c>
      <c r="BC79" s="775">
        <f t="shared" si="58"/>
        <v>0</v>
      </c>
      <c r="BD79" s="775">
        <f t="shared" si="44"/>
        <v>0</v>
      </c>
      <c r="BE79" s="775">
        <f t="shared" si="45"/>
        <v>0</v>
      </c>
      <c r="BG79" s="773">
        <v>67</v>
      </c>
      <c r="BH79" s="774">
        <f t="shared" si="46"/>
        <v>2009</v>
      </c>
      <c r="BI79" s="775">
        <f t="shared" si="47"/>
        <v>0</v>
      </c>
      <c r="BJ79" s="775">
        <f t="shared" ref="BJ79:BJ142" si="67">IF(ROUND(BI79,0)&gt;0,BJ78,0)</f>
        <v>0</v>
      </c>
      <c r="BK79" s="775">
        <f t="shared" si="59"/>
        <v>0</v>
      </c>
      <c r="BL79" s="775">
        <f t="shared" si="48"/>
        <v>0</v>
      </c>
      <c r="BM79" s="775">
        <f t="shared" si="49"/>
        <v>0</v>
      </c>
    </row>
    <row r="80" spans="1:65">
      <c r="A80" s="11">
        <f t="shared" si="52"/>
        <v>1905</v>
      </c>
      <c r="B80" s="773">
        <v>68</v>
      </c>
      <c r="C80" s="774">
        <f t="shared" ref="C80:C143" si="68">DATE(IF(MONTH(C79)=12,YEAR(C79)+1,YEAR(C79)),IF(MONTH(C79)=12,1,MONTH(C79)+1),1)</f>
        <v>2040</v>
      </c>
      <c r="D80" s="775">
        <f t="shared" ref="D80:D143" si="69">H79</f>
        <v>0</v>
      </c>
      <c r="E80" s="775">
        <f t="shared" si="60"/>
        <v>0</v>
      </c>
      <c r="F80" s="775">
        <f t="shared" si="50"/>
        <v>0</v>
      </c>
      <c r="G80" s="775">
        <f t="shared" ref="G80:G143" si="70">E80-F80</f>
        <v>0</v>
      </c>
      <c r="H80" s="775">
        <f t="shared" ref="H80:H143" si="71">D80-G80</f>
        <v>0</v>
      </c>
      <c r="I80" s="775">
        <f t="shared" si="51"/>
        <v>0</v>
      </c>
      <c r="K80" s="773">
        <v>68</v>
      </c>
      <c r="L80" s="774">
        <f t="shared" ref="L80:L143" si="72">DATE(IF(MONTH(L79)=12,YEAR(L79)+1,YEAR(L79)),IF(MONTH(L79)=12,1,MONTH(L79)+1),1)</f>
        <v>2040</v>
      </c>
      <c r="M80" s="775">
        <f t="shared" ref="M80:M143" si="73">Q79</f>
        <v>0</v>
      </c>
      <c r="N80" s="775">
        <f t="shared" si="61"/>
        <v>0</v>
      </c>
      <c r="O80" s="775">
        <f t="shared" si="53"/>
        <v>0</v>
      </c>
      <c r="P80" s="775">
        <f t="shared" ref="P80:P143" si="74">N80-O80</f>
        <v>0</v>
      </c>
      <c r="Q80" s="775">
        <f t="shared" ref="Q80:Q143" si="75">M80-P80</f>
        <v>0</v>
      </c>
      <c r="S80" s="773">
        <v>68</v>
      </c>
      <c r="T80" s="774">
        <f t="shared" ref="T80:T143" si="76">DATE(IF(MONTH(T79)=12,YEAR(T79)+1,YEAR(T79)),IF(MONTH(T79)=12,1,MONTH(T79)+1),1)</f>
        <v>2040</v>
      </c>
      <c r="U80" s="775">
        <f t="shared" ref="U80:U143" si="77">Y79</f>
        <v>0</v>
      </c>
      <c r="V80" s="775">
        <f t="shared" si="62"/>
        <v>0</v>
      </c>
      <c r="W80" s="775">
        <f t="shared" si="54"/>
        <v>0</v>
      </c>
      <c r="X80" s="775">
        <f t="shared" ref="X80:X143" si="78">V80-W80</f>
        <v>0</v>
      </c>
      <c r="Y80" s="775">
        <f t="shared" ref="Y80:Y143" si="79">U80-X80</f>
        <v>0</v>
      </c>
      <c r="AA80" s="773">
        <v>68</v>
      </c>
      <c r="AB80" s="774">
        <f t="shared" ref="AB80:AB143" si="80">DATE(IF(MONTH(AB79)=12,YEAR(AB79)+1,YEAR(AB79)),IF(MONTH(AB79)=12,1,MONTH(AB79)+1),1)</f>
        <v>2040</v>
      </c>
      <c r="AC80" s="775">
        <f t="shared" ref="AC80:AC143" si="81">AG79</f>
        <v>0</v>
      </c>
      <c r="AD80" s="775">
        <f t="shared" si="63"/>
        <v>0</v>
      </c>
      <c r="AE80" s="775">
        <f t="shared" si="55"/>
        <v>0</v>
      </c>
      <c r="AF80" s="775">
        <f t="shared" ref="AF80:AF143" si="82">AD80-AE80</f>
        <v>0</v>
      </c>
      <c r="AG80" s="775">
        <f t="shared" ref="AG80:AG143" si="83">AC80-AF80</f>
        <v>0</v>
      </c>
      <c r="AI80" s="773">
        <v>68</v>
      </c>
      <c r="AJ80" s="774">
        <f t="shared" ref="AJ80:AJ143" si="84">DATE(IF(MONTH(AJ79)=12,YEAR(AJ79)+1,YEAR(AJ79)),IF(MONTH(AJ79)=12,1,MONTH(AJ79)+1),1)</f>
        <v>2040</v>
      </c>
      <c r="AK80" s="775">
        <f t="shared" ref="AK80:AK143" si="85">AO79</f>
        <v>0</v>
      </c>
      <c r="AL80" s="775">
        <f t="shared" si="64"/>
        <v>0</v>
      </c>
      <c r="AM80" s="775">
        <f t="shared" si="56"/>
        <v>0</v>
      </c>
      <c r="AN80" s="775">
        <f t="shared" ref="AN80:AN143" si="86">AL80-AM80</f>
        <v>0</v>
      </c>
      <c r="AO80" s="775">
        <f t="shared" ref="AO80:AO143" si="87">AK80-AN80</f>
        <v>0</v>
      </c>
      <c r="AQ80" s="773">
        <v>68</v>
      </c>
      <c r="AR80" s="774">
        <f t="shared" ref="AR80:AR143" si="88">DATE(IF(MONTH(AR79)=12,YEAR(AR79)+1,YEAR(AR79)),IF(MONTH(AR79)=12,1,MONTH(AR79)+1),1)</f>
        <v>2040</v>
      </c>
      <c r="AS80" s="775">
        <f t="shared" ref="AS80:AS143" si="89">AW79</f>
        <v>0</v>
      </c>
      <c r="AT80" s="775">
        <f t="shared" si="65"/>
        <v>0</v>
      </c>
      <c r="AU80" s="775">
        <f t="shared" si="57"/>
        <v>0</v>
      </c>
      <c r="AV80" s="775">
        <f t="shared" ref="AV80:AV143" si="90">AT80-AU80</f>
        <v>0</v>
      </c>
      <c r="AW80" s="775">
        <f t="shared" ref="AW80:AW143" si="91">AS80-AV80</f>
        <v>0</v>
      </c>
      <c r="AY80" s="773">
        <v>68</v>
      </c>
      <c r="AZ80" s="774">
        <f t="shared" ref="AZ80:AZ143" si="92">DATE(IF(MONTH(AZ79)=12,YEAR(AZ79)+1,YEAR(AZ79)),IF(MONTH(AZ79)=12,1,MONTH(AZ79)+1),1)</f>
        <v>2040</v>
      </c>
      <c r="BA80" s="775">
        <f t="shared" ref="BA80:BA143" si="93">BE79</f>
        <v>0</v>
      </c>
      <c r="BB80" s="775">
        <f t="shared" si="66"/>
        <v>0</v>
      </c>
      <c r="BC80" s="775">
        <f t="shared" si="58"/>
        <v>0</v>
      </c>
      <c r="BD80" s="775">
        <f t="shared" ref="BD80:BD143" si="94">BB80-BC80</f>
        <v>0</v>
      </c>
      <c r="BE80" s="775">
        <f t="shared" ref="BE80:BE143" si="95">BA80-BD80</f>
        <v>0</v>
      </c>
      <c r="BG80" s="773">
        <v>68</v>
      </c>
      <c r="BH80" s="774">
        <f t="shared" ref="BH80:BH143" si="96">DATE(IF(MONTH(BH79)=12,YEAR(BH79)+1,YEAR(BH79)),IF(MONTH(BH79)=12,1,MONTH(BH79)+1),1)</f>
        <v>2040</v>
      </c>
      <c r="BI80" s="775">
        <f t="shared" ref="BI80:BI143" si="97">BM79</f>
        <v>0</v>
      </c>
      <c r="BJ80" s="775">
        <f t="shared" si="67"/>
        <v>0</v>
      </c>
      <c r="BK80" s="775">
        <f t="shared" si="59"/>
        <v>0</v>
      </c>
      <c r="BL80" s="775">
        <f t="shared" ref="BL80:BL143" si="98">BJ80-BK80</f>
        <v>0</v>
      </c>
      <c r="BM80" s="775">
        <f t="shared" ref="BM80:BM143" si="99">BI80-BL80</f>
        <v>0</v>
      </c>
    </row>
    <row r="81" spans="1:65">
      <c r="A81" s="11">
        <f t="shared" si="52"/>
        <v>1905</v>
      </c>
      <c r="B81" s="773">
        <v>69</v>
      </c>
      <c r="C81" s="774">
        <f t="shared" si="68"/>
        <v>2071</v>
      </c>
      <c r="D81" s="775">
        <f t="shared" si="69"/>
        <v>0</v>
      </c>
      <c r="E81" s="775">
        <f t="shared" si="60"/>
        <v>0</v>
      </c>
      <c r="F81" s="775">
        <f t="shared" si="50"/>
        <v>0</v>
      </c>
      <c r="G81" s="775">
        <f t="shared" si="70"/>
        <v>0</v>
      </c>
      <c r="H81" s="775">
        <f t="shared" si="71"/>
        <v>0</v>
      </c>
      <c r="I81" s="775">
        <f t="shared" si="51"/>
        <v>0</v>
      </c>
      <c r="K81" s="773">
        <v>69</v>
      </c>
      <c r="L81" s="774">
        <f t="shared" si="72"/>
        <v>2071</v>
      </c>
      <c r="M81" s="775">
        <f t="shared" si="73"/>
        <v>0</v>
      </c>
      <c r="N81" s="775">
        <f t="shared" si="61"/>
        <v>0</v>
      </c>
      <c r="O81" s="775">
        <f t="shared" si="53"/>
        <v>0</v>
      </c>
      <c r="P81" s="775">
        <f t="shared" si="74"/>
        <v>0</v>
      </c>
      <c r="Q81" s="775">
        <f t="shared" si="75"/>
        <v>0</v>
      </c>
      <c r="S81" s="773">
        <v>69</v>
      </c>
      <c r="T81" s="774">
        <f t="shared" si="76"/>
        <v>2071</v>
      </c>
      <c r="U81" s="775">
        <f t="shared" si="77"/>
        <v>0</v>
      </c>
      <c r="V81" s="775">
        <f t="shared" si="62"/>
        <v>0</v>
      </c>
      <c r="W81" s="775">
        <f t="shared" si="54"/>
        <v>0</v>
      </c>
      <c r="X81" s="775">
        <f t="shared" si="78"/>
        <v>0</v>
      </c>
      <c r="Y81" s="775">
        <f t="shared" si="79"/>
        <v>0</v>
      </c>
      <c r="AA81" s="773">
        <v>69</v>
      </c>
      <c r="AB81" s="774">
        <f t="shared" si="80"/>
        <v>2071</v>
      </c>
      <c r="AC81" s="775">
        <f t="shared" si="81"/>
        <v>0</v>
      </c>
      <c r="AD81" s="775">
        <f t="shared" si="63"/>
        <v>0</v>
      </c>
      <c r="AE81" s="775">
        <f t="shared" si="55"/>
        <v>0</v>
      </c>
      <c r="AF81" s="775">
        <f t="shared" si="82"/>
        <v>0</v>
      </c>
      <c r="AG81" s="775">
        <f t="shared" si="83"/>
        <v>0</v>
      </c>
      <c r="AI81" s="773">
        <v>69</v>
      </c>
      <c r="AJ81" s="774">
        <f t="shared" si="84"/>
        <v>2071</v>
      </c>
      <c r="AK81" s="775">
        <f t="shared" si="85"/>
        <v>0</v>
      </c>
      <c r="AL81" s="775">
        <f t="shared" si="64"/>
        <v>0</v>
      </c>
      <c r="AM81" s="775">
        <f t="shared" si="56"/>
        <v>0</v>
      </c>
      <c r="AN81" s="775">
        <f t="shared" si="86"/>
        <v>0</v>
      </c>
      <c r="AO81" s="775">
        <f t="shared" si="87"/>
        <v>0</v>
      </c>
      <c r="AQ81" s="773">
        <v>69</v>
      </c>
      <c r="AR81" s="774">
        <f t="shared" si="88"/>
        <v>2071</v>
      </c>
      <c r="AS81" s="775">
        <f t="shared" si="89"/>
        <v>0</v>
      </c>
      <c r="AT81" s="775">
        <f t="shared" si="65"/>
        <v>0</v>
      </c>
      <c r="AU81" s="775">
        <f t="shared" si="57"/>
        <v>0</v>
      </c>
      <c r="AV81" s="775">
        <f t="shared" si="90"/>
        <v>0</v>
      </c>
      <c r="AW81" s="775">
        <f t="shared" si="91"/>
        <v>0</v>
      </c>
      <c r="AY81" s="773">
        <v>69</v>
      </c>
      <c r="AZ81" s="774">
        <f t="shared" si="92"/>
        <v>2071</v>
      </c>
      <c r="BA81" s="775">
        <f t="shared" si="93"/>
        <v>0</v>
      </c>
      <c r="BB81" s="775">
        <f t="shared" si="66"/>
        <v>0</v>
      </c>
      <c r="BC81" s="775">
        <f t="shared" si="58"/>
        <v>0</v>
      </c>
      <c r="BD81" s="775">
        <f t="shared" si="94"/>
        <v>0</v>
      </c>
      <c r="BE81" s="775">
        <f t="shared" si="95"/>
        <v>0</v>
      </c>
      <c r="BG81" s="773">
        <v>69</v>
      </c>
      <c r="BH81" s="774">
        <f t="shared" si="96"/>
        <v>2071</v>
      </c>
      <c r="BI81" s="775">
        <f t="shared" si="97"/>
        <v>0</v>
      </c>
      <c r="BJ81" s="775">
        <f t="shared" si="67"/>
        <v>0</v>
      </c>
      <c r="BK81" s="775">
        <f t="shared" si="59"/>
        <v>0</v>
      </c>
      <c r="BL81" s="775">
        <f t="shared" si="98"/>
        <v>0</v>
      </c>
      <c r="BM81" s="775">
        <f t="shared" si="99"/>
        <v>0</v>
      </c>
    </row>
    <row r="82" spans="1:65">
      <c r="A82" s="11">
        <f t="shared" si="52"/>
        <v>1905</v>
      </c>
      <c r="B82" s="773">
        <v>70</v>
      </c>
      <c r="C82" s="774">
        <f t="shared" si="68"/>
        <v>2101</v>
      </c>
      <c r="D82" s="775">
        <f t="shared" si="69"/>
        <v>0</v>
      </c>
      <c r="E82" s="775">
        <f t="shared" si="60"/>
        <v>0</v>
      </c>
      <c r="F82" s="775">
        <f t="shared" si="50"/>
        <v>0</v>
      </c>
      <c r="G82" s="775">
        <f t="shared" si="70"/>
        <v>0</v>
      </c>
      <c r="H82" s="775">
        <f t="shared" si="71"/>
        <v>0</v>
      </c>
      <c r="I82" s="775">
        <f t="shared" si="51"/>
        <v>0</v>
      </c>
      <c r="K82" s="773">
        <v>70</v>
      </c>
      <c r="L82" s="774">
        <f t="shared" si="72"/>
        <v>2101</v>
      </c>
      <c r="M82" s="775">
        <f t="shared" si="73"/>
        <v>0</v>
      </c>
      <c r="N82" s="775">
        <f t="shared" si="61"/>
        <v>0</v>
      </c>
      <c r="O82" s="775">
        <f t="shared" si="53"/>
        <v>0</v>
      </c>
      <c r="P82" s="775">
        <f t="shared" si="74"/>
        <v>0</v>
      </c>
      <c r="Q82" s="775">
        <f t="shared" si="75"/>
        <v>0</v>
      </c>
      <c r="S82" s="773">
        <v>70</v>
      </c>
      <c r="T82" s="774">
        <f t="shared" si="76"/>
        <v>2101</v>
      </c>
      <c r="U82" s="775">
        <f t="shared" si="77"/>
        <v>0</v>
      </c>
      <c r="V82" s="775">
        <f t="shared" si="62"/>
        <v>0</v>
      </c>
      <c r="W82" s="775">
        <f t="shared" si="54"/>
        <v>0</v>
      </c>
      <c r="X82" s="775">
        <f t="shared" si="78"/>
        <v>0</v>
      </c>
      <c r="Y82" s="775">
        <f t="shared" si="79"/>
        <v>0</v>
      </c>
      <c r="AA82" s="773">
        <v>70</v>
      </c>
      <c r="AB82" s="774">
        <f t="shared" si="80"/>
        <v>2101</v>
      </c>
      <c r="AC82" s="775">
        <f t="shared" si="81"/>
        <v>0</v>
      </c>
      <c r="AD82" s="775">
        <f t="shared" si="63"/>
        <v>0</v>
      </c>
      <c r="AE82" s="775">
        <f t="shared" si="55"/>
        <v>0</v>
      </c>
      <c r="AF82" s="775">
        <f t="shared" si="82"/>
        <v>0</v>
      </c>
      <c r="AG82" s="775">
        <f t="shared" si="83"/>
        <v>0</v>
      </c>
      <c r="AI82" s="773">
        <v>70</v>
      </c>
      <c r="AJ82" s="774">
        <f t="shared" si="84"/>
        <v>2101</v>
      </c>
      <c r="AK82" s="775">
        <f t="shared" si="85"/>
        <v>0</v>
      </c>
      <c r="AL82" s="775">
        <f t="shared" si="64"/>
        <v>0</v>
      </c>
      <c r="AM82" s="775">
        <f t="shared" si="56"/>
        <v>0</v>
      </c>
      <c r="AN82" s="775">
        <f t="shared" si="86"/>
        <v>0</v>
      </c>
      <c r="AO82" s="775">
        <f t="shared" si="87"/>
        <v>0</v>
      </c>
      <c r="AQ82" s="773">
        <v>70</v>
      </c>
      <c r="AR82" s="774">
        <f t="shared" si="88"/>
        <v>2101</v>
      </c>
      <c r="AS82" s="775">
        <f t="shared" si="89"/>
        <v>0</v>
      </c>
      <c r="AT82" s="775">
        <f t="shared" si="65"/>
        <v>0</v>
      </c>
      <c r="AU82" s="775">
        <f t="shared" si="57"/>
        <v>0</v>
      </c>
      <c r="AV82" s="775">
        <f t="shared" si="90"/>
        <v>0</v>
      </c>
      <c r="AW82" s="775">
        <f t="shared" si="91"/>
        <v>0</v>
      </c>
      <c r="AY82" s="773">
        <v>70</v>
      </c>
      <c r="AZ82" s="774">
        <f t="shared" si="92"/>
        <v>2101</v>
      </c>
      <c r="BA82" s="775">
        <f t="shared" si="93"/>
        <v>0</v>
      </c>
      <c r="BB82" s="775">
        <f t="shared" si="66"/>
        <v>0</v>
      </c>
      <c r="BC82" s="775">
        <f t="shared" si="58"/>
        <v>0</v>
      </c>
      <c r="BD82" s="775">
        <f t="shared" si="94"/>
        <v>0</v>
      </c>
      <c r="BE82" s="775">
        <f t="shared" si="95"/>
        <v>0</v>
      </c>
      <c r="BG82" s="773">
        <v>70</v>
      </c>
      <c r="BH82" s="774">
        <f t="shared" si="96"/>
        <v>2101</v>
      </c>
      <c r="BI82" s="775">
        <f t="shared" si="97"/>
        <v>0</v>
      </c>
      <c r="BJ82" s="775">
        <f t="shared" si="67"/>
        <v>0</v>
      </c>
      <c r="BK82" s="775">
        <f t="shared" si="59"/>
        <v>0</v>
      </c>
      <c r="BL82" s="775">
        <f t="shared" si="98"/>
        <v>0</v>
      </c>
      <c r="BM82" s="775">
        <f t="shared" si="99"/>
        <v>0</v>
      </c>
    </row>
    <row r="83" spans="1:65">
      <c r="A83" s="11">
        <f t="shared" si="52"/>
        <v>1905</v>
      </c>
      <c r="B83" s="773">
        <v>71</v>
      </c>
      <c r="C83" s="774">
        <f t="shared" si="68"/>
        <v>2132</v>
      </c>
      <c r="D83" s="775">
        <f t="shared" si="69"/>
        <v>0</v>
      </c>
      <c r="E83" s="775">
        <f t="shared" si="60"/>
        <v>0</v>
      </c>
      <c r="F83" s="775">
        <f t="shared" si="50"/>
        <v>0</v>
      </c>
      <c r="G83" s="775">
        <f t="shared" si="70"/>
        <v>0</v>
      </c>
      <c r="H83" s="775">
        <f t="shared" si="71"/>
        <v>0</v>
      </c>
      <c r="I83" s="775">
        <f t="shared" si="51"/>
        <v>0</v>
      </c>
      <c r="K83" s="773">
        <v>71</v>
      </c>
      <c r="L83" s="774">
        <f t="shared" si="72"/>
        <v>2132</v>
      </c>
      <c r="M83" s="775">
        <f t="shared" si="73"/>
        <v>0</v>
      </c>
      <c r="N83" s="775">
        <f t="shared" si="61"/>
        <v>0</v>
      </c>
      <c r="O83" s="775">
        <f t="shared" si="53"/>
        <v>0</v>
      </c>
      <c r="P83" s="775">
        <f t="shared" si="74"/>
        <v>0</v>
      </c>
      <c r="Q83" s="775">
        <f t="shared" si="75"/>
        <v>0</v>
      </c>
      <c r="S83" s="773">
        <v>71</v>
      </c>
      <c r="T83" s="774">
        <f t="shared" si="76"/>
        <v>2132</v>
      </c>
      <c r="U83" s="775">
        <f t="shared" si="77"/>
        <v>0</v>
      </c>
      <c r="V83" s="775">
        <f t="shared" si="62"/>
        <v>0</v>
      </c>
      <c r="W83" s="775">
        <f t="shared" si="54"/>
        <v>0</v>
      </c>
      <c r="X83" s="775">
        <f t="shared" si="78"/>
        <v>0</v>
      </c>
      <c r="Y83" s="775">
        <f t="shared" si="79"/>
        <v>0</v>
      </c>
      <c r="AA83" s="773">
        <v>71</v>
      </c>
      <c r="AB83" s="774">
        <f t="shared" si="80"/>
        <v>2132</v>
      </c>
      <c r="AC83" s="775">
        <f t="shared" si="81"/>
        <v>0</v>
      </c>
      <c r="AD83" s="775">
        <f t="shared" si="63"/>
        <v>0</v>
      </c>
      <c r="AE83" s="775">
        <f t="shared" si="55"/>
        <v>0</v>
      </c>
      <c r="AF83" s="775">
        <f t="shared" si="82"/>
        <v>0</v>
      </c>
      <c r="AG83" s="775">
        <f t="shared" si="83"/>
        <v>0</v>
      </c>
      <c r="AI83" s="773">
        <v>71</v>
      </c>
      <c r="AJ83" s="774">
        <f t="shared" si="84"/>
        <v>2132</v>
      </c>
      <c r="AK83" s="775">
        <f t="shared" si="85"/>
        <v>0</v>
      </c>
      <c r="AL83" s="775">
        <f t="shared" si="64"/>
        <v>0</v>
      </c>
      <c r="AM83" s="775">
        <f t="shared" si="56"/>
        <v>0</v>
      </c>
      <c r="AN83" s="775">
        <f t="shared" si="86"/>
        <v>0</v>
      </c>
      <c r="AO83" s="775">
        <f t="shared" si="87"/>
        <v>0</v>
      </c>
      <c r="AQ83" s="773">
        <v>71</v>
      </c>
      <c r="AR83" s="774">
        <f t="shared" si="88"/>
        <v>2132</v>
      </c>
      <c r="AS83" s="775">
        <f t="shared" si="89"/>
        <v>0</v>
      </c>
      <c r="AT83" s="775">
        <f t="shared" si="65"/>
        <v>0</v>
      </c>
      <c r="AU83" s="775">
        <f t="shared" si="57"/>
        <v>0</v>
      </c>
      <c r="AV83" s="775">
        <f t="shared" si="90"/>
        <v>0</v>
      </c>
      <c r="AW83" s="775">
        <f t="shared" si="91"/>
        <v>0</v>
      </c>
      <c r="AY83" s="773">
        <v>71</v>
      </c>
      <c r="AZ83" s="774">
        <f t="shared" si="92"/>
        <v>2132</v>
      </c>
      <c r="BA83" s="775">
        <f t="shared" si="93"/>
        <v>0</v>
      </c>
      <c r="BB83" s="775">
        <f t="shared" si="66"/>
        <v>0</v>
      </c>
      <c r="BC83" s="775">
        <f t="shared" si="58"/>
        <v>0</v>
      </c>
      <c r="BD83" s="775">
        <f t="shared" si="94"/>
        <v>0</v>
      </c>
      <c r="BE83" s="775">
        <f t="shared" si="95"/>
        <v>0</v>
      </c>
      <c r="BG83" s="773">
        <v>71</v>
      </c>
      <c r="BH83" s="774">
        <f t="shared" si="96"/>
        <v>2132</v>
      </c>
      <c r="BI83" s="775">
        <f t="shared" si="97"/>
        <v>0</v>
      </c>
      <c r="BJ83" s="775">
        <f t="shared" si="67"/>
        <v>0</v>
      </c>
      <c r="BK83" s="775">
        <f t="shared" si="59"/>
        <v>0</v>
      </c>
      <c r="BL83" s="775">
        <f t="shared" si="98"/>
        <v>0</v>
      </c>
      <c r="BM83" s="775">
        <f t="shared" si="99"/>
        <v>0</v>
      </c>
    </row>
    <row r="84" spans="1:65">
      <c r="A84" s="11">
        <f t="shared" si="52"/>
        <v>1905</v>
      </c>
      <c r="B84" s="773">
        <v>72</v>
      </c>
      <c r="C84" s="774">
        <f t="shared" si="68"/>
        <v>2162</v>
      </c>
      <c r="D84" s="775">
        <f t="shared" si="69"/>
        <v>0</v>
      </c>
      <c r="E84" s="775">
        <f t="shared" si="60"/>
        <v>0</v>
      </c>
      <c r="F84" s="775">
        <f t="shared" si="50"/>
        <v>0</v>
      </c>
      <c r="G84" s="775">
        <f t="shared" si="70"/>
        <v>0</v>
      </c>
      <c r="H84" s="775">
        <f t="shared" si="71"/>
        <v>0</v>
      </c>
      <c r="I84" s="775">
        <f t="shared" si="51"/>
        <v>0</v>
      </c>
      <c r="K84" s="773">
        <v>72</v>
      </c>
      <c r="L84" s="774">
        <f t="shared" si="72"/>
        <v>2162</v>
      </c>
      <c r="M84" s="775">
        <f t="shared" si="73"/>
        <v>0</v>
      </c>
      <c r="N84" s="775">
        <f t="shared" si="61"/>
        <v>0</v>
      </c>
      <c r="O84" s="775">
        <f t="shared" si="53"/>
        <v>0</v>
      </c>
      <c r="P84" s="775">
        <f t="shared" si="74"/>
        <v>0</v>
      </c>
      <c r="Q84" s="775">
        <f t="shared" si="75"/>
        <v>0</v>
      </c>
      <c r="S84" s="773">
        <v>72</v>
      </c>
      <c r="T84" s="774">
        <f t="shared" si="76"/>
        <v>2162</v>
      </c>
      <c r="U84" s="775">
        <f t="shared" si="77"/>
        <v>0</v>
      </c>
      <c r="V84" s="775">
        <f t="shared" si="62"/>
        <v>0</v>
      </c>
      <c r="W84" s="775">
        <f t="shared" si="54"/>
        <v>0</v>
      </c>
      <c r="X84" s="775">
        <f t="shared" si="78"/>
        <v>0</v>
      </c>
      <c r="Y84" s="775">
        <f t="shared" si="79"/>
        <v>0</v>
      </c>
      <c r="AA84" s="773">
        <v>72</v>
      </c>
      <c r="AB84" s="774">
        <f t="shared" si="80"/>
        <v>2162</v>
      </c>
      <c r="AC84" s="775">
        <f t="shared" si="81"/>
        <v>0</v>
      </c>
      <c r="AD84" s="775">
        <f t="shared" si="63"/>
        <v>0</v>
      </c>
      <c r="AE84" s="775">
        <f t="shared" si="55"/>
        <v>0</v>
      </c>
      <c r="AF84" s="775">
        <f t="shared" si="82"/>
        <v>0</v>
      </c>
      <c r="AG84" s="775">
        <f t="shared" si="83"/>
        <v>0</v>
      </c>
      <c r="AI84" s="773">
        <v>72</v>
      </c>
      <c r="AJ84" s="774">
        <f t="shared" si="84"/>
        <v>2162</v>
      </c>
      <c r="AK84" s="775">
        <f t="shared" si="85"/>
        <v>0</v>
      </c>
      <c r="AL84" s="775">
        <f t="shared" si="64"/>
        <v>0</v>
      </c>
      <c r="AM84" s="775">
        <f t="shared" si="56"/>
        <v>0</v>
      </c>
      <c r="AN84" s="775">
        <f t="shared" si="86"/>
        <v>0</v>
      </c>
      <c r="AO84" s="775">
        <f t="shared" si="87"/>
        <v>0</v>
      </c>
      <c r="AQ84" s="773">
        <v>72</v>
      </c>
      <c r="AR84" s="774">
        <f t="shared" si="88"/>
        <v>2162</v>
      </c>
      <c r="AS84" s="775">
        <f t="shared" si="89"/>
        <v>0</v>
      </c>
      <c r="AT84" s="775">
        <f t="shared" si="65"/>
        <v>0</v>
      </c>
      <c r="AU84" s="775">
        <f t="shared" si="57"/>
        <v>0</v>
      </c>
      <c r="AV84" s="775">
        <f t="shared" si="90"/>
        <v>0</v>
      </c>
      <c r="AW84" s="775">
        <f t="shared" si="91"/>
        <v>0</v>
      </c>
      <c r="AY84" s="773">
        <v>72</v>
      </c>
      <c r="AZ84" s="774">
        <f t="shared" si="92"/>
        <v>2162</v>
      </c>
      <c r="BA84" s="775">
        <f t="shared" si="93"/>
        <v>0</v>
      </c>
      <c r="BB84" s="775">
        <f t="shared" si="66"/>
        <v>0</v>
      </c>
      <c r="BC84" s="775">
        <f t="shared" si="58"/>
        <v>0</v>
      </c>
      <c r="BD84" s="775">
        <f t="shared" si="94"/>
        <v>0</v>
      </c>
      <c r="BE84" s="775">
        <f t="shared" si="95"/>
        <v>0</v>
      </c>
      <c r="BG84" s="773">
        <v>72</v>
      </c>
      <c r="BH84" s="774">
        <f t="shared" si="96"/>
        <v>2162</v>
      </c>
      <c r="BI84" s="775">
        <f t="shared" si="97"/>
        <v>0</v>
      </c>
      <c r="BJ84" s="775">
        <f t="shared" si="67"/>
        <v>0</v>
      </c>
      <c r="BK84" s="775">
        <f t="shared" si="59"/>
        <v>0</v>
      </c>
      <c r="BL84" s="775">
        <f t="shared" si="98"/>
        <v>0</v>
      </c>
      <c r="BM84" s="775">
        <f t="shared" si="99"/>
        <v>0</v>
      </c>
    </row>
    <row r="85" spans="1:65">
      <c r="A85" s="11">
        <f t="shared" si="52"/>
        <v>1906</v>
      </c>
      <c r="B85" s="773">
        <v>73</v>
      </c>
      <c r="C85" s="774">
        <f t="shared" si="68"/>
        <v>2193</v>
      </c>
      <c r="D85" s="775">
        <f t="shared" si="69"/>
        <v>0</v>
      </c>
      <c r="E85" s="775">
        <f t="shared" si="60"/>
        <v>0</v>
      </c>
      <c r="F85" s="775">
        <f t="shared" si="50"/>
        <v>0</v>
      </c>
      <c r="G85" s="775">
        <f t="shared" si="70"/>
        <v>0</v>
      </c>
      <c r="H85" s="775">
        <f t="shared" si="71"/>
        <v>0</v>
      </c>
      <c r="I85" s="775">
        <f t="shared" si="51"/>
        <v>0</v>
      </c>
      <c r="K85" s="773">
        <v>73</v>
      </c>
      <c r="L85" s="774">
        <f t="shared" si="72"/>
        <v>2193</v>
      </c>
      <c r="M85" s="775">
        <f t="shared" si="73"/>
        <v>0</v>
      </c>
      <c r="N85" s="775">
        <f t="shared" si="61"/>
        <v>0</v>
      </c>
      <c r="O85" s="775">
        <f t="shared" si="53"/>
        <v>0</v>
      </c>
      <c r="P85" s="775">
        <f t="shared" si="74"/>
        <v>0</v>
      </c>
      <c r="Q85" s="775">
        <f t="shared" si="75"/>
        <v>0</v>
      </c>
      <c r="S85" s="773">
        <v>73</v>
      </c>
      <c r="T85" s="774">
        <f t="shared" si="76"/>
        <v>2193</v>
      </c>
      <c r="U85" s="775">
        <f t="shared" si="77"/>
        <v>0</v>
      </c>
      <c r="V85" s="775">
        <f t="shared" si="62"/>
        <v>0</v>
      </c>
      <c r="W85" s="775">
        <f t="shared" si="54"/>
        <v>0</v>
      </c>
      <c r="X85" s="775">
        <f t="shared" si="78"/>
        <v>0</v>
      </c>
      <c r="Y85" s="775">
        <f t="shared" si="79"/>
        <v>0</v>
      </c>
      <c r="AA85" s="773">
        <v>73</v>
      </c>
      <c r="AB85" s="774">
        <f t="shared" si="80"/>
        <v>2193</v>
      </c>
      <c r="AC85" s="775">
        <f t="shared" si="81"/>
        <v>0</v>
      </c>
      <c r="AD85" s="775">
        <f t="shared" si="63"/>
        <v>0</v>
      </c>
      <c r="AE85" s="775">
        <f t="shared" si="55"/>
        <v>0</v>
      </c>
      <c r="AF85" s="775">
        <f t="shared" si="82"/>
        <v>0</v>
      </c>
      <c r="AG85" s="775">
        <f t="shared" si="83"/>
        <v>0</v>
      </c>
      <c r="AI85" s="773">
        <v>73</v>
      </c>
      <c r="AJ85" s="774">
        <f t="shared" si="84"/>
        <v>2193</v>
      </c>
      <c r="AK85" s="775">
        <f t="shared" si="85"/>
        <v>0</v>
      </c>
      <c r="AL85" s="775">
        <f t="shared" si="64"/>
        <v>0</v>
      </c>
      <c r="AM85" s="775">
        <f t="shared" si="56"/>
        <v>0</v>
      </c>
      <c r="AN85" s="775">
        <f t="shared" si="86"/>
        <v>0</v>
      </c>
      <c r="AO85" s="775">
        <f t="shared" si="87"/>
        <v>0</v>
      </c>
      <c r="AQ85" s="773">
        <v>73</v>
      </c>
      <c r="AR85" s="774">
        <f t="shared" si="88"/>
        <v>2193</v>
      </c>
      <c r="AS85" s="775">
        <f t="shared" si="89"/>
        <v>0</v>
      </c>
      <c r="AT85" s="775">
        <f t="shared" si="65"/>
        <v>0</v>
      </c>
      <c r="AU85" s="775">
        <f t="shared" si="57"/>
        <v>0</v>
      </c>
      <c r="AV85" s="775">
        <f t="shared" si="90"/>
        <v>0</v>
      </c>
      <c r="AW85" s="775">
        <f t="shared" si="91"/>
        <v>0</v>
      </c>
      <c r="AY85" s="773">
        <v>73</v>
      </c>
      <c r="AZ85" s="774">
        <f t="shared" si="92"/>
        <v>2193</v>
      </c>
      <c r="BA85" s="775">
        <f t="shared" si="93"/>
        <v>0</v>
      </c>
      <c r="BB85" s="775">
        <f t="shared" si="66"/>
        <v>0</v>
      </c>
      <c r="BC85" s="775">
        <f t="shared" si="58"/>
        <v>0</v>
      </c>
      <c r="BD85" s="775">
        <f t="shared" si="94"/>
        <v>0</v>
      </c>
      <c r="BE85" s="775">
        <f t="shared" si="95"/>
        <v>0</v>
      </c>
      <c r="BG85" s="773">
        <v>73</v>
      </c>
      <c r="BH85" s="774">
        <f t="shared" si="96"/>
        <v>2193</v>
      </c>
      <c r="BI85" s="775">
        <f t="shared" si="97"/>
        <v>0</v>
      </c>
      <c r="BJ85" s="775">
        <f t="shared" si="67"/>
        <v>0</v>
      </c>
      <c r="BK85" s="775">
        <f t="shared" si="59"/>
        <v>0</v>
      </c>
      <c r="BL85" s="775">
        <f t="shared" si="98"/>
        <v>0</v>
      </c>
      <c r="BM85" s="775">
        <f t="shared" si="99"/>
        <v>0</v>
      </c>
    </row>
    <row r="86" spans="1:65">
      <c r="A86" s="11">
        <f t="shared" si="52"/>
        <v>1906</v>
      </c>
      <c r="B86" s="773">
        <v>74</v>
      </c>
      <c r="C86" s="774">
        <f t="shared" si="68"/>
        <v>2224</v>
      </c>
      <c r="D86" s="775">
        <f t="shared" si="69"/>
        <v>0</v>
      </c>
      <c r="E86" s="775">
        <f t="shared" si="60"/>
        <v>0</v>
      </c>
      <c r="F86" s="775">
        <f t="shared" si="50"/>
        <v>0</v>
      </c>
      <c r="G86" s="775">
        <f t="shared" si="70"/>
        <v>0</v>
      </c>
      <c r="H86" s="775">
        <f t="shared" si="71"/>
        <v>0</v>
      </c>
      <c r="I86" s="775">
        <f t="shared" si="51"/>
        <v>0</v>
      </c>
      <c r="K86" s="773">
        <v>74</v>
      </c>
      <c r="L86" s="774">
        <f t="shared" si="72"/>
        <v>2224</v>
      </c>
      <c r="M86" s="775">
        <f t="shared" si="73"/>
        <v>0</v>
      </c>
      <c r="N86" s="775">
        <f t="shared" si="61"/>
        <v>0</v>
      </c>
      <c r="O86" s="775">
        <f t="shared" si="53"/>
        <v>0</v>
      </c>
      <c r="P86" s="775">
        <f t="shared" si="74"/>
        <v>0</v>
      </c>
      <c r="Q86" s="775">
        <f t="shared" si="75"/>
        <v>0</v>
      </c>
      <c r="S86" s="773">
        <v>74</v>
      </c>
      <c r="T86" s="774">
        <f t="shared" si="76"/>
        <v>2224</v>
      </c>
      <c r="U86" s="775">
        <f t="shared" si="77"/>
        <v>0</v>
      </c>
      <c r="V86" s="775">
        <f t="shared" si="62"/>
        <v>0</v>
      </c>
      <c r="W86" s="775">
        <f t="shared" si="54"/>
        <v>0</v>
      </c>
      <c r="X86" s="775">
        <f t="shared" si="78"/>
        <v>0</v>
      </c>
      <c r="Y86" s="775">
        <f t="shared" si="79"/>
        <v>0</v>
      </c>
      <c r="AA86" s="773">
        <v>74</v>
      </c>
      <c r="AB86" s="774">
        <f t="shared" si="80"/>
        <v>2224</v>
      </c>
      <c r="AC86" s="775">
        <f t="shared" si="81"/>
        <v>0</v>
      </c>
      <c r="AD86" s="775">
        <f t="shared" si="63"/>
        <v>0</v>
      </c>
      <c r="AE86" s="775">
        <f t="shared" si="55"/>
        <v>0</v>
      </c>
      <c r="AF86" s="775">
        <f t="shared" si="82"/>
        <v>0</v>
      </c>
      <c r="AG86" s="775">
        <f t="shared" si="83"/>
        <v>0</v>
      </c>
      <c r="AI86" s="773">
        <v>74</v>
      </c>
      <c r="AJ86" s="774">
        <f t="shared" si="84"/>
        <v>2224</v>
      </c>
      <c r="AK86" s="775">
        <f t="shared" si="85"/>
        <v>0</v>
      </c>
      <c r="AL86" s="775">
        <f t="shared" si="64"/>
        <v>0</v>
      </c>
      <c r="AM86" s="775">
        <f t="shared" si="56"/>
        <v>0</v>
      </c>
      <c r="AN86" s="775">
        <f t="shared" si="86"/>
        <v>0</v>
      </c>
      <c r="AO86" s="775">
        <f t="shared" si="87"/>
        <v>0</v>
      </c>
      <c r="AQ86" s="773">
        <v>74</v>
      </c>
      <c r="AR86" s="774">
        <f t="shared" si="88"/>
        <v>2224</v>
      </c>
      <c r="AS86" s="775">
        <f t="shared" si="89"/>
        <v>0</v>
      </c>
      <c r="AT86" s="775">
        <f t="shared" si="65"/>
        <v>0</v>
      </c>
      <c r="AU86" s="775">
        <f t="shared" si="57"/>
        <v>0</v>
      </c>
      <c r="AV86" s="775">
        <f t="shared" si="90"/>
        <v>0</v>
      </c>
      <c r="AW86" s="775">
        <f t="shared" si="91"/>
        <v>0</v>
      </c>
      <c r="AY86" s="773">
        <v>74</v>
      </c>
      <c r="AZ86" s="774">
        <f t="shared" si="92"/>
        <v>2224</v>
      </c>
      <c r="BA86" s="775">
        <f t="shared" si="93"/>
        <v>0</v>
      </c>
      <c r="BB86" s="775">
        <f t="shared" si="66"/>
        <v>0</v>
      </c>
      <c r="BC86" s="775">
        <f t="shared" si="58"/>
        <v>0</v>
      </c>
      <c r="BD86" s="775">
        <f t="shared" si="94"/>
        <v>0</v>
      </c>
      <c r="BE86" s="775">
        <f t="shared" si="95"/>
        <v>0</v>
      </c>
      <c r="BG86" s="773">
        <v>74</v>
      </c>
      <c r="BH86" s="774">
        <f t="shared" si="96"/>
        <v>2224</v>
      </c>
      <c r="BI86" s="775">
        <f t="shared" si="97"/>
        <v>0</v>
      </c>
      <c r="BJ86" s="775">
        <f t="shared" si="67"/>
        <v>0</v>
      </c>
      <c r="BK86" s="775">
        <f t="shared" si="59"/>
        <v>0</v>
      </c>
      <c r="BL86" s="775">
        <f t="shared" si="98"/>
        <v>0</v>
      </c>
      <c r="BM86" s="775">
        <f t="shared" si="99"/>
        <v>0</v>
      </c>
    </row>
    <row r="87" spans="1:65">
      <c r="A87" s="11">
        <f t="shared" si="52"/>
        <v>1906</v>
      </c>
      <c r="B87" s="773">
        <v>75</v>
      </c>
      <c r="C87" s="774">
        <f t="shared" si="68"/>
        <v>2252</v>
      </c>
      <c r="D87" s="775">
        <f t="shared" si="69"/>
        <v>0</v>
      </c>
      <c r="E87" s="775">
        <f t="shared" si="60"/>
        <v>0</v>
      </c>
      <c r="F87" s="775">
        <f t="shared" si="50"/>
        <v>0</v>
      </c>
      <c r="G87" s="775">
        <f t="shared" si="70"/>
        <v>0</v>
      </c>
      <c r="H87" s="775">
        <f t="shared" si="71"/>
        <v>0</v>
      </c>
      <c r="I87" s="775">
        <f t="shared" si="51"/>
        <v>0</v>
      </c>
      <c r="K87" s="773">
        <v>75</v>
      </c>
      <c r="L87" s="774">
        <f t="shared" si="72"/>
        <v>2252</v>
      </c>
      <c r="M87" s="775">
        <f t="shared" si="73"/>
        <v>0</v>
      </c>
      <c r="N87" s="775">
        <f t="shared" si="61"/>
        <v>0</v>
      </c>
      <c r="O87" s="775">
        <f t="shared" si="53"/>
        <v>0</v>
      </c>
      <c r="P87" s="775">
        <f t="shared" si="74"/>
        <v>0</v>
      </c>
      <c r="Q87" s="775">
        <f t="shared" si="75"/>
        <v>0</v>
      </c>
      <c r="S87" s="773">
        <v>75</v>
      </c>
      <c r="T87" s="774">
        <f t="shared" si="76"/>
        <v>2252</v>
      </c>
      <c r="U87" s="775">
        <f t="shared" si="77"/>
        <v>0</v>
      </c>
      <c r="V87" s="775">
        <f t="shared" si="62"/>
        <v>0</v>
      </c>
      <c r="W87" s="775">
        <f t="shared" si="54"/>
        <v>0</v>
      </c>
      <c r="X87" s="775">
        <f t="shared" si="78"/>
        <v>0</v>
      </c>
      <c r="Y87" s="775">
        <f t="shared" si="79"/>
        <v>0</v>
      </c>
      <c r="AA87" s="773">
        <v>75</v>
      </c>
      <c r="AB87" s="774">
        <f t="shared" si="80"/>
        <v>2252</v>
      </c>
      <c r="AC87" s="775">
        <f t="shared" si="81"/>
        <v>0</v>
      </c>
      <c r="AD87" s="775">
        <f t="shared" si="63"/>
        <v>0</v>
      </c>
      <c r="AE87" s="775">
        <f t="shared" si="55"/>
        <v>0</v>
      </c>
      <c r="AF87" s="775">
        <f t="shared" si="82"/>
        <v>0</v>
      </c>
      <c r="AG87" s="775">
        <f t="shared" si="83"/>
        <v>0</v>
      </c>
      <c r="AI87" s="773">
        <v>75</v>
      </c>
      <c r="AJ87" s="774">
        <f t="shared" si="84"/>
        <v>2252</v>
      </c>
      <c r="AK87" s="775">
        <f t="shared" si="85"/>
        <v>0</v>
      </c>
      <c r="AL87" s="775">
        <f t="shared" si="64"/>
        <v>0</v>
      </c>
      <c r="AM87" s="775">
        <f t="shared" si="56"/>
        <v>0</v>
      </c>
      <c r="AN87" s="775">
        <f t="shared" si="86"/>
        <v>0</v>
      </c>
      <c r="AO87" s="775">
        <f t="shared" si="87"/>
        <v>0</v>
      </c>
      <c r="AQ87" s="773">
        <v>75</v>
      </c>
      <c r="AR87" s="774">
        <f t="shared" si="88"/>
        <v>2252</v>
      </c>
      <c r="AS87" s="775">
        <f t="shared" si="89"/>
        <v>0</v>
      </c>
      <c r="AT87" s="775">
        <f t="shared" si="65"/>
        <v>0</v>
      </c>
      <c r="AU87" s="775">
        <f t="shared" si="57"/>
        <v>0</v>
      </c>
      <c r="AV87" s="775">
        <f t="shared" si="90"/>
        <v>0</v>
      </c>
      <c r="AW87" s="775">
        <f t="shared" si="91"/>
        <v>0</v>
      </c>
      <c r="AY87" s="773">
        <v>75</v>
      </c>
      <c r="AZ87" s="774">
        <f t="shared" si="92"/>
        <v>2252</v>
      </c>
      <c r="BA87" s="775">
        <f t="shared" si="93"/>
        <v>0</v>
      </c>
      <c r="BB87" s="775">
        <f t="shared" si="66"/>
        <v>0</v>
      </c>
      <c r="BC87" s="775">
        <f t="shared" si="58"/>
        <v>0</v>
      </c>
      <c r="BD87" s="775">
        <f t="shared" si="94"/>
        <v>0</v>
      </c>
      <c r="BE87" s="775">
        <f t="shared" si="95"/>
        <v>0</v>
      </c>
      <c r="BG87" s="773">
        <v>75</v>
      </c>
      <c r="BH87" s="774">
        <f t="shared" si="96"/>
        <v>2252</v>
      </c>
      <c r="BI87" s="775">
        <f t="shared" si="97"/>
        <v>0</v>
      </c>
      <c r="BJ87" s="775">
        <f t="shared" si="67"/>
        <v>0</v>
      </c>
      <c r="BK87" s="775">
        <f t="shared" si="59"/>
        <v>0</v>
      </c>
      <c r="BL87" s="775">
        <f t="shared" si="98"/>
        <v>0</v>
      </c>
      <c r="BM87" s="775">
        <f t="shared" si="99"/>
        <v>0</v>
      </c>
    </row>
    <row r="88" spans="1:65">
      <c r="A88" s="11">
        <f t="shared" si="52"/>
        <v>1906</v>
      </c>
      <c r="B88" s="773">
        <v>76</v>
      </c>
      <c r="C88" s="774">
        <f t="shared" si="68"/>
        <v>2283</v>
      </c>
      <c r="D88" s="775">
        <f t="shared" si="69"/>
        <v>0</v>
      </c>
      <c r="E88" s="775">
        <f t="shared" si="60"/>
        <v>0</v>
      </c>
      <c r="F88" s="775">
        <f t="shared" si="50"/>
        <v>0</v>
      </c>
      <c r="G88" s="775">
        <f t="shared" si="70"/>
        <v>0</v>
      </c>
      <c r="H88" s="775">
        <f t="shared" si="71"/>
        <v>0</v>
      </c>
      <c r="I88" s="775">
        <f t="shared" si="51"/>
        <v>0</v>
      </c>
      <c r="K88" s="773">
        <v>76</v>
      </c>
      <c r="L88" s="774">
        <f t="shared" si="72"/>
        <v>2283</v>
      </c>
      <c r="M88" s="775">
        <f t="shared" si="73"/>
        <v>0</v>
      </c>
      <c r="N88" s="775">
        <f t="shared" si="61"/>
        <v>0</v>
      </c>
      <c r="O88" s="775">
        <f t="shared" si="53"/>
        <v>0</v>
      </c>
      <c r="P88" s="775">
        <f t="shared" si="74"/>
        <v>0</v>
      </c>
      <c r="Q88" s="775">
        <f t="shared" si="75"/>
        <v>0</v>
      </c>
      <c r="S88" s="773">
        <v>76</v>
      </c>
      <c r="T88" s="774">
        <f t="shared" si="76"/>
        <v>2283</v>
      </c>
      <c r="U88" s="775">
        <f t="shared" si="77"/>
        <v>0</v>
      </c>
      <c r="V88" s="775">
        <f t="shared" si="62"/>
        <v>0</v>
      </c>
      <c r="W88" s="775">
        <f t="shared" si="54"/>
        <v>0</v>
      </c>
      <c r="X88" s="775">
        <f t="shared" si="78"/>
        <v>0</v>
      </c>
      <c r="Y88" s="775">
        <f t="shared" si="79"/>
        <v>0</v>
      </c>
      <c r="AA88" s="773">
        <v>76</v>
      </c>
      <c r="AB88" s="774">
        <f t="shared" si="80"/>
        <v>2283</v>
      </c>
      <c r="AC88" s="775">
        <f t="shared" si="81"/>
        <v>0</v>
      </c>
      <c r="AD88" s="775">
        <f t="shared" si="63"/>
        <v>0</v>
      </c>
      <c r="AE88" s="775">
        <f t="shared" si="55"/>
        <v>0</v>
      </c>
      <c r="AF88" s="775">
        <f t="shared" si="82"/>
        <v>0</v>
      </c>
      <c r="AG88" s="775">
        <f t="shared" si="83"/>
        <v>0</v>
      </c>
      <c r="AI88" s="773">
        <v>76</v>
      </c>
      <c r="AJ88" s="774">
        <f t="shared" si="84"/>
        <v>2283</v>
      </c>
      <c r="AK88" s="775">
        <f t="shared" si="85"/>
        <v>0</v>
      </c>
      <c r="AL88" s="775">
        <f t="shared" si="64"/>
        <v>0</v>
      </c>
      <c r="AM88" s="775">
        <f t="shared" si="56"/>
        <v>0</v>
      </c>
      <c r="AN88" s="775">
        <f t="shared" si="86"/>
        <v>0</v>
      </c>
      <c r="AO88" s="775">
        <f t="shared" si="87"/>
        <v>0</v>
      </c>
      <c r="AQ88" s="773">
        <v>76</v>
      </c>
      <c r="AR88" s="774">
        <f t="shared" si="88"/>
        <v>2283</v>
      </c>
      <c r="AS88" s="775">
        <f t="shared" si="89"/>
        <v>0</v>
      </c>
      <c r="AT88" s="775">
        <f t="shared" si="65"/>
        <v>0</v>
      </c>
      <c r="AU88" s="775">
        <f t="shared" si="57"/>
        <v>0</v>
      </c>
      <c r="AV88" s="775">
        <f t="shared" si="90"/>
        <v>0</v>
      </c>
      <c r="AW88" s="775">
        <f t="shared" si="91"/>
        <v>0</v>
      </c>
      <c r="AY88" s="773">
        <v>76</v>
      </c>
      <c r="AZ88" s="774">
        <f t="shared" si="92"/>
        <v>2283</v>
      </c>
      <c r="BA88" s="775">
        <f t="shared" si="93"/>
        <v>0</v>
      </c>
      <c r="BB88" s="775">
        <f t="shared" si="66"/>
        <v>0</v>
      </c>
      <c r="BC88" s="775">
        <f t="shared" si="58"/>
        <v>0</v>
      </c>
      <c r="BD88" s="775">
        <f t="shared" si="94"/>
        <v>0</v>
      </c>
      <c r="BE88" s="775">
        <f t="shared" si="95"/>
        <v>0</v>
      </c>
      <c r="BG88" s="773">
        <v>76</v>
      </c>
      <c r="BH88" s="774">
        <f t="shared" si="96"/>
        <v>2283</v>
      </c>
      <c r="BI88" s="775">
        <f t="shared" si="97"/>
        <v>0</v>
      </c>
      <c r="BJ88" s="775">
        <f t="shared" si="67"/>
        <v>0</v>
      </c>
      <c r="BK88" s="775">
        <f t="shared" si="59"/>
        <v>0</v>
      </c>
      <c r="BL88" s="775">
        <f t="shared" si="98"/>
        <v>0</v>
      </c>
      <c r="BM88" s="775">
        <f t="shared" si="99"/>
        <v>0</v>
      </c>
    </row>
    <row r="89" spans="1:65">
      <c r="A89" s="11">
        <f t="shared" si="52"/>
        <v>1906</v>
      </c>
      <c r="B89" s="773">
        <v>77</v>
      </c>
      <c r="C89" s="774">
        <f t="shared" si="68"/>
        <v>2313</v>
      </c>
      <c r="D89" s="775">
        <f t="shared" si="69"/>
        <v>0</v>
      </c>
      <c r="E89" s="775">
        <f t="shared" si="60"/>
        <v>0</v>
      </c>
      <c r="F89" s="775">
        <f t="shared" si="50"/>
        <v>0</v>
      </c>
      <c r="G89" s="775">
        <f t="shared" si="70"/>
        <v>0</v>
      </c>
      <c r="H89" s="775">
        <f t="shared" si="71"/>
        <v>0</v>
      </c>
      <c r="I89" s="775">
        <f t="shared" si="51"/>
        <v>0</v>
      </c>
      <c r="K89" s="773">
        <v>77</v>
      </c>
      <c r="L89" s="774">
        <f t="shared" si="72"/>
        <v>2313</v>
      </c>
      <c r="M89" s="775">
        <f t="shared" si="73"/>
        <v>0</v>
      </c>
      <c r="N89" s="775">
        <f t="shared" si="61"/>
        <v>0</v>
      </c>
      <c r="O89" s="775">
        <f t="shared" si="53"/>
        <v>0</v>
      </c>
      <c r="P89" s="775">
        <f t="shared" si="74"/>
        <v>0</v>
      </c>
      <c r="Q89" s="775">
        <f t="shared" si="75"/>
        <v>0</v>
      </c>
      <c r="S89" s="773">
        <v>77</v>
      </c>
      <c r="T89" s="774">
        <f t="shared" si="76"/>
        <v>2313</v>
      </c>
      <c r="U89" s="775">
        <f t="shared" si="77"/>
        <v>0</v>
      </c>
      <c r="V89" s="775">
        <f t="shared" si="62"/>
        <v>0</v>
      </c>
      <c r="W89" s="775">
        <f t="shared" si="54"/>
        <v>0</v>
      </c>
      <c r="X89" s="775">
        <f t="shared" si="78"/>
        <v>0</v>
      </c>
      <c r="Y89" s="775">
        <f t="shared" si="79"/>
        <v>0</v>
      </c>
      <c r="AA89" s="773">
        <v>77</v>
      </c>
      <c r="AB89" s="774">
        <f t="shared" si="80"/>
        <v>2313</v>
      </c>
      <c r="AC89" s="775">
        <f t="shared" si="81"/>
        <v>0</v>
      </c>
      <c r="AD89" s="775">
        <f t="shared" si="63"/>
        <v>0</v>
      </c>
      <c r="AE89" s="775">
        <f t="shared" si="55"/>
        <v>0</v>
      </c>
      <c r="AF89" s="775">
        <f t="shared" si="82"/>
        <v>0</v>
      </c>
      <c r="AG89" s="775">
        <f t="shared" si="83"/>
        <v>0</v>
      </c>
      <c r="AI89" s="773">
        <v>77</v>
      </c>
      <c r="AJ89" s="774">
        <f t="shared" si="84"/>
        <v>2313</v>
      </c>
      <c r="AK89" s="775">
        <f t="shared" si="85"/>
        <v>0</v>
      </c>
      <c r="AL89" s="775">
        <f t="shared" si="64"/>
        <v>0</v>
      </c>
      <c r="AM89" s="775">
        <f t="shared" si="56"/>
        <v>0</v>
      </c>
      <c r="AN89" s="775">
        <f t="shared" si="86"/>
        <v>0</v>
      </c>
      <c r="AO89" s="775">
        <f t="shared" si="87"/>
        <v>0</v>
      </c>
      <c r="AQ89" s="773">
        <v>77</v>
      </c>
      <c r="AR89" s="774">
        <f t="shared" si="88"/>
        <v>2313</v>
      </c>
      <c r="AS89" s="775">
        <f t="shared" si="89"/>
        <v>0</v>
      </c>
      <c r="AT89" s="775">
        <f t="shared" si="65"/>
        <v>0</v>
      </c>
      <c r="AU89" s="775">
        <f t="shared" si="57"/>
        <v>0</v>
      </c>
      <c r="AV89" s="775">
        <f t="shared" si="90"/>
        <v>0</v>
      </c>
      <c r="AW89" s="775">
        <f t="shared" si="91"/>
        <v>0</v>
      </c>
      <c r="AY89" s="773">
        <v>77</v>
      </c>
      <c r="AZ89" s="774">
        <f t="shared" si="92"/>
        <v>2313</v>
      </c>
      <c r="BA89" s="775">
        <f t="shared" si="93"/>
        <v>0</v>
      </c>
      <c r="BB89" s="775">
        <f t="shared" si="66"/>
        <v>0</v>
      </c>
      <c r="BC89" s="775">
        <f t="shared" si="58"/>
        <v>0</v>
      </c>
      <c r="BD89" s="775">
        <f t="shared" si="94"/>
        <v>0</v>
      </c>
      <c r="BE89" s="775">
        <f t="shared" si="95"/>
        <v>0</v>
      </c>
      <c r="BG89" s="773">
        <v>77</v>
      </c>
      <c r="BH89" s="774">
        <f t="shared" si="96"/>
        <v>2313</v>
      </c>
      <c r="BI89" s="775">
        <f t="shared" si="97"/>
        <v>0</v>
      </c>
      <c r="BJ89" s="775">
        <f t="shared" si="67"/>
        <v>0</v>
      </c>
      <c r="BK89" s="775">
        <f t="shared" si="59"/>
        <v>0</v>
      </c>
      <c r="BL89" s="775">
        <f t="shared" si="98"/>
        <v>0</v>
      </c>
      <c r="BM89" s="775">
        <f t="shared" si="99"/>
        <v>0</v>
      </c>
    </row>
    <row r="90" spans="1:65">
      <c r="A90" s="11">
        <f t="shared" si="52"/>
        <v>1906</v>
      </c>
      <c r="B90" s="773">
        <v>78</v>
      </c>
      <c r="C90" s="774">
        <f t="shared" si="68"/>
        <v>2344</v>
      </c>
      <c r="D90" s="775">
        <f t="shared" si="69"/>
        <v>0</v>
      </c>
      <c r="E90" s="775">
        <f t="shared" si="60"/>
        <v>0</v>
      </c>
      <c r="F90" s="775">
        <f t="shared" si="50"/>
        <v>0</v>
      </c>
      <c r="G90" s="775">
        <f t="shared" si="70"/>
        <v>0</v>
      </c>
      <c r="H90" s="775">
        <f t="shared" si="71"/>
        <v>0</v>
      </c>
      <c r="I90" s="775">
        <f t="shared" si="51"/>
        <v>0</v>
      </c>
      <c r="K90" s="773">
        <v>78</v>
      </c>
      <c r="L90" s="774">
        <f t="shared" si="72"/>
        <v>2344</v>
      </c>
      <c r="M90" s="775">
        <f t="shared" si="73"/>
        <v>0</v>
      </c>
      <c r="N90" s="775">
        <f t="shared" si="61"/>
        <v>0</v>
      </c>
      <c r="O90" s="775">
        <f t="shared" si="53"/>
        <v>0</v>
      </c>
      <c r="P90" s="775">
        <f t="shared" si="74"/>
        <v>0</v>
      </c>
      <c r="Q90" s="775">
        <f t="shared" si="75"/>
        <v>0</v>
      </c>
      <c r="S90" s="773">
        <v>78</v>
      </c>
      <c r="T90" s="774">
        <f t="shared" si="76"/>
        <v>2344</v>
      </c>
      <c r="U90" s="775">
        <f t="shared" si="77"/>
        <v>0</v>
      </c>
      <c r="V90" s="775">
        <f t="shared" si="62"/>
        <v>0</v>
      </c>
      <c r="W90" s="775">
        <f t="shared" si="54"/>
        <v>0</v>
      </c>
      <c r="X90" s="775">
        <f t="shared" si="78"/>
        <v>0</v>
      </c>
      <c r="Y90" s="775">
        <f t="shared" si="79"/>
        <v>0</v>
      </c>
      <c r="AA90" s="773">
        <v>78</v>
      </c>
      <c r="AB90" s="774">
        <f t="shared" si="80"/>
        <v>2344</v>
      </c>
      <c r="AC90" s="775">
        <f t="shared" si="81"/>
        <v>0</v>
      </c>
      <c r="AD90" s="775">
        <f t="shared" si="63"/>
        <v>0</v>
      </c>
      <c r="AE90" s="775">
        <f t="shared" si="55"/>
        <v>0</v>
      </c>
      <c r="AF90" s="775">
        <f t="shared" si="82"/>
        <v>0</v>
      </c>
      <c r="AG90" s="775">
        <f t="shared" si="83"/>
        <v>0</v>
      </c>
      <c r="AI90" s="773">
        <v>78</v>
      </c>
      <c r="AJ90" s="774">
        <f t="shared" si="84"/>
        <v>2344</v>
      </c>
      <c r="AK90" s="775">
        <f t="shared" si="85"/>
        <v>0</v>
      </c>
      <c r="AL90" s="775">
        <f t="shared" si="64"/>
        <v>0</v>
      </c>
      <c r="AM90" s="775">
        <f t="shared" si="56"/>
        <v>0</v>
      </c>
      <c r="AN90" s="775">
        <f t="shared" si="86"/>
        <v>0</v>
      </c>
      <c r="AO90" s="775">
        <f t="shared" si="87"/>
        <v>0</v>
      </c>
      <c r="AQ90" s="773">
        <v>78</v>
      </c>
      <c r="AR90" s="774">
        <f t="shared" si="88"/>
        <v>2344</v>
      </c>
      <c r="AS90" s="775">
        <f t="shared" si="89"/>
        <v>0</v>
      </c>
      <c r="AT90" s="775">
        <f t="shared" si="65"/>
        <v>0</v>
      </c>
      <c r="AU90" s="775">
        <f t="shared" si="57"/>
        <v>0</v>
      </c>
      <c r="AV90" s="775">
        <f t="shared" si="90"/>
        <v>0</v>
      </c>
      <c r="AW90" s="775">
        <f t="shared" si="91"/>
        <v>0</v>
      </c>
      <c r="AY90" s="773">
        <v>78</v>
      </c>
      <c r="AZ90" s="774">
        <f t="shared" si="92"/>
        <v>2344</v>
      </c>
      <c r="BA90" s="775">
        <f t="shared" si="93"/>
        <v>0</v>
      </c>
      <c r="BB90" s="775">
        <f t="shared" si="66"/>
        <v>0</v>
      </c>
      <c r="BC90" s="775">
        <f t="shared" si="58"/>
        <v>0</v>
      </c>
      <c r="BD90" s="775">
        <f t="shared" si="94"/>
        <v>0</v>
      </c>
      <c r="BE90" s="775">
        <f t="shared" si="95"/>
        <v>0</v>
      </c>
      <c r="BG90" s="773">
        <v>78</v>
      </c>
      <c r="BH90" s="774">
        <f t="shared" si="96"/>
        <v>2344</v>
      </c>
      <c r="BI90" s="775">
        <f t="shared" si="97"/>
        <v>0</v>
      </c>
      <c r="BJ90" s="775">
        <f t="shared" si="67"/>
        <v>0</v>
      </c>
      <c r="BK90" s="775">
        <f t="shared" si="59"/>
        <v>0</v>
      </c>
      <c r="BL90" s="775">
        <f t="shared" si="98"/>
        <v>0</v>
      </c>
      <c r="BM90" s="775">
        <f t="shared" si="99"/>
        <v>0</v>
      </c>
    </row>
    <row r="91" spans="1:65">
      <c r="A91" s="11">
        <f t="shared" si="52"/>
        <v>1906</v>
      </c>
      <c r="B91" s="773">
        <v>79</v>
      </c>
      <c r="C91" s="774">
        <f t="shared" si="68"/>
        <v>2374</v>
      </c>
      <c r="D91" s="775">
        <f t="shared" si="69"/>
        <v>0</v>
      </c>
      <c r="E91" s="775">
        <f t="shared" si="60"/>
        <v>0</v>
      </c>
      <c r="F91" s="775">
        <f t="shared" si="50"/>
        <v>0</v>
      </c>
      <c r="G91" s="775">
        <f t="shared" si="70"/>
        <v>0</v>
      </c>
      <c r="H91" s="775">
        <f t="shared" si="71"/>
        <v>0</v>
      </c>
      <c r="I91" s="775">
        <f t="shared" si="51"/>
        <v>0</v>
      </c>
      <c r="K91" s="773">
        <v>79</v>
      </c>
      <c r="L91" s="774">
        <f t="shared" si="72"/>
        <v>2374</v>
      </c>
      <c r="M91" s="775">
        <f t="shared" si="73"/>
        <v>0</v>
      </c>
      <c r="N91" s="775">
        <f t="shared" si="61"/>
        <v>0</v>
      </c>
      <c r="O91" s="775">
        <f t="shared" si="53"/>
        <v>0</v>
      </c>
      <c r="P91" s="775">
        <f t="shared" si="74"/>
        <v>0</v>
      </c>
      <c r="Q91" s="775">
        <f t="shared" si="75"/>
        <v>0</v>
      </c>
      <c r="S91" s="773">
        <v>79</v>
      </c>
      <c r="T91" s="774">
        <f t="shared" si="76"/>
        <v>2374</v>
      </c>
      <c r="U91" s="775">
        <f t="shared" si="77"/>
        <v>0</v>
      </c>
      <c r="V91" s="775">
        <f t="shared" si="62"/>
        <v>0</v>
      </c>
      <c r="W91" s="775">
        <f t="shared" si="54"/>
        <v>0</v>
      </c>
      <c r="X91" s="775">
        <f t="shared" si="78"/>
        <v>0</v>
      </c>
      <c r="Y91" s="775">
        <f t="shared" si="79"/>
        <v>0</v>
      </c>
      <c r="AA91" s="773">
        <v>79</v>
      </c>
      <c r="AB91" s="774">
        <f t="shared" si="80"/>
        <v>2374</v>
      </c>
      <c r="AC91" s="775">
        <f t="shared" si="81"/>
        <v>0</v>
      </c>
      <c r="AD91" s="775">
        <f t="shared" si="63"/>
        <v>0</v>
      </c>
      <c r="AE91" s="775">
        <f t="shared" si="55"/>
        <v>0</v>
      </c>
      <c r="AF91" s="775">
        <f t="shared" si="82"/>
        <v>0</v>
      </c>
      <c r="AG91" s="775">
        <f t="shared" si="83"/>
        <v>0</v>
      </c>
      <c r="AI91" s="773">
        <v>79</v>
      </c>
      <c r="AJ91" s="774">
        <f t="shared" si="84"/>
        <v>2374</v>
      </c>
      <c r="AK91" s="775">
        <f t="shared" si="85"/>
        <v>0</v>
      </c>
      <c r="AL91" s="775">
        <f t="shared" si="64"/>
        <v>0</v>
      </c>
      <c r="AM91" s="775">
        <f t="shared" si="56"/>
        <v>0</v>
      </c>
      <c r="AN91" s="775">
        <f t="shared" si="86"/>
        <v>0</v>
      </c>
      <c r="AO91" s="775">
        <f t="shared" si="87"/>
        <v>0</v>
      </c>
      <c r="AQ91" s="773">
        <v>79</v>
      </c>
      <c r="AR91" s="774">
        <f t="shared" si="88"/>
        <v>2374</v>
      </c>
      <c r="AS91" s="775">
        <f t="shared" si="89"/>
        <v>0</v>
      </c>
      <c r="AT91" s="775">
        <f t="shared" si="65"/>
        <v>0</v>
      </c>
      <c r="AU91" s="775">
        <f t="shared" si="57"/>
        <v>0</v>
      </c>
      <c r="AV91" s="775">
        <f t="shared" si="90"/>
        <v>0</v>
      </c>
      <c r="AW91" s="775">
        <f t="shared" si="91"/>
        <v>0</v>
      </c>
      <c r="AY91" s="773">
        <v>79</v>
      </c>
      <c r="AZ91" s="774">
        <f t="shared" si="92"/>
        <v>2374</v>
      </c>
      <c r="BA91" s="775">
        <f t="shared" si="93"/>
        <v>0</v>
      </c>
      <c r="BB91" s="775">
        <f t="shared" si="66"/>
        <v>0</v>
      </c>
      <c r="BC91" s="775">
        <f t="shared" si="58"/>
        <v>0</v>
      </c>
      <c r="BD91" s="775">
        <f t="shared" si="94"/>
        <v>0</v>
      </c>
      <c r="BE91" s="775">
        <f t="shared" si="95"/>
        <v>0</v>
      </c>
      <c r="BG91" s="773">
        <v>79</v>
      </c>
      <c r="BH91" s="774">
        <f t="shared" si="96"/>
        <v>2374</v>
      </c>
      <c r="BI91" s="775">
        <f t="shared" si="97"/>
        <v>0</v>
      </c>
      <c r="BJ91" s="775">
        <f t="shared" si="67"/>
        <v>0</v>
      </c>
      <c r="BK91" s="775">
        <f t="shared" si="59"/>
        <v>0</v>
      </c>
      <c r="BL91" s="775">
        <f t="shared" si="98"/>
        <v>0</v>
      </c>
      <c r="BM91" s="775">
        <f t="shared" si="99"/>
        <v>0</v>
      </c>
    </row>
    <row r="92" spans="1:65">
      <c r="A92" s="11">
        <f t="shared" si="52"/>
        <v>1906</v>
      </c>
      <c r="B92" s="773">
        <v>80</v>
      </c>
      <c r="C92" s="774">
        <f t="shared" si="68"/>
        <v>2405</v>
      </c>
      <c r="D92" s="775">
        <f t="shared" si="69"/>
        <v>0</v>
      </c>
      <c r="E92" s="775">
        <f t="shared" si="60"/>
        <v>0</v>
      </c>
      <c r="F92" s="775">
        <f t="shared" si="50"/>
        <v>0</v>
      </c>
      <c r="G92" s="775">
        <f t="shared" si="70"/>
        <v>0</v>
      </c>
      <c r="H92" s="775">
        <f t="shared" si="71"/>
        <v>0</v>
      </c>
      <c r="I92" s="775">
        <f t="shared" si="51"/>
        <v>0</v>
      </c>
      <c r="K92" s="773">
        <v>80</v>
      </c>
      <c r="L92" s="774">
        <f t="shared" si="72"/>
        <v>2405</v>
      </c>
      <c r="M92" s="775">
        <f t="shared" si="73"/>
        <v>0</v>
      </c>
      <c r="N92" s="775">
        <f t="shared" si="61"/>
        <v>0</v>
      </c>
      <c r="O92" s="775">
        <f t="shared" si="53"/>
        <v>0</v>
      </c>
      <c r="P92" s="775">
        <f t="shared" si="74"/>
        <v>0</v>
      </c>
      <c r="Q92" s="775">
        <f t="shared" si="75"/>
        <v>0</v>
      </c>
      <c r="S92" s="773">
        <v>80</v>
      </c>
      <c r="T92" s="774">
        <f t="shared" si="76"/>
        <v>2405</v>
      </c>
      <c r="U92" s="775">
        <f t="shared" si="77"/>
        <v>0</v>
      </c>
      <c r="V92" s="775">
        <f t="shared" si="62"/>
        <v>0</v>
      </c>
      <c r="W92" s="775">
        <f t="shared" si="54"/>
        <v>0</v>
      </c>
      <c r="X92" s="775">
        <f t="shared" si="78"/>
        <v>0</v>
      </c>
      <c r="Y92" s="775">
        <f t="shared" si="79"/>
        <v>0</v>
      </c>
      <c r="AA92" s="773">
        <v>80</v>
      </c>
      <c r="AB92" s="774">
        <f t="shared" si="80"/>
        <v>2405</v>
      </c>
      <c r="AC92" s="775">
        <f t="shared" si="81"/>
        <v>0</v>
      </c>
      <c r="AD92" s="775">
        <f t="shared" si="63"/>
        <v>0</v>
      </c>
      <c r="AE92" s="775">
        <f t="shared" si="55"/>
        <v>0</v>
      </c>
      <c r="AF92" s="775">
        <f t="shared" si="82"/>
        <v>0</v>
      </c>
      <c r="AG92" s="775">
        <f t="shared" si="83"/>
        <v>0</v>
      </c>
      <c r="AI92" s="773">
        <v>80</v>
      </c>
      <c r="AJ92" s="774">
        <f t="shared" si="84"/>
        <v>2405</v>
      </c>
      <c r="AK92" s="775">
        <f t="shared" si="85"/>
        <v>0</v>
      </c>
      <c r="AL92" s="775">
        <f t="shared" si="64"/>
        <v>0</v>
      </c>
      <c r="AM92" s="775">
        <f t="shared" si="56"/>
        <v>0</v>
      </c>
      <c r="AN92" s="775">
        <f t="shared" si="86"/>
        <v>0</v>
      </c>
      <c r="AO92" s="775">
        <f t="shared" si="87"/>
        <v>0</v>
      </c>
      <c r="AQ92" s="773">
        <v>80</v>
      </c>
      <c r="AR92" s="774">
        <f t="shared" si="88"/>
        <v>2405</v>
      </c>
      <c r="AS92" s="775">
        <f t="shared" si="89"/>
        <v>0</v>
      </c>
      <c r="AT92" s="775">
        <f t="shared" si="65"/>
        <v>0</v>
      </c>
      <c r="AU92" s="775">
        <f t="shared" si="57"/>
        <v>0</v>
      </c>
      <c r="AV92" s="775">
        <f t="shared" si="90"/>
        <v>0</v>
      </c>
      <c r="AW92" s="775">
        <f t="shared" si="91"/>
        <v>0</v>
      </c>
      <c r="AY92" s="773">
        <v>80</v>
      </c>
      <c r="AZ92" s="774">
        <f t="shared" si="92"/>
        <v>2405</v>
      </c>
      <c r="BA92" s="775">
        <f t="shared" si="93"/>
        <v>0</v>
      </c>
      <c r="BB92" s="775">
        <f t="shared" si="66"/>
        <v>0</v>
      </c>
      <c r="BC92" s="775">
        <f t="shared" si="58"/>
        <v>0</v>
      </c>
      <c r="BD92" s="775">
        <f t="shared" si="94"/>
        <v>0</v>
      </c>
      <c r="BE92" s="775">
        <f t="shared" si="95"/>
        <v>0</v>
      </c>
      <c r="BG92" s="773">
        <v>80</v>
      </c>
      <c r="BH92" s="774">
        <f t="shared" si="96"/>
        <v>2405</v>
      </c>
      <c r="BI92" s="775">
        <f t="shared" si="97"/>
        <v>0</v>
      </c>
      <c r="BJ92" s="775">
        <f t="shared" si="67"/>
        <v>0</v>
      </c>
      <c r="BK92" s="775">
        <f t="shared" si="59"/>
        <v>0</v>
      </c>
      <c r="BL92" s="775">
        <f t="shared" si="98"/>
        <v>0</v>
      </c>
      <c r="BM92" s="775">
        <f t="shared" si="99"/>
        <v>0</v>
      </c>
    </row>
    <row r="93" spans="1:65">
      <c r="A93" s="11">
        <f t="shared" si="52"/>
        <v>1906</v>
      </c>
      <c r="B93" s="773">
        <v>81</v>
      </c>
      <c r="C93" s="774">
        <f t="shared" si="68"/>
        <v>2436</v>
      </c>
      <c r="D93" s="775">
        <f t="shared" si="69"/>
        <v>0</v>
      </c>
      <c r="E93" s="775">
        <f t="shared" si="60"/>
        <v>0</v>
      </c>
      <c r="F93" s="775">
        <f t="shared" si="50"/>
        <v>0</v>
      </c>
      <c r="G93" s="775">
        <f t="shared" si="70"/>
        <v>0</v>
      </c>
      <c r="H93" s="775">
        <f t="shared" si="71"/>
        <v>0</v>
      </c>
      <c r="I93" s="775">
        <f t="shared" si="51"/>
        <v>0</v>
      </c>
      <c r="K93" s="773">
        <v>81</v>
      </c>
      <c r="L93" s="774">
        <f t="shared" si="72"/>
        <v>2436</v>
      </c>
      <c r="M93" s="775">
        <f t="shared" si="73"/>
        <v>0</v>
      </c>
      <c r="N93" s="775">
        <f t="shared" si="61"/>
        <v>0</v>
      </c>
      <c r="O93" s="775">
        <f t="shared" si="53"/>
        <v>0</v>
      </c>
      <c r="P93" s="775">
        <f t="shared" si="74"/>
        <v>0</v>
      </c>
      <c r="Q93" s="775">
        <f t="shared" si="75"/>
        <v>0</v>
      </c>
      <c r="S93" s="773">
        <v>81</v>
      </c>
      <c r="T93" s="774">
        <f t="shared" si="76"/>
        <v>2436</v>
      </c>
      <c r="U93" s="775">
        <f t="shared" si="77"/>
        <v>0</v>
      </c>
      <c r="V93" s="775">
        <f t="shared" si="62"/>
        <v>0</v>
      </c>
      <c r="W93" s="775">
        <f t="shared" si="54"/>
        <v>0</v>
      </c>
      <c r="X93" s="775">
        <f t="shared" si="78"/>
        <v>0</v>
      </c>
      <c r="Y93" s="775">
        <f t="shared" si="79"/>
        <v>0</v>
      </c>
      <c r="AA93" s="773">
        <v>81</v>
      </c>
      <c r="AB93" s="774">
        <f t="shared" si="80"/>
        <v>2436</v>
      </c>
      <c r="AC93" s="775">
        <f t="shared" si="81"/>
        <v>0</v>
      </c>
      <c r="AD93" s="775">
        <f t="shared" si="63"/>
        <v>0</v>
      </c>
      <c r="AE93" s="775">
        <f t="shared" si="55"/>
        <v>0</v>
      </c>
      <c r="AF93" s="775">
        <f t="shared" si="82"/>
        <v>0</v>
      </c>
      <c r="AG93" s="775">
        <f t="shared" si="83"/>
        <v>0</v>
      </c>
      <c r="AI93" s="773">
        <v>81</v>
      </c>
      <c r="AJ93" s="774">
        <f t="shared" si="84"/>
        <v>2436</v>
      </c>
      <c r="AK93" s="775">
        <f t="shared" si="85"/>
        <v>0</v>
      </c>
      <c r="AL93" s="775">
        <f t="shared" si="64"/>
        <v>0</v>
      </c>
      <c r="AM93" s="775">
        <f t="shared" si="56"/>
        <v>0</v>
      </c>
      <c r="AN93" s="775">
        <f t="shared" si="86"/>
        <v>0</v>
      </c>
      <c r="AO93" s="775">
        <f t="shared" si="87"/>
        <v>0</v>
      </c>
      <c r="AQ93" s="773">
        <v>81</v>
      </c>
      <c r="AR93" s="774">
        <f t="shared" si="88"/>
        <v>2436</v>
      </c>
      <c r="AS93" s="775">
        <f t="shared" si="89"/>
        <v>0</v>
      </c>
      <c r="AT93" s="775">
        <f t="shared" si="65"/>
        <v>0</v>
      </c>
      <c r="AU93" s="775">
        <f t="shared" si="57"/>
        <v>0</v>
      </c>
      <c r="AV93" s="775">
        <f t="shared" si="90"/>
        <v>0</v>
      </c>
      <c r="AW93" s="775">
        <f t="shared" si="91"/>
        <v>0</v>
      </c>
      <c r="AY93" s="773">
        <v>81</v>
      </c>
      <c r="AZ93" s="774">
        <f t="shared" si="92"/>
        <v>2436</v>
      </c>
      <c r="BA93" s="775">
        <f t="shared" si="93"/>
        <v>0</v>
      </c>
      <c r="BB93" s="775">
        <f t="shared" si="66"/>
        <v>0</v>
      </c>
      <c r="BC93" s="775">
        <f t="shared" si="58"/>
        <v>0</v>
      </c>
      <c r="BD93" s="775">
        <f t="shared" si="94"/>
        <v>0</v>
      </c>
      <c r="BE93" s="775">
        <f t="shared" si="95"/>
        <v>0</v>
      </c>
      <c r="BG93" s="773">
        <v>81</v>
      </c>
      <c r="BH93" s="774">
        <f t="shared" si="96"/>
        <v>2436</v>
      </c>
      <c r="BI93" s="775">
        <f t="shared" si="97"/>
        <v>0</v>
      </c>
      <c r="BJ93" s="775">
        <f t="shared" si="67"/>
        <v>0</v>
      </c>
      <c r="BK93" s="775">
        <f t="shared" si="59"/>
        <v>0</v>
      </c>
      <c r="BL93" s="775">
        <f t="shared" si="98"/>
        <v>0</v>
      </c>
      <c r="BM93" s="775">
        <f t="shared" si="99"/>
        <v>0</v>
      </c>
    </row>
    <row r="94" spans="1:65">
      <c r="A94" s="11">
        <f t="shared" si="52"/>
        <v>1906</v>
      </c>
      <c r="B94" s="773">
        <v>82</v>
      </c>
      <c r="C94" s="774">
        <f t="shared" si="68"/>
        <v>2466</v>
      </c>
      <c r="D94" s="775">
        <f t="shared" si="69"/>
        <v>0</v>
      </c>
      <c r="E94" s="775">
        <f t="shared" si="60"/>
        <v>0</v>
      </c>
      <c r="F94" s="775">
        <f t="shared" si="50"/>
        <v>0</v>
      </c>
      <c r="G94" s="775">
        <f t="shared" si="70"/>
        <v>0</v>
      </c>
      <c r="H94" s="775">
        <f t="shared" si="71"/>
        <v>0</v>
      </c>
      <c r="I94" s="775">
        <f t="shared" si="51"/>
        <v>0</v>
      </c>
      <c r="K94" s="773">
        <v>82</v>
      </c>
      <c r="L94" s="774">
        <f t="shared" si="72"/>
        <v>2466</v>
      </c>
      <c r="M94" s="775">
        <f t="shared" si="73"/>
        <v>0</v>
      </c>
      <c r="N94" s="775">
        <f t="shared" si="61"/>
        <v>0</v>
      </c>
      <c r="O94" s="775">
        <f t="shared" si="53"/>
        <v>0</v>
      </c>
      <c r="P94" s="775">
        <f t="shared" si="74"/>
        <v>0</v>
      </c>
      <c r="Q94" s="775">
        <f t="shared" si="75"/>
        <v>0</v>
      </c>
      <c r="S94" s="773">
        <v>82</v>
      </c>
      <c r="T94" s="774">
        <f t="shared" si="76"/>
        <v>2466</v>
      </c>
      <c r="U94" s="775">
        <f t="shared" si="77"/>
        <v>0</v>
      </c>
      <c r="V94" s="775">
        <f t="shared" si="62"/>
        <v>0</v>
      </c>
      <c r="W94" s="775">
        <f t="shared" si="54"/>
        <v>0</v>
      </c>
      <c r="X94" s="775">
        <f t="shared" si="78"/>
        <v>0</v>
      </c>
      <c r="Y94" s="775">
        <f t="shared" si="79"/>
        <v>0</v>
      </c>
      <c r="AA94" s="773">
        <v>82</v>
      </c>
      <c r="AB94" s="774">
        <f t="shared" si="80"/>
        <v>2466</v>
      </c>
      <c r="AC94" s="775">
        <f t="shared" si="81"/>
        <v>0</v>
      </c>
      <c r="AD94" s="775">
        <f t="shared" si="63"/>
        <v>0</v>
      </c>
      <c r="AE94" s="775">
        <f t="shared" si="55"/>
        <v>0</v>
      </c>
      <c r="AF94" s="775">
        <f t="shared" si="82"/>
        <v>0</v>
      </c>
      <c r="AG94" s="775">
        <f t="shared" si="83"/>
        <v>0</v>
      </c>
      <c r="AI94" s="773">
        <v>82</v>
      </c>
      <c r="AJ94" s="774">
        <f t="shared" si="84"/>
        <v>2466</v>
      </c>
      <c r="AK94" s="775">
        <f t="shared" si="85"/>
        <v>0</v>
      </c>
      <c r="AL94" s="775">
        <f t="shared" si="64"/>
        <v>0</v>
      </c>
      <c r="AM94" s="775">
        <f t="shared" si="56"/>
        <v>0</v>
      </c>
      <c r="AN94" s="775">
        <f t="shared" si="86"/>
        <v>0</v>
      </c>
      <c r="AO94" s="775">
        <f t="shared" si="87"/>
        <v>0</v>
      </c>
      <c r="AQ94" s="773">
        <v>82</v>
      </c>
      <c r="AR94" s="774">
        <f t="shared" si="88"/>
        <v>2466</v>
      </c>
      <c r="AS94" s="775">
        <f t="shared" si="89"/>
        <v>0</v>
      </c>
      <c r="AT94" s="775">
        <f t="shared" si="65"/>
        <v>0</v>
      </c>
      <c r="AU94" s="775">
        <f t="shared" si="57"/>
        <v>0</v>
      </c>
      <c r="AV94" s="775">
        <f t="shared" si="90"/>
        <v>0</v>
      </c>
      <c r="AW94" s="775">
        <f t="shared" si="91"/>
        <v>0</v>
      </c>
      <c r="AY94" s="773">
        <v>82</v>
      </c>
      <c r="AZ94" s="774">
        <f t="shared" si="92"/>
        <v>2466</v>
      </c>
      <c r="BA94" s="775">
        <f t="shared" si="93"/>
        <v>0</v>
      </c>
      <c r="BB94" s="775">
        <f t="shared" si="66"/>
        <v>0</v>
      </c>
      <c r="BC94" s="775">
        <f t="shared" si="58"/>
        <v>0</v>
      </c>
      <c r="BD94" s="775">
        <f t="shared" si="94"/>
        <v>0</v>
      </c>
      <c r="BE94" s="775">
        <f t="shared" si="95"/>
        <v>0</v>
      </c>
      <c r="BG94" s="773">
        <v>82</v>
      </c>
      <c r="BH94" s="774">
        <f t="shared" si="96"/>
        <v>2466</v>
      </c>
      <c r="BI94" s="775">
        <f t="shared" si="97"/>
        <v>0</v>
      </c>
      <c r="BJ94" s="775">
        <f t="shared" si="67"/>
        <v>0</v>
      </c>
      <c r="BK94" s="775">
        <f t="shared" si="59"/>
        <v>0</v>
      </c>
      <c r="BL94" s="775">
        <f t="shared" si="98"/>
        <v>0</v>
      </c>
      <c r="BM94" s="775">
        <f t="shared" si="99"/>
        <v>0</v>
      </c>
    </row>
    <row r="95" spans="1:65">
      <c r="A95" s="11">
        <f t="shared" si="52"/>
        <v>1906</v>
      </c>
      <c r="B95" s="773">
        <v>83</v>
      </c>
      <c r="C95" s="774">
        <f t="shared" si="68"/>
        <v>2497</v>
      </c>
      <c r="D95" s="775">
        <f t="shared" si="69"/>
        <v>0</v>
      </c>
      <c r="E95" s="775">
        <f t="shared" si="60"/>
        <v>0</v>
      </c>
      <c r="F95" s="775">
        <f t="shared" si="50"/>
        <v>0</v>
      </c>
      <c r="G95" s="775">
        <f t="shared" si="70"/>
        <v>0</v>
      </c>
      <c r="H95" s="775">
        <f t="shared" si="71"/>
        <v>0</v>
      </c>
      <c r="I95" s="775">
        <f t="shared" si="51"/>
        <v>0</v>
      </c>
      <c r="K95" s="773">
        <v>83</v>
      </c>
      <c r="L95" s="774">
        <f t="shared" si="72"/>
        <v>2497</v>
      </c>
      <c r="M95" s="775">
        <f t="shared" si="73"/>
        <v>0</v>
      </c>
      <c r="N95" s="775">
        <f t="shared" si="61"/>
        <v>0</v>
      </c>
      <c r="O95" s="775">
        <f t="shared" si="53"/>
        <v>0</v>
      </c>
      <c r="P95" s="775">
        <f t="shared" si="74"/>
        <v>0</v>
      </c>
      <c r="Q95" s="775">
        <f t="shared" si="75"/>
        <v>0</v>
      </c>
      <c r="S95" s="773">
        <v>83</v>
      </c>
      <c r="T95" s="774">
        <f t="shared" si="76"/>
        <v>2497</v>
      </c>
      <c r="U95" s="775">
        <f t="shared" si="77"/>
        <v>0</v>
      </c>
      <c r="V95" s="775">
        <f t="shared" si="62"/>
        <v>0</v>
      </c>
      <c r="W95" s="775">
        <f t="shared" si="54"/>
        <v>0</v>
      </c>
      <c r="X95" s="775">
        <f t="shared" si="78"/>
        <v>0</v>
      </c>
      <c r="Y95" s="775">
        <f t="shared" si="79"/>
        <v>0</v>
      </c>
      <c r="AA95" s="773">
        <v>83</v>
      </c>
      <c r="AB95" s="774">
        <f t="shared" si="80"/>
        <v>2497</v>
      </c>
      <c r="AC95" s="775">
        <f t="shared" si="81"/>
        <v>0</v>
      </c>
      <c r="AD95" s="775">
        <f t="shared" si="63"/>
        <v>0</v>
      </c>
      <c r="AE95" s="775">
        <f t="shared" si="55"/>
        <v>0</v>
      </c>
      <c r="AF95" s="775">
        <f t="shared" si="82"/>
        <v>0</v>
      </c>
      <c r="AG95" s="775">
        <f t="shared" si="83"/>
        <v>0</v>
      </c>
      <c r="AI95" s="773">
        <v>83</v>
      </c>
      <c r="AJ95" s="774">
        <f t="shared" si="84"/>
        <v>2497</v>
      </c>
      <c r="AK95" s="775">
        <f t="shared" si="85"/>
        <v>0</v>
      </c>
      <c r="AL95" s="775">
        <f t="shared" si="64"/>
        <v>0</v>
      </c>
      <c r="AM95" s="775">
        <f t="shared" si="56"/>
        <v>0</v>
      </c>
      <c r="AN95" s="775">
        <f t="shared" si="86"/>
        <v>0</v>
      </c>
      <c r="AO95" s="775">
        <f t="shared" si="87"/>
        <v>0</v>
      </c>
      <c r="AQ95" s="773">
        <v>83</v>
      </c>
      <c r="AR95" s="774">
        <f t="shared" si="88"/>
        <v>2497</v>
      </c>
      <c r="AS95" s="775">
        <f t="shared" si="89"/>
        <v>0</v>
      </c>
      <c r="AT95" s="775">
        <f t="shared" si="65"/>
        <v>0</v>
      </c>
      <c r="AU95" s="775">
        <f t="shared" si="57"/>
        <v>0</v>
      </c>
      <c r="AV95" s="775">
        <f t="shared" si="90"/>
        <v>0</v>
      </c>
      <c r="AW95" s="775">
        <f t="shared" si="91"/>
        <v>0</v>
      </c>
      <c r="AY95" s="773">
        <v>83</v>
      </c>
      <c r="AZ95" s="774">
        <f t="shared" si="92"/>
        <v>2497</v>
      </c>
      <c r="BA95" s="775">
        <f t="shared" si="93"/>
        <v>0</v>
      </c>
      <c r="BB95" s="775">
        <f t="shared" si="66"/>
        <v>0</v>
      </c>
      <c r="BC95" s="775">
        <f t="shared" si="58"/>
        <v>0</v>
      </c>
      <c r="BD95" s="775">
        <f t="shared" si="94"/>
        <v>0</v>
      </c>
      <c r="BE95" s="775">
        <f t="shared" si="95"/>
        <v>0</v>
      </c>
      <c r="BG95" s="773">
        <v>83</v>
      </c>
      <c r="BH95" s="774">
        <f t="shared" si="96"/>
        <v>2497</v>
      </c>
      <c r="BI95" s="775">
        <f t="shared" si="97"/>
        <v>0</v>
      </c>
      <c r="BJ95" s="775">
        <f t="shared" si="67"/>
        <v>0</v>
      </c>
      <c r="BK95" s="775">
        <f t="shared" si="59"/>
        <v>0</v>
      </c>
      <c r="BL95" s="775">
        <f t="shared" si="98"/>
        <v>0</v>
      </c>
      <c r="BM95" s="775">
        <f t="shared" si="99"/>
        <v>0</v>
      </c>
    </row>
    <row r="96" spans="1:65">
      <c r="A96" s="11">
        <f t="shared" si="52"/>
        <v>1906</v>
      </c>
      <c r="B96" s="773">
        <v>84</v>
      </c>
      <c r="C96" s="774">
        <f t="shared" si="68"/>
        <v>2527</v>
      </c>
      <c r="D96" s="775">
        <f t="shared" si="69"/>
        <v>0</v>
      </c>
      <c r="E96" s="775">
        <f t="shared" si="60"/>
        <v>0</v>
      </c>
      <c r="F96" s="775">
        <f t="shared" si="50"/>
        <v>0</v>
      </c>
      <c r="G96" s="775">
        <f t="shared" si="70"/>
        <v>0</v>
      </c>
      <c r="H96" s="775">
        <f t="shared" si="71"/>
        <v>0</v>
      </c>
      <c r="I96" s="775">
        <f t="shared" si="51"/>
        <v>0</v>
      </c>
      <c r="K96" s="773">
        <v>84</v>
      </c>
      <c r="L96" s="774">
        <f t="shared" si="72"/>
        <v>2527</v>
      </c>
      <c r="M96" s="775">
        <f t="shared" si="73"/>
        <v>0</v>
      </c>
      <c r="N96" s="775">
        <f t="shared" si="61"/>
        <v>0</v>
      </c>
      <c r="O96" s="775">
        <f t="shared" si="53"/>
        <v>0</v>
      </c>
      <c r="P96" s="775">
        <f t="shared" si="74"/>
        <v>0</v>
      </c>
      <c r="Q96" s="775">
        <f t="shared" si="75"/>
        <v>0</v>
      </c>
      <c r="S96" s="773">
        <v>84</v>
      </c>
      <c r="T96" s="774">
        <f t="shared" si="76"/>
        <v>2527</v>
      </c>
      <c r="U96" s="775">
        <f t="shared" si="77"/>
        <v>0</v>
      </c>
      <c r="V96" s="775">
        <f t="shared" si="62"/>
        <v>0</v>
      </c>
      <c r="W96" s="775">
        <f t="shared" si="54"/>
        <v>0</v>
      </c>
      <c r="X96" s="775">
        <f t="shared" si="78"/>
        <v>0</v>
      </c>
      <c r="Y96" s="775">
        <f t="shared" si="79"/>
        <v>0</v>
      </c>
      <c r="AA96" s="773">
        <v>84</v>
      </c>
      <c r="AB96" s="774">
        <f t="shared" si="80"/>
        <v>2527</v>
      </c>
      <c r="AC96" s="775">
        <f t="shared" si="81"/>
        <v>0</v>
      </c>
      <c r="AD96" s="775">
        <f t="shared" si="63"/>
        <v>0</v>
      </c>
      <c r="AE96" s="775">
        <f t="shared" si="55"/>
        <v>0</v>
      </c>
      <c r="AF96" s="775">
        <f t="shared" si="82"/>
        <v>0</v>
      </c>
      <c r="AG96" s="775">
        <f t="shared" si="83"/>
        <v>0</v>
      </c>
      <c r="AI96" s="773">
        <v>84</v>
      </c>
      <c r="AJ96" s="774">
        <f t="shared" si="84"/>
        <v>2527</v>
      </c>
      <c r="AK96" s="775">
        <f t="shared" si="85"/>
        <v>0</v>
      </c>
      <c r="AL96" s="775">
        <f t="shared" si="64"/>
        <v>0</v>
      </c>
      <c r="AM96" s="775">
        <f t="shared" si="56"/>
        <v>0</v>
      </c>
      <c r="AN96" s="775">
        <f t="shared" si="86"/>
        <v>0</v>
      </c>
      <c r="AO96" s="775">
        <f t="shared" si="87"/>
        <v>0</v>
      </c>
      <c r="AQ96" s="773">
        <v>84</v>
      </c>
      <c r="AR96" s="774">
        <f t="shared" si="88"/>
        <v>2527</v>
      </c>
      <c r="AS96" s="775">
        <f t="shared" si="89"/>
        <v>0</v>
      </c>
      <c r="AT96" s="775">
        <f t="shared" si="65"/>
        <v>0</v>
      </c>
      <c r="AU96" s="775">
        <f t="shared" si="57"/>
        <v>0</v>
      </c>
      <c r="AV96" s="775">
        <f t="shared" si="90"/>
        <v>0</v>
      </c>
      <c r="AW96" s="775">
        <f t="shared" si="91"/>
        <v>0</v>
      </c>
      <c r="AY96" s="773">
        <v>84</v>
      </c>
      <c r="AZ96" s="774">
        <f t="shared" si="92"/>
        <v>2527</v>
      </c>
      <c r="BA96" s="775">
        <f t="shared" si="93"/>
        <v>0</v>
      </c>
      <c r="BB96" s="775">
        <f t="shared" si="66"/>
        <v>0</v>
      </c>
      <c r="BC96" s="775">
        <f t="shared" si="58"/>
        <v>0</v>
      </c>
      <c r="BD96" s="775">
        <f t="shared" si="94"/>
        <v>0</v>
      </c>
      <c r="BE96" s="775">
        <f t="shared" si="95"/>
        <v>0</v>
      </c>
      <c r="BG96" s="773">
        <v>84</v>
      </c>
      <c r="BH96" s="774">
        <f t="shared" si="96"/>
        <v>2527</v>
      </c>
      <c r="BI96" s="775">
        <f t="shared" si="97"/>
        <v>0</v>
      </c>
      <c r="BJ96" s="775">
        <f t="shared" si="67"/>
        <v>0</v>
      </c>
      <c r="BK96" s="775">
        <f t="shared" si="59"/>
        <v>0</v>
      </c>
      <c r="BL96" s="775">
        <f t="shared" si="98"/>
        <v>0</v>
      </c>
      <c r="BM96" s="775">
        <f t="shared" si="99"/>
        <v>0</v>
      </c>
    </row>
    <row r="97" spans="1:65">
      <c r="A97" s="11">
        <f t="shared" si="52"/>
        <v>1907</v>
      </c>
      <c r="B97" s="773">
        <v>85</v>
      </c>
      <c r="C97" s="774">
        <f t="shared" si="68"/>
        <v>2558</v>
      </c>
      <c r="D97" s="775">
        <f t="shared" si="69"/>
        <v>0</v>
      </c>
      <c r="E97" s="775">
        <f t="shared" si="60"/>
        <v>0</v>
      </c>
      <c r="F97" s="775">
        <f t="shared" si="50"/>
        <v>0</v>
      </c>
      <c r="G97" s="775">
        <f t="shared" si="70"/>
        <v>0</v>
      </c>
      <c r="H97" s="775">
        <f t="shared" si="71"/>
        <v>0</v>
      </c>
      <c r="I97" s="775">
        <f t="shared" si="51"/>
        <v>0</v>
      </c>
      <c r="K97" s="773">
        <v>85</v>
      </c>
      <c r="L97" s="774">
        <f t="shared" si="72"/>
        <v>2558</v>
      </c>
      <c r="M97" s="775">
        <f t="shared" si="73"/>
        <v>0</v>
      </c>
      <c r="N97" s="775">
        <f t="shared" si="61"/>
        <v>0</v>
      </c>
      <c r="O97" s="775">
        <f t="shared" si="53"/>
        <v>0</v>
      </c>
      <c r="P97" s="775">
        <f t="shared" si="74"/>
        <v>0</v>
      </c>
      <c r="Q97" s="775">
        <f t="shared" si="75"/>
        <v>0</v>
      </c>
      <c r="S97" s="773">
        <v>85</v>
      </c>
      <c r="T97" s="774">
        <f t="shared" si="76"/>
        <v>2558</v>
      </c>
      <c r="U97" s="775">
        <f t="shared" si="77"/>
        <v>0</v>
      </c>
      <c r="V97" s="775">
        <f t="shared" si="62"/>
        <v>0</v>
      </c>
      <c r="W97" s="775">
        <f t="shared" si="54"/>
        <v>0</v>
      </c>
      <c r="X97" s="775">
        <f t="shared" si="78"/>
        <v>0</v>
      </c>
      <c r="Y97" s="775">
        <f t="shared" si="79"/>
        <v>0</v>
      </c>
      <c r="AA97" s="773">
        <v>85</v>
      </c>
      <c r="AB97" s="774">
        <f t="shared" si="80"/>
        <v>2558</v>
      </c>
      <c r="AC97" s="775">
        <f t="shared" si="81"/>
        <v>0</v>
      </c>
      <c r="AD97" s="775">
        <f t="shared" si="63"/>
        <v>0</v>
      </c>
      <c r="AE97" s="775">
        <f t="shared" si="55"/>
        <v>0</v>
      </c>
      <c r="AF97" s="775">
        <f t="shared" si="82"/>
        <v>0</v>
      </c>
      <c r="AG97" s="775">
        <f t="shared" si="83"/>
        <v>0</v>
      </c>
      <c r="AI97" s="773">
        <v>85</v>
      </c>
      <c r="AJ97" s="774">
        <f t="shared" si="84"/>
        <v>2558</v>
      </c>
      <c r="AK97" s="775">
        <f t="shared" si="85"/>
        <v>0</v>
      </c>
      <c r="AL97" s="775">
        <f t="shared" si="64"/>
        <v>0</v>
      </c>
      <c r="AM97" s="775">
        <f t="shared" si="56"/>
        <v>0</v>
      </c>
      <c r="AN97" s="775">
        <f t="shared" si="86"/>
        <v>0</v>
      </c>
      <c r="AO97" s="775">
        <f t="shared" si="87"/>
        <v>0</v>
      </c>
      <c r="AQ97" s="773">
        <v>85</v>
      </c>
      <c r="AR97" s="774">
        <f t="shared" si="88"/>
        <v>2558</v>
      </c>
      <c r="AS97" s="775">
        <f t="shared" si="89"/>
        <v>0</v>
      </c>
      <c r="AT97" s="775">
        <f t="shared" si="65"/>
        <v>0</v>
      </c>
      <c r="AU97" s="775">
        <f t="shared" si="57"/>
        <v>0</v>
      </c>
      <c r="AV97" s="775">
        <f t="shared" si="90"/>
        <v>0</v>
      </c>
      <c r="AW97" s="775">
        <f t="shared" si="91"/>
        <v>0</v>
      </c>
      <c r="AY97" s="773">
        <v>85</v>
      </c>
      <c r="AZ97" s="774">
        <f t="shared" si="92"/>
        <v>2558</v>
      </c>
      <c r="BA97" s="775">
        <f t="shared" si="93"/>
        <v>0</v>
      </c>
      <c r="BB97" s="775">
        <f t="shared" si="66"/>
        <v>0</v>
      </c>
      <c r="BC97" s="775">
        <f t="shared" si="58"/>
        <v>0</v>
      </c>
      <c r="BD97" s="775">
        <f t="shared" si="94"/>
        <v>0</v>
      </c>
      <c r="BE97" s="775">
        <f t="shared" si="95"/>
        <v>0</v>
      </c>
      <c r="BG97" s="773">
        <v>85</v>
      </c>
      <c r="BH97" s="774">
        <f t="shared" si="96"/>
        <v>2558</v>
      </c>
      <c r="BI97" s="775">
        <f t="shared" si="97"/>
        <v>0</v>
      </c>
      <c r="BJ97" s="775">
        <f t="shared" si="67"/>
        <v>0</v>
      </c>
      <c r="BK97" s="775">
        <f t="shared" si="59"/>
        <v>0</v>
      </c>
      <c r="BL97" s="775">
        <f t="shared" si="98"/>
        <v>0</v>
      </c>
      <c r="BM97" s="775">
        <f t="shared" si="99"/>
        <v>0</v>
      </c>
    </row>
    <row r="98" spans="1:65">
      <c r="A98" s="11">
        <f t="shared" si="52"/>
        <v>1907</v>
      </c>
      <c r="B98" s="773">
        <v>86</v>
      </c>
      <c r="C98" s="774">
        <f t="shared" si="68"/>
        <v>2589</v>
      </c>
      <c r="D98" s="775">
        <f t="shared" si="69"/>
        <v>0</v>
      </c>
      <c r="E98" s="775">
        <f t="shared" si="60"/>
        <v>0</v>
      </c>
      <c r="F98" s="775">
        <f t="shared" si="50"/>
        <v>0</v>
      </c>
      <c r="G98" s="775">
        <f t="shared" si="70"/>
        <v>0</v>
      </c>
      <c r="H98" s="775">
        <f t="shared" si="71"/>
        <v>0</v>
      </c>
      <c r="I98" s="775">
        <f t="shared" si="51"/>
        <v>0</v>
      </c>
      <c r="K98" s="773">
        <v>86</v>
      </c>
      <c r="L98" s="774">
        <f t="shared" si="72"/>
        <v>2589</v>
      </c>
      <c r="M98" s="775">
        <f t="shared" si="73"/>
        <v>0</v>
      </c>
      <c r="N98" s="775">
        <f t="shared" si="61"/>
        <v>0</v>
      </c>
      <c r="O98" s="775">
        <f t="shared" si="53"/>
        <v>0</v>
      </c>
      <c r="P98" s="775">
        <f t="shared" si="74"/>
        <v>0</v>
      </c>
      <c r="Q98" s="775">
        <f t="shared" si="75"/>
        <v>0</v>
      </c>
      <c r="S98" s="773">
        <v>86</v>
      </c>
      <c r="T98" s="774">
        <f t="shared" si="76"/>
        <v>2589</v>
      </c>
      <c r="U98" s="775">
        <f t="shared" si="77"/>
        <v>0</v>
      </c>
      <c r="V98" s="775">
        <f t="shared" si="62"/>
        <v>0</v>
      </c>
      <c r="W98" s="775">
        <f t="shared" si="54"/>
        <v>0</v>
      </c>
      <c r="X98" s="775">
        <f t="shared" si="78"/>
        <v>0</v>
      </c>
      <c r="Y98" s="775">
        <f t="shared" si="79"/>
        <v>0</v>
      </c>
      <c r="AA98" s="773">
        <v>86</v>
      </c>
      <c r="AB98" s="774">
        <f t="shared" si="80"/>
        <v>2589</v>
      </c>
      <c r="AC98" s="775">
        <f t="shared" si="81"/>
        <v>0</v>
      </c>
      <c r="AD98" s="775">
        <f t="shared" si="63"/>
        <v>0</v>
      </c>
      <c r="AE98" s="775">
        <f t="shared" si="55"/>
        <v>0</v>
      </c>
      <c r="AF98" s="775">
        <f t="shared" si="82"/>
        <v>0</v>
      </c>
      <c r="AG98" s="775">
        <f t="shared" si="83"/>
        <v>0</v>
      </c>
      <c r="AI98" s="773">
        <v>86</v>
      </c>
      <c r="AJ98" s="774">
        <f t="shared" si="84"/>
        <v>2589</v>
      </c>
      <c r="AK98" s="775">
        <f t="shared" si="85"/>
        <v>0</v>
      </c>
      <c r="AL98" s="775">
        <f t="shared" si="64"/>
        <v>0</v>
      </c>
      <c r="AM98" s="775">
        <f t="shared" si="56"/>
        <v>0</v>
      </c>
      <c r="AN98" s="775">
        <f t="shared" si="86"/>
        <v>0</v>
      </c>
      <c r="AO98" s="775">
        <f t="shared" si="87"/>
        <v>0</v>
      </c>
      <c r="AQ98" s="773">
        <v>86</v>
      </c>
      <c r="AR98" s="774">
        <f t="shared" si="88"/>
        <v>2589</v>
      </c>
      <c r="AS98" s="775">
        <f t="shared" si="89"/>
        <v>0</v>
      </c>
      <c r="AT98" s="775">
        <f t="shared" si="65"/>
        <v>0</v>
      </c>
      <c r="AU98" s="775">
        <f t="shared" si="57"/>
        <v>0</v>
      </c>
      <c r="AV98" s="775">
        <f t="shared" si="90"/>
        <v>0</v>
      </c>
      <c r="AW98" s="775">
        <f t="shared" si="91"/>
        <v>0</v>
      </c>
      <c r="AY98" s="773">
        <v>86</v>
      </c>
      <c r="AZ98" s="774">
        <f t="shared" si="92"/>
        <v>2589</v>
      </c>
      <c r="BA98" s="775">
        <f t="shared" si="93"/>
        <v>0</v>
      </c>
      <c r="BB98" s="775">
        <f t="shared" si="66"/>
        <v>0</v>
      </c>
      <c r="BC98" s="775">
        <f t="shared" si="58"/>
        <v>0</v>
      </c>
      <c r="BD98" s="775">
        <f t="shared" si="94"/>
        <v>0</v>
      </c>
      <c r="BE98" s="775">
        <f t="shared" si="95"/>
        <v>0</v>
      </c>
      <c r="BG98" s="773">
        <v>86</v>
      </c>
      <c r="BH98" s="774">
        <f t="shared" si="96"/>
        <v>2589</v>
      </c>
      <c r="BI98" s="775">
        <f t="shared" si="97"/>
        <v>0</v>
      </c>
      <c r="BJ98" s="775">
        <f t="shared" si="67"/>
        <v>0</v>
      </c>
      <c r="BK98" s="775">
        <f t="shared" si="59"/>
        <v>0</v>
      </c>
      <c r="BL98" s="775">
        <f t="shared" si="98"/>
        <v>0</v>
      </c>
      <c r="BM98" s="775">
        <f t="shared" si="99"/>
        <v>0</v>
      </c>
    </row>
    <row r="99" spans="1:65">
      <c r="A99" s="11">
        <f t="shared" si="52"/>
        <v>1907</v>
      </c>
      <c r="B99" s="773">
        <v>87</v>
      </c>
      <c r="C99" s="774">
        <f t="shared" si="68"/>
        <v>2617</v>
      </c>
      <c r="D99" s="775">
        <f t="shared" si="69"/>
        <v>0</v>
      </c>
      <c r="E99" s="775">
        <f t="shared" si="60"/>
        <v>0</v>
      </c>
      <c r="F99" s="775">
        <f t="shared" si="50"/>
        <v>0</v>
      </c>
      <c r="G99" s="775">
        <f t="shared" si="70"/>
        <v>0</v>
      </c>
      <c r="H99" s="775">
        <f t="shared" si="71"/>
        <v>0</v>
      </c>
      <c r="I99" s="775">
        <f t="shared" si="51"/>
        <v>0</v>
      </c>
      <c r="K99" s="773">
        <v>87</v>
      </c>
      <c r="L99" s="774">
        <f t="shared" si="72"/>
        <v>2617</v>
      </c>
      <c r="M99" s="775">
        <f t="shared" si="73"/>
        <v>0</v>
      </c>
      <c r="N99" s="775">
        <f t="shared" si="61"/>
        <v>0</v>
      </c>
      <c r="O99" s="775">
        <f t="shared" si="53"/>
        <v>0</v>
      </c>
      <c r="P99" s="775">
        <f t="shared" si="74"/>
        <v>0</v>
      </c>
      <c r="Q99" s="775">
        <f t="shared" si="75"/>
        <v>0</v>
      </c>
      <c r="S99" s="773">
        <v>87</v>
      </c>
      <c r="T99" s="774">
        <f t="shared" si="76"/>
        <v>2617</v>
      </c>
      <c r="U99" s="775">
        <f t="shared" si="77"/>
        <v>0</v>
      </c>
      <c r="V99" s="775">
        <f t="shared" si="62"/>
        <v>0</v>
      </c>
      <c r="W99" s="775">
        <f t="shared" si="54"/>
        <v>0</v>
      </c>
      <c r="X99" s="775">
        <f t="shared" si="78"/>
        <v>0</v>
      </c>
      <c r="Y99" s="775">
        <f t="shared" si="79"/>
        <v>0</v>
      </c>
      <c r="AA99" s="773">
        <v>87</v>
      </c>
      <c r="AB99" s="774">
        <f t="shared" si="80"/>
        <v>2617</v>
      </c>
      <c r="AC99" s="775">
        <f t="shared" si="81"/>
        <v>0</v>
      </c>
      <c r="AD99" s="775">
        <f t="shared" si="63"/>
        <v>0</v>
      </c>
      <c r="AE99" s="775">
        <f t="shared" si="55"/>
        <v>0</v>
      </c>
      <c r="AF99" s="775">
        <f t="shared" si="82"/>
        <v>0</v>
      </c>
      <c r="AG99" s="775">
        <f t="shared" si="83"/>
        <v>0</v>
      </c>
      <c r="AI99" s="773">
        <v>87</v>
      </c>
      <c r="AJ99" s="774">
        <f t="shared" si="84"/>
        <v>2617</v>
      </c>
      <c r="AK99" s="775">
        <f t="shared" si="85"/>
        <v>0</v>
      </c>
      <c r="AL99" s="775">
        <f t="shared" si="64"/>
        <v>0</v>
      </c>
      <c r="AM99" s="775">
        <f t="shared" si="56"/>
        <v>0</v>
      </c>
      <c r="AN99" s="775">
        <f t="shared" si="86"/>
        <v>0</v>
      </c>
      <c r="AO99" s="775">
        <f t="shared" si="87"/>
        <v>0</v>
      </c>
      <c r="AQ99" s="773">
        <v>87</v>
      </c>
      <c r="AR99" s="774">
        <f t="shared" si="88"/>
        <v>2617</v>
      </c>
      <c r="AS99" s="775">
        <f t="shared" si="89"/>
        <v>0</v>
      </c>
      <c r="AT99" s="775">
        <f t="shared" si="65"/>
        <v>0</v>
      </c>
      <c r="AU99" s="775">
        <f t="shared" si="57"/>
        <v>0</v>
      </c>
      <c r="AV99" s="775">
        <f t="shared" si="90"/>
        <v>0</v>
      </c>
      <c r="AW99" s="775">
        <f t="shared" si="91"/>
        <v>0</v>
      </c>
      <c r="AY99" s="773">
        <v>87</v>
      </c>
      <c r="AZ99" s="774">
        <f t="shared" si="92"/>
        <v>2617</v>
      </c>
      <c r="BA99" s="775">
        <f t="shared" si="93"/>
        <v>0</v>
      </c>
      <c r="BB99" s="775">
        <f t="shared" si="66"/>
        <v>0</v>
      </c>
      <c r="BC99" s="775">
        <f t="shared" si="58"/>
        <v>0</v>
      </c>
      <c r="BD99" s="775">
        <f t="shared" si="94"/>
        <v>0</v>
      </c>
      <c r="BE99" s="775">
        <f t="shared" si="95"/>
        <v>0</v>
      </c>
      <c r="BG99" s="773">
        <v>87</v>
      </c>
      <c r="BH99" s="774">
        <f t="shared" si="96"/>
        <v>2617</v>
      </c>
      <c r="BI99" s="775">
        <f t="shared" si="97"/>
        <v>0</v>
      </c>
      <c r="BJ99" s="775">
        <f t="shared" si="67"/>
        <v>0</v>
      </c>
      <c r="BK99" s="775">
        <f t="shared" si="59"/>
        <v>0</v>
      </c>
      <c r="BL99" s="775">
        <f t="shared" si="98"/>
        <v>0</v>
      </c>
      <c r="BM99" s="775">
        <f t="shared" si="99"/>
        <v>0</v>
      </c>
    </row>
    <row r="100" spans="1:65">
      <c r="A100" s="11">
        <f t="shared" si="52"/>
        <v>1907</v>
      </c>
      <c r="B100" s="773">
        <v>88</v>
      </c>
      <c r="C100" s="774">
        <f t="shared" si="68"/>
        <v>2648</v>
      </c>
      <c r="D100" s="775">
        <f t="shared" si="69"/>
        <v>0</v>
      </c>
      <c r="E100" s="775">
        <f t="shared" si="60"/>
        <v>0</v>
      </c>
      <c r="F100" s="775">
        <f t="shared" si="50"/>
        <v>0</v>
      </c>
      <c r="G100" s="775">
        <f t="shared" si="70"/>
        <v>0</v>
      </c>
      <c r="H100" s="775">
        <f t="shared" si="71"/>
        <v>0</v>
      </c>
      <c r="I100" s="775">
        <f t="shared" si="51"/>
        <v>0</v>
      </c>
      <c r="K100" s="773">
        <v>88</v>
      </c>
      <c r="L100" s="774">
        <f t="shared" si="72"/>
        <v>2648</v>
      </c>
      <c r="M100" s="775">
        <f t="shared" si="73"/>
        <v>0</v>
      </c>
      <c r="N100" s="775">
        <f t="shared" si="61"/>
        <v>0</v>
      </c>
      <c r="O100" s="775">
        <f t="shared" si="53"/>
        <v>0</v>
      </c>
      <c r="P100" s="775">
        <f t="shared" si="74"/>
        <v>0</v>
      </c>
      <c r="Q100" s="775">
        <f t="shared" si="75"/>
        <v>0</v>
      </c>
      <c r="S100" s="773">
        <v>88</v>
      </c>
      <c r="T100" s="774">
        <f t="shared" si="76"/>
        <v>2648</v>
      </c>
      <c r="U100" s="775">
        <f t="shared" si="77"/>
        <v>0</v>
      </c>
      <c r="V100" s="775">
        <f t="shared" si="62"/>
        <v>0</v>
      </c>
      <c r="W100" s="775">
        <f t="shared" si="54"/>
        <v>0</v>
      </c>
      <c r="X100" s="775">
        <f t="shared" si="78"/>
        <v>0</v>
      </c>
      <c r="Y100" s="775">
        <f t="shared" si="79"/>
        <v>0</v>
      </c>
      <c r="AA100" s="773">
        <v>88</v>
      </c>
      <c r="AB100" s="774">
        <f t="shared" si="80"/>
        <v>2648</v>
      </c>
      <c r="AC100" s="775">
        <f t="shared" si="81"/>
        <v>0</v>
      </c>
      <c r="AD100" s="775">
        <f t="shared" si="63"/>
        <v>0</v>
      </c>
      <c r="AE100" s="775">
        <f t="shared" si="55"/>
        <v>0</v>
      </c>
      <c r="AF100" s="775">
        <f t="shared" si="82"/>
        <v>0</v>
      </c>
      <c r="AG100" s="775">
        <f t="shared" si="83"/>
        <v>0</v>
      </c>
      <c r="AI100" s="773">
        <v>88</v>
      </c>
      <c r="AJ100" s="774">
        <f t="shared" si="84"/>
        <v>2648</v>
      </c>
      <c r="AK100" s="775">
        <f t="shared" si="85"/>
        <v>0</v>
      </c>
      <c r="AL100" s="775">
        <f t="shared" si="64"/>
        <v>0</v>
      </c>
      <c r="AM100" s="775">
        <f t="shared" si="56"/>
        <v>0</v>
      </c>
      <c r="AN100" s="775">
        <f t="shared" si="86"/>
        <v>0</v>
      </c>
      <c r="AO100" s="775">
        <f t="shared" si="87"/>
        <v>0</v>
      </c>
      <c r="AQ100" s="773">
        <v>88</v>
      </c>
      <c r="AR100" s="774">
        <f t="shared" si="88"/>
        <v>2648</v>
      </c>
      <c r="AS100" s="775">
        <f t="shared" si="89"/>
        <v>0</v>
      </c>
      <c r="AT100" s="775">
        <f t="shared" si="65"/>
        <v>0</v>
      </c>
      <c r="AU100" s="775">
        <f t="shared" si="57"/>
        <v>0</v>
      </c>
      <c r="AV100" s="775">
        <f t="shared" si="90"/>
        <v>0</v>
      </c>
      <c r="AW100" s="775">
        <f t="shared" si="91"/>
        <v>0</v>
      </c>
      <c r="AY100" s="773">
        <v>88</v>
      </c>
      <c r="AZ100" s="774">
        <f t="shared" si="92"/>
        <v>2648</v>
      </c>
      <c r="BA100" s="775">
        <f t="shared" si="93"/>
        <v>0</v>
      </c>
      <c r="BB100" s="775">
        <f t="shared" si="66"/>
        <v>0</v>
      </c>
      <c r="BC100" s="775">
        <f t="shared" si="58"/>
        <v>0</v>
      </c>
      <c r="BD100" s="775">
        <f t="shared" si="94"/>
        <v>0</v>
      </c>
      <c r="BE100" s="775">
        <f t="shared" si="95"/>
        <v>0</v>
      </c>
      <c r="BG100" s="773">
        <v>88</v>
      </c>
      <c r="BH100" s="774">
        <f t="shared" si="96"/>
        <v>2648</v>
      </c>
      <c r="BI100" s="775">
        <f t="shared" si="97"/>
        <v>0</v>
      </c>
      <c r="BJ100" s="775">
        <f t="shared" si="67"/>
        <v>0</v>
      </c>
      <c r="BK100" s="775">
        <f t="shared" si="59"/>
        <v>0</v>
      </c>
      <c r="BL100" s="775">
        <f t="shared" si="98"/>
        <v>0</v>
      </c>
      <c r="BM100" s="775">
        <f t="shared" si="99"/>
        <v>0</v>
      </c>
    </row>
    <row r="101" spans="1:65">
      <c r="A101" s="11">
        <f t="shared" si="52"/>
        <v>1907</v>
      </c>
      <c r="B101" s="773">
        <v>89</v>
      </c>
      <c r="C101" s="774">
        <f t="shared" si="68"/>
        <v>2678</v>
      </c>
      <c r="D101" s="775">
        <f t="shared" si="69"/>
        <v>0</v>
      </c>
      <c r="E101" s="775">
        <f t="shared" si="60"/>
        <v>0</v>
      </c>
      <c r="F101" s="775">
        <f t="shared" si="50"/>
        <v>0</v>
      </c>
      <c r="G101" s="775">
        <f t="shared" si="70"/>
        <v>0</v>
      </c>
      <c r="H101" s="775">
        <f t="shared" si="71"/>
        <v>0</v>
      </c>
      <c r="I101" s="775">
        <f t="shared" si="51"/>
        <v>0</v>
      </c>
      <c r="K101" s="773">
        <v>89</v>
      </c>
      <c r="L101" s="774">
        <f t="shared" si="72"/>
        <v>2678</v>
      </c>
      <c r="M101" s="775">
        <f t="shared" si="73"/>
        <v>0</v>
      </c>
      <c r="N101" s="775">
        <f t="shared" si="61"/>
        <v>0</v>
      </c>
      <c r="O101" s="775">
        <f t="shared" si="53"/>
        <v>0</v>
      </c>
      <c r="P101" s="775">
        <f t="shared" si="74"/>
        <v>0</v>
      </c>
      <c r="Q101" s="775">
        <f t="shared" si="75"/>
        <v>0</v>
      </c>
      <c r="S101" s="773">
        <v>89</v>
      </c>
      <c r="T101" s="774">
        <f t="shared" si="76"/>
        <v>2678</v>
      </c>
      <c r="U101" s="775">
        <f t="shared" si="77"/>
        <v>0</v>
      </c>
      <c r="V101" s="775">
        <f t="shared" si="62"/>
        <v>0</v>
      </c>
      <c r="W101" s="775">
        <f t="shared" si="54"/>
        <v>0</v>
      </c>
      <c r="X101" s="775">
        <f t="shared" si="78"/>
        <v>0</v>
      </c>
      <c r="Y101" s="775">
        <f t="shared" si="79"/>
        <v>0</v>
      </c>
      <c r="AA101" s="773">
        <v>89</v>
      </c>
      <c r="AB101" s="774">
        <f t="shared" si="80"/>
        <v>2678</v>
      </c>
      <c r="AC101" s="775">
        <f t="shared" si="81"/>
        <v>0</v>
      </c>
      <c r="AD101" s="775">
        <f t="shared" si="63"/>
        <v>0</v>
      </c>
      <c r="AE101" s="775">
        <f t="shared" si="55"/>
        <v>0</v>
      </c>
      <c r="AF101" s="775">
        <f t="shared" si="82"/>
        <v>0</v>
      </c>
      <c r="AG101" s="775">
        <f t="shared" si="83"/>
        <v>0</v>
      </c>
      <c r="AI101" s="773">
        <v>89</v>
      </c>
      <c r="AJ101" s="774">
        <f t="shared" si="84"/>
        <v>2678</v>
      </c>
      <c r="AK101" s="775">
        <f t="shared" si="85"/>
        <v>0</v>
      </c>
      <c r="AL101" s="775">
        <f t="shared" si="64"/>
        <v>0</v>
      </c>
      <c r="AM101" s="775">
        <f t="shared" si="56"/>
        <v>0</v>
      </c>
      <c r="AN101" s="775">
        <f t="shared" si="86"/>
        <v>0</v>
      </c>
      <c r="AO101" s="775">
        <f t="shared" si="87"/>
        <v>0</v>
      </c>
      <c r="AQ101" s="773">
        <v>89</v>
      </c>
      <c r="AR101" s="774">
        <f t="shared" si="88"/>
        <v>2678</v>
      </c>
      <c r="AS101" s="775">
        <f t="shared" si="89"/>
        <v>0</v>
      </c>
      <c r="AT101" s="775">
        <f t="shared" si="65"/>
        <v>0</v>
      </c>
      <c r="AU101" s="775">
        <f t="shared" si="57"/>
        <v>0</v>
      </c>
      <c r="AV101" s="775">
        <f t="shared" si="90"/>
        <v>0</v>
      </c>
      <c r="AW101" s="775">
        <f t="shared" si="91"/>
        <v>0</v>
      </c>
      <c r="AY101" s="773">
        <v>89</v>
      </c>
      <c r="AZ101" s="774">
        <f t="shared" si="92"/>
        <v>2678</v>
      </c>
      <c r="BA101" s="775">
        <f t="shared" si="93"/>
        <v>0</v>
      </c>
      <c r="BB101" s="775">
        <f t="shared" si="66"/>
        <v>0</v>
      </c>
      <c r="BC101" s="775">
        <f t="shared" si="58"/>
        <v>0</v>
      </c>
      <c r="BD101" s="775">
        <f t="shared" si="94"/>
        <v>0</v>
      </c>
      <c r="BE101" s="775">
        <f t="shared" si="95"/>
        <v>0</v>
      </c>
      <c r="BG101" s="773">
        <v>89</v>
      </c>
      <c r="BH101" s="774">
        <f t="shared" si="96"/>
        <v>2678</v>
      </c>
      <c r="BI101" s="775">
        <f t="shared" si="97"/>
        <v>0</v>
      </c>
      <c r="BJ101" s="775">
        <f t="shared" si="67"/>
        <v>0</v>
      </c>
      <c r="BK101" s="775">
        <f t="shared" si="59"/>
        <v>0</v>
      </c>
      <c r="BL101" s="775">
        <f t="shared" si="98"/>
        <v>0</v>
      </c>
      <c r="BM101" s="775">
        <f t="shared" si="99"/>
        <v>0</v>
      </c>
    </row>
    <row r="102" spans="1:65">
      <c r="A102" s="11">
        <f t="shared" si="52"/>
        <v>1907</v>
      </c>
      <c r="B102" s="773">
        <v>90</v>
      </c>
      <c r="C102" s="774">
        <f t="shared" si="68"/>
        <v>2709</v>
      </c>
      <c r="D102" s="775">
        <f t="shared" si="69"/>
        <v>0</v>
      </c>
      <c r="E102" s="775">
        <f t="shared" si="60"/>
        <v>0</v>
      </c>
      <c r="F102" s="775">
        <f t="shared" si="50"/>
        <v>0</v>
      </c>
      <c r="G102" s="775">
        <f t="shared" si="70"/>
        <v>0</v>
      </c>
      <c r="H102" s="775">
        <f t="shared" si="71"/>
        <v>0</v>
      </c>
      <c r="I102" s="775">
        <f t="shared" si="51"/>
        <v>0</v>
      </c>
      <c r="K102" s="773">
        <v>90</v>
      </c>
      <c r="L102" s="774">
        <f t="shared" si="72"/>
        <v>2709</v>
      </c>
      <c r="M102" s="775">
        <f t="shared" si="73"/>
        <v>0</v>
      </c>
      <c r="N102" s="775">
        <f t="shared" si="61"/>
        <v>0</v>
      </c>
      <c r="O102" s="775">
        <f t="shared" si="53"/>
        <v>0</v>
      </c>
      <c r="P102" s="775">
        <f t="shared" si="74"/>
        <v>0</v>
      </c>
      <c r="Q102" s="775">
        <f t="shared" si="75"/>
        <v>0</v>
      </c>
      <c r="S102" s="773">
        <v>90</v>
      </c>
      <c r="T102" s="774">
        <f t="shared" si="76"/>
        <v>2709</v>
      </c>
      <c r="U102" s="775">
        <f t="shared" si="77"/>
        <v>0</v>
      </c>
      <c r="V102" s="775">
        <f t="shared" si="62"/>
        <v>0</v>
      </c>
      <c r="W102" s="775">
        <f t="shared" si="54"/>
        <v>0</v>
      </c>
      <c r="X102" s="775">
        <f t="shared" si="78"/>
        <v>0</v>
      </c>
      <c r="Y102" s="775">
        <f t="shared" si="79"/>
        <v>0</v>
      </c>
      <c r="AA102" s="773">
        <v>90</v>
      </c>
      <c r="AB102" s="774">
        <f t="shared" si="80"/>
        <v>2709</v>
      </c>
      <c r="AC102" s="775">
        <f t="shared" si="81"/>
        <v>0</v>
      </c>
      <c r="AD102" s="775">
        <f t="shared" si="63"/>
        <v>0</v>
      </c>
      <c r="AE102" s="775">
        <f t="shared" si="55"/>
        <v>0</v>
      </c>
      <c r="AF102" s="775">
        <f t="shared" si="82"/>
        <v>0</v>
      </c>
      <c r="AG102" s="775">
        <f t="shared" si="83"/>
        <v>0</v>
      </c>
      <c r="AI102" s="773">
        <v>90</v>
      </c>
      <c r="AJ102" s="774">
        <f t="shared" si="84"/>
        <v>2709</v>
      </c>
      <c r="AK102" s="775">
        <f t="shared" si="85"/>
        <v>0</v>
      </c>
      <c r="AL102" s="775">
        <f t="shared" si="64"/>
        <v>0</v>
      </c>
      <c r="AM102" s="775">
        <f t="shared" si="56"/>
        <v>0</v>
      </c>
      <c r="AN102" s="775">
        <f t="shared" si="86"/>
        <v>0</v>
      </c>
      <c r="AO102" s="775">
        <f t="shared" si="87"/>
        <v>0</v>
      </c>
      <c r="AQ102" s="773">
        <v>90</v>
      </c>
      <c r="AR102" s="774">
        <f t="shared" si="88"/>
        <v>2709</v>
      </c>
      <c r="AS102" s="775">
        <f t="shared" si="89"/>
        <v>0</v>
      </c>
      <c r="AT102" s="775">
        <f t="shared" si="65"/>
        <v>0</v>
      </c>
      <c r="AU102" s="775">
        <f t="shared" si="57"/>
        <v>0</v>
      </c>
      <c r="AV102" s="775">
        <f t="shared" si="90"/>
        <v>0</v>
      </c>
      <c r="AW102" s="775">
        <f t="shared" si="91"/>
        <v>0</v>
      </c>
      <c r="AY102" s="773">
        <v>90</v>
      </c>
      <c r="AZ102" s="774">
        <f t="shared" si="92"/>
        <v>2709</v>
      </c>
      <c r="BA102" s="775">
        <f t="shared" si="93"/>
        <v>0</v>
      </c>
      <c r="BB102" s="775">
        <f t="shared" si="66"/>
        <v>0</v>
      </c>
      <c r="BC102" s="775">
        <f t="shared" si="58"/>
        <v>0</v>
      </c>
      <c r="BD102" s="775">
        <f t="shared" si="94"/>
        <v>0</v>
      </c>
      <c r="BE102" s="775">
        <f t="shared" si="95"/>
        <v>0</v>
      </c>
      <c r="BG102" s="773">
        <v>90</v>
      </c>
      <c r="BH102" s="774">
        <f t="shared" si="96"/>
        <v>2709</v>
      </c>
      <c r="BI102" s="775">
        <f t="shared" si="97"/>
        <v>0</v>
      </c>
      <c r="BJ102" s="775">
        <f t="shared" si="67"/>
        <v>0</v>
      </c>
      <c r="BK102" s="775">
        <f t="shared" si="59"/>
        <v>0</v>
      </c>
      <c r="BL102" s="775">
        <f t="shared" si="98"/>
        <v>0</v>
      </c>
      <c r="BM102" s="775">
        <f t="shared" si="99"/>
        <v>0</v>
      </c>
    </row>
    <row r="103" spans="1:65">
      <c r="A103" s="11">
        <f t="shared" si="52"/>
        <v>1907</v>
      </c>
      <c r="B103" s="773">
        <v>91</v>
      </c>
      <c r="C103" s="774">
        <f t="shared" si="68"/>
        <v>2739</v>
      </c>
      <c r="D103" s="775">
        <f t="shared" si="69"/>
        <v>0</v>
      </c>
      <c r="E103" s="775">
        <f t="shared" si="60"/>
        <v>0</v>
      </c>
      <c r="F103" s="775">
        <f t="shared" si="50"/>
        <v>0</v>
      </c>
      <c r="G103" s="775">
        <f t="shared" si="70"/>
        <v>0</v>
      </c>
      <c r="H103" s="775">
        <f t="shared" si="71"/>
        <v>0</v>
      </c>
      <c r="I103" s="775">
        <f t="shared" si="51"/>
        <v>0</v>
      </c>
      <c r="K103" s="773">
        <v>91</v>
      </c>
      <c r="L103" s="774">
        <f t="shared" si="72"/>
        <v>2739</v>
      </c>
      <c r="M103" s="775">
        <f t="shared" si="73"/>
        <v>0</v>
      </c>
      <c r="N103" s="775">
        <f t="shared" si="61"/>
        <v>0</v>
      </c>
      <c r="O103" s="775">
        <f t="shared" si="53"/>
        <v>0</v>
      </c>
      <c r="P103" s="775">
        <f t="shared" si="74"/>
        <v>0</v>
      </c>
      <c r="Q103" s="775">
        <f t="shared" si="75"/>
        <v>0</v>
      </c>
      <c r="S103" s="773">
        <v>91</v>
      </c>
      <c r="T103" s="774">
        <f t="shared" si="76"/>
        <v>2739</v>
      </c>
      <c r="U103" s="775">
        <f t="shared" si="77"/>
        <v>0</v>
      </c>
      <c r="V103" s="775">
        <f t="shared" si="62"/>
        <v>0</v>
      </c>
      <c r="W103" s="775">
        <f t="shared" si="54"/>
        <v>0</v>
      </c>
      <c r="X103" s="775">
        <f t="shared" si="78"/>
        <v>0</v>
      </c>
      <c r="Y103" s="775">
        <f t="shared" si="79"/>
        <v>0</v>
      </c>
      <c r="AA103" s="773">
        <v>91</v>
      </c>
      <c r="AB103" s="774">
        <f t="shared" si="80"/>
        <v>2739</v>
      </c>
      <c r="AC103" s="775">
        <f t="shared" si="81"/>
        <v>0</v>
      </c>
      <c r="AD103" s="775">
        <f t="shared" si="63"/>
        <v>0</v>
      </c>
      <c r="AE103" s="775">
        <f t="shared" si="55"/>
        <v>0</v>
      </c>
      <c r="AF103" s="775">
        <f t="shared" si="82"/>
        <v>0</v>
      </c>
      <c r="AG103" s="775">
        <f t="shared" si="83"/>
        <v>0</v>
      </c>
      <c r="AI103" s="773">
        <v>91</v>
      </c>
      <c r="AJ103" s="774">
        <f t="shared" si="84"/>
        <v>2739</v>
      </c>
      <c r="AK103" s="775">
        <f t="shared" si="85"/>
        <v>0</v>
      </c>
      <c r="AL103" s="775">
        <f t="shared" si="64"/>
        <v>0</v>
      </c>
      <c r="AM103" s="775">
        <f t="shared" si="56"/>
        <v>0</v>
      </c>
      <c r="AN103" s="775">
        <f t="shared" si="86"/>
        <v>0</v>
      </c>
      <c r="AO103" s="775">
        <f t="shared" si="87"/>
        <v>0</v>
      </c>
      <c r="AQ103" s="773">
        <v>91</v>
      </c>
      <c r="AR103" s="774">
        <f t="shared" si="88"/>
        <v>2739</v>
      </c>
      <c r="AS103" s="775">
        <f t="shared" si="89"/>
        <v>0</v>
      </c>
      <c r="AT103" s="775">
        <f t="shared" si="65"/>
        <v>0</v>
      </c>
      <c r="AU103" s="775">
        <f t="shared" si="57"/>
        <v>0</v>
      </c>
      <c r="AV103" s="775">
        <f t="shared" si="90"/>
        <v>0</v>
      </c>
      <c r="AW103" s="775">
        <f t="shared" si="91"/>
        <v>0</v>
      </c>
      <c r="AY103" s="773">
        <v>91</v>
      </c>
      <c r="AZ103" s="774">
        <f t="shared" si="92"/>
        <v>2739</v>
      </c>
      <c r="BA103" s="775">
        <f t="shared" si="93"/>
        <v>0</v>
      </c>
      <c r="BB103" s="775">
        <f t="shared" si="66"/>
        <v>0</v>
      </c>
      <c r="BC103" s="775">
        <f t="shared" si="58"/>
        <v>0</v>
      </c>
      <c r="BD103" s="775">
        <f t="shared" si="94"/>
        <v>0</v>
      </c>
      <c r="BE103" s="775">
        <f t="shared" si="95"/>
        <v>0</v>
      </c>
      <c r="BG103" s="773">
        <v>91</v>
      </c>
      <c r="BH103" s="774">
        <f t="shared" si="96"/>
        <v>2739</v>
      </c>
      <c r="BI103" s="775">
        <f t="shared" si="97"/>
        <v>0</v>
      </c>
      <c r="BJ103" s="775">
        <f t="shared" si="67"/>
        <v>0</v>
      </c>
      <c r="BK103" s="775">
        <f t="shared" si="59"/>
        <v>0</v>
      </c>
      <c r="BL103" s="775">
        <f t="shared" si="98"/>
        <v>0</v>
      </c>
      <c r="BM103" s="775">
        <f t="shared" si="99"/>
        <v>0</v>
      </c>
    </row>
    <row r="104" spans="1:65">
      <c r="A104" s="11">
        <f t="shared" si="52"/>
        <v>1907</v>
      </c>
      <c r="B104" s="773">
        <v>92</v>
      </c>
      <c r="C104" s="774">
        <f t="shared" si="68"/>
        <v>2770</v>
      </c>
      <c r="D104" s="775">
        <f t="shared" si="69"/>
        <v>0</v>
      </c>
      <c r="E104" s="775">
        <f t="shared" si="60"/>
        <v>0</v>
      </c>
      <c r="F104" s="775">
        <f t="shared" si="50"/>
        <v>0</v>
      </c>
      <c r="G104" s="775">
        <f t="shared" si="70"/>
        <v>0</v>
      </c>
      <c r="H104" s="775">
        <f t="shared" si="71"/>
        <v>0</v>
      </c>
      <c r="I104" s="775">
        <f t="shared" si="51"/>
        <v>0</v>
      </c>
      <c r="K104" s="773">
        <v>92</v>
      </c>
      <c r="L104" s="774">
        <f t="shared" si="72"/>
        <v>2770</v>
      </c>
      <c r="M104" s="775">
        <f t="shared" si="73"/>
        <v>0</v>
      </c>
      <c r="N104" s="775">
        <f t="shared" si="61"/>
        <v>0</v>
      </c>
      <c r="O104" s="775">
        <f t="shared" si="53"/>
        <v>0</v>
      </c>
      <c r="P104" s="775">
        <f t="shared" si="74"/>
        <v>0</v>
      </c>
      <c r="Q104" s="775">
        <f t="shared" si="75"/>
        <v>0</v>
      </c>
      <c r="S104" s="773">
        <v>92</v>
      </c>
      <c r="T104" s="774">
        <f t="shared" si="76"/>
        <v>2770</v>
      </c>
      <c r="U104" s="775">
        <f t="shared" si="77"/>
        <v>0</v>
      </c>
      <c r="V104" s="775">
        <f t="shared" si="62"/>
        <v>0</v>
      </c>
      <c r="W104" s="775">
        <f t="shared" si="54"/>
        <v>0</v>
      </c>
      <c r="X104" s="775">
        <f t="shared" si="78"/>
        <v>0</v>
      </c>
      <c r="Y104" s="775">
        <f t="shared" si="79"/>
        <v>0</v>
      </c>
      <c r="AA104" s="773">
        <v>92</v>
      </c>
      <c r="AB104" s="774">
        <f t="shared" si="80"/>
        <v>2770</v>
      </c>
      <c r="AC104" s="775">
        <f t="shared" si="81"/>
        <v>0</v>
      </c>
      <c r="AD104" s="775">
        <f t="shared" si="63"/>
        <v>0</v>
      </c>
      <c r="AE104" s="775">
        <f t="shared" si="55"/>
        <v>0</v>
      </c>
      <c r="AF104" s="775">
        <f t="shared" si="82"/>
        <v>0</v>
      </c>
      <c r="AG104" s="775">
        <f t="shared" si="83"/>
        <v>0</v>
      </c>
      <c r="AI104" s="773">
        <v>92</v>
      </c>
      <c r="AJ104" s="774">
        <f t="shared" si="84"/>
        <v>2770</v>
      </c>
      <c r="AK104" s="775">
        <f t="shared" si="85"/>
        <v>0</v>
      </c>
      <c r="AL104" s="775">
        <f t="shared" si="64"/>
        <v>0</v>
      </c>
      <c r="AM104" s="775">
        <f t="shared" si="56"/>
        <v>0</v>
      </c>
      <c r="AN104" s="775">
        <f t="shared" si="86"/>
        <v>0</v>
      </c>
      <c r="AO104" s="775">
        <f t="shared" si="87"/>
        <v>0</v>
      </c>
      <c r="AQ104" s="773">
        <v>92</v>
      </c>
      <c r="AR104" s="774">
        <f t="shared" si="88"/>
        <v>2770</v>
      </c>
      <c r="AS104" s="775">
        <f t="shared" si="89"/>
        <v>0</v>
      </c>
      <c r="AT104" s="775">
        <f t="shared" si="65"/>
        <v>0</v>
      </c>
      <c r="AU104" s="775">
        <f t="shared" si="57"/>
        <v>0</v>
      </c>
      <c r="AV104" s="775">
        <f t="shared" si="90"/>
        <v>0</v>
      </c>
      <c r="AW104" s="775">
        <f t="shared" si="91"/>
        <v>0</v>
      </c>
      <c r="AY104" s="773">
        <v>92</v>
      </c>
      <c r="AZ104" s="774">
        <f t="shared" si="92"/>
        <v>2770</v>
      </c>
      <c r="BA104" s="775">
        <f t="shared" si="93"/>
        <v>0</v>
      </c>
      <c r="BB104" s="775">
        <f t="shared" si="66"/>
        <v>0</v>
      </c>
      <c r="BC104" s="775">
        <f t="shared" si="58"/>
        <v>0</v>
      </c>
      <c r="BD104" s="775">
        <f t="shared" si="94"/>
        <v>0</v>
      </c>
      <c r="BE104" s="775">
        <f t="shared" si="95"/>
        <v>0</v>
      </c>
      <c r="BG104" s="773">
        <v>92</v>
      </c>
      <c r="BH104" s="774">
        <f t="shared" si="96"/>
        <v>2770</v>
      </c>
      <c r="BI104" s="775">
        <f t="shared" si="97"/>
        <v>0</v>
      </c>
      <c r="BJ104" s="775">
        <f t="shared" si="67"/>
        <v>0</v>
      </c>
      <c r="BK104" s="775">
        <f t="shared" si="59"/>
        <v>0</v>
      </c>
      <c r="BL104" s="775">
        <f t="shared" si="98"/>
        <v>0</v>
      </c>
      <c r="BM104" s="775">
        <f t="shared" si="99"/>
        <v>0</v>
      </c>
    </row>
    <row r="105" spans="1:65">
      <c r="A105" s="11">
        <f t="shared" si="52"/>
        <v>1907</v>
      </c>
      <c r="B105" s="773">
        <v>93</v>
      </c>
      <c r="C105" s="774">
        <f t="shared" si="68"/>
        <v>2801</v>
      </c>
      <c r="D105" s="775">
        <f t="shared" si="69"/>
        <v>0</v>
      </c>
      <c r="E105" s="775">
        <f t="shared" si="60"/>
        <v>0</v>
      </c>
      <c r="F105" s="775">
        <f t="shared" si="50"/>
        <v>0</v>
      </c>
      <c r="G105" s="775">
        <f t="shared" si="70"/>
        <v>0</v>
      </c>
      <c r="H105" s="775">
        <f t="shared" si="71"/>
        <v>0</v>
      </c>
      <c r="I105" s="775">
        <f t="shared" si="51"/>
        <v>0</v>
      </c>
      <c r="K105" s="773">
        <v>93</v>
      </c>
      <c r="L105" s="774">
        <f t="shared" si="72"/>
        <v>2801</v>
      </c>
      <c r="M105" s="775">
        <f t="shared" si="73"/>
        <v>0</v>
      </c>
      <c r="N105" s="775">
        <f t="shared" si="61"/>
        <v>0</v>
      </c>
      <c r="O105" s="775">
        <f t="shared" si="53"/>
        <v>0</v>
      </c>
      <c r="P105" s="775">
        <f t="shared" si="74"/>
        <v>0</v>
      </c>
      <c r="Q105" s="775">
        <f t="shared" si="75"/>
        <v>0</v>
      </c>
      <c r="S105" s="773">
        <v>93</v>
      </c>
      <c r="T105" s="774">
        <f t="shared" si="76"/>
        <v>2801</v>
      </c>
      <c r="U105" s="775">
        <f t="shared" si="77"/>
        <v>0</v>
      </c>
      <c r="V105" s="775">
        <f t="shared" si="62"/>
        <v>0</v>
      </c>
      <c r="W105" s="775">
        <f t="shared" si="54"/>
        <v>0</v>
      </c>
      <c r="X105" s="775">
        <f t="shared" si="78"/>
        <v>0</v>
      </c>
      <c r="Y105" s="775">
        <f t="shared" si="79"/>
        <v>0</v>
      </c>
      <c r="AA105" s="773">
        <v>93</v>
      </c>
      <c r="AB105" s="774">
        <f t="shared" si="80"/>
        <v>2801</v>
      </c>
      <c r="AC105" s="775">
        <f t="shared" si="81"/>
        <v>0</v>
      </c>
      <c r="AD105" s="775">
        <f t="shared" si="63"/>
        <v>0</v>
      </c>
      <c r="AE105" s="775">
        <f t="shared" si="55"/>
        <v>0</v>
      </c>
      <c r="AF105" s="775">
        <f t="shared" si="82"/>
        <v>0</v>
      </c>
      <c r="AG105" s="775">
        <f t="shared" si="83"/>
        <v>0</v>
      </c>
      <c r="AI105" s="773">
        <v>93</v>
      </c>
      <c r="AJ105" s="774">
        <f t="shared" si="84"/>
        <v>2801</v>
      </c>
      <c r="AK105" s="775">
        <f t="shared" si="85"/>
        <v>0</v>
      </c>
      <c r="AL105" s="775">
        <f t="shared" si="64"/>
        <v>0</v>
      </c>
      <c r="AM105" s="775">
        <f t="shared" si="56"/>
        <v>0</v>
      </c>
      <c r="AN105" s="775">
        <f t="shared" si="86"/>
        <v>0</v>
      </c>
      <c r="AO105" s="775">
        <f t="shared" si="87"/>
        <v>0</v>
      </c>
      <c r="AQ105" s="773">
        <v>93</v>
      </c>
      <c r="AR105" s="774">
        <f t="shared" si="88"/>
        <v>2801</v>
      </c>
      <c r="AS105" s="775">
        <f t="shared" si="89"/>
        <v>0</v>
      </c>
      <c r="AT105" s="775">
        <f t="shared" si="65"/>
        <v>0</v>
      </c>
      <c r="AU105" s="775">
        <f t="shared" si="57"/>
        <v>0</v>
      </c>
      <c r="AV105" s="775">
        <f t="shared" si="90"/>
        <v>0</v>
      </c>
      <c r="AW105" s="775">
        <f t="shared" si="91"/>
        <v>0</v>
      </c>
      <c r="AY105" s="773">
        <v>93</v>
      </c>
      <c r="AZ105" s="774">
        <f t="shared" si="92"/>
        <v>2801</v>
      </c>
      <c r="BA105" s="775">
        <f t="shared" si="93"/>
        <v>0</v>
      </c>
      <c r="BB105" s="775">
        <f t="shared" si="66"/>
        <v>0</v>
      </c>
      <c r="BC105" s="775">
        <f t="shared" si="58"/>
        <v>0</v>
      </c>
      <c r="BD105" s="775">
        <f t="shared" si="94"/>
        <v>0</v>
      </c>
      <c r="BE105" s="775">
        <f t="shared" si="95"/>
        <v>0</v>
      </c>
      <c r="BG105" s="773">
        <v>93</v>
      </c>
      <c r="BH105" s="774">
        <f t="shared" si="96"/>
        <v>2801</v>
      </c>
      <c r="BI105" s="775">
        <f t="shared" si="97"/>
        <v>0</v>
      </c>
      <c r="BJ105" s="775">
        <f t="shared" si="67"/>
        <v>0</v>
      </c>
      <c r="BK105" s="775">
        <f t="shared" si="59"/>
        <v>0</v>
      </c>
      <c r="BL105" s="775">
        <f t="shared" si="98"/>
        <v>0</v>
      </c>
      <c r="BM105" s="775">
        <f t="shared" si="99"/>
        <v>0</v>
      </c>
    </row>
    <row r="106" spans="1:65">
      <c r="A106" s="11">
        <f t="shared" si="52"/>
        <v>1907</v>
      </c>
      <c r="B106" s="773">
        <v>94</v>
      </c>
      <c r="C106" s="774">
        <f t="shared" si="68"/>
        <v>2831</v>
      </c>
      <c r="D106" s="775">
        <f t="shared" si="69"/>
        <v>0</v>
      </c>
      <c r="E106" s="775">
        <f t="shared" si="60"/>
        <v>0</v>
      </c>
      <c r="F106" s="775">
        <f t="shared" si="50"/>
        <v>0</v>
      </c>
      <c r="G106" s="775">
        <f t="shared" si="70"/>
        <v>0</v>
      </c>
      <c r="H106" s="775">
        <f t="shared" si="71"/>
        <v>0</v>
      </c>
      <c r="I106" s="775">
        <f t="shared" si="51"/>
        <v>0</v>
      </c>
      <c r="K106" s="773">
        <v>94</v>
      </c>
      <c r="L106" s="774">
        <f t="shared" si="72"/>
        <v>2831</v>
      </c>
      <c r="M106" s="775">
        <f t="shared" si="73"/>
        <v>0</v>
      </c>
      <c r="N106" s="775">
        <f t="shared" si="61"/>
        <v>0</v>
      </c>
      <c r="O106" s="775">
        <f t="shared" si="53"/>
        <v>0</v>
      </c>
      <c r="P106" s="775">
        <f t="shared" si="74"/>
        <v>0</v>
      </c>
      <c r="Q106" s="775">
        <f t="shared" si="75"/>
        <v>0</v>
      </c>
      <c r="S106" s="773">
        <v>94</v>
      </c>
      <c r="T106" s="774">
        <f t="shared" si="76"/>
        <v>2831</v>
      </c>
      <c r="U106" s="775">
        <f t="shared" si="77"/>
        <v>0</v>
      </c>
      <c r="V106" s="775">
        <f t="shared" si="62"/>
        <v>0</v>
      </c>
      <c r="W106" s="775">
        <f t="shared" si="54"/>
        <v>0</v>
      </c>
      <c r="X106" s="775">
        <f t="shared" si="78"/>
        <v>0</v>
      </c>
      <c r="Y106" s="775">
        <f t="shared" si="79"/>
        <v>0</v>
      </c>
      <c r="AA106" s="773">
        <v>94</v>
      </c>
      <c r="AB106" s="774">
        <f t="shared" si="80"/>
        <v>2831</v>
      </c>
      <c r="AC106" s="775">
        <f t="shared" si="81"/>
        <v>0</v>
      </c>
      <c r="AD106" s="775">
        <f t="shared" si="63"/>
        <v>0</v>
      </c>
      <c r="AE106" s="775">
        <f t="shared" si="55"/>
        <v>0</v>
      </c>
      <c r="AF106" s="775">
        <f t="shared" si="82"/>
        <v>0</v>
      </c>
      <c r="AG106" s="775">
        <f t="shared" si="83"/>
        <v>0</v>
      </c>
      <c r="AI106" s="773">
        <v>94</v>
      </c>
      <c r="AJ106" s="774">
        <f t="shared" si="84"/>
        <v>2831</v>
      </c>
      <c r="AK106" s="775">
        <f t="shared" si="85"/>
        <v>0</v>
      </c>
      <c r="AL106" s="775">
        <f t="shared" si="64"/>
        <v>0</v>
      </c>
      <c r="AM106" s="775">
        <f t="shared" si="56"/>
        <v>0</v>
      </c>
      <c r="AN106" s="775">
        <f t="shared" si="86"/>
        <v>0</v>
      </c>
      <c r="AO106" s="775">
        <f t="shared" si="87"/>
        <v>0</v>
      </c>
      <c r="AQ106" s="773">
        <v>94</v>
      </c>
      <c r="AR106" s="774">
        <f t="shared" si="88"/>
        <v>2831</v>
      </c>
      <c r="AS106" s="775">
        <f t="shared" si="89"/>
        <v>0</v>
      </c>
      <c r="AT106" s="775">
        <f t="shared" si="65"/>
        <v>0</v>
      </c>
      <c r="AU106" s="775">
        <f t="shared" si="57"/>
        <v>0</v>
      </c>
      <c r="AV106" s="775">
        <f t="shared" si="90"/>
        <v>0</v>
      </c>
      <c r="AW106" s="775">
        <f t="shared" si="91"/>
        <v>0</v>
      </c>
      <c r="AY106" s="773">
        <v>94</v>
      </c>
      <c r="AZ106" s="774">
        <f t="shared" si="92"/>
        <v>2831</v>
      </c>
      <c r="BA106" s="775">
        <f t="shared" si="93"/>
        <v>0</v>
      </c>
      <c r="BB106" s="775">
        <f t="shared" si="66"/>
        <v>0</v>
      </c>
      <c r="BC106" s="775">
        <f t="shared" si="58"/>
        <v>0</v>
      </c>
      <c r="BD106" s="775">
        <f t="shared" si="94"/>
        <v>0</v>
      </c>
      <c r="BE106" s="775">
        <f t="shared" si="95"/>
        <v>0</v>
      </c>
      <c r="BG106" s="773">
        <v>94</v>
      </c>
      <c r="BH106" s="774">
        <f t="shared" si="96"/>
        <v>2831</v>
      </c>
      <c r="BI106" s="775">
        <f t="shared" si="97"/>
        <v>0</v>
      </c>
      <c r="BJ106" s="775">
        <f t="shared" si="67"/>
        <v>0</v>
      </c>
      <c r="BK106" s="775">
        <f t="shared" si="59"/>
        <v>0</v>
      </c>
      <c r="BL106" s="775">
        <f t="shared" si="98"/>
        <v>0</v>
      </c>
      <c r="BM106" s="775">
        <f t="shared" si="99"/>
        <v>0</v>
      </c>
    </row>
    <row r="107" spans="1:65">
      <c r="A107" s="11">
        <f t="shared" si="52"/>
        <v>1907</v>
      </c>
      <c r="B107" s="773">
        <v>95</v>
      </c>
      <c r="C107" s="774">
        <f t="shared" si="68"/>
        <v>2862</v>
      </c>
      <c r="D107" s="775">
        <f t="shared" si="69"/>
        <v>0</v>
      </c>
      <c r="E107" s="775">
        <f t="shared" si="60"/>
        <v>0</v>
      </c>
      <c r="F107" s="775">
        <f t="shared" si="50"/>
        <v>0</v>
      </c>
      <c r="G107" s="775">
        <f t="shared" si="70"/>
        <v>0</v>
      </c>
      <c r="H107" s="775">
        <f t="shared" si="71"/>
        <v>0</v>
      </c>
      <c r="I107" s="775">
        <f t="shared" si="51"/>
        <v>0</v>
      </c>
      <c r="K107" s="773">
        <v>95</v>
      </c>
      <c r="L107" s="774">
        <f t="shared" si="72"/>
        <v>2862</v>
      </c>
      <c r="M107" s="775">
        <f t="shared" si="73"/>
        <v>0</v>
      </c>
      <c r="N107" s="775">
        <f t="shared" si="61"/>
        <v>0</v>
      </c>
      <c r="O107" s="775">
        <f t="shared" si="53"/>
        <v>0</v>
      </c>
      <c r="P107" s="775">
        <f t="shared" si="74"/>
        <v>0</v>
      </c>
      <c r="Q107" s="775">
        <f t="shared" si="75"/>
        <v>0</v>
      </c>
      <c r="S107" s="773">
        <v>95</v>
      </c>
      <c r="T107" s="774">
        <f t="shared" si="76"/>
        <v>2862</v>
      </c>
      <c r="U107" s="775">
        <f t="shared" si="77"/>
        <v>0</v>
      </c>
      <c r="V107" s="775">
        <f t="shared" si="62"/>
        <v>0</v>
      </c>
      <c r="W107" s="775">
        <f t="shared" si="54"/>
        <v>0</v>
      </c>
      <c r="X107" s="775">
        <f t="shared" si="78"/>
        <v>0</v>
      </c>
      <c r="Y107" s="775">
        <f t="shared" si="79"/>
        <v>0</v>
      </c>
      <c r="AA107" s="773">
        <v>95</v>
      </c>
      <c r="AB107" s="774">
        <f t="shared" si="80"/>
        <v>2862</v>
      </c>
      <c r="AC107" s="775">
        <f t="shared" si="81"/>
        <v>0</v>
      </c>
      <c r="AD107" s="775">
        <f t="shared" si="63"/>
        <v>0</v>
      </c>
      <c r="AE107" s="775">
        <f t="shared" si="55"/>
        <v>0</v>
      </c>
      <c r="AF107" s="775">
        <f t="shared" si="82"/>
        <v>0</v>
      </c>
      <c r="AG107" s="775">
        <f t="shared" si="83"/>
        <v>0</v>
      </c>
      <c r="AI107" s="773">
        <v>95</v>
      </c>
      <c r="AJ107" s="774">
        <f t="shared" si="84"/>
        <v>2862</v>
      </c>
      <c r="AK107" s="775">
        <f t="shared" si="85"/>
        <v>0</v>
      </c>
      <c r="AL107" s="775">
        <f t="shared" si="64"/>
        <v>0</v>
      </c>
      <c r="AM107" s="775">
        <f t="shared" si="56"/>
        <v>0</v>
      </c>
      <c r="AN107" s="775">
        <f t="shared" si="86"/>
        <v>0</v>
      </c>
      <c r="AO107" s="775">
        <f t="shared" si="87"/>
        <v>0</v>
      </c>
      <c r="AQ107" s="773">
        <v>95</v>
      </c>
      <c r="AR107" s="774">
        <f t="shared" si="88"/>
        <v>2862</v>
      </c>
      <c r="AS107" s="775">
        <f t="shared" si="89"/>
        <v>0</v>
      </c>
      <c r="AT107" s="775">
        <f t="shared" si="65"/>
        <v>0</v>
      </c>
      <c r="AU107" s="775">
        <f t="shared" si="57"/>
        <v>0</v>
      </c>
      <c r="AV107" s="775">
        <f t="shared" si="90"/>
        <v>0</v>
      </c>
      <c r="AW107" s="775">
        <f t="shared" si="91"/>
        <v>0</v>
      </c>
      <c r="AY107" s="773">
        <v>95</v>
      </c>
      <c r="AZ107" s="774">
        <f t="shared" si="92"/>
        <v>2862</v>
      </c>
      <c r="BA107" s="775">
        <f t="shared" si="93"/>
        <v>0</v>
      </c>
      <c r="BB107" s="775">
        <f t="shared" si="66"/>
        <v>0</v>
      </c>
      <c r="BC107" s="775">
        <f t="shared" si="58"/>
        <v>0</v>
      </c>
      <c r="BD107" s="775">
        <f t="shared" si="94"/>
        <v>0</v>
      </c>
      <c r="BE107" s="775">
        <f t="shared" si="95"/>
        <v>0</v>
      </c>
      <c r="BG107" s="773">
        <v>95</v>
      </c>
      <c r="BH107" s="774">
        <f t="shared" si="96"/>
        <v>2862</v>
      </c>
      <c r="BI107" s="775">
        <f t="shared" si="97"/>
        <v>0</v>
      </c>
      <c r="BJ107" s="775">
        <f t="shared" si="67"/>
        <v>0</v>
      </c>
      <c r="BK107" s="775">
        <f t="shared" si="59"/>
        <v>0</v>
      </c>
      <c r="BL107" s="775">
        <f t="shared" si="98"/>
        <v>0</v>
      </c>
      <c r="BM107" s="775">
        <f t="shared" si="99"/>
        <v>0</v>
      </c>
    </row>
    <row r="108" spans="1:65">
      <c r="A108" s="11">
        <f t="shared" si="52"/>
        <v>1907</v>
      </c>
      <c r="B108" s="773">
        <v>96</v>
      </c>
      <c r="C108" s="774">
        <f t="shared" si="68"/>
        <v>2892</v>
      </c>
      <c r="D108" s="775">
        <f t="shared" si="69"/>
        <v>0</v>
      </c>
      <c r="E108" s="775">
        <f t="shared" si="60"/>
        <v>0</v>
      </c>
      <c r="F108" s="775">
        <f t="shared" si="50"/>
        <v>0</v>
      </c>
      <c r="G108" s="775">
        <f t="shared" si="70"/>
        <v>0</v>
      </c>
      <c r="H108" s="775">
        <f t="shared" si="71"/>
        <v>0</v>
      </c>
      <c r="I108" s="775">
        <f t="shared" si="51"/>
        <v>0</v>
      </c>
      <c r="K108" s="773">
        <v>96</v>
      </c>
      <c r="L108" s="774">
        <f t="shared" si="72"/>
        <v>2892</v>
      </c>
      <c r="M108" s="775">
        <f t="shared" si="73"/>
        <v>0</v>
      </c>
      <c r="N108" s="775">
        <f t="shared" si="61"/>
        <v>0</v>
      </c>
      <c r="O108" s="775">
        <f t="shared" si="53"/>
        <v>0</v>
      </c>
      <c r="P108" s="775">
        <f t="shared" si="74"/>
        <v>0</v>
      </c>
      <c r="Q108" s="775">
        <f t="shared" si="75"/>
        <v>0</v>
      </c>
      <c r="S108" s="773">
        <v>96</v>
      </c>
      <c r="T108" s="774">
        <f t="shared" si="76"/>
        <v>2892</v>
      </c>
      <c r="U108" s="775">
        <f t="shared" si="77"/>
        <v>0</v>
      </c>
      <c r="V108" s="775">
        <f t="shared" si="62"/>
        <v>0</v>
      </c>
      <c r="W108" s="775">
        <f t="shared" si="54"/>
        <v>0</v>
      </c>
      <c r="X108" s="775">
        <f t="shared" si="78"/>
        <v>0</v>
      </c>
      <c r="Y108" s="775">
        <f t="shared" si="79"/>
        <v>0</v>
      </c>
      <c r="AA108" s="773">
        <v>96</v>
      </c>
      <c r="AB108" s="774">
        <f t="shared" si="80"/>
        <v>2892</v>
      </c>
      <c r="AC108" s="775">
        <f t="shared" si="81"/>
        <v>0</v>
      </c>
      <c r="AD108" s="775">
        <f t="shared" si="63"/>
        <v>0</v>
      </c>
      <c r="AE108" s="775">
        <f t="shared" si="55"/>
        <v>0</v>
      </c>
      <c r="AF108" s="775">
        <f t="shared" si="82"/>
        <v>0</v>
      </c>
      <c r="AG108" s="775">
        <f t="shared" si="83"/>
        <v>0</v>
      </c>
      <c r="AI108" s="773">
        <v>96</v>
      </c>
      <c r="AJ108" s="774">
        <f t="shared" si="84"/>
        <v>2892</v>
      </c>
      <c r="AK108" s="775">
        <f t="shared" si="85"/>
        <v>0</v>
      </c>
      <c r="AL108" s="775">
        <f t="shared" si="64"/>
        <v>0</v>
      </c>
      <c r="AM108" s="775">
        <f t="shared" si="56"/>
        <v>0</v>
      </c>
      <c r="AN108" s="775">
        <f t="shared" si="86"/>
        <v>0</v>
      </c>
      <c r="AO108" s="775">
        <f t="shared" si="87"/>
        <v>0</v>
      </c>
      <c r="AQ108" s="773">
        <v>96</v>
      </c>
      <c r="AR108" s="774">
        <f t="shared" si="88"/>
        <v>2892</v>
      </c>
      <c r="AS108" s="775">
        <f t="shared" si="89"/>
        <v>0</v>
      </c>
      <c r="AT108" s="775">
        <f t="shared" si="65"/>
        <v>0</v>
      </c>
      <c r="AU108" s="775">
        <f t="shared" si="57"/>
        <v>0</v>
      </c>
      <c r="AV108" s="775">
        <f t="shared" si="90"/>
        <v>0</v>
      </c>
      <c r="AW108" s="775">
        <f t="shared" si="91"/>
        <v>0</v>
      </c>
      <c r="AY108" s="773">
        <v>96</v>
      </c>
      <c r="AZ108" s="774">
        <f t="shared" si="92"/>
        <v>2892</v>
      </c>
      <c r="BA108" s="775">
        <f t="shared" si="93"/>
        <v>0</v>
      </c>
      <c r="BB108" s="775">
        <f t="shared" si="66"/>
        <v>0</v>
      </c>
      <c r="BC108" s="775">
        <f t="shared" si="58"/>
        <v>0</v>
      </c>
      <c r="BD108" s="775">
        <f t="shared" si="94"/>
        <v>0</v>
      </c>
      <c r="BE108" s="775">
        <f t="shared" si="95"/>
        <v>0</v>
      </c>
      <c r="BG108" s="773">
        <v>96</v>
      </c>
      <c r="BH108" s="774">
        <f t="shared" si="96"/>
        <v>2892</v>
      </c>
      <c r="BI108" s="775">
        <f t="shared" si="97"/>
        <v>0</v>
      </c>
      <c r="BJ108" s="775">
        <f t="shared" si="67"/>
        <v>0</v>
      </c>
      <c r="BK108" s="775">
        <f t="shared" si="59"/>
        <v>0</v>
      </c>
      <c r="BL108" s="775">
        <f t="shared" si="98"/>
        <v>0</v>
      </c>
      <c r="BM108" s="775">
        <f t="shared" si="99"/>
        <v>0</v>
      </c>
    </row>
    <row r="109" spans="1:65">
      <c r="A109" s="11">
        <f t="shared" si="52"/>
        <v>1908</v>
      </c>
      <c r="B109" s="773">
        <v>97</v>
      </c>
      <c r="C109" s="774">
        <f t="shared" si="68"/>
        <v>2923</v>
      </c>
      <c r="D109" s="775">
        <f t="shared" si="69"/>
        <v>0</v>
      </c>
      <c r="E109" s="775">
        <f t="shared" si="60"/>
        <v>0</v>
      </c>
      <c r="F109" s="775">
        <f t="shared" si="50"/>
        <v>0</v>
      </c>
      <c r="G109" s="775">
        <f t="shared" si="70"/>
        <v>0</v>
      </c>
      <c r="H109" s="775">
        <f t="shared" si="71"/>
        <v>0</v>
      </c>
      <c r="I109" s="775">
        <f t="shared" si="51"/>
        <v>0</v>
      </c>
      <c r="K109" s="773">
        <v>97</v>
      </c>
      <c r="L109" s="774">
        <f t="shared" si="72"/>
        <v>2923</v>
      </c>
      <c r="M109" s="775">
        <f t="shared" si="73"/>
        <v>0</v>
      </c>
      <c r="N109" s="775">
        <f t="shared" si="61"/>
        <v>0</v>
      </c>
      <c r="O109" s="775">
        <f t="shared" si="53"/>
        <v>0</v>
      </c>
      <c r="P109" s="775">
        <f t="shared" si="74"/>
        <v>0</v>
      </c>
      <c r="Q109" s="775">
        <f t="shared" si="75"/>
        <v>0</v>
      </c>
      <c r="S109" s="773">
        <v>97</v>
      </c>
      <c r="T109" s="774">
        <f t="shared" si="76"/>
        <v>2923</v>
      </c>
      <c r="U109" s="775">
        <f t="shared" si="77"/>
        <v>0</v>
      </c>
      <c r="V109" s="775">
        <f t="shared" si="62"/>
        <v>0</v>
      </c>
      <c r="W109" s="775">
        <f t="shared" si="54"/>
        <v>0</v>
      </c>
      <c r="X109" s="775">
        <f t="shared" si="78"/>
        <v>0</v>
      </c>
      <c r="Y109" s="775">
        <f t="shared" si="79"/>
        <v>0</v>
      </c>
      <c r="AA109" s="773">
        <v>97</v>
      </c>
      <c r="AB109" s="774">
        <f t="shared" si="80"/>
        <v>2923</v>
      </c>
      <c r="AC109" s="775">
        <f t="shared" si="81"/>
        <v>0</v>
      </c>
      <c r="AD109" s="775">
        <f t="shared" si="63"/>
        <v>0</v>
      </c>
      <c r="AE109" s="775">
        <f t="shared" si="55"/>
        <v>0</v>
      </c>
      <c r="AF109" s="775">
        <f t="shared" si="82"/>
        <v>0</v>
      </c>
      <c r="AG109" s="775">
        <f t="shared" si="83"/>
        <v>0</v>
      </c>
      <c r="AI109" s="773">
        <v>97</v>
      </c>
      <c r="AJ109" s="774">
        <f t="shared" si="84"/>
        <v>2923</v>
      </c>
      <c r="AK109" s="775">
        <f t="shared" si="85"/>
        <v>0</v>
      </c>
      <c r="AL109" s="775">
        <f t="shared" si="64"/>
        <v>0</v>
      </c>
      <c r="AM109" s="775">
        <f t="shared" si="56"/>
        <v>0</v>
      </c>
      <c r="AN109" s="775">
        <f t="shared" si="86"/>
        <v>0</v>
      </c>
      <c r="AO109" s="775">
        <f t="shared" si="87"/>
        <v>0</v>
      </c>
      <c r="AQ109" s="773">
        <v>97</v>
      </c>
      <c r="AR109" s="774">
        <f t="shared" si="88"/>
        <v>2923</v>
      </c>
      <c r="AS109" s="775">
        <f t="shared" si="89"/>
        <v>0</v>
      </c>
      <c r="AT109" s="775">
        <f t="shared" si="65"/>
        <v>0</v>
      </c>
      <c r="AU109" s="775">
        <f t="shared" si="57"/>
        <v>0</v>
      </c>
      <c r="AV109" s="775">
        <f t="shared" si="90"/>
        <v>0</v>
      </c>
      <c r="AW109" s="775">
        <f t="shared" si="91"/>
        <v>0</v>
      </c>
      <c r="AY109" s="773">
        <v>97</v>
      </c>
      <c r="AZ109" s="774">
        <f t="shared" si="92"/>
        <v>2923</v>
      </c>
      <c r="BA109" s="775">
        <f t="shared" si="93"/>
        <v>0</v>
      </c>
      <c r="BB109" s="775">
        <f t="shared" si="66"/>
        <v>0</v>
      </c>
      <c r="BC109" s="775">
        <f t="shared" si="58"/>
        <v>0</v>
      </c>
      <c r="BD109" s="775">
        <f t="shared" si="94"/>
        <v>0</v>
      </c>
      <c r="BE109" s="775">
        <f t="shared" si="95"/>
        <v>0</v>
      </c>
      <c r="BG109" s="773">
        <v>97</v>
      </c>
      <c r="BH109" s="774">
        <f t="shared" si="96"/>
        <v>2923</v>
      </c>
      <c r="BI109" s="775">
        <f t="shared" si="97"/>
        <v>0</v>
      </c>
      <c r="BJ109" s="775">
        <f t="shared" si="67"/>
        <v>0</v>
      </c>
      <c r="BK109" s="775">
        <f t="shared" si="59"/>
        <v>0</v>
      </c>
      <c r="BL109" s="775">
        <f t="shared" si="98"/>
        <v>0</v>
      </c>
      <c r="BM109" s="775">
        <f t="shared" si="99"/>
        <v>0</v>
      </c>
    </row>
    <row r="110" spans="1:65">
      <c r="A110" s="11">
        <f t="shared" si="52"/>
        <v>1908</v>
      </c>
      <c r="B110" s="773">
        <v>98</v>
      </c>
      <c r="C110" s="774">
        <f t="shared" si="68"/>
        <v>2954</v>
      </c>
      <c r="D110" s="775">
        <f t="shared" si="69"/>
        <v>0</v>
      </c>
      <c r="E110" s="775">
        <f t="shared" si="60"/>
        <v>0</v>
      </c>
      <c r="F110" s="775">
        <f t="shared" si="50"/>
        <v>0</v>
      </c>
      <c r="G110" s="775">
        <f t="shared" si="70"/>
        <v>0</v>
      </c>
      <c r="H110" s="775">
        <f t="shared" si="71"/>
        <v>0</v>
      </c>
      <c r="I110" s="775">
        <f t="shared" si="51"/>
        <v>0</v>
      </c>
      <c r="K110" s="773">
        <v>98</v>
      </c>
      <c r="L110" s="774">
        <f t="shared" si="72"/>
        <v>2954</v>
      </c>
      <c r="M110" s="775">
        <f t="shared" si="73"/>
        <v>0</v>
      </c>
      <c r="N110" s="775">
        <f t="shared" si="61"/>
        <v>0</v>
      </c>
      <c r="O110" s="775">
        <f t="shared" si="53"/>
        <v>0</v>
      </c>
      <c r="P110" s="775">
        <f t="shared" si="74"/>
        <v>0</v>
      </c>
      <c r="Q110" s="775">
        <f t="shared" si="75"/>
        <v>0</v>
      </c>
      <c r="S110" s="773">
        <v>98</v>
      </c>
      <c r="T110" s="774">
        <f t="shared" si="76"/>
        <v>2954</v>
      </c>
      <c r="U110" s="775">
        <f t="shared" si="77"/>
        <v>0</v>
      </c>
      <c r="V110" s="775">
        <f t="shared" si="62"/>
        <v>0</v>
      </c>
      <c r="W110" s="775">
        <f t="shared" si="54"/>
        <v>0</v>
      </c>
      <c r="X110" s="775">
        <f t="shared" si="78"/>
        <v>0</v>
      </c>
      <c r="Y110" s="775">
        <f t="shared" si="79"/>
        <v>0</v>
      </c>
      <c r="AA110" s="773">
        <v>98</v>
      </c>
      <c r="AB110" s="774">
        <f t="shared" si="80"/>
        <v>2954</v>
      </c>
      <c r="AC110" s="775">
        <f t="shared" si="81"/>
        <v>0</v>
      </c>
      <c r="AD110" s="775">
        <f t="shared" si="63"/>
        <v>0</v>
      </c>
      <c r="AE110" s="775">
        <f t="shared" si="55"/>
        <v>0</v>
      </c>
      <c r="AF110" s="775">
        <f t="shared" si="82"/>
        <v>0</v>
      </c>
      <c r="AG110" s="775">
        <f t="shared" si="83"/>
        <v>0</v>
      </c>
      <c r="AI110" s="773">
        <v>98</v>
      </c>
      <c r="AJ110" s="774">
        <f t="shared" si="84"/>
        <v>2954</v>
      </c>
      <c r="AK110" s="775">
        <f t="shared" si="85"/>
        <v>0</v>
      </c>
      <c r="AL110" s="775">
        <f t="shared" si="64"/>
        <v>0</v>
      </c>
      <c r="AM110" s="775">
        <f t="shared" si="56"/>
        <v>0</v>
      </c>
      <c r="AN110" s="775">
        <f t="shared" si="86"/>
        <v>0</v>
      </c>
      <c r="AO110" s="775">
        <f t="shared" si="87"/>
        <v>0</v>
      </c>
      <c r="AQ110" s="773">
        <v>98</v>
      </c>
      <c r="AR110" s="774">
        <f t="shared" si="88"/>
        <v>2954</v>
      </c>
      <c r="AS110" s="775">
        <f t="shared" si="89"/>
        <v>0</v>
      </c>
      <c r="AT110" s="775">
        <f t="shared" si="65"/>
        <v>0</v>
      </c>
      <c r="AU110" s="775">
        <f t="shared" si="57"/>
        <v>0</v>
      </c>
      <c r="AV110" s="775">
        <f t="shared" si="90"/>
        <v>0</v>
      </c>
      <c r="AW110" s="775">
        <f t="shared" si="91"/>
        <v>0</v>
      </c>
      <c r="AY110" s="773">
        <v>98</v>
      </c>
      <c r="AZ110" s="774">
        <f t="shared" si="92"/>
        <v>2954</v>
      </c>
      <c r="BA110" s="775">
        <f t="shared" si="93"/>
        <v>0</v>
      </c>
      <c r="BB110" s="775">
        <f t="shared" si="66"/>
        <v>0</v>
      </c>
      <c r="BC110" s="775">
        <f t="shared" si="58"/>
        <v>0</v>
      </c>
      <c r="BD110" s="775">
        <f t="shared" si="94"/>
        <v>0</v>
      </c>
      <c r="BE110" s="775">
        <f t="shared" si="95"/>
        <v>0</v>
      </c>
      <c r="BG110" s="773">
        <v>98</v>
      </c>
      <c r="BH110" s="774">
        <f t="shared" si="96"/>
        <v>2954</v>
      </c>
      <c r="BI110" s="775">
        <f t="shared" si="97"/>
        <v>0</v>
      </c>
      <c r="BJ110" s="775">
        <f t="shared" si="67"/>
        <v>0</v>
      </c>
      <c r="BK110" s="775">
        <f t="shared" si="59"/>
        <v>0</v>
      </c>
      <c r="BL110" s="775">
        <f t="shared" si="98"/>
        <v>0</v>
      </c>
      <c r="BM110" s="775">
        <f t="shared" si="99"/>
        <v>0</v>
      </c>
    </row>
    <row r="111" spans="1:65">
      <c r="A111" s="11">
        <f t="shared" si="52"/>
        <v>1908</v>
      </c>
      <c r="B111" s="773">
        <v>99</v>
      </c>
      <c r="C111" s="774">
        <f t="shared" si="68"/>
        <v>2983</v>
      </c>
      <c r="D111" s="775">
        <f t="shared" si="69"/>
        <v>0</v>
      </c>
      <c r="E111" s="775">
        <f t="shared" si="60"/>
        <v>0</v>
      </c>
      <c r="F111" s="775">
        <f t="shared" si="50"/>
        <v>0</v>
      </c>
      <c r="G111" s="775">
        <f t="shared" si="70"/>
        <v>0</v>
      </c>
      <c r="H111" s="775">
        <f t="shared" si="71"/>
        <v>0</v>
      </c>
      <c r="I111" s="775">
        <f t="shared" si="51"/>
        <v>0</v>
      </c>
      <c r="K111" s="773">
        <v>99</v>
      </c>
      <c r="L111" s="774">
        <f t="shared" si="72"/>
        <v>2983</v>
      </c>
      <c r="M111" s="775">
        <f t="shared" si="73"/>
        <v>0</v>
      </c>
      <c r="N111" s="775">
        <f t="shared" si="61"/>
        <v>0</v>
      </c>
      <c r="O111" s="775">
        <f t="shared" si="53"/>
        <v>0</v>
      </c>
      <c r="P111" s="775">
        <f t="shared" si="74"/>
        <v>0</v>
      </c>
      <c r="Q111" s="775">
        <f t="shared" si="75"/>
        <v>0</v>
      </c>
      <c r="S111" s="773">
        <v>99</v>
      </c>
      <c r="T111" s="774">
        <f t="shared" si="76"/>
        <v>2983</v>
      </c>
      <c r="U111" s="775">
        <f t="shared" si="77"/>
        <v>0</v>
      </c>
      <c r="V111" s="775">
        <f t="shared" si="62"/>
        <v>0</v>
      </c>
      <c r="W111" s="775">
        <f t="shared" si="54"/>
        <v>0</v>
      </c>
      <c r="X111" s="775">
        <f t="shared" si="78"/>
        <v>0</v>
      </c>
      <c r="Y111" s="775">
        <f t="shared" si="79"/>
        <v>0</v>
      </c>
      <c r="AA111" s="773">
        <v>99</v>
      </c>
      <c r="AB111" s="774">
        <f t="shared" si="80"/>
        <v>2983</v>
      </c>
      <c r="AC111" s="775">
        <f t="shared" si="81"/>
        <v>0</v>
      </c>
      <c r="AD111" s="775">
        <f t="shared" si="63"/>
        <v>0</v>
      </c>
      <c r="AE111" s="775">
        <f t="shared" si="55"/>
        <v>0</v>
      </c>
      <c r="AF111" s="775">
        <f t="shared" si="82"/>
        <v>0</v>
      </c>
      <c r="AG111" s="775">
        <f t="shared" si="83"/>
        <v>0</v>
      </c>
      <c r="AI111" s="773">
        <v>99</v>
      </c>
      <c r="AJ111" s="774">
        <f t="shared" si="84"/>
        <v>2983</v>
      </c>
      <c r="AK111" s="775">
        <f t="shared" si="85"/>
        <v>0</v>
      </c>
      <c r="AL111" s="775">
        <f t="shared" si="64"/>
        <v>0</v>
      </c>
      <c r="AM111" s="775">
        <f t="shared" si="56"/>
        <v>0</v>
      </c>
      <c r="AN111" s="775">
        <f t="shared" si="86"/>
        <v>0</v>
      </c>
      <c r="AO111" s="775">
        <f t="shared" si="87"/>
        <v>0</v>
      </c>
      <c r="AQ111" s="773">
        <v>99</v>
      </c>
      <c r="AR111" s="774">
        <f t="shared" si="88"/>
        <v>2983</v>
      </c>
      <c r="AS111" s="775">
        <f t="shared" si="89"/>
        <v>0</v>
      </c>
      <c r="AT111" s="775">
        <f t="shared" si="65"/>
        <v>0</v>
      </c>
      <c r="AU111" s="775">
        <f t="shared" si="57"/>
        <v>0</v>
      </c>
      <c r="AV111" s="775">
        <f t="shared" si="90"/>
        <v>0</v>
      </c>
      <c r="AW111" s="775">
        <f t="shared" si="91"/>
        <v>0</v>
      </c>
      <c r="AY111" s="773">
        <v>99</v>
      </c>
      <c r="AZ111" s="774">
        <f t="shared" si="92"/>
        <v>2983</v>
      </c>
      <c r="BA111" s="775">
        <f t="shared" si="93"/>
        <v>0</v>
      </c>
      <c r="BB111" s="775">
        <f t="shared" si="66"/>
        <v>0</v>
      </c>
      <c r="BC111" s="775">
        <f t="shared" si="58"/>
        <v>0</v>
      </c>
      <c r="BD111" s="775">
        <f t="shared" si="94"/>
        <v>0</v>
      </c>
      <c r="BE111" s="775">
        <f t="shared" si="95"/>
        <v>0</v>
      </c>
      <c r="BG111" s="773">
        <v>99</v>
      </c>
      <c r="BH111" s="774">
        <f t="shared" si="96"/>
        <v>2983</v>
      </c>
      <c r="BI111" s="775">
        <f t="shared" si="97"/>
        <v>0</v>
      </c>
      <c r="BJ111" s="775">
        <f t="shared" si="67"/>
        <v>0</v>
      </c>
      <c r="BK111" s="775">
        <f t="shared" si="59"/>
        <v>0</v>
      </c>
      <c r="BL111" s="775">
        <f t="shared" si="98"/>
        <v>0</v>
      </c>
      <c r="BM111" s="775">
        <f t="shared" si="99"/>
        <v>0</v>
      </c>
    </row>
    <row r="112" spans="1:65">
      <c r="A112" s="11">
        <f t="shared" si="52"/>
        <v>1908</v>
      </c>
      <c r="B112" s="773">
        <v>100</v>
      </c>
      <c r="C112" s="774">
        <f t="shared" si="68"/>
        <v>3014</v>
      </c>
      <c r="D112" s="775">
        <f t="shared" si="69"/>
        <v>0</v>
      </c>
      <c r="E112" s="775">
        <f t="shared" si="60"/>
        <v>0</v>
      </c>
      <c r="F112" s="775">
        <f t="shared" si="50"/>
        <v>0</v>
      </c>
      <c r="G112" s="775">
        <f t="shared" si="70"/>
        <v>0</v>
      </c>
      <c r="H112" s="775">
        <f t="shared" si="71"/>
        <v>0</v>
      </c>
      <c r="I112" s="775">
        <f t="shared" si="51"/>
        <v>0</v>
      </c>
      <c r="K112" s="773">
        <v>100</v>
      </c>
      <c r="L112" s="774">
        <f t="shared" si="72"/>
        <v>3014</v>
      </c>
      <c r="M112" s="775">
        <f t="shared" si="73"/>
        <v>0</v>
      </c>
      <c r="N112" s="775">
        <f t="shared" si="61"/>
        <v>0</v>
      </c>
      <c r="O112" s="775">
        <f t="shared" si="53"/>
        <v>0</v>
      </c>
      <c r="P112" s="775">
        <f t="shared" si="74"/>
        <v>0</v>
      </c>
      <c r="Q112" s="775">
        <f t="shared" si="75"/>
        <v>0</v>
      </c>
      <c r="S112" s="773">
        <v>100</v>
      </c>
      <c r="T112" s="774">
        <f t="shared" si="76"/>
        <v>3014</v>
      </c>
      <c r="U112" s="775">
        <f t="shared" si="77"/>
        <v>0</v>
      </c>
      <c r="V112" s="775">
        <f t="shared" si="62"/>
        <v>0</v>
      </c>
      <c r="W112" s="775">
        <f t="shared" si="54"/>
        <v>0</v>
      </c>
      <c r="X112" s="775">
        <f t="shared" si="78"/>
        <v>0</v>
      </c>
      <c r="Y112" s="775">
        <f t="shared" si="79"/>
        <v>0</v>
      </c>
      <c r="AA112" s="773">
        <v>100</v>
      </c>
      <c r="AB112" s="774">
        <f t="shared" si="80"/>
        <v>3014</v>
      </c>
      <c r="AC112" s="775">
        <f t="shared" si="81"/>
        <v>0</v>
      </c>
      <c r="AD112" s="775">
        <f t="shared" si="63"/>
        <v>0</v>
      </c>
      <c r="AE112" s="775">
        <f t="shared" si="55"/>
        <v>0</v>
      </c>
      <c r="AF112" s="775">
        <f t="shared" si="82"/>
        <v>0</v>
      </c>
      <c r="AG112" s="775">
        <f t="shared" si="83"/>
        <v>0</v>
      </c>
      <c r="AI112" s="773">
        <v>100</v>
      </c>
      <c r="AJ112" s="774">
        <f t="shared" si="84"/>
        <v>3014</v>
      </c>
      <c r="AK112" s="775">
        <f t="shared" si="85"/>
        <v>0</v>
      </c>
      <c r="AL112" s="775">
        <f t="shared" si="64"/>
        <v>0</v>
      </c>
      <c r="AM112" s="775">
        <f t="shared" si="56"/>
        <v>0</v>
      </c>
      <c r="AN112" s="775">
        <f t="shared" si="86"/>
        <v>0</v>
      </c>
      <c r="AO112" s="775">
        <f t="shared" si="87"/>
        <v>0</v>
      </c>
      <c r="AQ112" s="773">
        <v>100</v>
      </c>
      <c r="AR112" s="774">
        <f t="shared" si="88"/>
        <v>3014</v>
      </c>
      <c r="AS112" s="775">
        <f t="shared" si="89"/>
        <v>0</v>
      </c>
      <c r="AT112" s="775">
        <f t="shared" si="65"/>
        <v>0</v>
      </c>
      <c r="AU112" s="775">
        <f t="shared" si="57"/>
        <v>0</v>
      </c>
      <c r="AV112" s="775">
        <f t="shared" si="90"/>
        <v>0</v>
      </c>
      <c r="AW112" s="775">
        <f t="shared" si="91"/>
        <v>0</v>
      </c>
      <c r="AY112" s="773">
        <v>100</v>
      </c>
      <c r="AZ112" s="774">
        <f t="shared" si="92"/>
        <v>3014</v>
      </c>
      <c r="BA112" s="775">
        <f t="shared" si="93"/>
        <v>0</v>
      </c>
      <c r="BB112" s="775">
        <f t="shared" si="66"/>
        <v>0</v>
      </c>
      <c r="BC112" s="775">
        <f t="shared" si="58"/>
        <v>0</v>
      </c>
      <c r="BD112" s="775">
        <f t="shared" si="94"/>
        <v>0</v>
      </c>
      <c r="BE112" s="775">
        <f t="shared" si="95"/>
        <v>0</v>
      </c>
      <c r="BG112" s="773">
        <v>100</v>
      </c>
      <c r="BH112" s="774">
        <f t="shared" si="96"/>
        <v>3014</v>
      </c>
      <c r="BI112" s="775">
        <f t="shared" si="97"/>
        <v>0</v>
      </c>
      <c r="BJ112" s="775">
        <f t="shared" si="67"/>
        <v>0</v>
      </c>
      <c r="BK112" s="775">
        <f t="shared" si="59"/>
        <v>0</v>
      </c>
      <c r="BL112" s="775">
        <f t="shared" si="98"/>
        <v>0</v>
      </c>
      <c r="BM112" s="775">
        <f t="shared" si="99"/>
        <v>0</v>
      </c>
    </row>
    <row r="113" spans="1:65">
      <c r="A113" s="11">
        <f t="shared" si="52"/>
        <v>1908</v>
      </c>
      <c r="B113" s="773">
        <v>101</v>
      </c>
      <c r="C113" s="774">
        <f t="shared" si="68"/>
        <v>3044</v>
      </c>
      <c r="D113" s="775">
        <f t="shared" si="69"/>
        <v>0</v>
      </c>
      <c r="E113" s="775">
        <f t="shared" si="60"/>
        <v>0</v>
      </c>
      <c r="F113" s="775">
        <f t="shared" si="50"/>
        <v>0</v>
      </c>
      <c r="G113" s="775">
        <f t="shared" si="70"/>
        <v>0</v>
      </c>
      <c r="H113" s="775">
        <f t="shared" si="71"/>
        <v>0</v>
      </c>
      <c r="I113" s="775">
        <f t="shared" si="51"/>
        <v>0</v>
      </c>
      <c r="K113" s="773">
        <v>101</v>
      </c>
      <c r="L113" s="774">
        <f t="shared" si="72"/>
        <v>3044</v>
      </c>
      <c r="M113" s="775">
        <f t="shared" si="73"/>
        <v>0</v>
      </c>
      <c r="N113" s="775">
        <f t="shared" si="61"/>
        <v>0</v>
      </c>
      <c r="O113" s="775">
        <f t="shared" si="53"/>
        <v>0</v>
      </c>
      <c r="P113" s="775">
        <f t="shared" si="74"/>
        <v>0</v>
      </c>
      <c r="Q113" s="775">
        <f t="shared" si="75"/>
        <v>0</v>
      </c>
      <c r="S113" s="773">
        <v>101</v>
      </c>
      <c r="T113" s="774">
        <f t="shared" si="76"/>
        <v>3044</v>
      </c>
      <c r="U113" s="775">
        <f t="shared" si="77"/>
        <v>0</v>
      </c>
      <c r="V113" s="775">
        <f t="shared" si="62"/>
        <v>0</v>
      </c>
      <c r="W113" s="775">
        <f t="shared" si="54"/>
        <v>0</v>
      </c>
      <c r="X113" s="775">
        <f t="shared" si="78"/>
        <v>0</v>
      </c>
      <c r="Y113" s="775">
        <f t="shared" si="79"/>
        <v>0</v>
      </c>
      <c r="AA113" s="773">
        <v>101</v>
      </c>
      <c r="AB113" s="774">
        <f t="shared" si="80"/>
        <v>3044</v>
      </c>
      <c r="AC113" s="775">
        <f t="shared" si="81"/>
        <v>0</v>
      </c>
      <c r="AD113" s="775">
        <f t="shared" si="63"/>
        <v>0</v>
      </c>
      <c r="AE113" s="775">
        <f t="shared" si="55"/>
        <v>0</v>
      </c>
      <c r="AF113" s="775">
        <f t="shared" si="82"/>
        <v>0</v>
      </c>
      <c r="AG113" s="775">
        <f t="shared" si="83"/>
        <v>0</v>
      </c>
      <c r="AI113" s="773">
        <v>101</v>
      </c>
      <c r="AJ113" s="774">
        <f t="shared" si="84"/>
        <v>3044</v>
      </c>
      <c r="AK113" s="775">
        <f t="shared" si="85"/>
        <v>0</v>
      </c>
      <c r="AL113" s="775">
        <f t="shared" si="64"/>
        <v>0</v>
      </c>
      <c r="AM113" s="775">
        <f t="shared" si="56"/>
        <v>0</v>
      </c>
      <c r="AN113" s="775">
        <f t="shared" si="86"/>
        <v>0</v>
      </c>
      <c r="AO113" s="775">
        <f t="shared" si="87"/>
        <v>0</v>
      </c>
      <c r="AQ113" s="773">
        <v>101</v>
      </c>
      <c r="AR113" s="774">
        <f t="shared" si="88"/>
        <v>3044</v>
      </c>
      <c r="AS113" s="775">
        <f t="shared" si="89"/>
        <v>0</v>
      </c>
      <c r="AT113" s="775">
        <f t="shared" si="65"/>
        <v>0</v>
      </c>
      <c r="AU113" s="775">
        <f t="shared" si="57"/>
        <v>0</v>
      </c>
      <c r="AV113" s="775">
        <f t="shared" si="90"/>
        <v>0</v>
      </c>
      <c r="AW113" s="775">
        <f t="shared" si="91"/>
        <v>0</v>
      </c>
      <c r="AY113" s="773">
        <v>101</v>
      </c>
      <c r="AZ113" s="774">
        <f t="shared" si="92"/>
        <v>3044</v>
      </c>
      <c r="BA113" s="775">
        <f t="shared" si="93"/>
        <v>0</v>
      </c>
      <c r="BB113" s="775">
        <f t="shared" si="66"/>
        <v>0</v>
      </c>
      <c r="BC113" s="775">
        <f t="shared" si="58"/>
        <v>0</v>
      </c>
      <c r="BD113" s="775">
        <f t="shared" si="94"/>
        <v>0</v>
      </c>
      <c r="BE113" s="775">
        <f t="shared" si="95"/>
        <v>0</v>
      </c>
      <c r="BG113" s="773">
        <v>101</v>
      </c>
      <c r="BH113" s="774">
        <f t="shared" si="96"/>
        <v>3044</v>
      </c>
      <c r="BI113" s="775">
        <f t="shared" si="97"/>
        <v>0</v>
      </c>
      <c r="BJ113" s="775">
        <f t="shared" si="67"/>
        <v>0</v>
      </c>
      <c r="BK113" s="775">
        <f t="shared" si="59"/>
        <v>0</v>
      </c>
      <c r="BL113" s="775">
        <f t="shared" si="98"/>
        <v>0</v>
      </c>
      <c r="BM113" s="775">
        <f t="shared" si="99"/>
        <v>0</v>
      </c>
    </row>
    <row r="114" spans="1:65">
      <c r="A114" s="11">
        <f t="shared" si="52"/>
        <v>1908</v>
      </c>
      <c r="B114" s="773">
        <v>102</v>
      </c>
      <c r="C114" s="774">
        <f t="shared" si="68"/>
        <v>3075</v>
      </c>
      <c r="D114" s="775">
        <f t="shared" si="69"/>
        <v>0</v>
      </c>
      <c r="E114" s="775">
        <f t="shared" si="60"/>
        <v>0</v>
      </c>
      <c r="F114" s="775">
        <f t="shared" si="50"/>
        <v>0</v>
      </c>
      <c r="G114" s="775">
        <f t="shared" si="70"/>
        <v>0</v>
      </c>
      <c r="H114" s="775">
        <f t="shared" si="71"/>
        <v>0</v>
      </c>
      <c r="I114" s="775">
        <f t="shared" si="51"/>
        <v>0</v>
      </c>
      <c r="K114" s="773">
        <v>102</v>
      </c>
      <c r="L114" s="774">
        <f t="shared" si="72"/>
        <v>3075</v>
      </c>
      <c r="M114" s="775">
        <f t="shared" si="73"/>
        <v>0</v>
      </c>
      <c r="N114" s="775">
        <f t="shared" si="61"/>
        <v>0</v>
      </c>
      <c r="O114" s="775">
        <f t="shared" si="53"/>
        <v>0</v>
      </c>
      <c r="P114" s="775">
        <f t="shared" si="74"/>
        <v>0</v>
      </c>
      <c r="Q114" s="775">
        <f t="shared" si="75"/>
        <v>0</v>
      </c>
      <c r="S114" s="773">
        <v>102</v>
      </c>
      <c r="T114" s="774">
        <f t="shared" si="76"/>
        <v>3075</v>
      </c>
      <c r="U114" s="775">
        <f t="shared" si="77"/>
        <v>0</v>
      </c>
      <c r="V114" s="775">
        <f t="shared" si="62"/>
        <v>0</v>
      </c>
      <c r="W114" s="775">
        <f t="shared" si="54"/>
        <v>0</v>
      </c>
      <c r="X114" s="775">
        <f t="shared" si="78"/>
        <v>0</v>
      </c>
      <c r="Y114" s="775">
        <f t="shared" si="79"/>
        <v>0</v>
      </c>
      <c r="AA114" s="773">
        <v>102</v>
      </c>
      <c r="AB114" s="774">
        <f t="shared" si="80"/>
        <v>3075</v>
      </c>
      <c r="AC114" s="775">
        <f t="shared" si="81"/>
        <v>0</v>
      </c>
      <c r="AD114" s="775">
        <f t="shared" si="63"/>
        <v>0</v>
      </c>
      <c r="AE114" s="775">
        <f t="shared" si="55"/>
        <v>0</v>
      </c>
      <c r="AF114" s="775">
        <f t="shared" si="82"/>
        <v>0</v>
      </c>
      <c r="AG114" s="775">
        <f t="shared" si="83"/>
        <v>0</v>
      </c>
      <c r="AI114" s="773">
        <v>102</v>
      </c>
      <c r="AJ114" s="774">
        <f t="shared" si="84"/>
        <v>3075</v>
      </c>
      <c r="AK114" s="775">
        <f t="shared" si="85"/>
        <v>0</v>
      </c>
      <c r="AL114" s="775">
        <f t="shared" si="64"/>
        <v>0</v>
      </c>
      <c r="AM114" s="775">
        <f t="shared" si="56"/>
        <v>0</v>
      </c>
      <c r="AN114" s="775">
        <f t="shared" si="86"/>
        <v>0</v>
      </c>
      <c r="AO114" s="775">
        <f t="shared" si="87"/>
        <v>0</v>
      </c>
      <c r="AQ114" s="773">
        <v>102</v>
      </c>
      <c r="AR114" s="774">
        <f t="shared" si="88"/>
        <v>3075</v>
      </c>
      <c r="AS114" s="775">
        <f t="shared" si="89"/>
        <v>0</v>
      </c>
      <c r="AT114" s="775">
        <f t="shared" si="65"/>
        <v>0</v>
      </c>
      <c r="AU114" s="775">
        <f t="shared" si="57"/>
        <v>0</v>
      </c>
      <c r="AV114" s="775">
        <f t="shared" si="90"/>
        <v>0</v>
      </c>
      <c r="AW114" s="775">
        <f t="shared" si="91"/>
        <v>0</v>
      </c>
      <c r="AY114" s="773">
        <v>102</v>
      </c>
      <c r="AZ114" s="774">
        <f t="shared" si="92"/>
        <v>3075</v>
      </c>
      <c r="BA114" s="775">
        <f t="shared" si="93"/>
        <v>0</v>
      </c>
      <c r="BB114" s="775">
        <f t="shared" si="66"/>
        <v>0</v>
      </c>
      <c r="BC114" s="775">
        <f t="shared" si="58"/>
        <v>0</v>
      </c>
      <c r="BD114" s="775">
        <f t="shared" si="94"/>
        <v>0</v>
      </c>
      <c r="BE114" s="775">
        <f t="shared" si="95"/>
        <v>0</v>
      </c>
      <c r="BG114" s="773">
        <v>102</v>
      </c>
      <c r="BH114" s="774">
        <f t="shared" si="96"/>
        <v>3075</v>
      </c>
      <c r="BI114" s="775">
        <f t="shared" si="97"/>
        <v>0</v>
      </c>
      <c r="BJ114" s="775">
        <f t="shared" si="67"/>
        <v>0</v>
      </c>
      <c r="BK114" s="775">
        <f t="shared" si="59"/>
        <v>0</v>
      </c>
      <c r="BL114" s="775">
        <f t="shared" si="98"/>
        <v>0</v>
      </c>
      <c r="BM114" s="775">
        <f t="shared" si="99"/>
        <v>0</v>
      </c>
    </row>
    <row r="115" spans="1:65">
      <c r="A115" s="11">
        <f t="shared" si="52"/>
        <v>1908</v>
      </c>
      <c r="B115" s="773">
        <v>103</v>
      </c>
      <c r="C115" s="774">
        <f t="shared" si="68"/>
        <v>3105</v>
      </c>
      <c r="D115" s="775">
        <f t="shared" si="69"/>
        <v>0</v>
      </c>
      <c r="E115" s="775">
        <f t="shared" si="60"/>
        <v>0</v>
      </c>
      <c r="F115" s="775">
        <f t="shared" si="50"/>
        <v>0</v>
      </c>
      <c r="G115" s="775">
        <f t="shared" si="70"/>
        <v>0</v>
      </c>
      <c r="H115" s="775">
        <f t="shared" si="71"/>
        <v>0</v>
      </c>
      <c r="I115" s="775">
        <f t="shared" si="51"/>
        <v>0</v>
      </c>
      <c r="K115" s="773">
        <v>103</v>
      </c>
      <c r="L115" s="774">
        <f t="shared" si="72"/>
        <v>3105</v>
      </c>
      <c r="M115" s="775">
        <f t="shared" si="73"/>
        <v>0</v>
      </c>
      <c r="N115" s="775">
        <f t="shared" si="61"/>
        <v>0</v>
      </c>
      <c r="O115" s="775">
        <f t="shared" si="53"/>
        <v>0</v>
      </c>
      <c r="P115" s="775">
        <f t="shared" si="74"/>
        <v>0</v>
      </c>
      <c r="Q115" s="775">
        <f t="shared" si="75"/>
        <v>0</v>
      </c>
      <c r="S115" s="773">
        <v>103</v>
      </c>
      <c r="T115" s="774">
        <f t="shared" si="76"/>
        <v>3105</v>
      </c>
      <c r="U115" s="775">
        <f t="shared" si="77"/>
        <v>0</v>
      </c>
      <c r="V115" s="775">
        <f t="shared" si="62"/>
        <v>0</v>
      </c>
      <c r="W115" s="775">
        <f t="shared" si="54"/>
        <v>0</v>
      </c>
      <c r="X115" s="775">
        <f t="shared" si="78"/>
        <v>0</v>
      </c>
      <c r="Y115" s="775">
        <f t="shared" si="79"/>
        <v>0</v>
      </c>
      <c r="AA115" s="773">
        <v>103</v>
      </c>
      <c r="AB115" s="774">
        <f t="shared" si="80"/>
        <v>3105</v>
      </c>
      <c r="AC115" s="775">
        <f t="shared" si="81"/>
        <v>0</v>
      </c>
      <c r="AD115" s="775">
        <f t="shared" si="63"/>
        <v>0</v>
      </c>
      <c r="AE115" s="775">
        <f t="shared" si="55"/>
        <v>0</v>
      </c>
      <c r="AF115" s="775">
        <f t="shared" si="82"/>
        <v>0</v>
      </c>
      <c r="AG115" s="775">
        <f t="shared" si="83"/>
        <v>0</v>
      </c>
      <c r="AI115" s="773">
        <v>103</v>
      </c>
      <c r="AJ115" s="774">
        <f t="shared" si="84"/>
        <v>3105</v>
      </c>
      <c r="AK115" s="775">
        <f t="shared" si="85"/>
        <v>0</v>
      </c>
      <c r="AL115" s="775">
        <f t="shared" si="64"/>
        <v>0</v>
      </c>
      <c r="AM115" s="775">
        <f t="shared" si="56"/>
        <v>0</v>
      </c>
      <c r="AN115" s="775">
        <f t="shared" si="86"/>
        <v>0</v>
      </c>
      <c r="AO115" s="775">
        <f t="shared" si="87"/>
        <v>0</v>
      </c>
      <c r="AQ115" s="773">
        <v>103</v>
      </c>
      <c r="AR115" s="774">
        <f t="shared" si="88"/>
        <v>3105</v>
      </c>
      <c r="AS115" s="775">
        <f t="shared" si="89"/>
        <v>0</v>
      </c>
      <c r="AT115" s="775">
        <f t="shared" si="65"/>
        <v>0</v>
      </c>
      <c r="AU115" s="775">
        <f t="shared" si="57"/>
        <v>0</v>
      </c>
      <c r="AV115" s="775">
        <f t="shared" si="90"/>
        <v>0</v>
      </c>
      <c r="AW115" s="775">
        <f t="shared" si="91"/>
        <v>0</v>
      </c>
      <c r="AY115" s="773">
        <v>103</v>
      </c>
      <c r="AZ115" s="774">
        <f t="shared" si="92"/>
        <v>3105</v>
      </c>
      <c r="BA115" s="775">
        <f t="shared" si="93"/>
        <v>0</v>
      </c>
      <c r="BB115" s="775">
        <f t="shared" si="66"/>
        <v>0</v>
      </c>
      <c r="BC115" s="775">
        <f t="shared" si="58"/>
        <v>0</v>
      </c>
      <c r="BD115" s="775">
        <f t="shared" si="94"/>
        <v>0</v>
      </c>
      <c r="BE115" s="775">
        <f t="shared" si="95"/>
        <v>0</v>
      </c>
      <c r="BG115" s="773">
        <v>103</v>
      </c>
      <c r="BH115" s="774">
        <f t="shared" si="96"/>
        <v>3105</v>
      </c>
      <c r="BI115" s="775">
        <f t="shared" si="97"/>
        <v>0</v>
      </c>
      <c r="BJ115" s="775">
        <f t="shared" si="67"/>
        <v>0</v>
      </c>
      <c r="BK115" s="775">
        <f t="shared" si="59"/>
        <v>0</v>
      </c>
      <c r="BL115" s="775">
        <f t="shared" si="98"/>
        <v>0</v>
      </c>
      <c r="BM115" s="775">
        <f t="shared" si="99"/>
        <v>0</v>
      </c>
    </row>
    <row r="116" spans="1:65">
      <c r="A116" s="11">
        <f t="shared" si="52"/>
        <v>1908</v>
      </c>
      <c r="B116" s="773">
        <v>104</v>
      </c>
      <c r="C116" s="774">
        <f t="shared" si="68"/>
        <v>3136</v>
      </c>
      <c r="D116" s="775">
        <f t="shared" si="69"/>
        <v>0</v>
      </c>
      <c r="E116" s="775">
        <f t="shared" si="60"/>
        <v>0</v>
      </c>
      <c r="F116" s="775">
        <f t="shared" si="50"/>
        <v>0</v>
      </c>
      <c r="G116" s="775">
        <f t="shared" si="70"/>
        <v>0</v>
      </c>
      <c r="H116" s="775">
        <f t="shared" si="71"/>
        <v>0</v>
      </c>
      <c r="I116" s="775">
        <f t="shared" si="51"/>
        <v>0</v>
      </c>
      <c r="K116" s="773">
        <v>104</v>
      </c>
      <c r="L116" s="774">
        <f t="shared" si="72"/>
        <v>3136</v>
      </c>
      <c r="M116" s="775">
        <f t="shared" si="73"/>
        <v>0</v>
      </c>
      <c r="N116" s="775">
        <f t="shared" si="61"/>
        <v>0</v>
      </c>
      <c r="O116" s="775">
        <f t="shared" si="53"/>
        <v>0</v>
      </c>
      <c r="P116" s="775">
        <f t="shared" si="74"/>
        <v>0</v>
      </c>
      <c r="Q116" s="775">
        <f t="shared" si="75"/>
        <v>0</v>
      </c>
      <c r="S116" s="773">
        <v>104</v>
      </c>
      <c r="T116" s="774">
        <f t="shared" si="76"/>
        <v>3136</v>
      </c>
      <c r="U116" s="775">
        <f t="shared" si="77"/>
        <v>0</v>
      </c>
      <c r="V116" s="775">
        <f t="shared" si="62"/>
        <v>0</v>
      </c>
      <c r="W116" s="775">
        <f t="shared" si="54"/>
        <v>0</v>
      </c>
      <c r="X116" s="775">
        <f t="shared" si="78"/>
        <v>0</v>
      </c>
      <c r="Y116" s="775">
        <f t="shared" si="79"/>
        <v>0</v>
      </c>
      <c r="AA116" s="773">
        <v>104</v>
      </c>
      <c r="AB116" s="774">
        <f t="shared" si="80"/>
        <v>3136</v>
      </c>
      <c r="AC116" s="775">
        <f t="shared" si="81"/>
        <v>0</v>
      </c>
      <c r="AD116" s="775">
        <f t="shared" si="63"/>
        <v>0</v>
      </c>
      <c r="AE116" s="775">
        <f t="shared" si="55"/>
        <v>0</v>
      </c>
      <c r="AF116" s="775">
        <f t="shared" si="82"/>
        <v>0</v>
      </c>
      <c r="AG116" s="775">
        <f t="shared" si="83"/>
        <v>0</v>
      </c>
      <c r="AI116" s="773">
        <v>104</v>
      </c>
      <c r="AJ116" s="774">
        <f t="shared" si="84"/>
        <v>3136</v>
      </c>
      <c r="AK116" s="775">
        <f t="shared" si="85"/>
        <v>0</v>
      </c>
      <c r="AL116" s="775">
        <f t="shared" si="64"/>
        <v>0</v>
      </c>
      <c r="AM116" s="775">
        <f t="shared" si="56"/>
        <v>0</v>
      </c>
      <c r="AN116" s="775">
        <f t="shared" si="86"/>
        <v>0</v>
      </c>
      <c r="AO116" s="775">
        <f t="shared" si="87"/>
        <v>0</v>
      </c>
      <c r="AQ116" s="773">
        <v>104</v>
      </c>
      <c r="AR116" s="774">
        <f t="shared" si="88"/>
        <v>3136</v>
      </c>
      <c r="AS116" s="775">
        <f t="shared" si="89"/>
        <v>0</v>
      </c>
      <c r="AT116" s="775">
        <f t="shared" si="65"/>
        <v>0</v>
      </c>
      <c r="AU116" s="775">
        <f t="shared" si="57"/>
        <v>0</v>
      </c>
      <c r="AV116" s="775">
        <f t="shared" si="90"/>
        <v>0</v>
      </c>
      <c r="AW116" s="775">
        <f t="shared" si="91"/>
        <v>0</v>
      </c>
      <c r="AY116" s="773">
        <v>104</v>
      </c>
      <c r="AZ116" s="774">
        <f t="shared" si="92"/>
        <v>3136</v>
      </c>
      <c r="BA116" s="775">
        <f t="shared" si="93"/>
        <v>0</v>
      </c>
      <c r="BB116" s="775">
        <f t="shared" si="66"/>
        <v>0</v>
      </c>
      <c r="BC116" s="775">
        <f t="shared" si="58"/>
        <v>0</v>
      </c>
      <c r="BD116" s="775">
        <f t="shared" si="94"/>
        <v>0</v>
      </c>
      <c r="BE116" s="775">
        <f t="shared" si="95"/>
        <v>0</v>
      </c>
      <c r="BG116" s="773">
        <v>104</v>
      </c>
      <c r="BH116" s="774">
        <f t="shared" si="96"/>
        <v>3136</v>
      </c>
      <c r="BI116" s="775">
        <f t="shared" si="97"/>
        <v>0</v>
      </c>
      <c r="BJ116" s="775">
        <f t="shared" si="67"/>
        <v>0</v>
      </c>
      <c r="BK116" s="775">
        <f t="shared" si="59"/>
        <v>0</v>
      </c>
      <c r="BL116" s="775">
        <f t="shared" si="98"/>
        <v>0</v>
      </c>
      <c r="BM116" s="775">
        <f t="shared" si="99"/>
        <v>0</v>
      </c>
    </row>
    <row r="117" spans="1:65">
      <c r="A117" s="11">
        <f t="shared" si="52"/>
        <v>1908</v>
      </c>
      <c r="B117" s="773">
        <v>105</v>
      </c>
      <c r="C117" s="774">
        <f t="shared" si="68"/>
        <v>3167</v>
      </c>
      <c r="D117" s="775">
        <f t="shared" si="69"/>
        <v>0</v>
      </c>
      <c r="E117" s="775">
        <f t="shared" si="60"/>
        <v>0</v>
      </c>
      <c r="F117" s="775">
        <f t="shared" si="50"/>
        <v>0</v>
      </c>
      <c r="G117" s="775">
        <f t="shared" si="70"/>
        <v>0</v>
      </c>
      <c r="H117" s="775">
        <f t="shared" si="71"/>
        <v>0</v>
      </c>
      <c r="I117" s="775">
        <f t="shared" si="51"/>
        <v>0</v>
      </c>
      <c r="K117" s="773">
        <v>105</v>
      </c>
      <c r="L117" s="774">
        <f t="shared" si="72"/>
        <v>3167</v>
      </c>
      <c r="M117" s="775">
        <f t="shared" si="73"/>
        <v>0</v>
      </c>
      <c r="N117" s="775">
        <f t="shared" si="61"/>
        <v>0</v>
      </c>
      <c r="O117" s="775">
        <f t="shared" si="53"/>
        <v>0</v>
      </c>
      <c r="P117" s="775">
        <f t="shared" si="74"/>
        <v>0</v>
      </c>
      <c r="Q117" s="775">
        <f t="shared" si="75"/>
        <v>0</v>
      </c>
      <c r="S117" s="773">
        <v>105</v>
      </c>
      <c r="T117" s="774">
        <f t="shared" si="76"/>
        <v>3167</v>
      </c>
      <c r="U117" s="775">
        <f t="shared" si="77"/>
        <v>0</v>
      </c>
      <c r="V117" s="775">
        <f t="shared" si="62"/>
        <v>0</v>
      </c>
      <c r="W117" s="775">
        <f t="shared" si="54"/>
        <v>0</v>
      </c>
      <c r="X117" s="775">
        <f t="shared" si="78"/>
        <v>0</v>
      </c>
      <c r="Y117" s="775">
        <f t="shared" si="79"/>
        <v>0</v>
      </c>
      <c r="AA117" s="773">
        <v>105</v>
      </c>
      <c r="AB117" s="774">
        <f t="shared" si="80"/>
        <v>3167</v>
      </c>
      <c r="AC117" s="775">
        <f t="shared" si="81"/>
        <v>0</v>
      </c>
      <c r="AD117" s="775">
        <f t="shared" si="63"/>
        <v>0</v>
      </c>
      <c r="AE117" s="775">
        <f t="shared" si="55"/>
        <v>0</v>
      </c>
      <c r="AF117" s="775">
        <f t="shared" si="82"/>
        <v>0</v>
      </c>
      <c r="AG117" s="775">
        <f t="shared" si="83"/>
        <v>0</v>
      </c>
      <c r="AI117" s="773">
        <v>105</v>
      </c>
      <c r="AJ117" s="774">
        <f t="shared" si="84"/>
        <v>3167</v>
      </c>
      <c r="AK117" s="775">
        <f t="shared" si="85"/>
        <v>0</v>
      </c>
      <c r="AL117" s="775">
        <f t="shared" si="64"/>
        <v>0</v>
      </c>
      <c r="AM117" s="775">
        <f t="shared" si="56"/>
        <v>0</v>
      </c>
      <c r="AN117" s="775">
        <f t="shared" si="86"/>
        <v>0</v>
      </c>
      <c r="AO117" s="775">
        <f t="shared" si="87"/>
        <v>0</v>
      </c>
      <c r="AQ117" s="773">
        <v>105</v>
      </c>
      <c r="AR117" s="774">
        <f t="shared" si="88"/>
        <v>3167</v>
      </c>
      <c r="AS117" s="775">
        <f t="shared" si="89"/>
        <v>0</v>
      </c>
      <c r="AT117" s="775">
        <f t="shared" si="65"/>
        <v>0</v>
      </c>
      <c r="AU117" s="775">
        <f t="shared" si="57"/>
        <v>0</v>
      </c>
      <c r="AV117" s="775">
        <f t="shared" si="90"/>
        <v>0</v>
      </c>
      <c r="AW117" s="775">
        <f t="shared" si="91"/>
        <v>0</v>
      </c>
      <c r="AY117" s="773">
        <v>105</v>
      </c>
      <c r="AZ117" s="774">
        <f t="shared" si="92"/>
        <v>3167</v>
      </c>
      <c r="BA117" s="775">
        <f t="shared" si="93"/>
        <v>0</v>
      </c>
      <c r="BB117" s="775">
        <f t="shared" si="66"/>
        <v>0</v>
      </c>
      <c r="BC117" s="775">
        <f t="shared" si="58"/>
        <v>0</v>
      </c>
      <c r="BD117" s="775">
        <f t="shared" si="94"/>
        <v>0</v>
      </c>
      <c r="BE117" s="775">
        <f t="shared" si="95"/>
        <v>0</v>
      </c>
      <c r="BG117" s="773">
        <v>105</v>
      </c>
      <c r="BH117" s="774">
        <f t="shared" si="96"/>
        <v>3167</v>
      </c>
      <c r="BI117" s="775">
        <f t="shared" si="97"/>
        <v>0</v>
      </c>
      <c r="BJ117" s="775">
        <f t="shared" si="67"/>
        <v>0</v>
      </c>
      <c r="BK117" s="775">
        <f t="shared" si="59"/>
        <v>0</v>
      </c>
      <c r="BL117" s="775">
        <f t="shared" si="98"/>
        <v>0</v>
      </c>
      <c r="BM117" s="775">
        <f t="shared" si="99"/>
        <v>0</v>
      </c>
    </row>
    <row r="118" spans="1:65">
      <c r="A118" s="11">
        <f t="shared" si="52"/>
        <v>1908</v>
      </c>
      <c r="B118" s="773">
        <v>106</v>
      </c>
      <c r="C118" s="774">
        <f t="shared" si="68"/>
        <v>3197</v>
      </c>
      <c r="D118" s="775">
        <f t="shared" si="69"/>
        <v>0</v>
      </c>
      <c r="E118" s="775">
        <f t="shared" si="60"/>
        <v>0</v>
      </c>
      <c r="F118" s="775">
        <f t="shared" si="50"/>
        <v>0</v>
      </c>
      <c r="G118" s="775">
        <f t="shared" si="70"/>
        <v>0</v>
      </c>
      <c r="H118" s="775">
        <f t="shared" si="71"/>
        <v>0</v>
      </c>
      <c r="I118" s="775">
        <f t="shared" si="51"/>
        <v>0</v>
      </c>
      <c r="K118" s="773">
        <v>106</v>
      </c>
      <c r="L118" s="774">
        <f t="shared" si="72"/>
        <v>3197</v>
      </c>
      <c r="M118" s="775">
        <f t="shared" si="73"/>
        <v>0</v>
      </c>
      <c r="N118" s="775">
        <f t="shared" si="61"/>
        <v>0</v>
      </c>
      <c r="O118" s="775">
        <f t="shared" si="53"/>
        <v>0</v>
      </c>
      <c r="P118" s="775">
        <f t="shared" si="74"/>
        <v>0</v>
      </c>
      <c r="Q118" s="775">
        <f t="shared" si="75"/>
        <v>0</v>
      </c>
      <c r="S118" s="773">
        <v>106</v>
      </c>
      <c r="T118" s="774">
        <f t="shared" si="76"/>
        <v>3197</v>
      </c>
      <c r="U118" s="775">
        <f t="shared" si="77"/>
        <v>0</v>
      </c>
      <c r="V118" s="775">
        <f t="shared" si="62"/>
        <v>0</v>
      </c>
      <c r="W118" s="775">
        <f t="shared" si="54"/>
        <v>0</v>
      </c>
      <c r="X118" s="775">
        <f t="shared" si="78"/>
        <v>0</v>
      </c>
      <c r="Y118" s="775">
        <f t="shared" si="79"/>
        <v>0</v>
      </c>
      <c r="AA118" s="773">
        <v>106</v>
      </c>
      <c r="AB118" s="774">
        <f t="shared" si="80"/>
        <v>3197</v>
      </c>
      <c r="AC118" s="775">
        <f t="shared" si="81"/>
        <v>0</v>
      </c>
      <c r="AD118" s="775">
        <f t="shared" si="63"/>
        <v>0</v>
      </c>
      <c r="AE118" s="775">
        <f t="shared" si="55"/>
        <v>0</v>
      </c>
      <c r="AF118" s="775">
        <f t="shared" si="82"/>
        <v>0</v>
      </c>
      <c r="AG118" s="775">
        <f t="shared" si="83"/>
        <v>0</v>
      </c>
      <c r="AI118" s="773">
        <v>106</v>
      </c>
      <c r="AJ118" s="774">
        <f t="shared" si="84"/>
        <v>3197</v>
      </c>
      <c r="AK118" s="775">
        <f t="shared" si="85"/>
        <v>0</v>
      </c>
      <c r="AL118" s="775">
        <f t="shared" si="64"/>
        <v>0</v>
      </c>
      <c r="AM118" s="775">
        <f t="shared" si="56"/>
        <v>0</v>
      </c>
      <c r="AN118" s="775">
        <f t="shared" si="86"/>
        <v>0</v>
      </c>
      <c r="AO118" s="775">
        <f t="shared" si="87"/>
        <v>0</v>
      </c>
      <c r="AQ118" s="773">
        <v>106</v>
      </c>
      <c r="AR118" s="774">
        <f t="shared" si="88"/>
        <v>3197</v>
      </c>
      <c r="AS118" s="775">
        <f t="shared" si="89"/>
        <v>0</v>
      </c>
      <c r="AT118" s="775">
        <f t="shared" si="65"/>
        <v>0</v>
      </c>
      <c r="AU118" s="775">
        <f t="shared" si="57"/>
        <v>0</v>
      </c>
      <c r="AV118" s="775">
        <f t="shared" si="90"/>
        <v>0</v>
      </c>
      <c r="AW118" s="775">
        <f t="shared" si="91"/>
        <v>0</v>
      </c>
      <c r="AY118" s="773">
        <v>106</v>
      </c>
      <c r="AZ118" s="774">
        <f t="shared" si="92"/>
        <v>3197</v>
      </c>
      <c r="BA118" s="775">
        <f t="shared" si="93"/>
        <v>0</v>
      </c>
      <c r="BB118" s="775">
        <f t="shared" si="66"/>
        <v>0</v>
      </c>
      <c r="BC118" s="775">
        <f t="shared" si="58"/>
        <v>0</v>
      </c>
      <c r="BD118" s="775">
        <f t="shared" si="94"/>
        <v>0</v>
      </c>
      <c r="BE118" s="775">
        <f t="shared" si="95"/>
        <v>0</v>
      </c>
      <c r="BG118" s="773">
        <v>106</v>
      </c>
      <c r="BH118" s="774">
        <f t="shared" si="96"/>
        <v>3197</v>
      </c>
      <c r="BI118" s="775">
        <f t="shared" si="97"/>
        <v>0</v>
      </c>
      <c r="BJ118" s="775">
        <f t="shared" si="67"/>
        <v>0</v>
      </c>
      <c r="BK118" s="775">
        <f t="shared" si="59"/>
        <v>0</v>
      </c>
      <c r="BL118" s="775">
        <f t="shared" si="98"/>
        <v>0</v>
      </c>
      <c r="BM118" s="775">
        <f t="shared" si="99"/>
        <v>0</v>
      </c>
    </row>
    <row r="119" spans="1:65">
      <c r="A119" s="11">
        <f t="shared" si="52"/>
        <v>1908</v>
      </c>
      <c r="B119" s="773">
        <v>107</v>
      </c>
      <c r="C119" s="774">
        <f t="shared" si="68"/>
        <v>3228</v>
      </c>
      <c r="D119" s="775">
        <f t="shared" si="69"/>
        <v>0</v>
      </c>
      <c r="E119" s="775">
        <f t="shared" si="60"/>
        <v>0</v>
      </c>
      <c r="F119" s="775">
        <f t="shared" si="50"/>
        <v>0</v>
      </c>
      <c r="G119" s="775">
        <f t="shared" si="70"/>
        <v>0</v>
      </c>
      <c r="H119" s="775">
        <f t="shared" si="71"/>
        <v>0</v>
      </c>
      <c r="I119" s="775">
        <f t="shared" si="51"/>
        <v>0</v>
      </c>
      <c r="K119" s="773">
        <v>107</v>
      </c>
      <c r="L119" s="774">
        <f t="shared" si="72"/>
        <v>3228</v>
      </c>
      <c r="M119" s="775">
        <f t="shared" si="73"/>
        <v>0</v>
      </c>
      <c r="N119" s="775">
        <f t="shared" si="61"/>
        <v>0</v>
      </c>
      <c r="O119" s="775">
        <f t="shared" si="53"/>
        <v>0</v>
      </c>
      <c r="P119" s="775">
        <f t="shared" si="74"/>
        <v>0</v>
      </c>
      <c r="Q119" s="775">
        <f t="shared" si="75"/>
        <v>0</v>
      </c>
      <c r="S119" s="773">
        <v>107</v>
      </c>
      <c r="T119" s="774">
        <f t="shared" si="76"/>
        <v>3228</v>
      </c>
      <c r="U119" s="775">
        <f t="shared" si="77"/>
        <v>0</v>
      </c>
      <c r="V119" s="775">
        <f t="shared" si="62"/>
        <v>0</v>
      </c>
      <c r="W119" s="775">
        <f t="shared" si="54"/>
        <v>0</v>
      </c>
      <c r="X119" s="775">
        <f t="shared" si="78"/>
        <v>0</v>
      </c>
      <c r="Y119" s="775">
        <f t="shared" si="79"/>
        <v>0</v>
      </c>
      <c r="AA119" s="773">
        <v>107</v>
      </c>
      <c r="AB119" s="774">
        <f t="shared" si="80"/>
        <v>3228</v>
      </c>
      <c r="AC119" s="775">
        <f t="shared" si="81"/>
        <v>0</v>
      </c>
      <c r="AD119" s="775">
        <f t="shared" si="63"/>
        <v>0</v>
      </c>
      <c r="AE119" s="775">
        <f t="shared" si="55"/>
        <v>0</v>
      </c>
      <c r="AF119" s="775">
        <f t="shared" si="82"/>
        <v>0</v>
      </c>
      <c r="AG119" s="775">
        <f t="shared" si="83"/>
        <v>0</v>
      </c>
      <c r="AI119" s="773">
        <v>107</v>
      </c>
      <c r="AJ119" s="774">
        <f t="shared" si="84"/>
        <v>3228</v>
      </c>
      <c r="AK119" s="775">
        <f t="shared" si="85"/>
        <v>0</v>
      </c>
      <c r="AL119" s="775">
        <f t="shared" si="64"/>
        <v>0</v>
      </c>
      <c r="AM119" s="775">
        <f t="shared" si="56"/>
        <v>0</v>
      </c>
      <c r="AN119" s="775">
        <f t="shared" si="86"/>
        <v>0</v>
      </c>
      <c r="AO119" s="775">
        <f t="shared" si="87"/>
        <v>0</v>
      </c>
      <c r="AQ119" s="773">
        <v>107</v>
      </c>
      <c r="AR119" s="774">
        <f t="shared" si="88"/>
        <v>3228</v>
      </c>
      <c r="AS119" s="775">
        <f t="shared" si="89"/>
        <v>0</v>
      </c>
      <c r="AT119" s="775">
        <f t="shared" si="65"/>
        <v>0</v>
      </c>
      <c r="AU119" s="775">
        <f t="shared" si="57"/>
        <v>0</v>
      </c>
      <c r="AV119" s="775">
        <f t="shared" si="90"/>
        <v>0</v>
      </c>
      <c r="AW119" s="775">
        <f t="shared" si="91"/>
        <v>0</v>
      </c>
      <c r="AY119" s="773">
        <v>107</v>
      </c>
      <c r="AZ119" s="774">
        <f t="shared" si="92"/>
        <v>3228</v>
      </c>
      <c r="BA119" s="775">
        <f t="shared" si="93"/>
        <v>0</v>
      </c>
      <c r="BB119" s="775">
        <f t="shared" si="66"/>
        <v>0</v>
      </c>
      <c r="BC119" s="775">
        <f t="shared" si="58"/>
        <v>0</v>
      </c>
      <c r="BD119" s="775">
        <f t="shared" si="94"/>
        <v>0</v>
      </c>
      <c r="BE119" s="775">
        <f t="shared" si="95"/>
        <v>0</v>
      </c>
      <c r="BG119" s="773">
        <v>107</v>
      </c>
      <c r="BH119" s="774">
        <f t="shared" si="96"/>
        <v>3228</v>
      </c>
      <c r="BI119" s="775">
        <f t="shared" si="97"/>
        <v>0</v>
      </c>
      <c r="BJ119" s="775">
        <f t="shared" si="67"/>
        <v>0</v>
      </c>
      <c r="BK119" s="775">
        <f t="shared" si="59"/>
        <v>0</v>
      </c>
      <c r="BL119" s="775">
        <f t="shared" si="98"/>
        <v>0</v>
      </c>
      <c r="BM119" s="775">
        <f t="shared" si="99"/>
        <v>0</v>
      </c>
    </row>
    <row r="120" spans="1:65">
      <c r="A120" s="11">
        <f t="shared" si="52"/>
        <v>1908</v>
      </c>
      <c r="B120" s="773">
        <v>108</v>
      </c>
      <c r="C120" s="774">
        <f t="shared" si="68"/>
        <v>3258</v>
      </c>
      <c r="D120" s="775">
        <f t="shared" si="69"/>
        <v>0</v>
      </c>
      <c r="E120" s="775">
        <f t="shared" si="60"/>
        <v>0</v>
      </c>
      <c r="F120" s="775">
        <f t="shared" si="50"/>
        <v>0</v>
      </c>
      <c r="G120" s="775">
        <f t="shared" si="70"/>
        <v>0</v>
      </c>
      <c r="H120" s="775">
        <f t="shared" si="71"/>
        <v>0</v>
      </c>
      <c r="I120" s="775">
        <f t="shared" si="51"/>
        <v>0</v>
      </c>
      <c r="K120" s="773">
        <v>108</v>
      </c>
      <c r="L120" s="774">
        <f t="shared" si="72"/>
        <v>3258</v>
      </c>
      <c r="M120" s="775">
        <f t="shared" si="73"/>
        <v>0</v>
      </c>
      <c r="N120" s="775">
        <f t="shared" si="61"/>
        <v>0</v>
      </c>
      <c r="O120" s="775">
        <f t="shared" si="53"/>
        <v>0</v>
      </c>
      <c r="P120" s="775">
        <f t="shared" si="74"/>
        <v>0</v>
      </c>
      <c r="Q120" s="775">
        <f t="shared" si="75"/>
        <v>0</v>
      </c>
      <c r="S120" s="773">
        <v>108</v>
      </c>
      <c r="T120" s="774">
        <f t="shared" si="76"/>
        <v>3258</v>
      </c>
      <c r="U120" s="775">
        <f t="shared" si="77"/>
        <v>0</v>
      </c>
      <c r="V120" s="775">
        <f t="shared" si="62"/>
        <v>0</v>
      </c>
      <c r="W120" s="775">
        <f t="shared" si="54"/>
        <v>0</v>
      </c>
      <c r="X120" s="775">
        <f t="shared" si="78"/>
        <v>0</v>
      </c>
      <c r="Y120" s="775">
        <f t="shared" si="79"/>
        <v>0</v>
      </c>
      <c r="AA120" s="773">
        <v>108</v>
      </c>
      <c r="AB120" s="774">
        <f t="shared" si="80"/>
        <v>3258</v>
      </c>
      <c r="AC120" s="775">
        <f t="shared" si="81"/>
        <v>0</v>
      </c>
      <c r="AD120" s="775">
        <f t="shared" si="63"/>
        <v>0</v>
      </c>
      <c r="AE120" s="775">
        <f t="shared" si="55"/>
        <v>0</v>
      </c>
      <c r="AF120" s="775">
        <f t="shared" si="82"/>
        <v>0</v>
      </c>
      <c r="AG120" s="775">
        <f t="shared" si="83"/>
        <v>0</v>
      </c>
      <c r="AI120" s="773">
        <v>108</v>
      </c>
      <c r="AJ120" s="774">
        <f t="shared" si="84"/>
        <v>3258</v>
      </c>
      <c r="AK120" s="775">
        <f t="shared" si="85"/>
        <v>0</v>
      </c>
      <c r="AL120" s="775">
        <f t="shared" si="64"/>
        <v>0</v>
      </c>
      <c r="AM120" s="775">
        <f t="shared" si="56"/>
        <v>0</v>
      </c>
      <c r="AN120" s="775">
        <f t="shared" si="86"/>
        <v>0</v>
      </c>
      <c r="AO120" s="775">
        <f t="shared" si="87"/>
        <v>0</v>
      </c>
      <c r="AQ120" s="773">
        <v>108</v>
      </c>
      <c r="AR120" s="774">
        <f t="shared" si="88"/>
        <v>3258</v>
      </c>
      <c r="AS120" s="775">
        <f t="shared" si="89"/>
        <v>0</v>
      </c>
      <c r="AT120" s="775">
        <f t="shared" si="65"/>
        <v>0</v>
      </c>
      <c r="AU120" s="775">
        <f t="shared" si="57"/>
        <v>0</v>
      </c>
      <c r="AV120" s="775">
        <f t="shared" si="90"/>
        <v>0</v>
      </c>
      <c r="AW120" s="775">
        <f t="shared" si="91"/>
        <v>0</v>
      </c>
      <c r="AY120" s="773">
        <v>108</v>
      </c>
      <c r="AZ120" s="774">
        <f t="shared" si="92"/>
        <v>3258</v>
      </c>
      <c r="BA120" s="775">
        <f t="shared" si="93"/>
        <v>0</v>
      </c>
      <c r="BB120" s="775">
        <f t="shared" si="66"/>
        <v>0</v>
      </c>
      <c r="BC120" s="775">
        <f t="shared" si="58"/>
        <v>0</v>
      </c>
      <c r="BD120" s="775">
        <f t="shared" si="94"/>
        <v>0</v>
      </c>
      <c r="BE120" s="775">
        <f t="shared" si="95"/>
        <v>0</v>
      </c>
      <c r="BG120" s="773">
        <v>108</v>
      </c>
      <c r="BH120" s="774">
        <f t="shared" si="96"/>
        <v>3258</v>
      </c>
      <c r="BI120" s="775">
        <f t="shared" si="97"/>
        <v>0</v>
      </c>
      <c r="BJ120" s="775">
        <f t="shared" si="67"/>
        <v>0</v>
      </c>
      <c r="BK120" s="775">
        <f t="shared" si="59"/>
        <v>0</v>
      </c>
      <c r="BL120" s="775">
        <f t="shared" si="98"/>
        <v>0</v>
      </c>
      <c r="BM120" s="775">
        <f t="shared" si="99"/>
        <v>0</v>
      </c>
    </row>
    <row r="121" spans="1:65">
      <c r="A121" s="11">
        <f t="shared" si="52"/>
        <v>1909</v>
      </c>
      <c r="B121" s="773">
        <v>109</v>
      </c>
      <c r="C121" s="774">
        <f t="shared" si="68"/>
        <v>3289</v>
      </c>
      <c r="D121" s="775">
        <f t="shared" si="69"/>
        <v>0</v>
      </c>
      <c r="E121" s="775">
        <f t="shared" si="60"/>
        <v>0</v>
      </c>
      <c r="F121" s="775">
        <f t="shared" si="50"/>
        <v>0</v>
      </c>
      <c r="G121" s="775">
        <f t="shared" si="70"/>
        <v>0</v>
      </c>
      <c r="H121" s="775">
        <f t="shared" si="71"/>
        <v>0</v>
      </c>
      <c r="I121" s="775">
        <f t="shared" si="51"/>
        <v>0</v>
      </c>
      <c r="K121" s="773">
        <v>109</v>
      </c>
      <c r="L121" s="774">
        <f t="shared" si="72"/>
        <v>3289</v>
      </c>
      <c r="M121" s="775">
        <f t="shared" si="73"/>
        <v>0</v>
      </c>
      <c r="N121" s="775">
        <f t="shared" si="61"/>
        <v>0</v>
      </c>
      <c r="O121" s="775">
        <f t="shared" si="53"/>
        <v>0</v>
      </c>
      <c r="P121" s="775">
        <f t="shared" si="74"/>
        <v>0</v>
      </c>
      <c r="Q121" s="775">
        <f t="shared" si="75"/>
        <v>0</v>
      </c>
      <c r="S121" s="773">
        <v>109</v>
      </c>
      <c r="T121" s="774">
        <f t="shared" si="76"/>
        <v>3289</v>
      </c>
      <c r="U121" s="775">
        <f t="shared" si="77"/>
        <v>0</v>
      </c>
      <c r="V121" s="775">
        <f t="shared" si="62"/>
        <v>0</v>
      </c>
      <c r="W121" s="775">
        <f t="shared" si="54"/>
        <v>0</v>
      </c>
      <c r="X121" s="775">
        <f t="shared" si="78"/>
        <v>0</v>
      </c>
      <c r="Y121" s="775">
        <f t="shared" si="79"/>
        <v>0</v>
      </c>
      <c r="AA121" s="773">
        <v>109</v>
      </c>
      <c r="AB121" s="774">
        <f t="shared" si="80"/>
        <v>3289</v>
      </c>
      <c r="AC121" s="775">
        <f t="shared" si="81"/>
        <v>0</v>
      </c>
      <c r="AD121" s="775">
        <f t="shared" si="63"/>
        <v>0</v>
      </c>
      <c r="AE121" s="775">
        <f t="shared" si="55"/>
        <v>0</v>
      </c>
      <c r="AF121" s="775">
        <f t="shared" si="82"/>
        <v>0</v>
      </c>
      <c r="AG121" s="775">
        <f t="shared" si="83"/>
        <v>0</v>
      </c>
      <c r="AI121" s="773">
        <v>109</v>
      </c>
      <c r="AJ121" s="774">
        <f t="shared" si="84"/>
        <v>3289</v>
      </c>
      <c r="AK121" s="775">
        <f t="shared" si="85"/>
        <v>0</v>
      </c>
      <c r="AL121" s="775">
        <f t="shared" si="64"/>
        <v>0</v>
      </c>
      <c r="AM121" s="775">
        <f t="shared" si="56"/>
        <v>0</v>
      </c>
      <c r="AN121" s="775">
        <f t="shared" si="86"/>
        <v>0</v>
      </c>
      <c r="AO121" s="775">
        <f t="shared" si="87"/>
        <v>0</v>
      </c>
      <c r="AQ121" s="773">
        <v>109</v>
      </c>
      <c r="AR121" s="774">
        <f t="shared" si="88"/>
        <v>3289</v>
      </c>
      <c r="AS121" s="775">
        <f t="shared" si="89"/>
        <v>0</v>
      </c>
      <c r="AT121" s="775">
        <f t="shared" si="65"/>
        <v>0</v>
      </c>
      <c r="AU121" s="775">
        <f t="shared" si="57"/>
        <v>0</v>
      </c>
      <c r="AV121" s="775">
        <f t="shared" si="90"/>
        <v>0</v>
      </c>
      <c r="AW121" s="775">
        <f t="shared" si="91"/>
        <v>0</v>
      </c>
      <c r="AY121" s="773">
        <v>109</v>
      </c>
      <c r="AZ121" s="774">
        <f t="shared" si="92"/>
        <v>3289</v>
      </c>
      <c r="BA121" s="775">
        <f t="shared" si="93"/>
        <v>0</v>
      </c>
      <c r="BB121" s="775">
        <f t="shared" si="66"/>
        <v>0</v>
      </c>
      <c r="BC121" s="775">
        <f t="shared" si="58"/>
        <v>0</v>
      </c>
      <c r="BD121" s="775">
        <f t="shared" si="94"/>
        <v>0</v>
      </c>
      <c r="BE121" s="775">
        <f t="shared" si="95"/>
        <v>0</v>
      </c>
      <c r="BG121" s="773">
        <v>109</v>
      </c>
      <c r="BH121" s="774">
        <f t="shared" si="96"/>
        <v>3289</v>
      </c>
      <c r="BI121" s="775">
        <f t="shared" si="97"/>
        <v>0</v>
      </c>
      <c r="BJ121" s="775">
        <f t="shared" si="67"/>
        <v>0</v>
      </c>
      <c r="BK121" s="775">
        <f t="shared" si="59"/>
        <v>0</v>
      </c>
      <c r="BL121" s="775">
        <f t="shared" si="98"/>
        <v>0</v>
      </c>
      <c r="BM121" s="775">
        <f t="shared" si="99"/>
        <v>0</v>
      </c>
    </row>
    <row r="122" spans="1:65">
      <c r="A122" s="11">
        <f t="shared" si="52"/>
        <v>1909</v>
      </c>
      <c r="B122" s="773">
        <v>110</v>
      </c>
      <c r="C122" s="774">
        <f t="shared" si="68"/>
        <v>3320</v>
      </c>
      <c r="D122" s="775">
        <f t="shared" si="69"/>
        <v>0</v>
      </c>
      <c r="E122" s="775">
        <f t="shared" si="60"/>
        <v>0</v>
      </c>
      <c r="F122" s="775">
        <f t="shared" si="50"/>
        <v>0</v>
      </c>
      <c r="G122" s="775">
        <f t="shared" si="70"/>
        <v>0</v>
      </c>
      <c r="H122" s="775">
        <f t="shared" si="71"/>
        <v>0</v>
      </c>
      <c r="I122" s="775">
        <f t="shared" si="51"/>
        <v>0</v>
      </c>
      <c r="K122" s="773">
        <v>110</v>
      </c>
      <c r="L122" s="774">
        <f t="shared" si="72"/>
        <v>3320</v>
      </c>
      <c r="M122" s="775">
        <f t="shared" si="73"/>
        <v>0</v>
      </c>
      <c r="N122" s="775">
        <f t="shared" si="61"/>
        <v>0</v>
      </c>
      <c r="O122" s="775">
        <f t="shared" si="53"/>
        <v>0</v>
      </c>
      <c r="P122" s="775">
        <f t="shared" si="74"/>
        <v>0</v>
      </c>
      <c r="Q122" s="775">
        <f t="shared" si="75"/>
        <v>0</v>
      </c>
      <c r="S122" s="773">
        <v>110</v>
      </c>
      <c r="T122" s="774">
        <f t="shared" si="76"/>
        <v>3320</v>
      </c>
      <c r="U122" s="775">
        <f t="shared" si="77"/>
        <v>0</v>
      </c>
      <c r="V122" s="775">
        <f t="shared" si="62"/>
        <v>0</v>
      </c>
      <c r="W122" s="775">
        <f t="shared" si="54"/>
        <v>0</v>
      </c>
      <c r="X122" s="775">
        <f t="shared" si="78"/>
        <v>0</v>
      </c>
      <c r="Y122" s="775">
        <f t="shared" si="79"/>
        <v>0</v>
      </c>
      <c r="AA122" s="773">
        <v>110</v>
      </c>
      <c r="AB122" s="774">
        <f t="shared" si="80"/>
        <v>3320</v>
      </c>
      <c r="AC122" s="775">
        <f t="shared" si="81"/>
        <v>0</v>
      </c>
      <c r="AD122" s="775">
        <f t="shared" si="63"/>
        <v>0</v>
      </c>
      <c r="AE122" s="775">
        <f t="shared" si="55"/>
        <v>0</v>
      </c>
      <c r="AF122" s="775">
        <f t="shared" si="82"/>
        <v>0</v>
      </c>
      <c r="AG122" s="775">
        <f t="shared" si="83"/>
        <v>0</v>
      </c>
      <c r="AI122" s="773">
        <v>110</v>
      </c>
      <c r="AJ122" s="774">
        <f t="shared" si="84"/>
        <v>3320</v>
      </c>
      <c r="AK122" s="775">
        <f t="shared" si="85"/>
        <v>0</v>
      </c>
      <c r="AL122" s="775">
        <f t="shared" si="64"/>
        <v>0</v>
      </c>
      <c r="AM122" s="775">
        <f t="shared" si="56"/>
        <v>0</v>
      </c>
      <c r="AN122" s="775">
        <f t="shared" si="86"/>
        <v>0</v>
      </c>
      <c r="AO122" s="775">
        <f t="shared" si="87"/>
        <v>0</v>
      </c>
      <c r="AQ122" s="773">
        <v>110</v>
      </c>
      <c r="AR122" s="774">
        <f t="shared" si="88"/>
        <v>3320</v>
      </c>
      <c r="AS122" s="775">
        <f t="shared" si="89"/>
        <v>0</v>
      </c>
      <c r="AT122" s="775">
        <f t="shared" si="65"/>
        <v>0</v>
      </c>
      <c r="AU122" s="775">
        <f t="shared" si="57"/>
        <v>0</v>
      </c>
      <c r="AV122" s="775">
        <f t="shared" si="90"/>
        <v>0</v>
      </c>
      <c r="AW122" s="775">
        <f t="shared" si="91"/>
        <v>0</v>
      </c>
      <c r="AY122" s="773">
        <v>110</v>
      </c>
      <c r="AZ122" s="774">
        <f t="shared" si="92"/>
        <v>3320</v>
      </c>
      <c r="BA122" s="775">
        <f t="shared" si="93"/>
        <v>0</v>
      </c>
      <c r="BB122" s="775">
        <f t="shared" si="66"/>
        <v>0</v>
      </c>
      <c r="BC122" s="775">
        <f t="shared" si="58"/>
        <v>0</v>
      </c>
      <c r="BD122" s="775">
        <f t="shared" si="94"/>
        <v>0</v>
      </c>
      <c r="BE122" s="775">
        <f t="shared" si="95"/>
        <v>0</v>
      </c>
      <c r="BG122" s="773">
        <v>110</v>
      </c>
      <c r="BH122" s="774">
        <f t="shared" si="96"/>
        <v>3320</v>
      </c>
      <c r="BI122" s="775">
        <f t="shared" si="97"/>
        <v>0</v>
      </c>
      <c r="BJ122" s="775">
        <f t="shared" si="67"/>
        <v>0</v>
      </c>
      <c r="BK122" s="775">
        <f t="shared" si="59"/>
        <v>0</v>
      </c>
      <c r="BL122" s="775">
        <f t="shared" si="98"/>
        <v>0</v>
      </c>
      <c r="BM122" s="775">
        <f t="shared" si="99"/>
        <v>0</v>
      </c>
    </row>
    <row r="123" spans="1:65">
      <c r="A123" s="11">
        <f t="shared" si="52"/>
        <v>1909</v>
      </c>
      <c r="B123" s="773">
        <v>111</v>
      </c>
      <c r="C123" s="774">
        <f t="shared" si="68"/>
        <v>3348</v>
      </c>
      <c r="D123" s="775">
        <f t="shared" si="69"/>
        <v>0</v>
      </c>
      <c r="E123" s="775">
        <f t="shared" si="60"/>
        <v>0</v>
      </c>
      <c r="F123" s="775">
        <f t="shared" si="50"/>
        <v>0</v>
      </c>
      <c r="G123" s="775">
        <f t="shared" si="70"/>
        <v>0</v>
      </c>
      <c r="H123" s="775">
        <f t="shared" si="71"/>
        <v>0</v>
      </c>
      <c r="I123" s="775">
        <f t="shared" si="51"/>
        <v>0</v>
      </c>
      <c r="K123" s="773">
        <v>111</v>
      </c>
      <c r="L123" s="774">
        <f t="shared" si="72"/>
        <v>3348</v>
      </c>
      <c r="M123" s="775">
        <f t="shared" si="73"/>
        <v>0</v>
      </c>
      <c r="N123" s="775">
        <f t="shared" si="61"/>
        <v>0</v>
      </c>
      <c r="O123" s="775">
        <f t="shared" si="53"/>
        <v>0</v>
      </c>
      <c r="P123" s="775">
        <f t="shared" si="74"/>
        <v>0</v>
      </c>
      <c r="Q123" s="775">
        <f t="shared" si="75"/>
        <v>0</v>
      </c>
      <c r="S123" s="773">
        <v>111</v>
      </c>
      <c r="T123" s="774">
        <f t="shared" si="76"/>
        <v>3348</v>
      </c>
      <c r="U123" s="775">
        <f t="shared" si="77"/>
        <v>0</v>
      </c>
      <c r="V123" s="775">
        <f t="shared" si="62"/>
        <v>0</v>
      </c>
      <c r="W123" s="775">
        <f t="shared" si="54"/>
        <v>0</v>
      </c>
      <c r="X123" s="775">
        <f t="shared" si="78"/>
        <v>0</v>
      </c>
      <c r="Y123" s="775">
        <f t="shared" si="79"/>
        <v>0</v>
      </c>
      <c r="AA123" s="773">
        <v>111</v>
      </c>
      <c r="AB123" s="774">
        <f t="shared" si="80"/>
        <v>3348</v>
      </c>
      <c r="AC123" s="775">
        <f t="shared" si="81"/>
        <v>0</v>
      </c>
      <c r="AD123" s="775">
        <f t="shared" si="63"/>
        <v>0</v>
      </c>
      <c r="AE123" s="775">
        <f t="shared" si="55"/>
        <v>0</v>
      </c>
      <c r="AF123" s="775">
        <f t="shared" si="82"/>
        <v>0</v>
      </c>
      <c r="AG123" s="775">
        <f t="shared" si="83"/>
        <v>0</v>
      </c>
      <c r="AI123" s="773">
        <v>111</v>
      </c>
      <c r="AJ123" s="774">
        <f t="shared" si="84"/>
        <v>3348</v>
      </c>
      <c r="AK123" s="775">
        <f t="shared" si="85"/>
        <v>0</v>
      </c>
      <c r="AL123" s="775">
        <f t="shared" si="64"/>
        <v>0</v>
      </c>
      <c r="AM123" s="775">
        <f t="shared" si="56"/>
        <v>0</v>
      </c>
      <c r="AN123" s="775">
        <f t="shared" si="86"/>
        <v>0</v>
      </c>
      <c r="AO123" s="775">
        <f t="shared" si="87"/>
        <v>0</v>
      </c>
      <c r="AQ123" s="773">
        <v>111</v>
      </c>
      <c r="AR123" s="774">
        <f t="shared" si="88"/>
        <v>3348</v>
      </c>
      <c r="AS123" s="775">
        <f t="shared" si="89"/>
        <v>0</v>
      </c>
      <c r="AT123" s="775">
        <f t="shared" si="65"/>
        <v>0</v>
      </c>
      <c r="AU123" s="775">
        <f t="shared" si="57"/>
        <v>0</v>
      </c>
      <c r="AV123" s="775">
        <f t="shared" si="90"/>
        <v>0</v>
      </c>
      <c r="AW123" s="775">
        <f t="shared" si="91"/>
        <v>0</v>
      </c>
      <c r="AY123" s="773">
        <v>111</v>
      </c>
      <c r="AZ123" s="774">
        <f t="shared" si="92"/>
        <v>3348</v>
      </c>
      <c r="BA123" s="775">
        <f t="shared" si="93"/>
        <v>0</v>
      </c>
      <c r="BB123" s="775">
        <f t="shared" si="66"/>
        <v>0</v>
      </c>
      <c r="BC123" s="775">
        <f t="shared" si="58"/>
        <v>0</v>
      </c>
      <c r="BD123" s="775">
        <f t="shared" si="94"/>
        <v>0</v>
      </c>
      <c r="BE123" s="775">
        <f t="shared" si="95"/>
        <v>0</v>
      </c>
      <c r="BG123" s="773">
        <v>111</v>
      </c>
      <c r="BH123" s="774">
        <f t="shared" si="96"/>
        <v>3348</v>
      </c>
      <c r="BI123" s="775">
        <f t="shared" si="97"/>
        <v>0</v>
      </c>
      <c r="BJ123" s="775">
        <f t="shared" si="67"/>
        <v>0</v>
      </c>
      <c r="BK123" s="775">
        <f t="shared" si="59"/>
        <v>0</v>
      </c>
      <c r="BL123" s="775">
        <f t="shared" si="98"/>
        <v>0</v>
      </c>
      <c r="BM123" s="775">
        <f t="shared" si="99"/>
        <v>0</v>
      </c>
    </row>
    <row r="124" spans="1:65">
      <c r="A124" s="11">
        <f t="shared" si="52"/>
        <v>1909</v>
      </c>
      <c r="B124" s="773">
        <v>112</v>
      </c>
      <c r="C124" s="774">
        <f t="shared" si="68"/>
        <v>3379</v>
      </c>
      <c r="D124" s="775">
        <f t="shared" si="69"/>
        <v>0</v>
      </c>
      <c r="E124" s="775">
        <f t="shared" si="60"/>
        <v>0</v>
      </c>
      <c r="F124" s="775">
        <f t="shared" si="50"/>
        <v>0</v>
      </c>
      <c r="G124" s="775">
        <f t="shared" si="70"/>
        <v>0</v>
      </c>
      <c r="H124" s="775">
        <f t="shared" si="71"/>
        <v>0</v>
      </c>
      <c r="I124" s="775">
        <f t="shared" si="51"/>
        <v>0</v>
      </c>
      <c r="K124" s="773">
        <v>112</v>
      </c>
      <c r="L124" s="774">
        <f t="shared" si="72"/>
        <v>3379</v>
      </c>
      <c r="M124" s="775">
        <f t="shared" si="73"/>
        <v>0</v>
      </c>
      <c r="N124" s="775">
        <f t="shared" si="61"/>
        <v>0</v>
      </c>
      <c r="O124" s="775">
        <f t="shared" si="53"/>
        <v>0</v>
      </c>
      <c r="P124" s="775">
        <f t="shared" si="74"/>
        <v>0</v>
      </c>
      <c r="Q124" s="775">
        <f t="shared" si="75"/>
        <v>0</v>
      </c>
      <c r="S124" s="773">
        <v>112</v>
      </c>
      <c r="T124" s="774">
        <f t="shared" si="76"/>
        <v>3379</v>
      </c>
      <c r="U124" s="775">
        <f t="shared" si="77"/>
        <v>0</v>
      </c>
      <c r="V124" s="775">
        <f t="shared" si="62"/>
        <v>0</v>
      </c>
      <c r="W124" s="775">
        <f t="shared" si="54"/>
        <v>0</v>
      </c>
      <c r="X124" s="775">
        <f t="shared" si="78"/>
        <v>0</v>
      </c>
      <c r="Y124" s="775">
        <f t="shared" si="79"/>
        <v>0</v>
      </c>
      <c r="AA124" s="773">
        <v>112</v>
      </c>
      <c r="AB124" s="774">
        <f t="shared" si="80"/>
        <v>3379</v>
      </c>
      <c r="AC124" s="775">
        <f t="shared" si="81"/>
        <v>0</v>
      </c>
      <c r="AD124" s="775">
        <f t="shared" si="63"/>
        <v>0</v>
      </c>
      <c r="AE124" s="775">
        <f t="shared" si="55"/>
        <v>0</v>
      </c>
      <c r="AF124" s="775">
        <f t="shared" si="82"/>
        <v>0</v>
      </c>
      <c r="AG124" s="775">
        <f t="shared" si="83"/>
        <v>0</v>
      </c>
      <c r="AI124" s="773">
        <v>112</v>
      </c>
      <c r="AJ124" s="774">
        <f t="shared" si="84"/>
        <v>3379</v>
      </c>
      <c r="AK124" s="775">
        <f t="shared" si="85"/>
        <v>0</v>
      </c>
      <c r="AL124" s="775">
        <f t="shared" si="64"/>
        <v>0</v>
      </c>
      <c r="AM124" s="775">
        <f t="shared" si="56"/>
        <v>0</v>
      </c>
      <c r="AN124" s="775">
        <f t="shared" si="86"/>
        <v>0</v>
      </c>
      <c r="AO124" s="775">
        <f t="shared" si="87"/>
        <v>0</v>
      </c>
      <c r="AQ124" s="773">
        <v>112</v>
      </c>
      <c r="AR124" s="774">
        <f t="shared" si="88"/>
        <v>3379</v>
      </c>
      <c r="AS124" s="775">
        <f t="shared" si="89"/>
        <v>0</v>
      </c>
      <c r="AT124" s="775">
        <f t="shared" si="65"/>
        <v>0</v>
      </c>
      <c r="AU124" s="775">
        <f t="shared" si="57"/>
        <v>0</v>
      </c>
      <c r="AV124" s="775">
        <f t="shared" si="90"/>
        <v>0</v>
      </c>
      <c r="AW124" s="775">
        <f t="shared" si="91"/>
        <v>0</v>
      </c>
      <c r="AY124" s="773">
        <v>112</v>
      </c>
      <c r="AZ124" s="774">
        <f t="shared" si="92"/>
        <v>3379</v>
      </c>
      <c r="BA124" s="775">
        <f t="shared" si="93"/>
        <v>0</v>
      </c>
      <c r="BB124" s="775">
        <f t="shared" si="66"/>
        <v>0</v>
      </c>
      <c r="BC124" s="775">
        <f t="shared" si="58"/>
        <v>0</v>
      </c>
      <c r="BD124" s="775">
        <f t="shared" si="94"/>
        <v>0</v>
      </c>
      <c r="BE124" s="775">
        <f t="shared" si="95"/>
        <v>0</v>
      </c>
      <c r="BG124" s="773">
        <v>112</v>
      </c>
      <c r="BH124" s="774">
        <f t="shared" si="96"/>
        <v>3379</v>
      </c>
      <c r="BI124" s="775">
        <f t="shared" si="97"/>
        <v>0</v>
      </c>
      <c r="BJ124" s="775">
        <f t="shared" si="67"/>
        <v>0</v>
      </c>
      <c r="BK124" s="775">
        <f t="shared" si="59"/>
        <v>0</v>
      </c>
      <c r="BL124" s="775">
        <f t="shared" si="98"/>
        <v>0</v>
      </c>
      <c r="BM124" s="775">
        <f t="shared" si="99"/>
        <v>0</v>
      </c>
    </row>
    <row r="125" spans="1:65">
      <c r="A125" s="11">
        <f t="shared" si="52"/>
        <v>1909</v>
      </c>
      <c r="B125" s="773">
        <v>113</v>
      </c>
      <c r="C125" s="774">
        <f t="shared" si="68"/>
        <v>3409</v>
      </c>
      <c r="D125" s="775">
        <f t="shared" si="69"/>
        <v>0</v>
      </c>
      <c r="E125" s="775">
        <f t="shared" si="60"/>
        <v>0</v>
      </c>
      <c r="F125" s="775">
        <f t="shared" si="50"/>
        <v>0</v>
      </c>
      <c r="G125" s="775">
        <f t="shared" si="70"/>
        <v>0</v>
      </c>
      <c r="H125" s="775">
        <f t="shared" si="71"/>
        <v>0</v>
      </c>
      <c r="I125" s="775">
        <f t="shared" si="51"/>
        <v>0</v>
      </c>
      <c r="K125" s="773">
        <v>113</v>
      </c>
      <c r="L125" s="774">
        <f t="shared" si="72"/>
        <v>3409</v>
      </c>
      <c r="M125" s="775">
        <f t="shared" si="73"/>
        <v>0</v>
      </c>
      <c r="N125" s="775">
        <f t="shared" si="61"/>
        <v>0</v>
      </c>
      <c r="O125" s="775">
        <f t="shared" si="53"/>
        <v>0</v>
      </c>
      <c r="P125" s="775">
        <f t="shared" si="74"/>
        <v>0</v>
      </c>
      <c r="Q125" s="775">
        <f t="shared" si="75"/>
        <v>0</v>
      </c>
      <c r="S125" s="773">
        <v>113</v>
      </c>
      <c r="T125" s="774">
        <f t="shared" si="76"/>
        <v>3409</v>
      </c>
      <c r="U125" s="775">
        <f t="shared" si="77"/>
        <v>0</v>
      </c>
      <c r="V125" s="775">
        <f t="shared" si="62"/>
        <v>0</v>
      </c>
      <c r="W125" s="775">
        <f t="shared" si="54"/>
        <v>0</v>
      </c>
      <c r="X125" s="775">
        <f t="shared" si="78"/>
        <v>0</v>
      </c>
      <c r="Y125" s="775">
        <f t="shared" si="79"/>
        <v>0</v>
      </c>
      <c r="AA125" s="773">
        <v>113</v>
      </c>
      <c r="AB125" s="774">
        <f t="shared" si="80"/>
        <v>3409</v>
      </c>
      <c r="AC125" s="775">
        <f t="shared" si="81"/>
        <v>0</v>
      </c>
      <c r="AD125" s="775">
        <f t="shared" si="63"/>
        <v>0</v>
      </c>
      <c r="AE125" s="775">
        <f t="shared" si="55"/>
        <v>0</v>
      </c>
      <c r="AF125" s="775">
        <f t="shared" si="82"/>
        <v>0</v>
      </c>
      <c r="AG125" s="775">
        <f t="shared" si="83"/>
        <v>0</v>
      </c>
      <c r="AI125" s="773">
        <v>113</v>
      </c>
      <c r="AJ125" s="774">
        <f t="shared" si="84"/>
        <v>3409</v>
      </c>
      <c r="AK125" s="775">
        <f t="shared" si="85"/>
        <v>0</v>
      </c>
      <c r="AL125" s="775">
        <f t="shared" si="64"/>
        <v>0</v>
      </c>
      <c r="AM125" s="775">
        <f t="shared" si="56"/>
        <v>0</v>
      </c>
      <c r="AN125" s="775">
        <f t="shared" si="86"/>
        <v>0</v>
      </c>
      <c r="AO125" s="775">
        <f t="shared" si="87"/>
        <v>0</v>
      </c>
      <c r="AQ125" s="773">
        <v>113</v>
      </c>
      <c r="AR125" s="774">
        <f t="shared" si="88"/>
        <v>3409</v>
      </c>
      <c r="AS125" s="775">
        <f t="shared" si="89"/>
        <v>0</v>
      </c>
      <c r="AT125" s="775">
        <f t="shared" si="65"/>
        <v>0</v>
      </c>
      <c r="AU125" s="775">
        <f t="shared" si="57"/>
        <v>0</v>
      </c>
      <c r="AV125" s="775">
        <f t="shared" si="90"/>
        <v>0</v>
      </c>
      <c r="AW125" s="775">
        <f t="shared" si="91"/>
        <v>0</v>
      </c>
      <c r="AY125" s="773">
        <v>113</v>
      </c>
      <c r="AZ125" s="774">
        <f t="shared" si="92"/>
        <v>3409</v>
      </c>
      <c r="BA125" s="775">
        <f t="shared" si="93"/>
        <v>0</v>
      </c>
      <c r="BB125" s="775">
        <f t="shared" si="66"/>
        <v>0</v>
      </c>
      <c r="BC125" s="775">
        <f t="shared" si="58"/>
        <v>0</v>
      </c>
      <c r="BD125" s="775">
        <f t="shared" si="94"/>
        <v>0</v>
      </c>
      <c r="BE125" s="775">
        <f t="shared" si="95"/>
        <v>0</v>
      </c>
      <c r="BG125" s="773">
        <v>113</v>
      </c>
      <c r="BH125" s="774">
        <f t="shared" si="96"/>
        <v>3409</v>
      </c>
      <c r="BI125" s="775">
        <f t="shared" si="97"/>
        <v>0</v>
      </c>
      <c r="BJ125" s="775">
        <f t="shared" si="67"/>
        <v>0</v>
      </c>
      <c r="BK125" s="775">
        <f t="shared" si="59"/>
        <v>0</v>
      </c>
      <c r="BL125" s="775">
        <f t="shared" si="98"/>
        <v>0</v>
      </c>
      <c r="BM125" s="775">
        <f t="shared" si="99"/>
        <v>0</v>
      </c>
    </row>
    <row r="126" spans="1:65">
      <c r="A126" s="11">
        <f t="shared" si="52"/>
        <v>1909</v>
      </c>
      <c r="B126" s="773">
        <v>114</v>
      </c>
      <c r="C126" s="774">
        <f t="shared" si="68"/>
        <v>3440</v>
      </c>
      <c r="D126" s="775">
        <f t="shared" si="69"/>
        <v>0</v>
      </c>
      <c r="E126" s="775">
        <f t="shared" si="60"/>
        <v>0</v>
      </c>
      <c r="F126" s="775">
        <f t="shared" si="50"/>
        <v>0</v>
      </c>
      <c r="G126" s="775">
        <f t="shared" si="70"/>
        <v>0</v>
      </c>
      <c r="H126" s="775">
        <f t="shared" si="71"/>
        <v>0</v>
      </c>
      <c r="I126" s="775">
        <f t="shared" si="51"/>
        <v>0</v>
      </c>
      <c r="K126" s="773">
        <v>114</v>
      </c>
      <c r="L126" s="774">
        <f t="shared" si="72"/>
        <v>3440</v>
      </c>
      <c r="M126" s="775">
        <f t="shared" si="73"/>
        <v>0</v>
      </c>
      <c r="N126" s="775">
        <f t="shared" si="61"/>
        <v>0</v>
      </c>
      <c r="O126" s="775">
        <f t="shared" si="53"/>
        <v>0</v>
      </c>
      <c r="P126" s="775">
        <f t="shared" si="74"/>
        <v>0</v>
      </c>
      <c r="Q126" s="775">
        <f t="shared" si="75"/>
        <v>0</v>
      </c>
      <c r="S126" s="773">
        <v>114</v>
      </c>
      <c r="T126" s="774">
        <f t="shared" si="76"/>
        <v>3440</v>
      </c>
      <c r="U126" s="775">
        <f t="shared" si="77"/>
        <v>0</v>
      </c>
      <c r="V126" s="775">
        <f t="shared" si="62"/>
        <v>0</v>
      </c>
      <c r="W126" s="775">
        <f t="shared" si="54"/>
        <v>0</v>
      </c>
      <c r="X126" s="775">
        <f t="shared" si="78"/>
        <v>0</v>
      </c>
      <c r="Y126" s="775">
        <f t="shared" si="79"/>
        <v>0</v>
      </c>
      <c r="AA126" s="773">
        <v>114</v>
      </c>
      <c r="AB126" s="774">
        <f t="shared" si="80"/>
        <v>3440</v>
      </c>
      <c r="AC126" s="775">
        <f t="shared" si="81"/>
        <v>0</v>
      </c>
      <c r="AD126" s="775">
        <f t="shared" si="63"/>
        <v>0</v>
      </c>
      <c r="AE126" s="775">
        <f t="shared" si="55"/>
        <v>0</v>
      </c>
      <c r="AF126" s="775">
        <f t="shared" si="82"/>
        <v>0</v>
      </c>
      <c r="AG126" s="775">
        <f t="shared" si="83"/>
        <v>0</v>
      </c>
      <c r="AI126" s="773">
        <v>114</v>
      </c>
      <c r="AJ126" s="774">
        <f t="shared" si="84"/>
        <v>3440</v>
      </c>
      <c r="AK126" s="775">
        <f t="shared" si="85"/>
        <v>0</v>
      </c>
      <c r="AL126" s="775">
        <f t="shared" si="64"/>
        <v>0</v>
      </c>
      <c r="AM126" s="775">
        <f t="shared" si="56"/>
        <v>0</v>
      </c>
      <c r="AN126" s="775">
        <f t="shared" si="86"/>
        <v>0</v>
      </c>
      <c r="AO126" s="775">
        <f t="shared" si="87"/>
        <v>0</v>
      </c>
      <c r="AQ126" s="773">
        <v>114</v>
      </c>
      <c r="AR126" s="774">
        <f t="shared" si="88"/>
        <v>3440</v>
      </c>
      <c r="AS126" s="775">
        <f t="shared" si="89"/>
        <v>0</v>
      </c>
      <c r="AT126" s="775">
        <f t="shared" si="65"/>
        <v>0</v>
      </c>
      <c r="AU126" s="775">
        <f t="shared" si="57"/>
        <v>0</v>
      </c>
      <c r="AV126" s="775">
        <f t="shared" si="90"/>
        <v>0</v>
      </c>
      <c r="AW126" s="775">
        <f t="shared" si="91"/>
        <v>0</v>
      </c>
      <c r="AY126" s="773">
        <v>114</v>
      </c>
      <c r="AZ126" s="774">
        <f t="shared" si="92"/>
        <v>3440</v>
      </c>
      <c r="BA126" s="775">
        <f t="shared" si="93"/>
        <v>0</v>
      </c>
      <c r="BB126" s="775">
        <f t="shared" si="66"/>
        <v>0</v>
      </c>
      <c r="BC126" s="775">
        <f t="shared" si="58"/>
        <v>0</v>
      </c>
      <c r="BD126" s="775">
        <f t="shared" si="94"/>
        <v>0</v>
      </c>
      <c r="BE126" s="775">
        <f t="shared" si="95"/>
        <v>0</v>
      </c>
      <c r="BG126" s="773">
        <v>114</v>
      </c>
      <c r="BH126" s="774">
        <f t="shared" si="96"/>
        <v>3440</v>
      </c>
      <c r="BI126" s="775">
        <f t="shared" si="97"/>
        <v>0</v>
      </c>
      <c r="BJ126" s="775">
        <f t="shared" si="67"/>
        <v>0</v>
      </c>
      <c r="BK126" s="775">
        <f t="shared" si="59"/>
        <v>0</v>
      </c>
      <c r="BL126" s="775">
        <f t="shared" si="98"/>
        <v>0</v>
      </c>
      <c r="BM126" s="775">
        <f t="shared" si="99"/>
        <v>0</v>
      </c>
    </row>
    <row r="127" spans="1:65">
      <c r="A127" s="11">
        <f t="shared" si="52"/>
        <v>1909</v>
      </c>
      <c r="B127" s="773">
        <v>115</v>
      </c>
      <c r="C127" s="774">
        <f t="shared" si="68"/>
        <v>3470</v>
      </c>
      <c r="D127" s="775">
        <f t="shared" si="69"/>
        <v>0</v>
      </c>
      <c r="E127" s="775">
        <f t="shared" si="60"/>
        <v>0</v>
      </c>
      <c r="F127" s="775">
        <f t="shared" si="50"/>
        <v>0</v>
      </c>
      <c r="G127" s="775">
        <f t="shared" si="70"/>
        <v>0</v>
      </c>
      <c r="H127" s="775">
        <f t="shared" si="71"/>
        <v>0</v>
      </c>
      <c r="I127" s="775">
        <f t="shared" si="51"/>
        <v>0</v>
      </c>
      <c r="K127" s="773">
        <v>115</v>
      </c>
      <c r="L127" s="774">
        <f t="shared" si="72"/>
        <v>3470</v>
      </c>
      <c r="M127" s="775">
        <f t="shared" si="73"/>
        <v>0</v>
      </c>
      <c r="N127" s="775">
        <f t="shared" si="61"/>
        <v>0</v>
      </c>
      <c r="O127" s="775">
        <f t="shared" si="53"/>
        <v>0</v>
      </c>
      <c r="P127" s="775">
        <f t="shared" si="74"/>
        <v>0</v>
      </c>
      <c r="Q127" s="775">
        <f t="shared" si="75"/>
        <v>0</v>
      </c>
      <c r="S127" s="773">
        <v>115</v>
      </c>
      <c r="T127" s="774">
        <f t="shared" si="76"/>
        <v>3470</v>
      </c>
      <c r="U127" s="775">
        <f t="shared" si="77"/>
        <v>0</v>
      </c>
      <c r="V127" s="775">
        <f t="shared" si="62"/>
        <v>0</v>
      </c>
      <c r="W127" s="775">
        <f t="shared" si="54"/>
        <v>0</v>
      </c>
      <c r="X127" s="775">
        <f t="shared" si="78"/>
        <v>0</v>
      </c>
      <c r="Y127" s="775">
        <f t="shared" si="79"/>
        <v>0</v>
      </c>
      <c r="AA127" s="773">
        <v>115</v>
      </c>
      <c r="AB127" s="774">
        <f t="shared" si="80"/>
        <v>3470</v>
      </c>
      <c r="AC127" s="775">
        <f t="shared" si="81"/>
        <v>0</v>
      </c>
      <c r="AD127" s="775">
        <f t="shared" si="63"/>
        <v>0</v>
      </c>
      <c r="AE127" s="775">
        <f t="shared" si="55"/>
        <v>0</v>
      </c>
      <c r="AF127" s="775">
        <f t="shared" si="82"/>
        <v>0</v>
      </c>
      <c r="AG127" s="775">
        <f t="shared" si="83"/>
        <v>0</v>
      </c>
      <c r="AI127" s="773">
        <v>115</v>
      </c>
      <c r="AJ127" s="774">
        <f t="shared" si="84"/>
        <v>3470</v>
      </c>
      <c r="AK127" s="775">
        <f t="shared" si="85"/>
        <v>0</v>
      </c>
      <c r="AL127" s="775">
        <f t="shared" si="64"/>
        <v>0</v>
      </c>
      <c r="AM127" s="775">
        <f t="shared" si="56"/>
        <v>0</v>
      </c>
      <c r="AN127" s="775">
        <f t="shared" si="86"/>
        <v>0</v>
      </c>
      <c r="AO127" s="775">
        <f t="shared" si="87"/>
        <v>0</v>
      </c>
      <c r="AQ127" s="773">
        <v>115</v>
      </c>
      <c r="AR127" s="774">
        <f t="shared" si="88"/>
        <v>3470</v>
      </c>
      <c r="AS127" s="775">
        <f t="shared" si="89"/>
        <v>0</v>
      </c>
      <c r="AT127" s="775">
        <f t="shared" si="65"/>
        <v>0</v>
      </c>
      <c r="AU127" s="775">
        <f t="shared" si="57"/>
        <v>0</v>
      </c>
      <c r="AV127" s="775">
        <f t="shared" si="90"/>
        <v>0</v>
      </c>
      <c r="AW127" s="775">
        <f t="shared" si="91"/>
        <v>0</v>
      </c>
      <c r="AY127" s="773">
        <v>115</v>
      </c>
      <c r="AZ127" s="774">
        <f t="shared" si="92"/>
        <v>3470</v>
      </c>
      <c r="BA127" s="775">
        <f t="shared" si="93"/>
        <v>0</v>
      </c>
      <c r="BB127" s="775">
        <f t="shared" si="66"/>
        <v>0</v>
      </c>
      <c r="BC127" s="775">
        <f t="shared" si="58"/>
        <v>0</v>
      </c>
      <c r="BD127" s="775">
        <f t="shared" si="94"/>
        <v>0</v>
      </c>
      <c r="BE127" s="775">
        <f t="shared" si="95"/>
        <v>0</v>
      </c>
      <c r="BG127" s="773">
        <v>115</v>
      </c>
      <c r="BH127" s="774">
        <f t="shared" si="96"/>
        <v>3470</v>
      </c>
      <c r="BI127" s="775">
        <f t="shared" si="97"/>
        <v>0</v>
      </c>
      <c r="BJ127" s="775">
        <f t="shared" si="67"/>
        <v>0</v>
      </c>
      <c r="BK127" s="775">
        <f t="shared" si="59"/>
        <v>0</v>
      </c>
      <c r="BL127" s="775">
        <f t="shared" si="98"/>
        <v>0</v>
      </c>
      <c r="BM127" s="775">
        <f t="shared" si="99"/>
        <v>0</v>
      </c>
    </row>
    <row r="128" spans="1:65">
      <c r="A128" s="11">
        <f t="shared" si="52"/>
        <v>1909</v>
      </c>
      <c r="B128" s="773">
        <v>116</v>
      </c>
      <c r="C128" s="774">
        <f t="shared" si="68"/>
        <v>3501</v>
      </c>
      <c r="D128" s="775">
        <f t="shared" si="69"/>
        <v>0</v>
      </c>
      <c r="E128" s="775">
        <f t="shared" si="60"/>
        <v>0</v>
      </c>
      <c r="F128" s="775">
        <f t="shared" si="50"/>
        <v>0</v>
      </c>
      <c r="G128" s="775">
        <f t="shared" si="70"/>
        <v>0</v>
      </c>
      <c r="H128" s="775">
        <f t="shared" si="71"/>
        <v>0</v>
      </c>
      <c r="I128" s="775">
        <f t="shared" si="51"/>
        <v>0</v>
      </c>
      <c r="K128" s="773">
        <v>116</v>
      </c>
      <c r="L128" s="774">
        <f t="shared" si="72"/>
        <v>3501</v>
      </c>
      <c r="M128" s="775">
        <f t="shared" si="73"/>
        <v>0</v>
      </c>
      <c r="N128" s="775">
        <f t="shared" si="61"/>
        <v>0</v>
      </c>
      <c r="O128" s="775">
        <f t="shared" si="53"/>
        <v>0</v>
      </c>
      <c r="P128" s="775">
        <f t="shared" si="74"/>
        <v>0</v>
      </c>
      <c r="Q128" s="775">
        <f t="shared" si="75"/>
        <v>0</v>
      </c>
      <c r="S128" s="773">
        <v>116</v>
      </c>
      <c r="T128" s="774">
        <f t="shared" si="76"/>
        <v>3501</v>
      </c>
      <c r="U128" s="775">
        <f t="shared" si="77"/>
        <v>0</v>
      </c>
      <c r="V128" s="775">
        <f t="shared" si="62"/>
        <v>0</v>
      </c>
      <c r="W128" s="775">
        <f t="shared" si="54"/>
        <v>0</v>
      </c>
      <c r="X128" s="775">
        <f t="shared" si="78"/>
        <v>0</v>
      </c>
      <c r="Y128" s="775">
        <f t="shared" si="79"/>
        <v>0</v>
      </c>
      <c r="AA128" s="773">
        <v>116</v>
      </c>
      <c r="AB128" s="774">
        <f t="shared" si="80"/>
        <v>3501</v>
      </c>
      <c r="AC128" s="775">
        <f t="shared" si="81"/>
        <v>0</v>
      </c>
      <c r="AD128" s="775">
        <f t="shared" si="63"/>
        <v>0</v>
      </c>
      <c r="AE128" s="775">
        <f t="shared" si="55"/>
        <v>0</v>
      </c>
      <c r="AF128" s="775">
        <f t="shared" si="82"/>
        <v>0</v>
      </c>
      <c r="AG128" s="775">
        <f t="shared" si="83"/>
        <v>0</v>
      </c>
      <c r="AI128" s="773">
        <v>116</v>
      </c>
      <c r="AJ128" s="774">
        <f t="shared" si="84"/>
        <v>3501</v>
      </c>
      <c r="AK128" s="775">
        <f t="shared" si="85"/>
        <v>0</v>
      </c>
      <c r="AL128" s="775">
        <f t="shared" si="64"/>
        <v>0</v>
      </c>
      <c r="AM128" s="775">
        <f t="shared" si="56"/>
        <v>0</v>
      </c>
      <c r="AN128" s="775">
        <f t="shared" si="86"/>
        <v>0</v>
      </c>
      <c r="AO128" s="775">
        <f t="shared" si="87"/>
        <v>0</v>
      </c>
      <c r="AQ128" s="773">
        <v>116</v>
      </c>
      <c r="AR128" s="774">
        <f t="shared" si="88"/>
        <v>3501</v>
      </c>
      <c r="AS128" s="775">
        <f t="shared" si="89"/>
        <v>0</v>
      </c>
      <c r="AT128" s="775">
        <f t="shared" si="65"/>
        <v>0</v>
      </c>
      <c r="AU128" s="775">
        <f t="shared" si="57"/>
        <v>0</v>
      </c>
      <c r="AV128" s="775">
        <f t="shared" si="90"/>
        <v>0</v>
      </c>
      <c r="AW128" s="775">
        <f t="shared" si="91"/>
        <v>0</v>
      </c>
      <c r="AY128" s="773">
        <v>116</v>
      </c>
      <c r="AZ128" s="774">
        <f t="shared" si="92"/>
        <v>3501</v>
      </c>
      <c r="BA128" s="775">
        <f t="shared" si="93"/>
        <v>0</v>
      </c>
      <c r="BB128" s="775">
        <f t="shared" si="66"/>
        <v>0</v>
      </c>
      <c r="BC128" s="775">
        <f t="shared" si="58"/>
        <v>0</v>
      </c>
      <c r="BD128" s="775">
        <f t="shared" si="94"/>
        <v>0</v>
      </c>
      <c r="BE128" s="775">
        <f t="shared" si="95"/>
        <v>0</v>
      </c>
      <c r="BG128" s="773">
        <v>116</v>
      </c>
      <c r="BH128" s="774">
        <f t="shared" si="96"/>
        <v>3501</v>
      </c>
      <c r="BI128" s="775">
        <f t="shared" si="97"/>
        <v>0</v>
      </c>
      <c r="BJ128" s="775">
        <f t="shared" si="67"/>
        <v>0</v>
      </c>
      <c r="BK128" s="775">
        <f t="shared" si="59"/>
        <v>0</v>
      </c>
      <c r="BL128" s="775">
        <f t="shared" si="98"/>
        <v>0</v>
      </c>
      <c r="BM128" s="775">
        <f t="shared" si="99"/>
        <v>0</v>
      </c>
    </row>
    <row r="129" spans="1:65">
      <c r="A129" s="11">
        <f t="shared" si="52"/>
        <v>1909</v>
      </c>
      <c r="B129" s="773">
        <v>117</v>
      </c>
      <c r="C129" s="774">
        <f t="shared" si="68"/>
        <v>3532</v>
      </c>
      <c r="D129" s="775">
        <f t="shared" si="69"/>
        <v>0</v>
      </c>
      <c r="E129" s="775">
        <f t="shared" si="60"/>
        <v>0</v>
      </c>
      <c r="F129" s="775">
        <f t="shared" si="50"/>
        <v>0</v>
      </c>
      <c r="G129" s="775">
        <f t="shared" si="70"/>
        <v>0</v>
      </c>
      <c r="H129" s="775">
        <f t="shared" si="71"/>
        <v>0</v>
      </c>
      <c r="I129" s="775">
        <f t="shared" si="51"/>
        <v>0</v>
      </c>
      <c r="K129" s="773">
        <v>117</v>
      </c>
      <c r="L129" s="774">
        <f t="shared" si="72"/>
        <v>3532</v>
      </c>
      <c r="M129" s="775">
        <f t="shared" si="73"/>
        <v>0</v>
      </c>
      <c r="N129" s="775">
        <f t="shared" si="61"/>
        <v>0</v>
      </c>
      <c r="O129" s="775">
        <f t="shared" si="53"/>
        <v>0</v>
      </c>
      <c r="P129" s="775">
        <f t="shared" si="74"/>
        <v>0</v>
      </c>
      <c r="Q129" s="775">
        <f t="shared" si="75"/>
        <v>0</v>
      </c>
      <c r="S129" s="773">
        <v>117</v>
      </c>
      <c r="T129" s="774">
        <f t="shared" si="76"/>
        <v>3532</v>
      </c>
      <c r="U129" s="775">
        <f t="shared" si="77"/>
        <v>0</v>
      </c>
      <c r="V129" s="775">
        <f t="shared" si="62"/>
        <v>0</v>
      </c>
      <c r="W129" s="775">
        <f t="shared" si="54"/>
        <v>0</v>
      </c>
      <c r="X129" s="775">
        <f t="shared" si="78"/>
        <v>0</v>
      </c>
      <c r="Y129" s="775">
        <f t="shared" si="79"/>
        <v>0</v>
      </c>
      <c r="AA129" s="773">
        <v>117</v>
      </c>
      <c r="AB129" s="774">
        <f t="shared" si="80"/>
        <v>3532</v>
      </c>
      <c r="AC129" s="775">
        <f t="shared" si="81"/>
        <v>0</v>
      </c>
      <c r="AD129" s="775">
        <f t="shared" si="63"/>
        <v>0</v>
      </c>
      <c r="AE129" s="775">
        <f t="shared" si="55"/>
        <v>0</v>
      </c>
      <c r="AF129" s="775">
        <f t="shared" si="82"/>
        <v>0</v>
      </c>
      <c r="AG129" s="775">
        <f t="shared" si="83"/>
        <v>0</v>
      </c>
      <c r="AI129" s="773">
        <v>117</v>
      </c>
      <c r="AJ129" s="774">
        <f t="shared" si="84"/>
        <v>3532</v>
      </c>
      <c r="AK129" s="775">
        <f t="shared" si="85"/>
        <v>0</v>
      </c>
      <c r="AL129" s="775">
        <f t="shared" si="64"/>
        <v>0</v>
      </c>
      <c r="AM129" s="775">
        <f t="shared" si="56"/>
        <v>0</v>
      </c>
      <c r="AN129" s="775">
        <f t="shared" si="86"/>
        <v>0</v>
      </c>
      <c r="AO129" s="775">
        <f t="shared" si="87"/>
        <v>0</v>
      </c>
      <c r="AQ129" s="773">
        <v>117</v>
      </c>
      <c r="AR129" s="774">
        <f t="shared" si="88"/>
        <v>3532</v>
      </c>
      <c r="AS129" s="775">
        <f t="shared" si="89"/>
        <v>0</v>
      </c>
      <c r="AT129" s="775">
        <f t="shared" si="65"/>
        <v>0</v>
      </c>
      <c r="AU129" s="775">
        <f t="shared" si="57"/>
        <v>0</v>
      </c>
      <c r="AV129" s="775">
        <f t="shared" si="90"/>
        <v>0</v>
      </c>
      <c r="AW129" s="775">
        <f t="shared" si="91"/>
        <v>0</v>
      </c>
      <c r="AY129" s="773">
        <v>117</v>
      </c>
      <c r="AZ129" s="774">
        <f t="shared" si="92"/>
        <v>3532</v>
      </c>
      <c r="BA129" s="775">
        <f t="shared" si="93"/>
        <v>0</v>
      </c>
      <c r="BB129" s="775">
        <f t="shared" si="66"/>
        <v>0</v>
      </c>
      <c r="BC129" s="775">
        <f t="shared" si="58"/>
        <v>0</v>
      </c>
      <c r="BD129" s="775">
        <f t="shared" si="94"/>
        <v>0</v>
      </c>
      <c r="BE129" s="775">
        <f t="shared" si="95"/>
        <v>0</v>
      </c>
      <c r="BG129" s="773">
        <v>117</v>
      </c>
      <c r="BH129" s="774">
        <f t="shared" si="96"/>
        <v>3532</v>
      </c>
      <c r="BI129" s="775">
        <f t="shared" si="97"/>
        <v>0</v>
      </c>
      <c r="BJ129" s="775">
        <f t="shared" si="67"/>
        <v>0</v>
      </c>
      <c r="BK129" s="775">
        <f t="shared" si="59"/>
        <v>0</v>
      </c>
      <c r="BL129" s="775">
        <f t="shared" si="98"/>
        <v>0</v>
      </c>
      <c r="BM129" s="775">
        <f t="shared" si="99"/>
        <v>0</v>
      </c>
    </row>
    <row r="130" spans="1:65">
      <c r="A130" s="11">
        <f t="shared" si="52"/>
        <v>1909</v>
      </c>
      <c r="B130" s="773">
        <v>118</v>
      </c>
      <c r="C130" s="774">
        <f t="shared" si="68"/>
        <v>3562</v>
      </c>
      <c r="D130" s="775">
        <f t="shared" si="69"/>
        <v>0</v>
      </c>
      <c r="E130" s="775">
        <f t="shared" si="60"/>
        <v>0</v>
      </c>
      <c r="F130" s="775">
        <f t="shared" si="50"/>
        <v>0</v>
      </c>
      <c r="G130" s="775">
        <f t="shared" si="70"/>
        <v>0</v>
      </c>
      <c r="H130" s="775">
        <f t="shared" si="71"/>
        <v>0</v>
      </c>
      <c r="I130" s="775">
        <f t="shared" si="51"/>
        <v>0</v>
      </c>
      <c r="K130" s="773">
        <v>118</v>
      </c>
      <c r="L130" s="774">
        <f t="shared" si="72"/>
        <v>3562</v>
      </c>
      <c r="M130" s="775">
        <f t="shared" si="73"/>
        <v>0</v>
      </c>
      <c r="N130" s="775">
        <f t="shared" si="61"/>
        <v>0</v>
      </c>
      <c r="O130" s="775">
        <f t="shared" si="53"/>
        <v>0</v>
      </c>
      <c r="P130" s="775">
        <f t="shared" si="74"/>
        <v>0</v>
      </c>
      <c r="Q130" s="775">
        <f t="shared" si="75"/>
        <v>0</v>
      </c>
      <c r="S130" s="773">
        <v>118</v>
      </c>
      <c r="T130" s="774">
        <f t="shared" si="76"/>
        <v>3562</v>
      </c>
      <c r="U130" s="775">
        <f t="shared" si="77"/>
        <v>0</v>
      </c>
      <c r="V130" s="775">
        <f t="shared" si="62"/>
        <v>0</v>
      </c>
      <c r="W130" s="775">
        <f t="shared" si="54"/>
        <v>0</v>
      </c>
      <c r="X130" s="775">
        <f t="shared" si="78"/>
        <v>0</v>
      </c>
      <c r="Y130" s="775">
        <f t="shared" si="79"/>
        <v>0</v>
      </c>
      <c r="AA130" s="773">
        <v>118</v>
      </c>
      <c r="AB130" s="774">
        <f t="shared" si="80"/>
        <v>3562</v>
      </c>
      <c r="AC130" s="775">
        <f t="shared" si="81"/>
        <v>0</v>
      </c>
      <c r="AD130" s="775">
        <f t="shared" si="63"/>
        <v>0</v>
      </c>
      <c r="AE130" s="775">
        <f t="shared" si="55"/>
        <v>0</v>
      </c>
      <c r="AF130" s="775">
        <f t="shared" si="82"/>
        <v>0</v>
      </c>
      <c r="AG130" s="775">
        <f t="shared" si="83"/>
        <v>0</v>
      </c>
      <c r="AI130" s="773">
        <v>118</v>
      </c>
      <c r="AJ130" s="774">
        <f t="shared" si="84"/>
        <v>3562</v>
      </c>
      <c r="AK130" s="775">
        <f t="shared" si="85"/>
        <v>0</v>
      </c>
      <c r="AL130" s="775">
        <f t="shared" si="64"/>
        <v>0</v>
      </c>
      <c r="AM130" s="775">
        <f t="shared" si="56"/>
        <v>0</v>
      </c>
      <c r="AN130" s="775">
        <f t="shared" si="86"/>
        <v>0</v>
      </c>
      <c r="AO130" s="775">
        <f t="shared" si="87"/>
        <v>0</v>
      </c>
      <c r="AQ130" s="773">
        <v>118</v>
      </c>
      <c r="AR130" s="774">
        <f t="shared" si="88"/>
        <v>3562</v>
      </c>
      <c r="AS130" s="775">
        <f t="shared" si="89"/>
        <v>0</v>
      </c>
      <c r="AT130" s="775">
        <f t="shared" si="65"/>
        <v>0</v>
      </c>
      <c r="AU130" s="775">
        <f t="shared" si="57"/>
        <v>0</v>
      </c>
      <c r="AV130" s="775">
        <f t="shared" si="90"/>
        <v>0</v>
      </c>
      <c r="AW130" s="775">
        <f t="shared" si="91"/>
        <v>0</v>
      </c>
      <c r="AY130" s="773">
        <v>118</v>
      </c>
      <c r="AZ130" s="774">
        <f t="shared" si="92"/>
        <v>3562</v>
      </c>
      <c r="BA130" s="775">
        <f t="shared" si="93"/>
        <v>0</v>
      </c>
      <c r="BB130" s="775">
        <f t="shared" si="66"/>
        <v>0</v>
      </c>
      <c r="BC130" s="775">
        <f t="shared" si="58"/>
        <v>0</v>
      </c>
      <c r="BD130" s="775">
        <f t="shared" si="94"/>
        <v>0</v>
      </c>
      <c r="BE130" s="775">
        <f t="shared" si="95"/>
        <v>0</v>
      </c>
      <c r="BG130" s="773">
        <v>118</v>
      </c>
      <c r="BH130" s="774">
        <f t="shared" si="96"/>
        <v>3562</v>
      </c>
      <c r="BI130" s="775">
        <f t="shared" si="97"/>
        <v>0</v>
      </c>
      <c r="BJ130" s="775">
        <f t="shared" si="67"/>
        <v>0</v>
      </c>
      <c r="BK130" s="775">
        <f t="shared" si="59"/>
        <v>0</v>
      </c>
      <c r="BL130" s="775">
        <f t="shared" si="98"/>
        <v>0</v>
      </c>
      <c r="BM130" s="775">
        <f t="shared" si="99"/>
        <v>0</v>
      </c>
    </row>
    <row r="131" spans="1:65">
      <c r="A131" s="11">
        <f t="shared" si="52"/>
        <v>1909</v>
      </c>
      <c r="B131" s="773">
        <v>119</v>
      </c>
      <c r="C131" s="774">
        <f t="shared" si="68"/>
        <v>3593</v>
      </c>
      <c r="D131" s="775">
        <f t="shared" si="69"/>
        <v>0</v>
      </c>
      <c r="E131" s="775">
        <f t="shared" si="60"/>
        <v>0</v>
      </c>
      <c r="F131" s="775">
        <f t="shared" si="50"/>
        <v>0</v>
      </c>
      <c r="G131" s="775">
        <f t="shared" si="70"/>
        <v>0</v>
      </c>
      <c r="H131" s="775">
        <f t="shared" si="71"/>
        <v>0</v>
      </c>
      <c r="I131" s="775">
        <f t="shared" si="51"/>
        <v>0</v>
      </c>
      <c r="K131" s="773">
        <v>119</v>
      </c>
      <c r="L131" s="774">
        <f t="shared" si="72"/>
        <v>3593</v>
      </c>
      <c r="M131" s="775">
        <f t="shared" si="73"/>
        <v>0</v>
      </c>
      <c r="N131" s="775">
        <f t="shared" si="61"/>
        <v>0</v>
      </c>
      <c r="O131" s="775">
        <f t="shared" si="53"/>
        <v>0</v>
      </c>
      <c r="P131" s="775">
        <f t="shared" si="74"/>
        <v>0</v>
      </c>
      <c r="Q131" s="775">
        <f t="shared" si="75"/>
        <v>0</v>
      </c>
      <c r="S131" s="773">
        <v>119</v>
      </c>
      <c r="T131" s="774">
        <f t="shared" si="76"/>
        <v>3593</v>
      </c>
      <c r="U131" s="775">
        <f t="shared" si="77"/>
        <v>0</v>
      </c>
      <c r="V131" s="775">
        <f t="shared" si="62"/>
        <v>0</v>
      </c>
      <c r="W131" s="775">
        <f t="shared" si="54"/>
        <v>0</v>
      </c>
      <c r="X131" s="775">
        <f t="shared" si="78"/>
        <v>0</v>
      </c>
      <c r="Y131" s="775">
        <f t="shared" si="79"/>
        <v>0</v>
      </c>
      <c r="AA131" s="773">
        <v>119</v>
      </c>
      <c r="AB131" s="774">
        <f t="shared" si="80"/>
        <v>3593</v>
      </c>
      <c r="AC131" s="775">
        <f t="shared" si="81"/>
        <v>0</v>
      </c>
      <c r="AD131" s="775">
        <f t="shared" si="63"/>
        <v>0</v>
      </c>
      <c r="AE131" s="775">
        <f t="shared" si="55"/>
        <v>0</v>
      </c>
      <c r="AF131" s="775">
        <f t="shared" si="82"/>
        <v>0</v>
      </c>
      <c r="AG131" s="775">
        <f t="shared" si="83"/>
        <v>0</v>
      </c>
      <c r="AI131" s="773">
        <v>119</v>
      </c>
      <c r="AJ131" s="774">
        <f t="shared" si="84"/>
        <v>3593</v>
      </c>
      <c r="AK131" s="775">
        <f t="shared" si="85"/>
        <v>0</v>
      </c>
      <c r="AL131" s="775">
        <f t="shared" si="64"/>
        <v>0</v>
      </c>
      <c r="AM131" s="775">
        <f t="shared" si="56"/>
        <v>0</v>
      </c>
      <c r="AN131" s="775">
        <f t="shared" si="86"/>
        <v>0</v>
      </c>
      <c r="AO131" s="775">
        <f t="shared" si="87"/>
        <v>0</v>
      </c>
      <c r="AQ131" s="773">
        <v>119</v>
      </c>
      <c r="AR131" s="774">
        <f t="shared" si="88"/>
        <v>3593</v>
      </c>
      <c r="AS131" s="775">
        <f t="shared" si="89"/>
        <v>0</v>
      </c>
      <c r="AT131" s="775">
        <f t="shared" si="65"/>
        <v>0</v>
      </c>
      <c r="AU131" s="775">
        <f t="shared" si="57"/>
        <v>0</v>
      </c>
      <c r="AV131" s="775">
        <f t="shared" si="90"/>
        <v>0</v>
      </c>
      <c r="AW131" s="775">
        <f t="shared" si="91"/>
        <v>0</v>
      </c>
      <c r="AY131" s="773">
        <v>119</v>
      </c>
      <c r="AZ131" s="774">
        <f t="shared" si="92"/>
        <v>3593</v>
      </c>
      <c r="BA131" s="775">
        <f t="shared" si="93"/>
        <v>0</v>
      </c>
      <c r="BB131" s="775">
        <f t="shared" si="66"/>
        <v>0</v>
      </c>
      <c r="BC131" s="775">
        <f t="shared" si="58"/>
        <v>0</v>
      </c>
      <c r="BD131" s="775">
        <f t="shared" si="94"/>
        <v>0</v>
      </c>
      <c r="BE131" s="775">
        <f t="shared" si="95"/>
        <v>0</v>
      </c>
      <c r="BG131" s="773">
        <v>119</v>
      </c>
      <c r="BH131" s="774">
        <f t="shared" si="96"/>
        <v>3593</v>
      </c>
      <c r="BI131" s="775">
        <f t="shared" si="97"/>
        <v>0</v>
      </c>
      <c r="BJ131" s="775">
        <f t="shared" si="67"/>
        <v>0</v>
      </c>
      <c r="BK131" s="775">
        <f t="shared" si="59"/>
        <v>0</v>
      </c>
      <c r="BL131" s="775">
        <f t="shared" si="98"/>
        <v>0</v>
      </c>
      <c r="BM131" s="775">
        <f t="shared" si="99"/>
        <v>0</v>
      </c>
    </row>
    <row r="132" spans="1:65">
      <c r="A132" s="11">
        <f t="shared" si="52"/>
        <v>1909</v>
      </c>
      <c r="B132" s="773">
        <v>120</v>
      </c>
      <c r="C132" s="774">
        <f t="shared" si="68"/>
        <v>3623</v>
      </c>
      <c r="D132" s="775">
        <f t="shared" si="69"/>
        <v>0</v>
      </c>
      <c r="E132" s="775">
        <f t="shared" si="60"/>
        <v>0</v>
      </c>
      <c r="F132" s="775">
        <f t="shared" si="50"/>
        <v>0</v>
      </c>
      <c r="G132" s="775">
        <f t="shared" si="70"/>
        <v>0</v>
      </c>
      <c r="H132" s="775">
        <f t="shared" si="71"/>
        <v>0</v>
      </c>
      <c r="I132" s="775">
        <f t="shared" si="51"/>
        <v>0</v>
      </c>
      <c r="K132" s="773">
        <v>120</v>
      </c>
      <c r="L132" s="774">
        <f t="shared" si="72"/>
        <v>3623</v>
      </c>
      <c r="M132" s="775">
        <f t="shared" si="73"/>
        <v>0</v>
      </c>
      <c r="N132" s="775">
        <f t="shared" si="61"/>
        <v>0</v>
      </c>
      <c r="O132" s="775">
        <f t="shared" si="53"/>
        <v>0</v>
      </c>
      <c r="P132" s="775">
        <f t="shared" si="74"/>
        <v>0</v>
      </c>
      <c r="Q132" s="775">
        <f t="shared" si="75"/>
        <v>0</v>
      </c>
      <c r="S132" s="773">
        <v>120</v>
      </c>
      <c r="T132" s="774">
        <f t="shared" si="76"/>
        <v>3623</v>
      </c>
      <c r="U132" s="775">
        <f t="shared" si="77"/>
        <v>0</v>
      </c>
      <c r="V132" s="775">
        <f t="shared" si="62"/>
        <v>0</v>
      </c>
      <c r="W132" s="775">
        <f t="shared" si="54"/>
        <v>0</v>
      </c>
      <c r="X132" s="775">
        <f t="shared" si="78"/>
        <v>0</v>
      </c>
      <c r="Y132" s="775">
        <f t="shared" si="79"/>
        <v>0</v>
      </c>
      <c r="AA132" s="773">
        <v>120</v>
      </c>
      <c r="AB132" s="774">
        <f t="shared" si="80"/>
        <v>3623</v>
      </c>
      <c r="AC132" s="775">
        <f t="shared" si="81"/>
        <v>0</v>
      </c>
      <c r="AD132" s="775">
        <f t="shared" si="63"/>
        <v>0</v>
      </c>
      <c r="AE132" s="775">
        <f t="shared" si="55"/>
        <v>0</v>
      </c>
      <c r="AF132" s="775">
        <f t="shared" si="82"/>
        <v>0</v>
      </c>
      <c r="AG132" s="775">
        <f t="shared" si="83"/>
        <v>0</v>
      </c>
      <c r="AI132" s="773">
        <v>120</v>
      </c>
      <c r="AJ132" s="774">
        <f t="shared" si="84"/>
        <v>3623</v>
      </c>
      <c r="AK132" s="775">
        <f t="shared" si="85"/>
        <v>0</v>
      </c>
      <c r="AL132" s="775">
        <f t="shared" si="64"/>
        <v>0</v>
      </c>
      <c r="AM132" s="775">
        <f t="shared" si="56"/>
        <v>0</v>
      </c>
      <c r="AN132" s="775">
        <f t="shared" si="86"/>
        <v>0</v>
      </c>
      <c r="AO132" s="775">
        <f t="shared" si="87"/>
        <v>0</v>
      </c>
      <c r="AQ132" s="773">
        <v>120</v>
      </c>
      <c r="AR132" s="774">
        <f t="shared" si="88"/>
        <v>3623</v>
      </c>
      <c r="AS132" s="775">
        <f t="shared" si="89"/>
        <v>0</v>
      </c>
      <c r="AT132" s="775">
        <f t="shared" si="65"/>
        <v>0</v>
      </c>
      <c r="AU132" s="775">
        <f t="shared" si="57"/>
        <v>0</v>
      </c>
      <c r="AV132" s="775">
        <f t="shared" si="90"/>
        <v>0</v>
      </c>
      <c r="AW132" s="775">
        <f t="shared" si="91"/>
        <v>0</v>
      </c>
      <c r="AY132" s="773">
        <v>120</v>
      </c>
      <c r="AZ132" s="774">
        <f t="shared" si="92"/>
        <v>3623</v>
      </c>
      <c r="BA132" s="775">
        <f t="shared" si="93"/>
        <v>0</v>
      </c>
      <c r="BB132" s="775">
        <f t="shared" si="66"/>
        <v>0</v>
      </c>
      <c r="BC132" s="775">
        <f t="shared" si="58"/>
        <v>0</v>
      </c>
      <c r="BD132" s="775">
        <f t="shared" si="94"/>
        <v>0</v>
      </c>
      <c r="BE132" s="775">
        <f t="shared" si="95"/>
        <v>0</v>
      </c>
      <c r="BG132" s="773">
        <v>120</v>
      </c>
      <c r="BH132" s="774">
        <f t="shared" si="96"/>
        <v>3623</v>
      </c>
      <c r="BI132" s="775">
        <f t="shared" si="97"/>
        <v>0</v>
      </c>
      <c r="BJ132" s="775">
        <f t="shared" si="67"/>
        <v>0</v>
      </c>
      <c r="BK132" s="775">
        <f t="shared" si="59"/>
        <v>0</v>
      </c>
      <c r="BL132" s="775">
        <f t="shared" si="98"/>
        <v>0</v>
      </c>
      <c r="BM132" s="775">
        <f t="shared" si="99"/>
        <v>0</v>
      </c>
    </row>
    <row r="133" spans="1:65">
      <c r="A133" s="11">
        <f t="shared" si="52"/>
        <v>1910</v>
      </c>
      <c r="B133" s="773">
        <v>121</v>
      </c>
      <c r="C133" s="774">
        <f t="shared" si="68"/>
        <v>3654</v>
      </c>
      <c r="D133" s="775">
        <f t="shared" si="69"/>
        <v>0</v>
      </c>
      <c r="E133" s="775">
        <f t="shared" si="60"/>
        <v>0</v>
      </c>
      <c r="F133" s="775">
        <f t="shared" si="50"/>
        <v>0</v>
      </c>
      <c r="G133" s="775">
        <f t="shared" si="70"/>
        <v>0</v>
      </c>
      <c r="H133" s="775">
        <f t="shared" si="71"/>
        <v>0</v>
      </c>
      <c r="I133" s="775">
        <f t="shared" si="51"/>
        <v>0</v>
      </c>
      <c r="K133" s="773">
        <v>121</v>
      </c>
      <c r="L133" s="774">
        <f t="shared" si="72"/>
        <v>3654</v>
      </c>
      <c r="M133" s="775">
        <f t="shared" si="73"/>
        <v>0</v>
      </c>
      <c r="N133" s="775">
        <f t="shared" si="61"/>
        <v>0</v>
      </c>
      <c r="O133" s="775">
        <f t="shared" si="53"/>
        <v>0</v>
      </c>
      <c r="P133" s="775">
        <f t="shared" si="74"/>
        <v>0</v>
      </c>
      <c r="Q133" s="775">
        <f t="shared" si="75"/>
        <v>0</v>
      </c>
      <c r="S133" s="773">
        <v>121</v>
      </c>
      <c r="T133" s="774">
        <f t="shared" si="76"/>
        <v>3654</v>
      </c>
      <c r="U133" s="775">
        <f t="shared" si="77"/>
        <v>0</v>
      </c>
      <c r="V133" s="775">
        <f t="shared" si="62"/>
        <v>0</v>
      </c>
      <c r="W133" s="775">
        <f t="shared" si="54"/>
        <v>0</v>
      </c>
      <c r="X133" s="775">
        <f t="shared" si="78"/>
        <v>0</v>
      </c>
      <c r="Y133" s="775">
        <f t="shared" si="79"/>
        <v>0</v>
      </c>
      <c r="AA133" s="773">
        <v>121</v>
      </c>
      <c r="AB133" s="774">
        <f t="shared" si="80"/>
        <v>3654</v>
      </c>
      <c r="AC133" s="775">
        <f t="shared" si="81"/>
        <v>0</v>
      </c>
      <c r="AD133" s="775">
        <f t="shared" si="63"/>
        <v>0</v>
      </c>
      <c r="AE133" s="775">
        <f t="shared" si="55"/>
        <v>0</v>
      </c>
      <c r="AF133" s="775">
        <f t="shared" si="82"/>
        <v>0</v>
      </c>
      <c r="AG133" s="775">
        <f t="shared" si="83"/>
        <v>0</v>
      </c>
      <c r="AI133" s="773">
        <v>121</v>
      </c>
      <c r="AJ133" s="774">
        <f t="shared" si="84"/>
        <v>3654</v>
      </c>
      <c r="AK133" s="775">
        <f t="shared" si="85"/>
        <v>0</v>
      </c>
      <c r="AL133" s="775">
        <f t="shared" si="64"/>
        <v>0</v>
      </c>
      <c r="AM133" s="775">
        <f t="shared" si="56"/>
        <v>0</v>
      </c>
      <c r="AN133" s="775">
        <f t="shared" si="86"/>
        <v>0</v>
      </c>
      <c r="AO133" s="775">
        <f t="shared" si="87"/>
        <v>0</v>
      </c>
      <c r="AQ133" s="773">
        <v>121</v>
      </c>
      <c r="AR133" s="774">
        <f t="shared" si="88"/>
        <v>3654</v>
      </c>
      <c r="AS133" s="775">
        <f t="shared" si="89"/>
        <v>0</v>
      </c>
      <c r="AT133" s="775">
        <f t="shared" si="65"/>
        <v>0</v>
      </c>
      <c r="AU133" s="775">
        <f t="shared" si="57"/>
        <v>0</v>
      </c>
      <c r="AV133" s="775">
        <f t="shared" si="90"/>
        <v>0</v>
      </c>
      <c r="AW133" s="775">
        <f t="shared" si="91"/>
        <v>0</v>
      </c>
      <c r="AY133" s="773">
        <v>121</v>
      </c>
      <c r="AZ133" s="774">
        <f t="shared" si="92"/>
        <v>3654</v>
      </c>
      <c r="BA133" s="775">
        <f t="shared" si="93"/>
        <v>0</v>
      </c>
      <c r="BB133" s="775">
        <f t="shared" si="66"/>
        <v>0</v>
      </c>
      <c r="BC133" s="775">
        <f t="shared" si="58"/>
        <v>0</v>
      </c>
      <c r="BD133" s="775">
        <f t="shared" si="94"/>
        <v>0</v>
      </c>
      <c r="BE133" s="775">
        <f t="shared" si="95"/>
        <v>0</v>
      </c>
      <c r="BG133" s="773">
        <v>121</v>
      </c>
      <c r="BH133" s="774">
        <f t="shared" si="96"/>
        <v>3654</v>
      </c>
      <c r="BI133" s="775">
        <f t="shared" si="97"/>
        <v>0</v>
      </c>
      <c r="BJ133" s="775">
        <f t="shared" si="67"/>
        <v>0</v>
      </c>
      <c r="BK133" s="775">
        <f t="shared" si="59"/>
        <v>0</v>
      </c>
      <c r="BL133" s="775">
        <f t="shared" si="98"/>
        <v>0</v>
      </c>
      <c r="BM133" s="775">
        <f t="shared" si="99"/>
        <v>0</v>
      </c>
    </row>
    <row r="134" spans="1:65">
      <c r="A134" s="11">
        <f t="shared" si="52"/>
        <v>1910</v>
      </c>
      <c r="B134" s="773">
        <v>122</v>
      </c>
      <c r="C134" s="774">
        <f t="shared" si="68"/>
        <v>3685</v>
      </c>
      <c r="D134" s="775">
        <f t="shared" si="69"/>
        <v>0</v>
      </c>
      <c r="E134" s="775">
        <f t="shared" si="60"/>
        <v>0</v>
      </c>
      <c r="F134" s="775">
        <f t="shared" si="50"/>
        <v>0</v>
      </c>
      <c r="G134" s="775">
        <f t="shared" si="70"/>
        <v>0</v>
      </c>
      <c r="H134" s="775">
        <f t="shared" si="71"/>
        <v>0</v>
      </c>
      <c r="I134" s="775">
        <f t="shared" si="51"/>
        <v>0</v>
      </c>
      <c r="K134" s="773">
        <v>122</v>
      </c>
      <c r="L134" s="774">
        <f t="shared" si="72"/>
        <v>3685</v>
      </c>
      <c r="M134" s="775">
        <f t="shared" si="73"/>
        <v>0</v>
      </c>
      <c r="N134" s="775">
        <f t="shared" si="61"/>
        <v>0</v>
      </c>
      <c r="O134" s="775">
        <f t="shared" si="53"/>
        <v>0</v>
      </c>
      <c r="P134" s="775">
        <f t="shared" si="74"/>
        <v>0</v>
      </c>
      <c r="Q134" s="775">
        <f t="shared" si="75"/>
        <v>0</v>
      </c>
      <c r="S134" s="773">
        <v>122</v>
      </c>
      <c r="T134" s="774">
        <f t="shared" si="76"/>
        <v>3685</v>
      </c>
      <c r="U134" s="775">
        <f t="shared" si="77"/>
        <v>0</v>
      </c>
      <c r="V134" s="775">
        <f t="shared" si="62"/>
        <v>0</v>
      </c>
      <c r="W134" s="775">
        <f t="shared" si="54"/>
        <v>0</v>
      </c>
      <c r="X134" s="775">
        <f t="shared" si="78"/>
        <v>0</v>
      </c>
      <c r="Y134" s="775">
        <f t="shared" si="79"/>
        <v>0</v>
      </c>
      <c r="AA134" s="773">
        <v>122</v>
      </c>
      <c r="AB134" s="774">
        <f t="shared" si="80"/>
        <v>3685</v>
      </c>
      <c r="AC134" s="775">
        <f t="shared" si="81"/>
        <v>0</v>
      </c>
      <c r="AD134" s="775">
        <f t="shared" si="63"/>
        <v>0</v>
      </c>
      <c r="AE134" s="775">
        <f t="shared" si="55"/>
        <v>0</v>
      </c>
      <c r="AF134" s="775">
        <f t="shared" si="82"/>
        <v>0</v>
      </c>
      <c r="AG134" s="775">
        <f t="shared" si="83"/>
        <v>0</v>
      </c>
      <c r="AI134" s="773">
        <v>122</v>
      </c>
      <c r="AJ134" s="774">
        <f t="shared" si="84"/>
        <v>3685</v>
      </c>
      <c r="AK134" s="775">
        <f t="shared" si="85"/>
        <v>0</v>
      </c>
      <c r="AL134" s="775">
        <f t="shared" si="64"/>
        <v>0</v>
      </c>
      <c r="AM134" s="775">
        <f t="shared" si="56"/>
        <v>0</v>
      </c>
      <c r="AN134" s="775">
        <f t="shared" si="86"/>
        <v>0</v>
      </c>
      <c r="AO134" s="775">
        <f t="shared" si="87"/>
        <v>0</v>
      </c>
      <c r="AQ134" s="773">
        <v>122</v>
      </c>
      <c r="AR134" s="774">
        <f t="shared" si="88"/>
        <v>3685</v>
      </c>
      <c r="AS134" s="775">
        <f t="shared" si="89"/>
        <v>0</v>
      </c>
      <c r="AT134" s="775">
        <f t="shared" si="65"/>
        <v>0</v>
      </c>
      <c r="AU134" s="775">
        <f t="shared" si="57"/>
        <v>0</v>
      </c>
      <c r="AV134" s="775">
        <f t="shared" si="90"/>
        <v>0</v>
      </c>
      <c r="AW134" s="775">
        <f t="shared" si="91"/>
        <v>0</v>
      </c>
      <c r="AY134" s="773">
        <v>122</v>
      </c>
      <c r="AZ134" s="774">
        <f t="shared" si="92"/>
        <v>3685</v>
      </c>
      <c r="BA134" s="775">
        <f t="shared" si="93"/>
        <v>0</v>
      </c>
      <c r="BB134" s="775">
        <f t="shared" si="66"/>
        <v>0</v>
      </c>
      <c r="BC134" s="775">
        <f t="shared" si="58"/>
        <v>0</v>
      </c>
      <c r="BD134" s="775">
        <f t="shared" si="94"/>
        <v>0</v>
      </c>
      <c r="BE134" s="775">
        <f t="shared" si="95"/>
        <v>0</v>
      </c>
      <c r="BG134" s="773">
        <v>122</v>
      </c>
      <c r="BH134" s="774">
        <f t="shared" si="96"/>
        <v>3685</v>
      </c>
      <c r="BI134" s="775">
        <f t="shared" si="97"/>
        <v>0</v>
      </c>
      <c r="BJ134" s="775">
        <f t="shared" si="67"/>
        <v>0</v>
      </c>
      <c r="BK134" s="775">
        <f t="shared" si="59"/>
        <v>0</v>
      </c>
      <c r="BL134" s="775">
        <f t="shared" si="98"/>
        <v>0</v>
      </c>
      <c r="BM134" s="775">
        <f t="shared" si="99"/>
        <v>0</v>
      </c>
    </row>
    <row r="135" spans="1:65">
      <c r="A135" s="11">
        <f t="shared" si="52"/>
        <v>1910</v>
      </c>
      <c r="B135" s="773">
        <v>123</v>
      </c>
      <c r="C135" s="774">
        <f t="shared" si="68"/>
        <v>3713</v>
      </c>
      <c r="D135" s="775">
        <f t="shared" si="69"/>
        <v>0</v>
      </c>
      <c r="E135" s="775">
        <f t="shared" si="60"/>
        <v>0</v>
      </c>
      <c r="F135" s="775">
        <f t="shared" si="50"/>
        <v>0</v>
      </c>
      <c r="G135" s="775">
        <f t="shared" si="70"/>
        <v>0</v>
      </c>
      <c r="H135" s="775">
        <f t="shared" si="71"/>
        <v>0</v>
      </c>
      <c r="I135" s="775">
        <f t="shared" si="51"/>
        <v>0</v>
      </c>
      <c r="K135" s="773">
        <v>123</v>
      </c>
      <c r="L135" s="774">
        <f t="shared" si="72"/>
        <v>3713</v>
      </c>
      <c r="M135" s="775">
        <f t="shared" si="73"/>
        <v>0</v>
      </c>
      <c r="N135" s="775">
        <f t="shared" si="61"/>
        <v>0</v>
      </c>
      <c r="O135" s="775">
        <f t="shared" si="53"/>
        <v>0</v>
      </c>
      <c r="P135" s="775">
        <f t="shared" si="74"/>
        <v>0</v>
      </c>
      <c r="Q135" s="775">
        <f t="shared" si="75"/>
        <v>0</v>
      </c>
      <c r="S135" s="773">
        <v>123</v>
      </c>
      <c r="T135" s="774">
        <f t="shared" si="76"/>
        <v>3713</v>
      </c>
      <c r="U135" s="775">
        <f t="shared" si="77"/>
        <v>0</v>
      </c>
      <c r="V135" s="775">
        <f t="shared" si="62"/>
        <v>0</v>
      </c>
      <c r="W135" s="775">
        <f t="shared" si="54"/>
        <v>0</v>
      </c>
      <c r="X135" s="775">
        <f t="shared" si="78"/>
        <v>0</v>
      </c>
      <c r="Y135" s="775">
        <f t="shared" si="79"/>
        <v>0</v>
      </c>
      <c r="AA135" s="773">
        <v>123</v>
      </c>
      <c r="AB135" s="774">
        <f t="shared" si="80"/>
        <v>3713</v>
      </c>
      <c r="AC135" s="775">
        <f t="shared" si="81"/>
        <v>0</v>
      </c>
      <c r="AD135" s="775">
        <f t="shared" si="63"/>
        <v>0</v>
      </c>
      <c r="AE135" s="775">
        <f t="shared" si="55"/>
        <v>0</v>
      </c>
      <c r="AF135" s="775">
        <f t="shared" si="82"/>
        <v>0</v>
      </c>
      <c r="AG135" s="775">
        <f t="shared" si="83"/>
        <v>0</v>
      </c>
      <c r="AI135" s="773">
        <v>123</v>
      </c>
      <c r="AJ135" s="774">
        <f t="shared" si="84"/>
        <v>3713</v>
      </c>
      <c r="AK135" s="775">
        <f t="shared" si="85"/>
        <v>0</v>
      </c>
      <c r="AL135" s="775">
        <f t="shared" si="64"/>
        <v>0</v>
      </c>
      <c r="AM135" s="775">
        <f t="shared" si="56"/>
        <v>0</v>
      </c>
      <c r="AN135" s="775">
        <f t="shared" si="86"/>
        <v>0</v>
      </c>
      <c r="AO135" s="775">
        <f t="shared" si="87"/>
        <v>0</v>
      </c>
      <c r="AQ135" s="773">
        <v>123</v>
      </c>
      <c r="AR135" s="774">
        <f t="shared" si="88"/>
        <v>3713</v>
      </c>
      <c r="AS135" s="775">
        <f t="shared" si="89"/>
        <v>0</v>
      </c>
      <c r="AT135" s="775">
        <f t="shared" si="65"/>
        <v>0</v>
      </c>
      <c r="AU135" s="775">
        <f t="shared" si="57"/>
        <v>0</v>
      </c>
      <c r="AV135" s="775">
        <f t="shared" si="90"/>
        <v>0</v>
      </c>
      <c r="AW135" s="775">
        <f t="shared" si="91"/>
        <v>0</v>
      </c>
      <c r="AY135" s="773">
        <v>123</v>
      </c>
      <c r="AZ135" s="774">
        <f t="shared" si="92"/>
        <v>3713</v>
      </c>
      <c r="BA135" s="775">
        <f t="shared" si="93"/>
        <v>0</v>
      </c>
      <c r="BB135" s="775">
        <f t="shared" si="66"/>
        <v>0</v>
      </c>
      <c r="BC135" s="775">
        <f t="shared" si="58"/>
        <v>0</v>
      </c>
      <c r="BD135" s="775">
        <f t="shared" si="94"/>
        <v>0</v>
      </c>
      <c r="BE135" s="775">
        <f t="shared" si="95"/>
        <v>0</v>
      </c>
      <c r="BG135" s="773">
        <v>123</v>
      </c>
      <c r="BH135" s="774">
        <f t="shared" si="96"/>
        <v>3713</v>
      </c>
      <c r="BI135" s="775">
        <f t="shared" si="97"/>
        <v>0</v>
      </c>
      <c r="BJ135" s="775">
        <f t="shared" si="67"/>
        <v>0</v>
      </c>
      <c r="BK135" s="775">
        <f t="shared" si="59"/>
        <v>0</v>
      </c>
      <c r="BL135" s="775">
        <f t="shared" si="98"/>
        <v>0</v>
      </c>
      <c r="BM135" s="775">
        <f t="shared" si="99"/>
        <v>0</v>
      </c>
    </row>
    <row r="136" spans="1:65">
      <c r="A136" s="11">
        <f t="shared" si="52"/>
        <v>1910</v>
      </c>
      <c r="B136" s="773">
        <v>124</v>
      </c>
      <c r="C136" s="774">
        <f t="shared" si="68"/>
        <v>3744</v>
      </c>
      <c r="D136" s="775">
        <f t="shared" si="69"/>
        <v>0</v>
      </c>
      <c r="E136" s="775">
        <f t="shared" si="60"/>
        <v>0</v>
      </c>
      <c r="F136" s="775">
        <f t="shared" si="50"/>
        <v>0</v>
      </c>
      <c r="G136" s="775">
        <f t="shared" si="70"/>
        <v>0</v>
      </c>
      <c r="H136" s="775">
        <f t="shared" si="71"/>
        <v>0</v>
      </c>
      <c r="I136" s="775">
        <f t="shared" si="51"/>
        <v>0</v>
      </c>
      <c r="K136" s="773">
        <v>124</v>
      </c>
      <c r="L136" s="774">
        <f t="shared" si="72"/>
        <v>3744</v>
      </c>
      <c r="M136" s="775">
        <f t="shared" si="73"/>
        <v>0</v>
      </c>
      <c r="N136" s="775">
        <f t="shared" si="61"/>
        <v>0</v>
      </c>
      <c r="O136" s="775">
        <f t="shared" si="53"/>
        <v>0</v>
      </c>
      <c r="P136" s="775">
        <f t="shared" si="74"/>
        <v>0</v>
      </c>
      <c r="Q136" s="775">
        <f t="shared" si="75"/>
        <v>0</v>
      </c>
      <c r="S136" s="773">
        <v>124</v>
      </c>
      <c r="T136" s="774">
        <f t="shared" si="76"/>
        <v>3744</v>
      </c>
      <c r="U136" s="775">
        <f t="shared" si="77"/>
        <v>0</v>
      </c>
      <c r="V136" s="775">
        <f t="shared" si="62"/>
        <v>0</v>
      </c>
      <c r="W136" s="775">
        <f t="shared" si="54"/>
        <v>0</v>
      </c>
      <c r="X136" s="775">
        <f t="shared" si="78"/>
        <v>0</v>
      </c>
      <c r="Y136" s="775">
        <f t="shared" si="79"/>
        <v>0</v>
      </c>
      <c r="AA136" s="773">
        <v>124</v>
      </c>
      <c r="AB136" s="774">
        <f t="shared" si="80"/>
        <v>3744</v>
      </c>
      <c r="AC136" s="775">
        <f t="shared" si="81"/>
        <v>0</v>
      </c>
      <c r="AD136" s="775">
        <f t="shared" si="63"/>
        <v>0</v>
      </c>
      <c r="AE136" s="775">
        <f t="shared" si="55"/>
        <v>0</v>
      </c>
      <c r="AF136" s="775">
        <f t="shared" si="82"/>
        <v>0</v>
      </c>
      <c r="AG136" s="775">
        <f t="shared" si="83"/>
        <v>0</v>
      </c>
      <c r="AI136" s="773">
        <v>124</v>
      </c>
      <c r="AJ136" s="774">
        <f t="shared" si="84"/>
        <v>3744</v>
      </c>
      <c r="AK136" s="775">
        <f t="shared" si="85"/>
        <v>0</v>
      </c>
      <c r="AL136" s="775">
        <f t="shared" si="64"/>
        <v>0</v>
      </c>
      <c r="AM136" s="775">
        <f t="shared" si="56"/>
        <v>0</v>
      </c>
      <c r="AN136" s="775">
        <f t="shared" si="86"/>
        <v>0</v>
      </c>
      <c r="AO136" s="775">
        <f t="shared" si="87"/>
        <v>0</v>
      </c>
      <c r="AQ136" s="773">
        <v>124</v>
      </c>
      <c r="AR136" s="774">
        <f t="shared" si="88"/>
        <v>3744</v>
      </c>
      <c r="AS136" s="775">
        <f t="shared" si="89"/>
        <v>0</v>
      </c>
      <c r="AT136" s="775">
        <f t="shared" si="65"/>
        <v>0</v>
      </c>
      <c r="AU136" s="775">
        <f t="shared" si="57"/>
        <v>0</v>
      </c>
      <c r="AV136" s="775">
        <f t="shared" si="90"/>
        <v>0</v>
      </c>
      <c r="AW136" s="775">
        <f t="shared" si="91"/>
        <v>0</v>
      </c>
      <c r="AY136" s="773">
        <v>124</v>
      </c>
      <c r="AZ136" s="774">
        <f t="shared" si="92"/>
        <v>3744</v>
      </c>
      <c r="BA136" s="775">
        <f t="shared" si="93"/>
        <v>0</v>
      </c>
      <c r="BB136" s="775">
        <f t="shared" si="66"/>
        <v>0</v>
      </c>
      <c r="BC136" s="775">
        <f t="shared" si="58"/>
        <v>0</v>
      </c>
      <c r="BD136" s="775">
        <f t="shared" si="94"/>
        <v>0</v>
      </c>
      <c r="BE136" s="775">
        <f t="shared" si="95"/>
        <v>0</v>
      </c>
      <c r="BG136" s="773">
        <v>124</v>
      </c>
      <c r="BH136" s="774">
        <f t="shared" si="96"/>
        <v>3744</v>
      </c>
      <c r="BI136" s="775">
        <f t="shared" si="97"/>
        <v>0</v>
      </c>
      <c r="BJ136" s="775">
        <f t="shared" si="67"/>
        <v>0</v>
      </c>
      <c r="BK136" s="775">
        <f t="shared" si="59"/>
        <v>0</v>
      </c>
      <c r="BL136" s="775">
        <f t="shared" si="98"/>
        <v>0</v>
      </c>
      <c r="BM136" s="775">
        <f t="shared" si="99"/>
        <v>0</v>
      </c>
    </row>
    <row r="137" spans="1:65">
      <c r="A137" s="11">
        <f t="shared" si="52"/>
        <v>1910</v>
      </c>
      <c r="B137" s="773">
        <v>125</v>
      </c>
      <c r="C137" s="774">
        <f t="shared" si="68"/>
        <v>3774</v>
      </c>
      <c r="D137" s="775">
        <f t="shared" si="69"/>
        <v>0</v>
      </c>
      <c r="E137" s="775">
        <f t="shared" si="60"/>
        <v>0</v>
      </c>
      <c r="F137" s="775">
        <f t="shared" si="50"/>
        <v>0</v>
      </c>
      <c r="G137" s="775">
        <f t="shared" si="70"/>
        <v>0</v>
      </c>
      <c r="H137" s="775">
        <f t="shared" si="71"/>
        <v>0</v>
      </c>
      <c r="I137" s="775">
        <f t="shared" si="51"/>
        <v>0</v>
      </c>
      <c r="K137" s="773">
        <v>125</v>
      </c>
      <c r="L137" s="774">
        <f t="shared" si="72"/>
        <v>3774</v>
      </c>
      <c r="M137" s="775">
        <f t="shared" si="73"/>
        <v>0</v>
      </c>
      <c r="N137" s="775">
        <f t="shared" si="61"/>
        <v>0</v>
      </c>
      <c r="O137" s="775">
        <f t="shared" si="53"/>
        <v>0</v>
      </c>
      <c r="P137" s="775">
        <f t="shared" si="74"/>
        <v>0</v>
      </c>
      <c r="Q137" s="775">
        <f t="shared" si="75"/>
        <v>0</v>
      </c>
      <c r="S137" s="773">
        <v>125</v>
      </c>
      <c r="T137" s="774">
        <f t="shared" si="76"/>
        <v>3774</v>
      </c>
      <c r="U137" s="775">
        <f t="shared" si="77"/>
        <v>0</v>
      </c>
      <c r="V137" s="775">
        <f t="shared" si="62"/>
        <v>0</v>
      </c>
      <c r="W137" s="775">
        <f t="shared" si="54"/>
        <v>0</v>
      </c>
      <c r="X137" s="775">
        <f t="shared" si="78"/>
        <v>0</v>
      </c>
      <c r="Y137" s="775">
        <f t="shared" si="79"/>
        <v>0</v>
      </c>
      <c r="AA137" s="773">
        <v>125</v>
      </c>
      <c r="AB137" s="774">
        <f t="shared" si="80"/>
        <v>3774</v>
      </c>
      <c r="AC137" s="775">
        <f t="shared" si="81"/>
        <v>0</v>
      </c>
      <c r="AD137" s="775">
        <f t="shared" si="63"/>
        <v>0</v>
      </c>
      <c r="AE137" s="775">
        <f t="shared" si="55"/>
        <v>0</v>
      </c>
      <c r="AF137" s="775">
        <f t="shared" si="82"/>
        <v>0</v>
      </c>
      <c r="AG137" s="775">
        <f t="shared" si="83"/>
        <v>0</v>
      </c>
      <c r="AI137" s="773">
        <v>125</v>
      </c>
      <c r="AJ137" s="774">
        <f t="shared" si="84"/>
        <v>3774</v>
      </c>
      <c r="AK137" s="775">
        <f t="shared" si="85"/>
        <v>0</v>
      </c>
      <c r="AL137" s="775">
        <f t="shared" si="64"/>
        <v>0</v>
      </c>
      <c r="AM137" s="775">
        <f t="shared" si="56"/>
        <v>0</v>
      </c>
      <c r="AN137" s="775">
        <f t="shared" si="86"/>
        <v>0</v>
      </c>
      <c r="AO137" s="775">
        <f t="shared" si="87"/>
        <v>0</v>
      </c>
      <c r="AQ137" s="773">
        <v>125</v>
      </c>
      <c r="AR137" s="774">
        <f t="shared" si="88"/>
        <v>3774</v>
      </c>
      <c r="AS137" s="775">
        <f t="shared" si="89"/>
        <v>0</v>
      </c>
      <c r="AT137" s="775">
        <f t="shared" si="65"/>
        <v>0</v>
      </c>
      <c r="AU137" s="775">
        <f t="shared" si="57"/>
        <v>0</v>
      </c>
      <c r="AV137" s="775">
        <f t="shared" si="90"/>
        <v>0</v>
      </c>
      <c r="AW137" s="775">
        <f t="shared" si="91"/>
        <v>0</v>
      </c>
      <c r="AY137" s="773">
        <v>125</v>
      </c>
      <c r="AZ137" s="774">
        <f t="shared" si="92"/>
        <v>3774</v>
      </c>
      <c r="BA137" s="775">
        <f t="shared" si="93"/>
        <v>0</v>
      </c>
      <c r="BB137" s="775">
        <f t="shared" si="66"/>
        <v>0</v>
      </c>
      <c r="BC137" s="775">
        <f t="shared" si="58"/>
        <v>0</v>
      </c>
      <c r="BD137" s="775">
        <f t="shared" si="94"/>
        <v>0</v>
      </c>
      <c r="BE137" s="775">
        <f t="shared" si="95"/>
        <v>0</v>
      </c>
      <c r="BG137" s="773">
        <v>125</v>
      </c>
      <c r="BH137" s="774">
        <f t="shared" si="96"/>
        <v>3774</v>
      </c>
      <c r="BI137" s="775">
        <f t="shared" si="97"/>
        <v>0</v>
      </c>
      <c r="BJ137" s="775">
        <f t="shared" si="67"/>
        <v>0</v>
      </c>
      <c r="BK137" s="775">
        <f t="shared" si="59"/>
        <v>0</v>
      </c>
      <c r="BL137" s="775">
        <f t="shared" si="98"/>
        <v>0</v>
      </c>
      <c r="BM137" s="775">
        <f t="shared" si="99"/>
        <v>0</v>
      </c>
    </row>
    <row r="138" spans="1:65">
      <c r="A138" s="11">
        <f t="shared" si="52"/>
        <v>1910</v>
      </c>
      <c r="B138" s="773">
        <v>126</v>
      </c>
      <c r="C138" s="774">
        <f t="shared" si="68"/>
        <v>3805</v>
      </c>
      <c r="D138" s="775">
        <f t="shared" si="69"/>
        <v>0</v>
      </c>
      <c r="E138" s="775">
        <f t="shared" si="60"/>
        <v>0</v>
      </c>
      <c r="F138" s="775">
        <f t="shared" si="50"/>
        <v>0</v>
      </c>
      <c r="G138" s="775">
        <f t="shared" si="70"/>
        <v>0</v>
      </c>
      <c r="H138" s="775">
        <f t="shared" si="71"/>
        <v>0</v>
      </c>
      <c r="I138" s="775">
        <f t="shared" si="51"/>
        <v>0</v>
      </c>
      <c r="K138" s="773">
        <v>126</v>
      </c>
      <c r="L138" s="774">
        <f t="shared" si="72"/>
        <v>3805</v>
      </c>
      <c r="M138" s="775">
        <f t="shared" si="73"/>
        <v>0</v>
      </c>
      <c r="N138" s="775">
        <f t="shared" si="61"/>
        <v>0</v>
      </c>
      <c r="O138" s="775">
        <f t="shared" si="53"/>
        <v>0</v>
      </c>
      <c r="P138" s="775">
        <f t="shared" si="74"/>
        <v>0</v>
      </c>
      <c r="Q138" s="775">
        <f t="shared" si="75"/>
        <v>0</v>
      </c>
      <c r="S138" s="773">
        <v>126</v>
      </c>
      <c r="T138" s="774">
        <f t="shared" si="76"/>
        <v>3805</v>
      </c>
      <c r="U138" s="775">
        <f t="shared" si="77"/>
        <v>0</v>
      </c>
      <c r="V138" s="775">
        <f t="shared" si="62"/>
        <v>0</v>
      </c>
      <c r="W138" s="775">
        <f t="shared" si="54"/>
        <v>0</v>
      </c>
      <c r="X138" s="775">
        <f t="shared" si="78"/>
        <v>0</v>
      </c>
      <c r="Y138" s="775">
        <f t="shared" si="79"/>
        <v>0</v>
      </c>
      <c r="AA138" s="773">
        <v>126</v>
      </c>
      <c r="AB138" s="774">
        <f t="shared" si="80"/>
        <v>3805</v>
      </c>
      <c r="AC138" s="775">
        <f t="shared" si="81"/>
        <v>0</v>
      </c>
      <c r="AD138" s="775">
        <f t="shared" si="63"/>
        <v>0</v>
      </c>
      <c r="AE138" s="775">
        <f t="shared" si="55"/>
        <v>0</v>
      </c>
      <c r="AF138" s="775">
        <f t="shared" si="82"/>
        <v>0</v>
      </c>
      <c r="AG138" s="775">
        <f t="shared" si="83"/>
        <v>0</v>
      </c>
      <c r="AI138" s="773">
        <v>126</v>
      </c>
      <c r="AJ138" s="774">
        <f t="shared" si="84"/>
        <v>3805</v>
      </c>
      <c r="AK138" s="775">
        <f t="shared" si="85"/>
        <v>0</v>
      </c>
      <c r="AL138" s="775">
        <f t="shared" si="64"/>
        <v>0</v>
      </c>
      <c r="AM138" s="775">
        <f t="shared" si="56"/>
        <v>0</v>
      </c>
      <c r="AN138" s="775">
        <f t="shared" si="86"/>
        <v>0</v>
      </c>
      <c r="AO138" s="775">
        <f t="shared" si="87"/>
        <v>0</v>
      </c>
      <c r="AQ138" s="773">
        <v>126</v>
      </c>
      <c r="AR138" s="774">
        <f t="shared" si="88"/>
        <v>3805</v>
      </c>
      <c r="AS138" s="775">
        <f t="shared" si="89"/>
        <v>0</v>
      </c>
      <c r="AT138" s="775">
        <f t="shared" si="65"/>
        <v>0</v>
      </c>
      <c r="AU138" s="775">
        <f t="shared" si="57"/>
        <v>0</v>
      </c>
      <c r="AV138" s="775">
        <f t="shared" si="90"/>
        <v>0</v>
      </c>
      <c r="AW138" s="775">
        <f t="shared" si="91"/>
        <v>0</v>
      </c>
      <c r="AY138" s="773">
        <v>126</v>
      </c>
      <c r="AZ138" s="774">
        <f t="shared" si="92"/>
        <v>3805</v>
      </c>
      <c r="BA138" s="775">
        <f t="shared" si="93"/>
        <v>0</v>
      </c>
      <c r="BB138" s="775">
        <f t="shared" si="66"/>
        <v>0</v>
      </c>
      <c r="BC138" s="775">
        <f t="shared" si="58"/>
        <v>0</v>
      </c>
      <c r="BD138" s="775">
        <f t="shared" si="94"/>
        <v>0</v>
      </c>
      <c r="BE138" s="775">
        <f t="shared" si="95"/>
        <v>0</v>
      </c>
      <c r="BG138" s="773">
        <v>126</v>
      </c>
      <c r="BH138" s="774">
        <f t="shared" si="96"/>
        <v>3805</v>
      </c>
      <c r="BI138" s="775">
        <f t="shared" si="97"/>
        <v>0</v>
      </c>
      <c r="BJ138" s="775">
        <f t="shared" si="67"/>
        <v>0</v>
      </c>
      <c r="BK138" s="775">
        <f t="shared" si="59"/>
        <v>0</v>
      </c>
      <c r="BL138" s="775">
        <f t="shared" si="98"/>
        <v>0</v>
      </c>
      <c r="BM138" s="775">
        <f t="shared" si="99"/>
        <v>0</v>
      </c>
    </row>
    <row r="139" spans="1:65">
      <c r="A139" s="11">
        <f t="shared" si="52"/>
        <v>1910</v>
      </c>
      <c r="B139" s="773">
        <v>127</v>
      </c>
      <c r="C139" s="774">
        <f t="shared" si="68"/>
        <v>3835</v>
      </c>
      <c r="D139" s="775">
        <f t="shared" si="69"/>
        <v>0</v>
      </c>
      <c r="E139" s="775">
        <f t="shared" si="60"/>
        <v>0</v>
      </c>
      <c r="F139" s="775">
        <f t="shared" si="50"/>
        <v>0</v>
      </c>
      <c r="G139" s="775">
        <f t="shared" si="70"/>
        <v>0</v>
      </c>
      <c r="H139" s="775">
        <f t="shared" si="71"/>
        <v>0</v>
      </c>
      <c r="I139" s="775">
        <f t="shared" si="51"/>
        <v>0</v>
      </c>
      <c r="K139" s="773">
        <v>127</v>
      </c>
      <c r="L139" s="774">
        <f t="shared" si="72"/>
        <v>3835</v>
      </c>
      <c r="M139" s="775">
        <f t="shared" si="73"/>
        <v>0</v>
      </c>
      <c r="N139" s="775">
        <f t="shared" si="61"/>
        <v>0</v>
      </c>
      <c r="O139" s="775">
        <f t="shared" si="53"/>
        <v>0</v>
      </c>
      <c r="P139" s="775">
        <f t="shared" si="74"/>
        <v>0</v>
      </c>
      <c r="Q139" s="775">
        <f t="shared" si="75"/>
        <v>0</v>
      </c>
      <c r="S139" s="773">
        <v>127</v>
      </c>
      <c r="T139" s="774">
        <f t="shared" si="76"/>
        <v>3835</v>
      </c>
      <c r="U139" s="775">
        <f t="shared" si="77"/>
        <v>0</v>
      </c>
      <c r="V139" s="775">
        <f t="shared" si="62"/>
        <v>0</v>
      </c>
      <c r="W139" s="775">
        <f t="shared" si="54"/>
        <v>0</v>
      </c>
      <c r="X139" s="775">
        <f t="shared" si="78"/>
        <v>0</v>
      </c>
      <c r="Y139" s="775">
        <f t="shared" si="79"/>
        <v>0</v>
      </c>
      <c r="AA139" s="773">
        <v>127</v>
      </c>
      <c r="AB139" s="774">
        <f t="shared" si="80"/>
        <v>3835</v>
      </c>
      <c r="AC139" s="775">
        <f t="shared" si="81"/>
        <v>0</v>
      </c>
      <c r="AD139" s="775">
        <f t="shared" si="63"/>
        <v>0</v>
      </c>
      <c r="AE139" s="775">
        <f t="shared" si="55"/>
        <v>0</v>
      </c>
      <c r="AF139" s="775">
        <f t="shared" si="82"/>
        <v>0</v>
      </c>
      <c r="AG139" s="775">
        <f t="shared" si="83"/>
        <v>0</v>
      </c>
      <c r="AI139" s="773">
        <v>127</v>
      </c>
      <c r="AJ139" s="774">
        <f t="shared" si="84"/>
        <v>3835</v>
      </c>
      <c r="AK139" s="775">
        <f t="shared" si="85"/>
        <v>0</v>
      </c>
      <c r="AL139" s="775">
        <f t="shared" si="64"/>
        <v>0</v>
      </c>
      <c r="AM139" s="775">
        <f t="shared" si="56"/>
        <v>0</v>
      </c>
      <c r="AN139" s="775">
        <f t="shared" si="86"/>
        <v>0</v>
      </c>
      <c r="AO139" s="775">
        <f t="shared" si="87"/>
        <v>0</v>
      </c>
      <c r="AQ139" s="773">
        <v>127</v>
      </c>
      <c r="AR139" s="774">
        <f t="shared" si="88"/>
        <v>3835</v>
      </c>
      <c r="AS139" s="775">
        <f t="shared" si="89"/>
        <v>0</v>
      </c>
      <c r="AT139" s="775">
        <f t="shared" si="65"/>
        <v>0</v>
      </c>
      <c r="AU139" s="775">
        <f t="shared" si="57"/>
        <v>0</v>
      </c>
      <c r="AV139" s="775">
        <f t="shared" si="90"/>
        <v>0</v>
      </c>
      <c r="AW139" s="775">
        <f t="shared" si="91"/>
        <v>0</v>
      </c>
      <c r="AY139" s="773">
        <v>127</v>
      </c>
      <c r="AZ139" s="774">
        <f t="shared" si="92"/>
        <v>3835</v>
      </c>
      <c r="BA139" s="775">
        <f t="shared" si="93"/>
        <v>0</v>
      </c>
      <c r="BB139" s="775">
        <f t="shared" si="66"/>
        <v>0</v>
      </c>
      <c r="BC139" s="775">
        <f t="shared" si="58"/>
        <v>0</v>
      </c>
      <c r="BD139" s="775">
        <f t="shared" si="94"/>
        <v>0</v>
      </c>
      <c r="BE139" s="775">
        <f t="shared" si="95"/>
        <v>0</v>
      </c>
      <c r="BG139" s="773">
        <v>127</v>
      </c>
      <c r="BH139" s="774">
        <f t="shared" si="96"/>
        <v>3835</v>
      </c>
      <c r="BI139" s="775">
        <f t="shared" si="97"/>
        <v>0</v>
      </c>
      <c r="BJ139" s="775">
        <f t="shared" si="67"/>
        <v>0</v>
      </c>
      <c r="BK139" s="775">
        <f t="shared" si="59"/>
        <v>0</v>
      </c>
      <c r="BL139" s="775">
        <f t="shared" si="98"/>
        <v>0</v>
      </c>
      <c r="BM139" s="775">
        <f t="shared" si="99"/>
        <v>0</v>
      </c>
    </row>
    <row r="140" spans="1:65">
      <c r="A140" s="11">
        <f t="shared" si="52"/>
        <v>1910</v>
      </c>
      <c r="B140" s="773">
        <v>128</v>
      </c>
      <c r="C140" s="774">
        <f t="shared" si="68"/>
        <v>3866</v>
      </c>
      <c r="D140" s="775">
        <f t="shared" si="69"/>
        <v>0</v>
      </c>
      <c r="E140" s="775">
        <f t="shared" si="60"/>
        <v>0</v>
      </c>
      <c r="F140" s="775">
        <f t="shared" si="50"/>
        <v>0</v>
      </c>
      <c r="G140" s="775">
        <f t="shared" si="70"/>
        <v>0</v>
      </c>
      <c r="H140" s="775">
        <f t="shared" si="71"/>
        <v>0</v>
      </c>
      <c r="I140" s="775">
        <f t="shared" si="51"/>
        <v>0</v>
      </c>
      <c r="K140" s="773">
        <v>128</v>
      </c>
      <c r="L140" s="774">
        <f t="shared" si="72"/>
        <v>3866</v>
      </c>
      <c r="M140" s="775">
        <f t="shared" si="73"/>
        <v>0</v>
      </c>
      <c r="N140" s="775">
        <f t="shared" si="61"/>
        <v>0</v>
      </c>
      <c r="O140" s="775">
        <f t="shared" si="53"/>
        <v>0</v>
      </c>
      <c r="P140" s="775">
        <f t="shared" si="74"/>
        <v>0</v>
      </c>
      <c r="Q140" s="775">
        <f t="shared" si="75"/>
        <v>0</v>
      </c>
      <c r="S140" s="773">
        <v>128</v>
      </c>
      <c r="T140" s="774">
        <f t="shared" si="76"/>
        <v>3866</v>
      </c>
      <c r="U140" s="775">
        <f t="shared" si="77"/>
        <v>0</v>
      </c>
      <c r="V140" s="775">
        <f t="shared" si="62"/>
        <v>0</v>
      </c>
      <c r="W140" s="775">
        <f t="shared" si="54"/>
        <v>0</v>
      </c>
      <c r="X140" s="775">
        <f t="shared" si="78"/>
        <v>0</v>
      </c>
      <c r="Y140" s="775">
        <f t="shared" si="79"/>
        <v>0</v>
      </c>
      <c r="AA140" s="773">
        <v>128</v>
      </c>
      <c r="AB140" s="774">
        <f t="shared" si="80"/>
        <v>3866</v>
      </c>
      <c r="AC140" s="775">
        <f t="shared" si="81"/>
        <v>0</v>
      </c>
      <c r="AD140" s="775">
        <f t="shared" si="63"/>
        <v>0</v>
      </c>
      <c r="AE140" s="775">
        <f t="shared" si="55"/>
        <v>0</v>
      </c>
      <c r="AF140" s="775">
        <f t="shared" si="82"/>
        <v>0</v>
      </c>
      <c r="AG140" s="775">
        <f t="shared" si="83"/>
        <v>0</v>
      </c>
      <c r="AI140" s="773">
        <v>128</v>
      </c>
      <c r="AJ140" s="774">
        <f t="shared" si="84"/>
        <v>3866</v>
      </c>
      <c r="AK140" s="775">
        <f t="shared" si="85"/>
        <v>0</v>
      </c>
      <c r="AL140" s="775">
        <f t="shared" si="64"/>
        <v>0</v>
      </c>
      <c r="AM140" s="775">
        <f t="shared" si="56"/>
        <v>0</v>
      </c>
      <c r="AN140" s="775">
        <f t="shared" si="86"/>
        <v>0</v>
      </c>
      <c r="AO140" s="775">
        <f t="shared" si="87"/>
        <v>0</v>
      </c>
      <c r="AQ140" s="773">
        <v>128</v>
      </c>
      <c r="AR140" s="774">
        <f t="shared" si="88"/>
        <v>3866</v>
      </c>
      <c r="AS140" s="775">
        <f t="shared" si="89"/>
        <v>0</v>
      </c>
      <c r="AT140" s="775">
        <f t="shared" si="65"/>
        <v>0</v>
      </c>
      <c r="AU140" s="775">
        <f t="shared" si="57"/>
        <v>0</v>
      </c>
      <c r="AV140" s="775">
        <f t="shared" si="90"/>
        <v>0</v>
      </c>
      <c r="AW140" s="775">
        <f t="shared" si="91"/>
        <v>0</v>
      </c>
      <c r="AY140" s="773">
        <v>128</v>
      </c>
      <c r="AZ140" s="774">
        <f t="shared" si="92"/>
        <v>3866</v>
      </c>
      <c r="BA140" s="775">
        <f t="shared" si="93"/>
        <v>0</v>
      </c>
      <c r="BB140" s="775">
        <f t="shared" si="66"/>
        <v>0</v>
      </c>
      <c r="BC140" s="775">
        <f t="shared" si="58"/>
        <v>0</v>
      </c>
      <c r="BD140" s="775">
        <f t="shared" si="94"/>
        <v>0</v>
      </c>
      <c r="BE140" s="775">
        <f t="shared" si="95"/>
        <v>0</v>
      </c>
      <c r="BG140" s="773">
        <v>128</v>
      </c>
      <c r="BH140" s="774">
        <f t="shared" si="96"/>
        <v>3866</v>
      </c>
      <c r="BI140" s="775">
        <f t="shared" si="97"/>
        <v>0</v>
      </c>
      <c r="BJ140" s="775">
        <f t="shared" si="67"/>
        <v>0</v>
      </c>
      <c r="BK140" s="775">
        <f t="shared" si="59"/>
        <v>0</v>
      </c>
      <c r="BL140" s="775">
        <f t="shared" si="98"/>
        <v>0</v>
      </c>
      <c r="BM140" s="775">
        <f t="shared" si="99"/>
        <v>0</v>
      </c>
    </row>
    <row r="141" spans="1:65">
      <c r="A141" s="11">
        <f t="shared" si="52"/>
        <v>1910</v>
      </c>
      <c r="B141" s="773">
        <v>129</v>
      </c>
      <c r="C141" s="774">
        <f t="shared" si="68"/>
        <v>3897</v>
      </c>
      <c r="D141" s="775">
        <f t="shared" si="69"/>
        <v>0</v>
      </c>
      <c r="E141" s="775">
        <f t="shared" si="60"/>
        <v>0</v>
      </c>
      <c r="F141" s="775">
        <f t="shared" ref="F141:F204" si="100">D141*$E$7/12</f>
        <v>0</v>
      </c>
      <c r="G141" s="775">
        <f t="shared" si="70"/>
        <v>0</v>
      </c>
      <c r="H141" s="775">
        <f t="shared" si="71"/>
        <v>0</v>
      </c>
      <c r="I141" s="775">
        <f t="shared" ref="I141:I204" si="101">D141*rng01_MortgageInsurangePremium/12</f>
        <v>0</v>
      </c>
      <c r="K141" s="773">
        <v>129</v>
      </c>
      <c r="L141" s="774">
        <f t="shared" si="72"/>
        <v>3897</v>
      </c>
      <c r="M141" s="775">
        <f t="shared" si="73"/>
        <v>0</v>
      </c>
      <c r="N141" s="775">
        <f t="shared" si="61"/>
        <v>0</v>
      </c>
      <c r="O141" s="775">
        <f t="shared" si="53"/>
        <v>0</v>
      </c>
      <c r="P141" s="775">
        <f t="shared" si="74"/>
        <v>0</v>
      </c>
      <c r="Q141" s="775">
        <f t="shared" si="75"/>
        <v>0</v>
      </c>
      <c r="S141" s="773">
        <v>129</v>
      </c>
      <c r="T141" s="774">
        <f t="shared" si="76"/>
        <v>3897</v>
      </c>
      <c r="U141" s="775">
        <f t="shared" si="77"/>
        <v>0</v>
      </c>
      <c r="V141" s="775">
        <f t="shared" si="62"/>
        <v>0</v>
      </c>
      <c r="W141" s="775">
        <f t="shared" si="54"/>
        <v>0</v>
      </c>
      <c r="X141" s="775">
        <f t="shared" si="78"/>
        <v>0</v>
      </c>
      <c r="Y141" s="775">
        <f t="shared" si="79"/>
        <v>0</v>
      </c>
      <c r="AA141" s="773">
        <v>129</v>
      </c>
      <c r="AB141" s="774">
        <f t="shared" si="80"/>
        <v>3897</v>
      </c>
      <c r="AC141" s="775">
        <f t="shared" si="81"/>
        <v>0</v>
      </c>
      <c r="AD141" s="775">
        <f t="shared" si="63"/>
        <v>0</v>
      </c>
      <c r="AE141" s="775">
        <f t="shared" si="55"/>
        <v>0</v>
      </c>
      <c r="AF141" s="775">
        <f t="shared" si="82"/>
        <v>0</v>
      </c>
      <c r="AG141" s="775">
        <f t="shared" si="83"/>
        <v>0</v>
      </c>
      <c r="AI141" s="773">
        <v>129</v>
      </c>
      <c r="AJ141" s="774">
        <f t="shared" si="84"/>
        <v>3897</v>
      </c>
      <c r="AK141" s="775">
        <f t="shared" si="85"/>
        <v>0</v>
      </c>
      <c r="AL141" s="775">
        <f t="shared" si="64"/>
        <v>0</v>
      </c>
      <c r="AM141" s="775">
        <f t="shared" si="56"/>
        <v>0</v>
      </c>
      <c r="AN141" s="775">
        <f t="shared" si="86"/>
        <v>0</v>
      </c>
      <c r="AO141" s="775">
        <f t="shared" si="87"/>
        <v>0</v>
      </c>
      <c r="AQ141" s="773">
        <v>129</v>
      </c>
      <c r="AR141" s="774">
        <f t="shared" si="88"/>
        <v>3897</v>
      </c>
      <c r="AS141" s="775">
        <f t="shared" si="89"/>
        <v>0</v>
      </c>
      <c r="AT141" s="775">
        <f t="shared" si="65"/>
        <v>0</v>
      </c>
      <c r="AU141" s="775">
        <f t="shared" si="57"/>
        <v>0</v>
      </c>
      <c r="AV141" s="775">
        <f t="shared" si="90"/>
        <v>0</v>
      </c>
      <c r="AW141" s="775">
        <f t="shared" si="91"/>
        <v>0</v>
      </c>
      <c r="AY141" s="773">
        <v>129</v>
      </c>
      <c r="AZ141" s="774">
        <f t="shared" si="92"/>
        <v>3897</v>
      </c>
      <c r="BA141" s="775">
        <f t="shared" si="93"/>
        <v>0</v>
      </c>
      <c r="BB141" s="775">
        <f t="shared" si="66"/>
        <v>0</v>
      </c>
      <c r="BC141" s="775">
        <f t="shared" si="58"/>
        <v>0</v>
      </c>
      <c r="BD141" s="775">
        <f t="shared" si="94"/>
        <v>0</v>
      </c>
      <c r="BE141" s="775">
        <f t="shared" si="95"/>
        <v>0</v>
      </c>
      <c r="BG141" s="773">
        <v>129</v>
      </c>
      <c r="BH141" s="774">
        <f t="shared" si="96"/>
        <v>3897</v>
      </c>
      <c r="BI141" s="775">
        <f t="shared" si="97"/>
        <v>0</v>
      </c>
      <c r="BJ141" s="775">
        <f t="shared" si="67"/>
        <v>0</v>
      </c>
      <c r="BK141" s="775">
        <f t="shared" si="59"/>
        <v>0</v>
      </c>
      <c r="BL141" s="775">
        <f t="shared" si="98"/>
        <v>0</v>
      </c>
      <c r="BM141" s="775">
        <f t="shared" si="99"/>
        <v>0</v>
      </c>
    </row>
    <row r="142" spans="1:65">
      <c r="A142" s="11">
        <f t="shared" ref="A142:A205" si="102">YEAR(C142)</f>
        <v>1910</v>
      </c>
      <c r="B142" s="773">
        <v>130</v>
      </c>
      <c r="C142" s="774">
        <f t="shared" si="68"/>
        <v>3927</v>
      </c>
      <c r="D142" s="775">
        <f t="shared" si="69"/>
        <v>0</v>
      </c>
      <c r="E142" s="775">
        <f t="shared" si="60"/>
        <v>0</v>
      </c>
      <c r="F142" s="775">
        <f t="shared" si="100"/>
        <v>0</v>
      </c>
      <c r="G142" s="775">
        <f t="shared" si="70"/>
        <v>0</v>
      </c>
      <c r="H142" s="775">
        <f t="shared" si="71"/>
        <v>0</v>
      </c>
      <c r="I142" s="775">
        <f t="shared" si="101"/>
        <v>0</v>
      </c>
      <c r="K142" s="773">
        <v>130</v>
      </c>
      <c r="L142" s="774">
        <f t="shared" si="72"/>
        <v>3927</v>
      </c>
      <c r="M142" s="775">
        <f t="shared" si="73"/>
        <v>0</v>
      </c>
      <c r="N142" s="775">
        <f t="shared" si="61"/>
        <v>0</v>
      </c>
      <c r="O142" s="775">
        <f t="shared" ref="O142:O205" si="103">M142*$N$7/12</f>
        <v>0</v>
      </c>
      <c r="P142" s="775">
        <f t="shared" si="74"/>
        <v>0</v>
      </c>
      <c r="Q142" s="775">
        <f t="shared" si="75"/>
        <v>0</v>
      </c>
      <c r="S142" s="773">
        <v>130</v>
      </c>
      <c r="T142" s="774">
        <f t="shared" si="76"/>
        <v>3927</v>
      </c>
      <c r="U142" s="775">
        <f t="shared" si="77"/>
        <v>0</v>
      </c>
      <c r="V142" s="775">
        <f t="shared" si="62"/>
        <v>0</v>
      </c>
      <c r="W142" s="775">
        <f t="shared" ref="W142:W205" si="104">U142*V$7/12</f>
        <v>0</v>
      </c>
      <c r="X142" s="775">
        <f t="shared" si="78"/>
        <v>0</v>
      </c>
      <c r="Y142" s="775">
        <f t="shared" si="79"/>
        <v>0</v>
      </c>
      <c r="AA142" s="773">
        <v>130</v>
      </c>
      <c r="AB142" s="774">
        <f t="shared" si="80"/>
        <v>3927</v>
      </c>
      <c r="AC142" s="775">
        <f t="shared" si="81"/>
        <v>0</v>
      </c>
      <c r="AD142" s="775">
        <f t="shared" si="63"/>
        <v>0</v>
      </c>
      <c r="AE142" s="775">
        <f t="shared" ref="AE142:AE205" si="105">AC142*AD$7/12</f>
        <v>0</v>
      </c>
      <c r="AF142" s="775">
        <f t="shared" si="82"/>
        <v>0</v>
      </c>
      <c r="AG142" s="775">
        <f t="shared" si="83"/>
        <v>0</v>
      </c>
      <c r="AI142" s="773">
        <v>130</v>
      </c>
      <c r="AJ142" s="774">
        <f t="shared" si="84"/>
        <v>3927</v>
      </c>
      <c r="AK142" s="775">
        <f t="shared" si="85"/>
        <v>0</v>
      </c>
      <c r="AL142" s="775">
        <f t="shared" si="64"/>
        <v>0</v>
      </c>
      <c r="AM142" s="775">
        <f t="shared" ref="AM142:AM205" si="106">AK142*AL$7/12</f>
        <v>0</v>
      </c>
      <c r="AN142" s="775">
        <f t="shared" si="86"/>
        <v>0</v>
      </c>
      <c r="AO142" s="775">
        <f t="shared" si="87"/>
        <v>0</v>
      </c>
      <c r="AQ142" s="773">
        <v>130</v>
      </c>
      <c r="AR142" s="774">
        <f t="shared" si="88"/>
        <v>3927</v>
      </c>
      <c r="AS142" s="775">
        <f t="shared" si="89"/>
        <v>0</v>
      </c>
      <c r="AT142" s="775">
        <f t="shared" si="65"/>
        <v>0</v>
      </c>
      <c r="AU142" s="775">
        <f t="shared" ref="AU142:AU205" si="107">AS142*AT$7/12</f>
        <v>0</v>
      </c>
      <c r="AV142" s="775">
        <f t="shared" si="90"/>
        <v>0</v>
      </c>
      <c r="AW142" s="775">
        <f t="shared" si="91"/>
        <v>0</v>
      </c>
      <c r="AY142" s="773">
        <v>130</v>
      </c>
      <c r="AZ142" s="774">
        <f t="shared" si="92"/>
        <v>3927</v>
      </c>
      <c r="BA142" s="775">
        <f t="shared" si="93"/>
        <v>0</v>
      </c>
      <c r="BB142" s="775">
        <f t="shared" si="66"/>
        <v>0</v>
      </c>
      <c r="BC142" s="775">
        <f t="shared" ref="BC142:BC205" si="108">BA142*BB$7/12</f>
        <v>0</v>
      </c>
      <c r="BD142" s="775">
        <f t="shared" si="94"/>
        <v>0</v>
      </c>
      <c r="BE142" s="775">
        <f t="shared" si="95"/>
        <v>0</v>
      </c>
      <c r="BG142" s="773">
        <v>130</v>
      </c>
      <c r="BH142" s="774">
        <f t="shared" si="96"/>
        <v>3927</v>
      </c>
      <c r="BI142" s="775">
        <f t="shared" si="97"/>
        <v>0</v>
      </c>
      <c r="BJ142" s="775">
        <f t="shared" si="67"/>
        <v>0</v>
      </c>
      <c r="BK142" s="775">
        <f t="shared" ref="BK142:BK205" si="109">BI142*BJ$7/12</f>
        <v>0</v>
      </c>
      <c r="BL142" s="775">
        <f t="shared" si="98"/>
        <v>0</v>
      </c>
      <c r="BM142" s="775">
        <f t="shared" si="99"/>
        <v>0</v>
      </c>
    </row>
    <row r="143" spans="1:65">
      <c r="A143" s="11">
        <f t="shared" si="102"/>
        <v>1910</v>
      </c>
      <c r="B143" s="773">
        <v>131</v>
      </c>
      <c r="C143" s="774">
        <f t="shared" si="68"/>
        <v>3958</v>
      </c>
      <c r="D143" s="775">
        <f t="shared" si="69"/>
        <v>0</v>
      </c>
      <c r="E143" s="775">
        <f t="shared" ref="E143:E206" si="110">IF(ROUND(D143,0)&gt;0,E142,0)</f>
        <v>0</v>
      </c>
      <c r="F143" s="775">
        <f t="shared" si="100"/>
        <v>0</v>
      </c>
      <c r="G143" s="775">
        <f t="shared" si="70"/>
        <v>0</v>
      </c>
      <c r="H143" s="775">
        <f t="shared" si="71"/>
        <v>0</v>
      </c>
      <c r="I143" s="775">
        <f t="shared" si="101"/>
        <v>0</v>
      </c>
      <c r="K143" s="773">
        <v>131</v>
      </c>
      <c r="L143" s="774">
        <f t="shared" si="72"/>
        <v>3958</v>
      </c>
      <c r="M143" s="775">
        <f t="shared" si="73"/>
        <v>0</v>
      </c>
      <c r="N143" s="775">
        <f t="shared" ref="N143:N206" si="111">IF(ROUND(M143,0)&gt;0,N142,0)</f>
        <v>0</v>
      </c>
      <c r="O143" s="775">
        <f t="shared" si="103"/>
        <v>0</v>
      </c>
      <c r="P143" s="775">
        <f t="shared" si="74"/>
        <v>0</v>
      </c>
      <c r="Q143" s="775">
        <f t="shared" si="75"/>
        <v>0</v>
      </c>
      <c r="S143" s="773">
        <v>131</v>
      </c>
      <c r="T143" s="774">
        <f t="shared" si="76"/>
        <v>3958</v>
      </c>
      <c r="U143" s="775">
        <f t="shared" si="77"/>
        <v>0</v>
      </c>
      <c r="V143" s="775">
        <f t="shared" ref="V143:V206" si="112">IF(ROUND(U143,0)&gt;0,V142,0)</f>
        <v>0</v>
      </c>
      <c r="W143" s="775">
        <f t="shared" si="104"/>
        <v>0</v>
      </c>
      <c r="X143" s="775">
        <f t="shared" si="78"/>
        <v>0</v>
      </c>
      <c r="Y143" s="775">
        <f t="shared" si="79"/>
        <v>0</v>
      </c>
      <c r="AA143" s="773">
        <v>131</v>
      </c>
      <c r="AB143" s="774">
        <f t="shared" si="80"/>
        <v>3958</v>
      </c>
      <c r="AC143" s="775">
        <f t="shared" si="81"/>
        <v>0</v>
      </c>
      <c r="AD143" s="775">
        <f t="shared" ref="AD143:AD206" si="113">IF(ROUND(AC143,0)&gt;0,AD142,0)</f>
        <v>0</v>
      </c>
      <c r="AE143" s="775">
        <f t="shared" si="105"/>
        <v>0</v>
      </c>
      <c r="AF143" s="775">
        <f t="shared" si="82"/>
        <v>0</v>
      </c>
      <c r="AG143" s="775">
        <f t="shared" si="83"/>
        <v>0</v>
      </c>
      <c r="AI143" s="773">
        <v>131</v>
      </c>
      <c r="AJ143" s="774">
        <f t="shared" si="84"/>
        <v>3958</v>
      </c>
      <c r="AK143" s="775">
        <f t="shared" si="85"/>
        <v>0</v>
      </c>
      <c r="AL143" s="775">
        <f t="shared" ref="AL143:AL206" si="114">IF(ROUND(AK143,0)&gt;0,AL142,0)</f>
        <v>0</v>
      </c>
      <c r="AM143" s="775">
        <f t="shared" si="106"/>
        <v>0</v>
      </c>
      <c r="AN143" s="775">
        <f t="shared" si="86"/>
        <v>0</v>
      </c>
      <c r="AO143" s="775">
        <f t="shared" si="87"/>
        <v>0</v>
      </c>
      <c r="AQ143" s="773">
        <v>131</v>
      </c>
      <c r="AR143" s="774">
        <f t="shared" si="88"/>
        <v>3958</v>
      </c>
      <c r="AS143" s="775">
        <f t="shared" si="89"/>
        <v>0</v>
      </c>
      <c r="AT143" s="775">
        <f t="shared" ref="AT143:AT206" si="115">IF(ROUND(AS143,0)&gt;0,AT142,0)</f>
        <v>0</v>
      </c>
      <c r="AU143" s="775">
        <f t="shared" si="107"/>
        <v>0</v>
      </c>
      <c r="AV143" s="775">
        <f t="shared" si="90"/>
        <v>0</v>
      </c>
      <c r="AW143" s="775">
        <f t="shared" si="91"/>
        <v>0</v>
      </c>
      <c r="AY143" s="773">
        <v>131</v>
      </c>
      <c r="AZ143" s="774">
        <f t="shared" si="92"/>
        <v>3958</v>
      </c>
      <c r="BA143" s="775">
        <f t="shared" si="93"/>
        <v>0</v>
      </c>
      <c r="BB143" s="775">
        <f t="shared" ref="BB143:BB206" si="116">IF(ROUND(BA143,0)&gt;0,BB142,0)</f>
        <v>0</v>
      </c>
      <c r="BC143" s="775">
        <f t="shared" si="108"/>
        <v>0</v>
      </c>
      <c r="BD143" s="775">
        <f t="shared" si="94"/>
        <v>0</v>
      </c>
      <c r="BE143" s="775">
        <f t="shared" si="95"/>
        <v>0</v>
      </c>
      <c r="BG143" s="773">
        <v>131</v>
      </c>
      <c r="BH143" s="774">
        <f t="shared" si="96"/>
        <v>3958</v>
      </c>
      <c r="BI143" s="775">
        <f t="shared" si="97"/>
        <v>0</v>
      </c>
      <c r="BJ143" s="775">
        <f t="shared" ref="BJ143:BJ206" si="117">IF(ROUND(BI143,0)&gt;0,BJ142,0)</f>
        <v>0</v>
      </c>
      <c r="BK143" s="775">
        <f t="shared" si="109"/>
        <v>0</v>
      </c>
      <c r="BL143" s="775">
        <f t="shared" si="98"/>
        <v>0</v>
      </c>
      <c r="BM143" s="775">
        <f t="shared" si="99"/>
        <v>0</v>
      </c>
    </row>
    <row r="144" spans="1:65">
      <c r="A144" s="11">
        <f t="shared" si="102"/>
        <v>1910</v>
      </c>
      <c r="B144" s="773">
        <v>132</v>
      </c>
      <c r="C144" s="774">
        <f t="shared" ref="C144:C207" si="118">DATE(IF(MONTH(C143)=12,YEAR(C143)+1,YEAR(C143)),IF(MONTH(C143)=12,1,MONTH(C143)+1),1)</f>
        <v>3988</v>
      </c>
      <c r="D144" s="775">
        <f t="shared" ref="D144:D207" si="119">H143</f>
        <v>0</v>
      </c>
      <c r="E144" s="775">
        <f t="shared" si="110"/>
        <v>0</v>
      </c>
      <c r="F144" s="775">
        <f t="shared" si="100"/>
        <v>0</v>
      </c>
      <c r="G144" s="775">
        <f t="shared" ref="G144:G207" si="120">E144-F144</f>
        <v>0</v>
      </c>
      <c r="H144" s="775">
        <f t="shared" ref="H144:H207" si="121">D144-G144</f>
        <v>0</v>
      </c>
      <c r="I144" s="775">
        <f t="shared" si="101"/>
        <v>0</v>
      </c>
      <c r="K144" s="773">
        <v>132</v>
      </c>
      <c r="L144" s="774">
        <f t="shared" ref="L144:L207" si="122">DATE(IF(MONTH(L143)=12,YEAR(L143)+1,YEAR(L143)),IF(MONTH(L143)=12,1,MONTH(L143)+1),1)</f>
        <v>3988</v>
      </c>
      <c r="M144" s="775">
        <f t="shared" ref="M144:M207" si="123">Q143</f>
        <v>0</v>
      </c>
      <c r="N144" s="775">
        <f t="shared" si="111"/>
        <v>0</v>
      </c>
      <c r="O144" s="775">
        <f t="shared" si="103"/>
        <v>0</v>
      </c>
      <c r="P144" s="775">
        <f t="shared" ref="P144:P207" si="124">N144-O144</f>
        <v>0</v>
      </c>
      <c r="Q144" s="775">
        <f t="shared" ref="Q144:Q207" si="125">M144-P144</f>
        <v>0</v>
      </c>
      <c r="S144" s="773">
        <v>132</v>
      </c>
      <c r="T144" s="774">
        <f t="shared" ref="T144:T207" si="126">DATE(IF(MONTH(T143)=12,YEAR(T143)+1,YEAR(T143)),IF(MONTH(T143)=12,1,MONTH(T143)+1),1)</f>
        <v>3988</v>
      </c>
      <c r="U144" s="775">
        <f t="shared" ref="U144:U207" si="127">Y143</f>
        <v>0</v>
      </c>
      <c r="V144" s="775">
        <f t="shared" si="112"/>
        <v>0</v>
      </c>
      <c r="W144" s="775">
        <f t="shared" si="104"/>
        <v>0</v>
      </c>
      <c r="X144" s="775">
        <f t="shared" ref="X144:X207" si="128">V144-W144</f>
        <v>0</v>
      </c>
      <c r="Y144" s="775">
        <f t="shared" ref="Y144:Y207" si="129">U144-X144</f>
        <v>0</v>
      </c>
      <c r="AA144" s="773">
        <v>132</v>
      </c>
      <c r="AB144" s="774">
        <f t="shared" ref="AB144:AB207" si="130">DATE(IF(MONTH(AB143)=12,YEAR(AB143)+1,YEAR(AB143)),IF(MONTH(AB143)=12,1,MONTH(AB143)+1),1)</f>
        <v>3988</v>
      </c>
      <c r="AC144" s="775">
        <f t="shared" ref="AC144:AC207" si="131">AG143</f>
        <v>0</v>
      </c>
      <c r="AD144" s="775">
        <f t="shared" si="113"/>
        <v>0</v>
      </c>
      <c r="AE144" s="775">
        <f t="shared" si="105"/>
        <v>0</v>
      </c>
      <c r="AF144" s="775">
        <f t="shared" ref="AF144:AF207" si="132">AD144-AE144</f>
        <v>0</v>
      </c>
      <c r="AG144" s="775">
        <f t="shared" ref="AG144:AG207" si="133">AC144-AF144</f>
        <v>0</v>
      </c>
      <c r="AI144" s="773">
        <v>132</v>
      </c>
      <c r="AJ144" s="774">
        <f t="shared" ref="AJ144:AJ207" si="134">DATE(IF(MONTH(AJ143)=12,YEAR(AJ143)+1,YEAR(AJ143)),IF(MONTH(AJ143)=12,1,MONTH(AJ143)+1),1)</f>
        <v>3988</v>
      </c>
      <c r="AK144" s="775">
        <f t="shared" ref="AK144:AK207" si="135">AO143</f>
        <v>0</v>
      </c>
      <c r="AL144" s="775">
        <f t="shared" si="114"/>
        <v>0</v>
      </c>
      <c r="AM144" s="775">
        <f t="shared" si="106"/>
        <v>0</v>
      </c>
      <c r="AN144" s="775">
        <f t="shared" ref="AN144:AN207" si="136">AL144-AM144</f>
        <v>0</v>
      </c>
      <c r="AO144" s="775">
        <f t="shared" ref="AO144:AO207" si="137">AK144-AN144</f>
        <v>0</v>
      </c>
      <c r="AQ144" s="773">
        <v>132</v>
      </c>
      <c r="AR144" s="774">
        <f t="shared" ref="AR144:AR207" si="138">DATE(IF(MONTH(AR143)=12,YEAR(AR143)+1,YEAR(AR143)),IF(MONTH(AR143)=12,1,MONTH(AR143)+1),1)</f>
        <v>3988</v>
      </c>
      <c r="AS144" s="775">
        <f t="shared" ref="AS144:AS207" si="139">AW143</f>
        <v>0</v>
      </c>
      <c r="AT144" s="775">
        <f t="shared" si="115"/>
        <v>0</v>
      </c>
      <c r="AU144" s="775">
        <f t="shared" si="107"/>
        <v>0</v>
      </c>
      <c r="AV144" s="775">
        <f t="shared" ref="AV144:AV207" si="140">AT144-AU144</f>
        <v>0</v>
      </c>
      <c r="AW144" s="775">
        <f t="shared" ref="AW144:AW207" si="141">AS144-AV144</f>
        <v>0</v>
      </c>
      <c r="AY144" s="773">
        <v>132</v>
      </c>
      <c r="AZ144" s="774">
        <f t="shared" ref="AZ144:AZ207" si="142">DATE(IF(MONTH(AZ143)=12,YEAR(AZ143)+1,YEAR(AZ143)),IF(MONTH(AZ143)=12,1,MONTH(AZ143)+1),1)</f>
        <v>3988</v>
      </c>
      <c r="BA144" s="775">
        <f t="shared" ref="BA144:BA207" si="143">BE143</f>
        <v>0</v>
      </c>
      <c r="BB144" s="775">
        <f t="shared" si="116"/>
        <v>0</v>
      </c>
      <c r="BC144" s="775">
        <f t="shared" si="108"/>
        <v>0</v>
      </c>
      <c r="BD144" s="775">
        <f t="shared" ref="BD144:BD207" si="144">BB144-BC144</f>
        <v>0</v>
      </c>
      <c r="BE144" s="775">
        <f t="shared" ref="BE144:BE207" si="145">BA144-BD144</f>
        <v>0</v>
      </c>
      <c r="BG144" s="773">
        <v>132</v>
      </c>
      <c r="BH144" s="774">
        <f t="shared" ref="BH144:BH207" si="146">DATE(IF(MONTH(BH143)=12,YEAR(BH143)+1,YEAR(BH143)),IF(MONTH(BH143)=12,1,MONTH(BH143)+1),1)</f>
        <v>3988</v>
      </c>
      <c r="BI144" s="775">
        <f t="shared" ref="BI144:BI207" si="147">BM143</f>
        <v>0</v>
      </c>
      <c r="BJ144" s="775">
        <f t="shared" si="117"/>
        <v>0</v>
      </c>
      <c r="BK144" s="775">
        <f t="shared" si="109"/>
        <v>0</v>
      </c>
      <c r="BL144" s="775">
        <f t="shared" ref="BL144:BL207" si="148">BJ144-BK144</f>
        <v>0</v>
      </c>
      <c r="BM144" s="775">
        <f t="shared" ref="BM144:BM207" si="149">BI144-BL144</f>
        <v>0</v>
      </c>
    </row>
    <row r="145" spans="1:65">
      <c r="A145" s="11">
        <f t="shared" si="102"/>
        <v>1911</v>
      </c>
      <c r="B145" s="773">
        <v>133</v>
      </c>
      <c r="C145" s="774">
        <f t="shared" si="118"/>
        <v>4019</v>
      </c>
      <c r="D145" s="775">
        <f t="shared" si="119"/>
        <v>0</v>
      </c>
      <c r="E145" s="775">
        <f t="shared" si="110"/>
        <v>0</v>
      </c>
      <c r="F145" s="775">
        <f t="shared" si="100"/>
        <v>0</v>
      </c>
      <c r="G145" s="775">
        <f t="shared" si="120"/>
        <v>0</v>
      </c>
      <c r="H145" s="775">
        <f t="shared" si="121"/>
        <v>0</v>
      </c>
      <c r="I145" s="775">
        <f t="shared" si="101"/>
        <v>0</v>
      </c>
      <c r="K145" s="773">
        <v>133</v>
      </c>
      <c r="L145" s="774">
        <f t="shared" si="122"/>
        <v>4019</v>
      </c>
      <c r="M145" s="775">
        <f t="shared" si="123"/>
        <v>0</v>
      </c>
      <c r="N145" s="775">
        <f t="shared" si="111"/>
        <v>0</v>
      </c>
      <c r="O145" s="775">
        <f t="shared" si="103"/>
        <v>0</v>
      </c>
      <c r="P145" s="775">
        <f t="shared" si="124"/>
        <v>0</v>
      </c>
      <c r="Q145" s="775">
        <f t="shared" si="125"/>
        <v>0</v>
      </c>
      <c r="S145" s="773">
        <v>133</v>
      </c>
      <c r="T145" s="774">
        <f t="shared" si="126"/>
        <v>4019</v>
      </c>
      <c r="U145" s="775">
        <f t="shared" si="127"/>
        <v>0</v>
      </c>
      <c r="V145" s="775">
        <f t="shared" si="112"/>
        <v>0</v>
      </c>
      <c r="W145" s="775">
        <f t="shared" si="104"/>
        <v>0</v>
      </c>
      <c r="X145" s="775">
        <f t="shared" si="128"/>
        <v>0</v>
      </c>
      <c r="Y145" s="775">
        <f t="shared" si="129"/>
        <v>0</v>
      </c>
      <c r="AA145" s="773">
        <v>133</v>
      </c>
      <c r="AB145" s="774">
        <f t="shared" si="130"/>
        <v>4019</v>
      </c>
      <c r="AC145" s="775">
        <f t="shared" si="131"/>
        <v>0</v>
      </c>
      <c r="AD145" s="775">
        <f t="shared" si="113"/>
        <v>0</v>
      </c>
      <c r="AE145" s="775">
        <f t="shared" si="105"/>
        <v>0</v>
      </c>
      <c r="AF145" s="775">
        <f t="shared" si="132"/>
        <v>0</v>
      </c>
      <c r="AG145" s="775">
        <f t="shared" si="133"/>
        <v>0</v>
      </c>
      <c r="AI145" s="773">
        <v>133</v>
      </c>
      <c r="AJ145" s="774">
        <f t="shared" si="134"/>
        <v>4019</v>
      </c>
      <c r="AK145" s="775">
        <f t="shared" si="135"/>
        <v>0</v>
      </c>
      <c r="AL145" s="775">
        <f t="shared" si="114"/>
        <v>0</v>
      </c>
      <c r="AM145" s="775">
        <f t="shared" si="106"/>
        <v>0</v>
      </c>
      <c r="AN145" s="775">
        <f t="shared" si="136"/>
        <v>0</v>
      </c>
      <c r="AO145" s="775">
        <f t="shared" si="137"/>
        <v>0</v>
      </c>
      <c r="AQ145" s="773">
        <v>133</v>
      </c>
      <c r="AR145" s="774">
        <f t="shared" si="138"/>
        <v>4019</v>
      </c>
      <c r="AS145" s="775">
        <f t="shared" si="139"/>
        <v>0</v>
      </c>
      <c r="AT145" s="775">
        <f t="shared" si="115"/>
        <v>0</v>
      </c>
      <c r="AU145" s="775">
        <f t="shared" si="107"/>
        <v>0</v>
      </c>
      <c r="AV145" s="775">
        <f t="shared" si="140"/>
        <v>0</v>
      </c>
      <c r="AW145" s="775">
        <f t="shared" si="141"/>
        <v>0</v>
      </c>
      <c r="AY145" s="773">
        <v>133</v>
      </c>
      <c r="AZ145" s="774">
        <f t="shared" si="142"/>
        <v>4019</v>
      </c>
      <c r="BA145" s="775">
        <f t="shared" si="143"/>
        <v>0</v>
      </c>
      <c r="BB145" s="775">
        <f t="shared" si="116"/>
        <v>0</v>
      </c>
      <c r="BC145" s="775">
        <f t="shared" si="108"/>
        <v>0</v>
      </c>
      <c r="BD145" s="775">
        <f t="shared" si="144"/>
        <v>0</v>
      </c>
      <c r="BE145" s="775">
        <f t="shared" si="145"/>
        <v>0</v>
      </c>
      <c r="BG145" s="773">
        <v>133</v>
      </c>
      <c r="BH145" s="774">
        <f t="shared" si="146"/>
        <v>4019</v>
      </c>
      <c r="BI145" s="775">
        <f t="shared" si="147"/>
        <v>0</v>
      </c>
      <c r="BJ145" s="775">
        <f t="shared" si="117"/>
        <v>0</v>
      </c>
      <c r="BK145" s="775">
        <f t="shared" si="109"/>
        <v>0</v>
      </c>
      <c r="BL145" s="775">
        <f t="shared" si="148"/>
        <v>0</v>
      </c>
      <c r="BM145" s="775">
        <f t="shared" si="149"/>
        <v>0</v>
      </c>
    </row>
    <row r="146" spans="1:65">
      <c r="A146" s="11">
        <f t="shared" si="102"/>
        <v>1911</v>
      </c>
      <c r="B146" s="773">
        <v>134</v>
      </c>
      <c r="C146" s="774">
        <f t="shared" si="118"/>
        <v>4050</v>
      </c>
      <c r="D146" s="775">
        <f t="shared" si="119"/>
        <v>0</v>
      </c>
      <c r="E146" s="775">
        <f t="shared" si="110"/>
        <v>0</v>
      </c>
      <c r="F146" s="775">
        <f t="shared" si="100"/>
        <v>0</v>
      </c>
      <c r="G146" s="775">
        <f t="shared" si="120"/>
        <v>0</v>
      </c>
      <c r="H146" s="775">
        <f t="shared" si="121"/>
        <v>0</v>
      </c>
      <c r="I146" s="775">
        <f t="shared" si="101"/>
        <v>0</v>
      </c>
      <c r="K146" s="773">
        <v>134</v>
      </c>
      <c r="L146" s="774">
        <f t="shared" si="122"/>
        <v>4050</v>
      </c>
      <c r="M146" s="775">
        <f t="shared" si="123"/>
        <v>0</v>
      </c>
      <c r="N146" s="775">
        <f t="shared" si="111"/>
        <v>0</v>
      </c>
      <c r="O146" s="775">
        <f t="shared" si="103"/>
        <v>0</v>
      </c>
      <c r="P146" s="775">
        <f t="shared" si="124"/>
        <v>0</v>
      </c>
      <c r="Q146" s="775">
        <f t="shared" si="125"/>
        <v>0</v>
      </c>
      <c r="S146" s="773">
        <v>134</v>
      </c>
      <c r="T146" s="774">
        <f t="shared" si="126"/>
        <v>4050</v>
      </c>
      <c r="U146" s="775">
        <f t="shared" si="127"/>
        <v>0</v>
      </c>
      <c r="V146" s="775">
        <f t="shared" si="112"/>
        <v>0</v>
      </c>
      <c r="W146" s="775">
        <f t="shared" si="104"/>
        <v>0</v>
      </c>
      <c r="X146" s="775">
        <f t="shared" si="128"/>
        <v>0</v>
      </c>
      <c r="Y146" s="775">
        <f t="shared" si="129"/>
        <v>0</v>
      </c>
      <c r="AA146" s="773">
        <v>134</v>
      </c>
      <c r="AB146" s="774">
        <f t="shared" si="130"/>
        <v>4050</v>
      </c>
      <c r="AC146" s="775">
        <f t="shared" si="131"/>
        <v>0</v>
      </c>
      <c r="AD146" s="775">
        <f t="shared" si="113"/>
        <v>0</v>
      </c>
      <c r="AE146" s="775">
        <f t="shared" si="105"/>
        <v>0</v>
      </c>
      <c r="AF146" s="775">
        <f t="shared" si="132"/>
        <v>0</v>
      </c>
      <c r="AG146" s="775">
        <f t="shared" si="133"/>
        <v>0</v>
      </c>
      <c r="AI146" s="773">
        <v>134</v>
      </c>
      <c r="AJ146" s="774">
        <f t="shared" si="134"/>
        <v>4050</v>
      </c>
      <c r="AK146" s="775">
        <f t="shared" si="135"/>
        <v>0</v>
      </c>
      <c r="AL146" s="775">
        <f t="shared" si="114"/>
        <v>0</v>
      </c>
      <c r="AM146" s="775">
        <f t="shared" si="106"/>
        <v>0</v>
      </c>
      <c r="AN146" s="775">
        <f t="shared" si="136"/>
        <v>0</v>
      </c>
      <c r="AO146" s="775">
        <f t="shared" si="137"/>
        <v>0</v>
      </c>
      <c r="AQ146" s="773">
        <v>134</v>
      </c>
      <c r="AR146" s="774">
        <f t="shared" si="138"/>
        <v>4050</v>
      </c>
      <c r="AS146" s="775">
        <f t="shared" si="139"/>
        <v>0</v>
      </c>
      <c r="AT146" s="775">
        <f t="shared" si="115"/>
        <v>0</v>
      </c>
      <c r="AU146" s="775">
        <f t="shared" si="107"/>
        <v>0</v>
      </c>
      <c r="AV146" s="775">
        <f t="shared" si="140"/>
        <v>0</v>
      </c>
      <c r="AW146" s="775">
        <f t="shared" si="141"/>
        <v>0</v>
      </c>
      <c r="AY146" s="773">
        <v>134</v>
      </c>
      <c r="AZ146" s="774">
        <f t="shared" si="142"/>
        <v>4050</v>
      </c>
      <c r="BA146" s="775">
        <f t="shared" si="143"/>
        <v>0</v>
      </c>
      <c r="BB146" s="775">
        <f t="shared" si="116"/>
        <v>0</v>
      </c>
      <c r="BC146" s="775">
        <f t="shared" si="108"/>
        <v>0</v>
      </c>
      <c r="BD146" s="775">
        <f t="shared" si="144"/>
        <v>0</v>
      </c>
      <c r="BE146" s="775">
        <f t="shared" si="145"/>
        <v>0</v>
      </c>
      <c r="BG146" s="773">
        <v>134</v>
      </c>
      <c r="BH146" s="774">
        <f t="shared" si="146"/>
        <v>4050</v>
      </c>
      <c r="BI146" s="775">
        <f t="shared" si="147"/>
        <v>0</v>
      </c>
      <c r="BJ146" s="775">
        <f t="shared" si="117"/>
        <v>0</v>
      </c>
      <c r="BK146" s="775">
        <f t="shared" si="109"/>
        <v>0</v>
      </c>
      <c r="BL146" s="775">
        <f t="shared" si="148"/>
        <v>0</v>
      </c>
      <c r="BM146" s="775">
        <f t="shared" si="149"/>
        <v>0</v>
      </c>
    </row>
    <row r="147" spans="1:65">
      <c r="A147" s="11">
        <f t="shared" si="102"/>
        <v>1911</v>
      </c>
      <c r="B147" s="773">
        <v>135</v>
      </c>
      <c r="C147" s="774">
        <f t="shared" si="118"/>
        <v>4078</v>
      </c>
      <c r="D147" s="775">
        <f t="shared" si="119"/>
        <v>0</v>
      </c>
      <c r="E147" s="775">
        <f t="shared" si="110"/>
        <v>0</v>
      </c>
      <c r="F147" s="775">
        <f t="shared" si="100"/>
        <v>0</v>
      </c>
      <c r="G147" s="775">
        <f t="shared" si="120"/>
        <v>0</v>
      </c>
      <c r="H147" s="775">
        <f t="shared" si="121"/>
        <v>0</v>
      </c>
      <c r="I147" s="775">
        <f t="shared" si="101"/>
        <v>0</v>
      </c>
      <c r="K147" s="773">
        <v>135</v>
      </c>
      <c r="L147" s="774">
        <f t="shared" si="122"/>
        <v>4078</v>
      </c>
      <c r="M147" s="775">
        <f t="shared" si="123"/>
        <v>0</v>
      </c>
      <c r="N147" s="775">
        <f t="shared" si="111"/>
        <v>0</v>
      </c>
      <c r="O147" s="775">
        <f t="shared" si="103"/>
        <v>0</v>
      </c>
      <c r="P147" s="775">
        <f t="shared" si="124"/>
        <v>0</v>
      </c>
      <c r="Q147" s="775">
        <f t="shared" si="125"/>
        <v>0</v>
      </c>
      <c r="S147" s="773">
        <v>135</v>
      </c>
      <c r="T147" s="774">
        <f t="shared" si="126"/>
        <v>4078</v>
      </c>
      <c r="U147" s="775">
        <f t="shared" si="127"/>
        <v>0</v>
      </c>
      <c r="V147" s="775">
        <f t="shared" si="112"/>
        <v>0</v>
      </c>
      <c r="W147" s="775">
        <f t="shared" si="104"/>
        <v>0</v>
      </c>
      <c r="X147" s="775">
        <f t="shared" si="128"/>
        <v>0</v>
      </c>
      <c r="Y147" s="775">
        <f t="shared" si="129"/>
        <v>0</v>
      </c>
      <c r="AA147" s="773">
        <v>135</v>
      </c>
      <c r="AB147" s="774">
        <f t="shared" si="130"/>
        <v>4078</v>
      </c>
      <c r="AC147" s="775">
        <f t="shared" si="131"/>
        <v>0</v>
      </c>
      <c r="AD147" s="775">
        <f t="shared" si="113"/>
        <v>0</v>
      </c>
      <c r="AE147" s="775">
        <f t="shared" si="105"/>
        <v>0</v>
      </c>
      <c r="AF147" s="775">
        <f t="shared" si="132"/>
        <v>0</v>
      </c>
      <c r="AG147" s="775">
        <f t="shared" si="133"/>
        <v>0</v>
      </c>
      <c r="AI147" s="773">
        <v>135</v>
      </c>
      <c r="AJ147" s="774">
        <f t="shared" si="134"/>
        <v>4078</v>
      </c>
      <c r="AK147" s="775">
        <f t="shared" si="135"/>
        <v>0</v>
      </c>
      <c r="AL147" s="775">
        <f t="shared" si="114"/>
        <v>0</v>
      </c>
      <c r="AM147" s="775">
        <f t="shared" si="106"/>
        <v>0</v>
      </c>
      <c r="AN147" s="775">
        <f t="shared" si="136"/>
        <v>0</v>
      </c>
      <c r="AO147" s="775">
        <f t="shared" si="137"/>
        <v>0</v>
      </c>
      <c r="AQ147" s="773">
        <v>135</v>
      </c>
      <c r="AR147" s="774">
        <f t="shared" si="138"/>
        <v>4078</v>
      </c>
      <c r="AS147" s="775">
        <f t="shared" si="139"/>
        <v>0</v>
      </c>
      <c r="AT147" s="775">
        <f t="shared" si="115"/>
        <v>0</v>
      </c>
      <c r="AU147" s="775">
        <f t="shared" si="107"/>
        <v>0</v>
      </c>
      <c r="AV147" s="775">
        <f t="shared" si="140"/>
        <v>0</v>
      </c>
      <c r="AW147" s="775">
        <f t="shared" si="141"/>
        <v>0</v>
      </c>
      <c r="AY147" s="773">
        <v>135</v>
      </c>
      <c r="AZ147" s="774">
        <f t="shared" si="142"/>
        <v>4078</v>
      </c>
      <c r="BA147" s="775">
        <f t="shared" si="143"/>
        <v>0</v>
      </c>
      <c r="BB147" s="775">
        <f t="shared" si="116"/>
        <v>0</v>
      </c>
      <c r="BC147" s="775">
        <f t="shared" si="108"/>
        <v>0</v>
      </c>
      <c r="BD147" s="775">
        <f t="shared" si="144"/>
        <v>0</v>
      </c>
      <c r="BE147" s="775">
        <f t="shared" si="145"/>
        <v>0</v>
      </c>
      <c r="BG147" s="773">
        <v>135</v>
      </c>
      <c r="BH147" s="774">
        <f t="shared" si="146"/>
        <v>4078</v>
      </c>
      <c r="BI147" s="775">
        <f t="shared" si="147"/>
        <v>0</v>
      </c>
      <c r="BJ147" s="775">
        <f t="shared" si="117"/>
        <v>0</v>
      </c>
      <c r="BK147" s="775">
        <f t="shared" si="109"/>
        <v>0</v>
      </c>
      <c r="BL147" s="775">
        <f t="shared" si="148"/>
        <v>0</v>
      </c>
      <c r="BM147" s="775">
        <f t="shared" si="149"/>
        <v>0</v>
      </c>
    </row>
    <row r="148" spans="1:65">
      <c r="A148" s="11">
        <f t="shared" si="102"/>
        <v>1911</v>
      </c>
      <c r="B148" s="773">
        <v>136</v>
      </c>
      <c r="C148" s="774">
        <f t="shared" si="118"/>
        <v>4109</v>
      </c>
      <c r="D148" s="775">
        <f t="shared" si="119"/>
        <v>0</v>
      </c>
      <c r="E148" s="775">
        <f t="shared" si="110"/>
        <v>0</v>
      </c>
      <c r="F148" s="775">
        <f t="shared" si="100"/>
        <v>0</v>
      </c>
      <c r="G148" s="775">
        <f t="shared" si="120"/>
        <v>0</v>
      </c>
      <c r="H148" s="775">
        <f t="shared" si="121"/>
        <v>0</v>
      </c>
      <c r="I148" s="775">
        <f t="shared" si="101"/>
        <v>0</v>
      </c>
      <c r="K148" s="773">
        <v>136</v>
      </c>
      <c r="L148" s="774">
        <f t="shared" si="122"/>
        <v>4109</v>
      </c>
      <c r="M148" s="775">
        <f t="shared" si="123"/>
        <v>0</v>
      </c>
      <c r="N148" s="775">
        <f t="shared" si="111"/>
        <v>0</v>
      </c>
      <c r="O148" s="775">
        <f t="shared" si="103"/>
        <v>0</v>
      </c>
      <c r="P148" s="775">
        <f t="shared" si="124"/>
        <v>0</v>
      </c>
      <c r="Q148" s="775">
        <f t="shared" si="125"/>
        <v>0</v>
      </c>
      <c r="S148" s="773">
        <v>136</v>
      </c>
      <c r="T148" s="774">
        <f t="shared" si="126"/>
        <v>4109</v>
      </c>
      <c r="U148" s="775">
        <f t="shared" si="127"/>
        <v>0</v>
      </c>
      <c r="V148" s="775">
        <f t="shared" si="112"/>
        <v>0</v>
      </c>
      <c r="W148" s="775">
        <f t="shared" si="104"/>
        <v>0</v>
      </c>
      <c r="X148" s="775">
        <f t="shared" si="128"/>
        <v>0</v>
      </c>
      <c r="Y148" s="775">
        <f t="shared" si="129"/>
        <v>0</v>
      </c>
      <c r="AA148" s="773">
        <v>136</v>
      </c>
      <c r="AB148" s="774">
        <f t="shared" si="130"/>
        <v>4109</v>
      </c>
      <c r="AC148" s="775">
        <f t="shared" si="131"/>
        <v>0</v>
      </c>
      <c r="AD148" s="775">
        <f t="shared" si="113"/>
        <v>0</v>
      </c>
      <c r="AE148" s="775">
        <f t="shared" si="105"/>
        <v>0</v>
      </c>
      <c r="AF148" s="775">
        <f t="shared" si="132"/>
        <v>0</v>
      </c>
      <c r="AG148" s="775">
        <f t="shared" si="133"/>
        <v>0</v>
      </c>
      <c r="AI148" s="773">
        <v>136</v>
      </c>
      <c r="AJ148" s="774">
        <f t="shared" si="134"/>
        <v>4109</v>
      </c>
      <c r="AK148" s="775">
        <f t="shared" si="135"/>
        <v>0</v>
      </c>
      <c r="AL148" s="775">
        <f t="shared" si="114"/>
        <v>0</v>
      </c>
      <c r="AM148" s="775">
        <f t="shared" si="106"/>
        <v>0</v>
      </c>
      <c r="AN148" s="775">
        <f t="shared" si="136"/>
        <v>0</v>
      </c>
      <c r="AO148" s="775">
        <f t="shared" si="137"/>
        <v>0</v>
      </c>
      <c r="AQ148" s="773">
        <v>136</v>
      </c>
      <c r="AR148" s="774">
        <f t="shared" si="138"/>
        <v>4109</v>
      </c>
      <c r="AS148" s="775">
        <f t="shared" si="139"/>
        <v>0</v>
      </c>
      <c r="AT148" s="775">
        <f t="shared" si="115"/>
        <v>0</v>
      </c>
      <c r="AU148" s="775">
        <f t="shared" si="107"/>
        <v>0</v>
      </c>
      <c r="AV148" s="775">
        <f t="shared" si="140"/>
        <v>0</v>
      </c>
      <c r="AW148" s="775">
        <f t="shared" si="141"/>
        <v>0</v>
      </c>
      <c r="AY148" s="773">
        <v>136</v>
      </c>
      <c r="AZ148" s="774">
        <f t="shared" si="142"/>
        <v>4109</v>
      </c>
      <c r="BA148" s="775">
        <f t="shared" si="143"/>
        <v>0</v>
      </c>
      <c r="BB148" s="775">
        <f t="shared" si="116"/>
        <v>0</v>
      </c>
      <c r="BC148" s="775">
        <f t="shared" si="108"/>
        <v>0</v>
      </c>
      <c r="BD148" s="775">
        <f t="shared" si="144"/>
        <v>0</v>
      </c>
      <c r="BE148" s="775">
        <f t="shared" si="145"/>
        <v>0</v>
      </c>
      <c r="BG148" s="773">
        <v>136</v>
      </c>
      <c r="BH148" s="774">
        <f t="shared" si="146"/>
        <v>4109</v>
      </c>
      <c r="BI148" s="775">
        <f t="shared" si="147"/>
        <v>0</v>
      </c>
      <c r="BJ148" s="775">
        <f t="shared" si="117"/>
        <v>0</v>
      </c>
      <c r="BK148" s="775">
        <f t="shared" si="109"/>
        <v>0</v>
      </c>
      <c r="BL148" s="775">
        <f t="shared" si="148"/>
        <v>0</v>
      </c>
      <c r="BM148" s="775">
        <f t="shared" si="149"/>
        <v>0</v>
      </c>
    </row>
    <row r="149" spans="1:65">
      <c r="A149" s="11">
        <f t="shared" si="102"/>
        <v>1911</v>
      </c>
      <c r="B149" s="773">
        <v>137</v>
      </c>
      <c r="C149" s="774">
        <f t="shared" si="118"/>
        <v>4139</v>
      </c>
      <c r="D149" s="775">
        <f t="shared" si="119"/>
        <v>0</v>
      </c>
      <c r="E149" s="775">
        <f t="shared" si="110"/>
        <v>0</v>
      </c>
      <c r="F149" s="775">
        <f t="shared" si="100"/>
        <v>0</v>
      </c>
      <c r="G149" s="775">
        <f t="shared" si="120"/>
        <v>0</v>
      </c>
      <c r="H149" s="775">
        <f t="shared" si="121"/>
        <v>0</v>
      </c>
      <c r="I149" s="775">
        <f t="shared" si="101"/>
        <v>0</v>
      </c>
      <c r="K149" s="773">
        <v>137</v>
      </c>
      <c r="L149" s="774">
        <f t="shared" si="122"/>
        <v>4139</v>
      </c>
      <c r="M149" s="775">
        <f t="shared" si="123"/>
        <v>0</v>
      </c>
      <c r="N149" s="775">
        <f t="shared" si="111"/>
        <v>0</v>
      </c>
      <c r="O149" s="775">
        <f t="shared" si="103"/>
        <v>0</v>
      </c>
      <c r="P149" s="775">
        <f t="shared" si="124"/>
        <v>0</v>
      </c>
      <c r="Q149" s="775">
        <f t="shared" si="125"/>
        <v>0</v>
      </c>
      <c r="S149" s="773">
        <v>137</v>
      </c>
      <c r="T149" s="774">
        <f t="shared" si="126"/>
        <v>4139</v>
      </c>
      <c r="U149" s="775">
        <f t="shared" si="127"/>
        <v>0</v>
      </c>
      <c r="V149" s="775">
        <f t="shared" si="112"/>
        <v>0</v>
      </c>
      <c r="W149" s="775">
        <f t="shared" si="104"/>
        <v>0</v>
      </c>
      <c r="X149" s="775">
        <f t="shared" si="128"/>
        <v>0</v>
      </c>
      <c r="Y149" s="775">
        <f t="shared" si="129"/>
        <v>0</v>
      </c>
      <c r="AA149" s="773">
        <v>137</v>
      </c>
      <c r="AB149" s="774">
        <f t="shared" si="130"/>
        <v>4139</v>
      </c>
      <c r="AC149" s="775">
        <f t="shared" si="131"/>
        <v>0</v>
      </c>
      <c r="AD149" s="775">
        <f t="shared" si="113"/>
        <v>0</v>
      </c>
      <c r="AE149" s="775">
        <f t="shared" si="105"/>
        <v>0</v>
      </c>
      <c r="AF149" s="775">
        <f t="shared" si="132"/>
        <v>0</v>
      </c>
      <c r="AG149" s="775">
        <f t="shared" si="133"/>
        <v>0</v>
      </c>
      <c r="AI149" s="773">
        <v>137</v>
      </c>
      <c r="AJ149" s="774">
        <f t="shared" si="134"/>
        <v>4139</v>
      </c>
      <c r="AK149" s="775">
        <f t="shared" si="135"/>
        <v>0</v>
      </c>
      <c r="AL149" s="775">
        <f t="shared" si="114"/>
        <v>0</v>
      </c>
      <c r="AM149" s="775">
        <f t="shared" si="106"/>
        <v>0</v>
      </c>
      <c r="AN149" s="775">
        <f t="shared" si="136"/>
        <v>0</v>
      </c>
      <c r="AO149" s="775">
        <f t="shared" si="137"/>
        <v>0</v>
      </c>
      <c r="AQ149" s="773">
        <v>137</v>
      </c>
      <c r="AR149" s="774">
        <f t="shared" si="138"/>
        <v>4139</v>
      </c>
      <c r="AS149" s="775">
        <f t="shared" si="139"/>
        <v>0</v>
      </c>
      <c r="AT149" s="775">
        <f t="shared" si="115"/>
        <v>0</v>
      </c>
      <c r="AU149" s="775">
        <f t="shared" si="107"/>
        <v>0</v>
      </c>
      <c r="AV149" s="775">
        <f t="shared" si="140"/>
        <v>0</v>
      </c>
      <c r="AW149" s="775">
        <f t="shared" si="141"/>
        <v>0</v>
      </c>
      <c r="AY149" s="773">
        <v>137</v>
      </c>
      <c r="AZ149" s="774">
        <f t="shared" si="142"/>
        <v>4139</v>
      </c>
      <c r="BA149" s="775">
        <f t="shared" si="143"/>
        <v>0</v>
      </c>
      <c r="BB149" s="775">
        <f t="shared" si="116"/>
        <v>0</v>
      </c>
      <c r="BC149" s="775">
        <f t="shared" si="108"/>
        <v>0</v>
      </c>
      <c r="BD149" s="775">
        <f t="shared" si="144"/>
        <v>0</v>
      </c>
      <c r="BE149" s="775">
        <f t="shared" si="145"/>
        <v>0</v>
      </c>
      <c r="BG149" s="773">
        <v>137</v>
      </c>
      <c r="BH149" s="774">
        <f t="shared" si="146"/>
        <v>4139</v>
      </c>
      <c r="BI149" s="775">
        <f t="shared" si="147"/>
        <v>0</v>
      </c>
      <c r="BJ149" s="775">
        <f t="shared" si="117"/>
        <v>0</v>
      </c>
      <c r="BK149" s="775">
        <f t="shared" si="109"/>
        <v>0</v>
      </c>
      <c r="BL149" s="775">
        <f t="shared" si="148"/>
        <v>0</v>
      </c>
      <c r="BM149" s="775">
        <f t="shared" si="149"/>
        <v>0</v>
      </c>
    </row>
    <row r="150" spans="1:65">
      <c r="A150" s="11">
        <f t="shared" si="102"/>
        <v>1911</v>
      </c>
      <c r="B150" s="773">
        <v>138</v>
      </c>
      <c r="C150" s="774">
        <f t="shared" si="118"/>
        <v>4170</v>
      </c>
      <c r="D150" s="775">
        <f t="shared" si="119"/>
        <v>0</v>
      </c>
      <c r="E150" s="775">
        <f t="shared" si="110"/>
        <v>0</v>
      </c>
      <c r="F150" s="775">
        <f t="shared" si="100"/>
        <v>0</v>
      </c>
      <c r="G150" s="775">
        <f t="shared" si="120"/>
        <v>0</v>
      </c>
      <c r="H150" s="775">
        <f t="shared" si="121"/>
        <v>0</v>
      </c>
      <c r="I150" s="775">
        <f t="shared" si="101"/>
        <v>0</v>
      </c>
      <c r="K150" s="773">
        <v>138</v>
      </c>
      <c r="L150" s="774">
        <f t="shared" si="122"/>
        <v>4170</v>
      </c>
      <c r="M150" s="775">
        <f t="shared" si="123"/>
        <v>0</v>
      </c>
      <c r="N150" s="775">
        <f t="shared" si="111"/>
        <v>0</v>
      </c>
      <c r="O150" s="775">
        <f t="shared" si="103"/>
        <v>0</v>
      </c>
      <c r="P150" s="775">
        <f t="shared" si="124"/>
        <v>0</v>
      </c>
      <c r="Q150" s="775">
        <f t="shared" si="125"/>
        <v>0</v>
      </c>
      <c r="S150" s="773">
        <v>138</v>
      </c>
      <c r="T150" s="774">
        <f t="shared" si="126"/>
        <v>4170</v>
      </c>
      <c r="U150" s="775">
        <f t="shared" si="127"/>
        <v>0</v>
      </c>
      <c r="V150" s="775">
        <f t="shared" si="112"/>
        <v>0</v>
      </c>
      <c r="W150" s="775">
        <f t="shared" si="104"/>
        <v>0</v>
      </c>
      <c r="X150" s="775">
        <f t="shared" si="128"/>
        <v>0</v>
      </c>
      <c r="Y150" s="775">
        <f t="shared" si="129"/>
        <v>0</v>
      </c>
      <c r="AA150" s="773">
        <v>138</v>
      </c>
      <c r="AB150" s="774">
        <f t="shared" si="130"/>
        <v>4170</v>
      </c>
      <c r="AC150" s="775">
        <f t="shared" si="131"/>
        <v>0</v>
      </c>
      <c r="AD150" s="775">
        <f t="shared" si="113"/>
        <v>0</v>
      </c>
      <c r="AE150" s="775">
        <f t="shared" si="105"/>
        <v>0</v>
      </c>
      <c r="AF150" s="775">
        <f t="shared" si="132"/>
        <v>0</v>
      </c>
      <c r="AG150" s="775">
        <f t="shared" si="133"/>
        <v>0</v>
      </c>
      <c r="AI150" s="773">
        <v>138</v>
      </c>
      <c r="AJ150" s="774">
        <f t="shared" si="134"/>
        <v>4170</v>
      </c>
      <c r="AK150" s="775">
        <f t="shared" si="135"/>
        <v>0</v>
      </c>
      <c r="AL150" s="775">
        <f t="shared" si="114"/>
        <v>0</v>
      </c>
      <c r="AM150" s="775">
        <f t="shared" si="106"/>
        <v>0</v>
      </c>
      <c r="AN150" s="775">
        <f t="shared" si="136"/>
        <v>0</v>
      </c>
      <c r="AO150" s="775">
        <f t="shared" si="137"/>
        <v>0</v>
      </c>
      <c r="AQ150" s="773">
        <v>138</v>
      </c>
      <c r="AR150" s="774">
        <f t="shared" si="138"/>
        <v>4170</v>
      </c>
      <c r="AS150" s="775">
        <f t="shared" si="139"/>
        <v>0</v>
      </c>
      <c r="AT150" s="775">
        <f t="shared" si="115"/>
        <v>0</v>
      </c>
      <c r="AU150" s="775">
        <f t="shared" si="107"/>
        <v>0</v>
      </c>
      <c r="AV150" s="775">
        <f t="shared" si="140"/>
        <v>0</v>
      </c>
      <c r="AW150" s="775">
        <f t="shared" si="141"/>
        <v>0</v>
      </c>
      <c r="AY150" s="773">
        <v>138</v>
      </c>
      <c r="AZ150" s="774">
        <f t="shared" si="142"/>
        <v>4170</v>
      </c>
      <c r="BA150" s="775">
        <f t="shared" si="143"/>
        <v>0</v>
      </c>
      <c r="BB150" s="775">
        <f t="shared" si="116"/>
        <v>0</v>
      </c>
      <c r="BC150" s="775">
        <f t="shared" si="108"/>
        <v>0</v>
      </c>
      <c r="BD150" s="775">
        <f t="shared" si="144"/>
        <v>0</v>
      </c>
      <c r="BE150" s="775">
        <f t="shared" si="145"/>
        <v>0</v>
      </c>
      <c r="BG150" s="773">
        <v>138</v>
      </c>
      <c r="BH150" s="774">
        <f t="shared" si="146"/>
        <v>4170</v>
      </c>
      <c r="BI150" s="775">
        <f t="shared" si="147"/>
        <v>0</v>
      </c>
      <c r="BJ150" s="775">
        <f t="shared" si="117"/>
        <v>0</v>
      </c>
      <c r="BK150" s="775">
        <f t="shared" si="109"/>
        <v>0</v>
      </c>
      <c r="BL150" s="775">
        <f t="shared" si="148"/>
        <v>0</v>
      </c>
      <c r="BM150" s="775">
        <f t="shared" si="149"/>
        <v>0</v>
      </c>
    </row>
    <row r="151" spans="1:65">
      <c r="A151" s="11">
        <f t="shared" si="102"/>
        <v>1911</v>
      </c>
      <c r="B151" s="773">
        <v>139</v>
      </c>
      <c r="C151" s="774">
        <f t="shared" si="118"/>
        <v>4200</v>
      </c>
      <c r="D151" s="775">
        <f t="shared" si="119"/>
        <v>0</v>
      </c>
      <c r="E151" s="775">
        <f t="shared" si="110"/>
        <v>0</v>
      </c>
      <c r="F151" s="775">
        <f t="shared" si="100"/>
        <v>0</v>
      </c>
      <c r="G151" s="775">
        <f t="shared" si="120"/>
        <v>0</v>
      </c>
      <c r="H151" s="775">
        <f t="shared" si="121"/>
        <v>0</v>
      </c>
      <c r="I151" s="775">
        <f t="shared" si="101"/>
        <v>0</v>
      </c>
      <c r="K151" s="773">
        <v>139</v>
      </c>
      <c r="L151" s="774">
        <f t="shared" si="122"/>
        <v>4200</v>
      </c>
      <c r="M151" s="775">
        <f t="shared" si="123"/>
        <v>0</v>
      </c>
      <c r="N151" s="775">
        <f t="shared" si="111"/>
        <v>0</v>
      </c>
      <c r="O151" s="775">
        <f t="shared" si="103"/>
        <v>0</v>
      </c>
      <c r="P151" s="775">
        <f t="shared" si="124"/>
        <v>0</v>
      </c>
      <c r="Q151" s="775">
        <f t="shared" si="125"/>
        <v>0</v>
      </c>
      <c r="S151" s="773">
        <v>139</v>
      </c>
      <c r="T151" s="774">
        <f t="shared" si="126"/>
        <v>4200</v>
      </c>
      <c r="U151" s="775">
        <f t="shared" si="127"/>
        <v>0</v>
      </c>
      <c r="V151" s="775">
        <f t="shared" si="112"/>
        <v>0</v>
      </c>
      <c r="W151" s="775">
        <f t="shared" si="104"/>
        <v>0</v>
      </c>
      <c r="X151" s="775">
        <f t="shared" si="128"/>
        <v>0</v>
      </c>
      <c r="Y151" s="775">
        <f t="shared" si="129"/>
        <v>0</v>
      </c>
      <c r="AA151" s="773">
        <v>139</v>
      </c>
      <c r="AB151" s="774">
        <f t="shared" si="130"/>
        <v>4200</v>
      </c>
      <c r="AC151" s="775">
        <f t="shared" si="131"/>
        <v>0</v>
      </c>
      <c r="AD151" s="775">
        <f t="shared" si="113"/>
        <v>0</v>
      </c>
      <c r="AE151" s="775">
        <f t="shared" si="105"/>
        <v>0</v>
      </c>
      <c r="AF151" s="775">
        <f t="shared" si="132"/>
        <v>0</v>
      </c>
      <c r="AG151" s="775">
        <f t="shared" si="133"/>
        <v>0</v>
      </c>
      <c r="AI151" s="773">
        <v>139</v>
      </c>
      <c r="AJ151" s="774">
        <f t="shared" si="134"/>
        <v>4200</v>
      </c>
      <c r="AK151" s="775">
        <f t="shared" si="135"/>
        <v>0</v>
      </c>
      <c r="AL151" s="775">
        <f t="shared" si="114"/>
        <v>0</v>
      </c>
      <c r="AM151" s="775">
        <f t="shared" si="106"/>
        <v>0</v>
      </c>
      <c r="AN151" s="775">
        <f t="shared" si="136"/>
        <v>0</v>
      </c>
      <c r="AO151" s="775">
        <f t="shared" si="137"/>
        <v>0</v>
      </c>
      <c r="AQ151" s="773">
        <v>139</v>
      </c>
      <c r="AR151" s="774">
        <f t="shared" si="138"/>
        <v>4200</v>
      </c>
      <c r="AS151" s="775">
        <f t="shared" si="139"/>
        <v>0</v>
      </c>
      <c r="AT151" s="775">
        <f t="shared" si="115"/>
        <v>0</v>
      </c>
      <c r="AU151" s="775">
        <f t="shared" si="107"/>
        <v>0</v>
      </c>
      <c r="AV151" s="775">
        <f t="shared" si="140"/>
        <v>0</v>
      </c>
      <c r="AW151" s="775">
        <f t="shared" si="141"/>
        <v>0</v>
      </c>
      <c r="AY151" s="773">
        <v>139</v>
      </c>
      <c r="AZ151" s="774">
        <f t="shared" si="142"/>
        <v>4200</v>
      </c>
      <c r="BA151" s="775">
        <f t="shared" si="143"/>
        <v>0</v>
      </c>
      <c r="BB151" s="775">
        <f t="shared" si="116"/>
        <v>0</v>
      </c>
      <c r="BC151" s="775">
        <f t="shared" si="108"/>
        <v>0</v>
      </c>
      <c r="BD151" s="775">
        <f t="shared" si="144"/>
        <v>0</v>
      </c>
      <c r="BE151" s="775">
        <f t="shared" si="145"/>
        <v>0</v>
      </c>
      <c r="BG151" s="773">
        <v>139</v>
      </c>
      <c r="BH151" s="774">
        <f t="shared" si="146"/>
        <v>4200</v>
      </c>
      <c r="BI151" s="775">
        <f t="shared" si="147"/>
        <v>0</v>
      </c>
      <c r="BJ151" s="775">
        <f t="shared" si="117"/>
        <v>0</v>
      </c>
      <c r="BK151" s="775">
        <f t="shared" si="109"/>
        <v>0</v>
      </c>
      <c r="BL151" s="775">
        <f t="shared" si="148"/>
        <v>0</v>
      </c>
      <c r="BM151" s="775">
        <f t="shared" si="149"/>
        <v>0</v>
      </c>
    </row>
    <row r="152" spans="1:65">
      <c r="A152" s="11">
        <f t="shared" si="102"/>
        <v>1911</v>
      </c>
      <c r="B152" s="773">
        <v>140</v>
      </c>
      <c r="C152" s="774">
        <f t="shared" si="118"/>
        <v>4231</v>
      </c>
      <c r="D152" s="775">
        <f t="shared" si="119"/>
        <v>0</v>
      </c>
      <c r="E152" s="775">
        <f t="shared" si="110"/>
        <v>0</v>
      </c>
      <c r="F152" s="775">
        <f t="shared" si="100"/>
        <v>0</v>
      </c>
      <c r="G152" s="775">
        <f t="shared" si="120"/>
        <v>0</v>
      </c>
      <c r="H152" s="775">
        <f t="shared" si="121"/>
        <v>0</v>
      </c>
      <c r="I152" s="775">
        <f t="shared" si="101"/>
        <v>0</v>
      </c>
      <c r="K152" s="773">
        <v>140</v>
      </c>
      <c r="L152" s="774">
        <f t="shared" si="122"/>
        <v>4231</v>
      </c>
      <c r="M152" s="775">
        <f t="shared" si="123"/>
        <v>0</v>
      </c>
      <c r="N152" s="775">
        <f t="shared" si="111"/>
        <v>0</v>
      </c>
      <c r="O152" s="775">
        <f t="shared" si="103"/>
        <v>0</v>
      </c>
      <c r="P152" s="775">
        <f t="shared" si="124"/>
        <v>0</v>
      </c>
      <c r="Q152" s="775">
        <f t="shared" si="125"/>
        <v>0</v>
      </c>
      <c r="S152" s="773">
        <v>140</v>
      </c>
      <c r="T152" s="774">
        <f t="shared" si="126"/>
        <v>4231</v>
      </c>
      <c r="U152" s="775">
        <f t="shared" si="127"/>
        <v>0</v>
      </c>
      <c r="V152" s="775">
        <f t="shared" si="112"/>
        <v>0</v>
      </c>
      <c r="W152" s="775">
        <f t="shared" si="104"/>
        <v>0</v>
      </c>
      <c r="X152" s="775">
        <f t="shared" si="128"/>
        <v>0</v>
      </c>
      <c r="Y152" s="775">
        <f t="shared" si="129"/>
        <v>0</v>
      </c>
      <c r="AA152" s="773">
        <v>140</v>
      </c>
      <c r="AB152" s="774">
        <f t="shared" si="130"/>
        <v>4231</v>
      </c>
      <c r="AC152" s="775">
        <f t="shared" si="131"/>
        <v>0</v>
      </c>
      <c r="AD152" s="775">
        <f t="shared" si="113"/>
        <v>0</v>
      </c>
      <c r="AE152" s="775">
        <f t="shared" si="105"/>
        <v>0</v>
      </c>
      <c r="AF152" s="775">
        <f t="shared" si="132"/>
        <v>0</v>
      </c>
      <c r="AG152" s="775">
        <f t="shared" si="133"/>
        <v>0</v>
      </c>
      <c r="AI152" s="773">
        <v>140</v>
      </c>
      <c r="AJ152" s="774">
        <f t="shared" si="134"/>
        <v>4231</v>
      </c>
      <c r="AK152" s="775">
        <f t="shared" si="135"/>
        <v>0</v>
      </c>
      <c r="AL152" s="775">
        <f t="shared" si="114"/>
        <v>0</v>
      </c>
      <c r="AM152" s="775">
        <f t="shared" si="106"/>
        <v>0</v>
      </c>
      <c r="AN152" s="775">
        <f t="shared" si="136"/>
        <v>0</v>
      </c>
      <c r="AO152" s="775">
        <f t="shared" si="137"/>
        <v>0</v>
      </c>
      <c r="AQ152" s="773">
        <v>140</v>
      </c>
      <c r="AR152" s="774">
        <f t="shared" si="138"/>
        <v>4231</v>
      </c>
      <c r="AS152" s="775">
        <f t="shared" si="139"/>
        <v>0</v>
      </c>
      <c r="AT152" s="775">
        <f t="shared" si="115"/>
        <v>0</v>
      </c>
      <c r="AU152" s="775">
        <f t="shared" si="107"/>
        <v>0</v>
      </c>
      <c r="AV152" s="775">
        <f t="shared" si="140"/>
        <v>0</v>
      </c>
      <c r="AW152" s="775">
        <f t="shared" si="141"/>
        <v>0</v>
      </c>
      <c r="AY152" s="773">
        <v>140</v>
      </c>
      <c r="AZ152" s="774">
        <f t="shared" si="142"/>
        <v>4231</v>
      </c>
      <c r="BA152" s="775">
        <f t="shared" si="143"/>
        <v>0</v>
      </c>
      <c r="BB152" s="775">
        <f t="shared" si="116"/>
        <v>0</v>
      </c>
      <c r="BC152" s="775">
        <f t="shared" si="108"/>
        <v>0</v>
      </c>
      <c r="BD152" s="775">
        <f t="shared" si="144"/>
        <v>0</v>
      </c>
      <c r="BE152" s="775">
        <f t="shared" si="145"/>
        <v>0</v>
      </c>
      <c r="BG152" s="773">
        <v>140</v>
      </c>
      <c r="BH152" s="774">
        <f t="shared" si="146"/>
        <v>4231</v>
      </c>
      <c r="BI152" s="775">
        <f t="shared" si="147"/>
        <v>0</v>
      </c>
      <c r="BJ152" s="775">
        <f t="shared" si="117"/>
        <v>0</v>
      </c>
      <c r="BK152" s="775">
        <f t="shared" si="109"/>
        <v>0</v>
      </c>
      <c r="BL152" s="775">
        <f t="shared" si="148"/>
        <v>0</v>
      </c>
      <c r="BM152" s="775">
        <f t="shared" si="149"/>
        <v>0</v>
      </c>
    </row>
    <row r="153" spans="1:65">
      <c r="A153" s="11">
        <f t="shared" si="102"/>
        <v>1911</v>
      </c>
      <c r="B153" s="773">
        <v>141</v>
      </c>
      <c r="C153" s="774">
        <f t="shared" si="118"/>
        <v>4262</v>
      </c>
      <c r="D153" s="775">
        <f t="shared" si="119"/>
        <v>0</v>
      </c>
      <c r="E153" s="775">
        <f t="shared" si="110"/>
        <v>0</v>
      </c>
      <c r="F153" s="775">
        <f t="shared" si="100"/>
        <v>0</v>
      </c>
      <c r="G153" s="775">
        <f t="shared" si="120"/>
        <v>0</v>
      </c>
      <c r="H153" s="775">
        <f t="shared" si="121"/>
        <v>0</v>
      </c>
      <c r="I153" s="775">
        <f t="shared" si="101"/>
        <v>0</v>
      </c>
      <c r="K153" s="773">
        <v>141</v>
      </c>
      <c r="L153" s="774">
        <f t="shared" si="122"/>
        <v>4262</v>
      </c>
      <c r="M153" s="775">
        <f t="shared" si="123"/>
        <v>0</v>
      </c>
      <c r="N153" s="775">
        <f t="shared" si="111"/>
        <v>0</v>
      </c>
      <c r="O153" s="775">
        <f t="shared" si="103"/>
        <v>0</v>
      </c>
      <c r="P153" s="775">
        <f t="shared" si="124"/>
        <v>0</v>
      </c>
      <c r="Q153" s="775">
        <f t="shared" si="125"/>
        <v>0</v>
      </c>
      <c r="S153" s="773">
        <v>141</v>
      </c>
      <c r="T153" s="774">
        <f t="shared" si="126"/>
        <v>4262</v>
      </c>
      <c r="U153" s="775">
        <f t="shared" si="127"/>
        <v>0</v>
      </c>
      <c r="V153" s="775">
        <f t="shared" si="112"/>
        <v>0</v>
      </c>
      <c r="W153" s="775">
        <f t="shared" si="104"/>
        <v>0</v>
      </c>
      <c r="X153" s="775">
        <f t="shared" si="128"/>
        <v>0</v>
      </c>
      <c r="Y153" s="775">
        <f t="shared" si="129"/>
        <v>0</v>
      </c>
      <c r="AA153" s="773">
        <v>141</v>
      </c>
      <c r="AB153" s="774">
        <f t="shared" si="130"/>
        <v>4262</v>
      </c>
      <c r="AC153" s="775">
        <f t="shared" si="131"/>
        <v>0</v>
      </c>
      <c r="AD153" s="775">
        <f t="shared" si="113"/>
        <v>0</v>
      </c>
      <c r="AE153" s="775">
        <f t="shared" si="105"/>
        <v>0</v>
      </c>
      <c r="AF153" s="775">
        <f t="shared" si="132"/>
        <v>0</v>
      </c>
      <c r="AG153" s="775">
        <f t="shared" si="133"/>
        <v>0</v>
      </c>
      <c r="AI153" s="773">
        <v>141</v>
      </c>
      <c r="AJ153" s="774">
        <f t="shared" si="134"/>
        <v>4262</v>
      </c>
      <c r="AK153" s="775">
        <f t="shared" si="135"/>
        <v>0</v>
      </c>
      <c r="AL153" s="775">
        <f t="shared" si="114"/>
        <v>0</v>
      </c>
      <c r="AM153" s="775">
        <f t="shared" si="106"/>
        <v>0</v>
      </c>
      <c r="AN153" s="775">
        <f t="shared" si="136"/>
        <v>0</v>
      </c>
      <c r="AO153" s="775">
        <f t="shared" si="137"/>
        <v>0</v>
      </c>
      <c r="AQ153" s="773">
        <v>141</v>
      </c>
      <c r="AR153" s="774">
        <f t="shared" si="138"/>
        <v>4262</v>
      </c>
      <c r="AS153" s="775">
        <f t="shared" si="139"/>
        <v>0</v>
      </c>
      <c r="AT153" s="775">
        <f t="shared" si="115"/>
        <v>0</v>
      </c>
      <c r="AU153" s="775">
        <f t="shared" si="107"/>
        <v>0</v>
      </c>
      <c r="AV153" s="775">
        <f t="shared" si="140"/>
        <v>0</v>
      </c>
      <c r="AW153" s="775">
        <f t="shared" si="141"/>
        <v>0</v>
      </c>
      <c r="AY153" s="773">
        <v>141</v>
      </c>
      <c r="AZ153" s="774">
        <f t="shared" si="142"/>
        <v>4262</v>
      </c>
      <c r="BA153" s="775">
        <f t="shared" si="143"/>
        <v>0</v>
      </c>
      <c r="BB153" s="775">
        <f t="shared" si="116"/>
        <v>0</v>
      </c>
      <c r="BC153" s="775">
        <f t="shared" si="108"/>
        <v>0</v>
      </c>
      <c r="BD153" s="775">
        <f t="shared" si="144"/>
        <v>0</v>
      </c>
      <c r="BE153" s="775">
        <f t="shared" si="145"/>
        <v>0</v>
      </c>
      <c r="BG153" s="773">
        <v>141</v>
      </c>
      <c r="BH153" s="774">
        <f t="shared" si="146"/>
        <v>4262</v>
      </c>
      <c r="BI153" s="775">
        <f t="shared" si="147"/>
        <v>0</v>
      </c>
      <c r="BJ153" s="775">
        <f t="shared" si="117"/>
        <v>0</v>
      </c>
      <c r="BK153" s="775">
        <f t="shared" si="109"/>
        <v>0</v>
      </c>
      <c r="BL153" s="775">
        <f t="shared" si="148"/>
        <v>0</v>
      </c>
      <c r="BM153" s="775">
        <f t="shared" si="149"/>
        <v>0</v>
      </c>
    </row>
    <row r="154" spans="1:65">
      <c r="A154" s="11">
        <f t="shared" si="102"/>
        <v>1911</v>
      </c>
      <c r="B154" s="773">
        <v>142</v>
      </c>
      <c r="C154" s="774">
        <f t="shared" si="118"/>
        <v>4292</v>
      </c>
      <c r="D154" s="775">
        <f t="shared" si="119"/>
        <v>0</v>
      </c>
      <c r="E154" s="775">
        <f t="shared" si="110"/>
        <v>0</v>
      </c>
      <c r="F154" s="775">
        <f t="shared" si="100"/>
        <v>0</v>
      </c>
      <c r="G154" s="775">
        <f t="shared" si="120"/>
        <v>0</v>
      </c>
      <c r="H154" s="775">
        <f t="shared" si="121"/>
        <v>0</v>
      </c>
      <c r="I154" s="775">
        <f t="shared" si="101"/>
        <v>0</v>
      </c>
      <c r="K154" s="773">
        <v>142</v>
      </c>
      <c r="L154" s="774">
        <f t="shared" si="122"/>
        <v>4292</v>
      </c>
      <c r="M154" s="775">
        <f t="shared" si="123"/>
        <v>0</v>
      </c>
      <c r="N154" s="775">
        <f t="shared" si="111"/>
        <v>0</v>
      </c>
      <c r="O154" s="775">
        <f t="shared" si="103"/>
        <v>0</v>
      </c>
      <c r="P154" s="775">
        <f t="shared" si="124"/>
        <v>0</v>
      </c>
      <c r="Q154" s="775">
        <f t="shared" si="125"/>
        <v>0</v>
      </c>
      <c r="S154" s="773">
        <v>142</v>
      </c>
      <c r="T154" s="774">
        <f t="shared" si="126"/>
        <v>4292</v>
      </c>
      <c r="U154" s="775">
        <f t="shared" si="127"/>
        <v>0</v>
      </c>
      <c r="V154" s="775">
        <f t="shared" si="112"/>
        <v>0</v>
      </c>
      <c r="W154" s="775">
        <f t="shared" si="104"/>
        <v>0</v>
      </c>
      <c r="X154" s="775">
        <f t="shared" si="128"/>
        <v>0</v>
      </c>
      <c r="Y154" s="775">
        <f t="shared" si="129"/>
        <v>0</v>
      </c>
      <c r="AA154" s="773">
        <v>142</v>
      </c>
      <c r="AB154" s="774">
        <f t="shared" si="130"/>
        <v>4292</v>
      </c>
      <c r="AC154" s="775">
        <f t="shared" si="131"/>
        <v>0</v>
      </c>
      <c r="AD154" s="775">
        <f t="shared" si="113"/>
        <v>0</v>
      </c>
      <c r="AE154" s="775">
        <f t="shared" si="105"/>
        <v>0</v>
      </c>
      <c r="AF154" s="775">
        <f t="shared" si="132"/>
        <v>0</v>
      </c>
      <c r="AG154" s="775">
        <f t="shared" si="133"/>
        <v>0</v>
      </c>
      <c r="AI154" s="773">
        <v>142</v>
      </c>
      <c r="AJ154" s="774">
        <f t="shared" si="134"/>
        <v>4292</v>
      </c>
      <c r="AK154" s="775">
        <f t="shared" si="135"/>
        <v>0</v>
      </c>
      <c r="AL154" s="775">
        <f t="shared" si="114"/>
        <v>0</v>
      </c>
      <c r="AM154" s="775">
        <f t="shared" si="106"/>
        <v>0</v>
      </c>
      <c r="AN154" s="775">
        <f t="shared" si="136"/>
        <v>0</v>
      </c>
      <c r="AO154" s="775">
        <f t="shared" si="137"/>
        <v>0</v>
      </c>
      <c r="AQ154" s="773">
        <v>142</v>
      </c>
      <c r="AR154" s="774">
        <f t="shared" si="138"/>
        <v>4292</v>
      </c>
      <c r="AS154" s="775">
        <f t="shared" si="139"/>
        <v>0</v>
      </c>
      <c r="AT154" s="775">
        <f t="shared" si="115"/>
        <v>0</v>
      </c>
      <c r="AU154" s="775">
        <f t="shared" si="107"/>
        <v>0</v>
      </c>
      <c r="AV154" s="775">
        <f t="shared" si="140"/>
        <v>0</v>
      </c>
      <c r="AW154" s="775">
        <f t="shared" si="141"/>
        <v>0</v>
      </c>
      <c r="AY154" s="773">
        <v>142</v>
      </c>
      <c r="AZ154" s="774">
        <f t="shared" si="142"/>
        <v>4292</v>
      </c>
      <c r="BA154" s="775">
        <f t="shared" si="143"/>
        <v>0</v>
      </c>
      <c r="BB154" s="775">
        <f t="shared" si="116"/>
        <v>0</v>
      </c>
      <c r="BC154" s="775">
        <f t="shared" si="108"/>
        <v>0</v>
      </c>
      <c r="BD154" s="775">
        <f t="shared" si="144"/>
        <v>0</v>
      </c>
      <c r="BE154" s="775">
        <f t="shared" si="145"/>
        <v>0</v>
      </c>
      <c r="BG154" s="773">
        <v>142</v>
      </c>
      <c r="BH154" s="774">
        <f t="shared" si="146"/>
        <v>4292</v>
      </c>
      <c r="BI154" s="775">
        <f t="shared" si="147"/>
        <v>0</v>
      </c>
      <c r="BJ154" s="775">
        <f t="shared" si="117"/>
        <v>0</v>
      </c>
      <c r="BK154" s="775">
        <f t="shared" si="109"/>
        <v>0</v>
      </c>
      <c r="BL154" s="775">
        <f t="shared" si="148"/>
        <v>0</v>
      </c>
      <c r="BM154" s="775">
        <f t="shared" si="149"/>
        <v>0</v>
      </c>
    </row>
    <row r="155" spans="1:65">
      <c r="A155" s="11">
        <f t="shared" si="102"/>
        <v>1911</v>
      </c>
      <c r="B155" s="773">
        <v>143</v>
      </c>
      <c r="C155" s="774">
        <f t="shared" si="118"/>
        <v>4323</v>
      </c>
      <c r="D155" s="775">
        <f t="shared" si="119"/>
        <v>0</v>
      </c>
      <c r="E155" s="775">
        <f t="shared" si="110"/>
        <v>0</v>
      </c>
      <c r="F155" s="775">
        <f t="shared" si="100"/>
        <v>0</v>
      </c>
      <c r="G155" s="775">
        <f t="shared" si="120"/>
        <v>0</v>
      </c>
      <c r="H155" s="775">
        <f t="shared" si="121"/>
        <v>0</v>
      </c>
      <c r="I155" s="775">
        <f t="shared" si="101"/>
        <v>0</v>
      </c>
      <c r="K155" s="773">
        <v>143</v>
      </c>
      <c r="L155" s="774">
        <f t="shared" si="122"/>
        <v>4323</v>
      </c>
      <c r="M155" s="775">
        <f t="shared" si="123"/>
        <v>0</v>
      </c>
      <c r="N155" s="775">
        <f t="shared" si="111"/>
        <v>0</v>
      </c>
      <c r="O155" s="775">
        <f t="shared" si="103"/>
        <v>0</v>
      </c>
      <c r="P155" s="775">
        <f t="shared" si="124"/>
        <v>0</v>
      </c>
      <c r="Q155" s="775">
        <f t="shared" si="125"/>
        <v>0</v>
      </c>
      <c r="S155" s="773">
        <v>143</v>
      </c>
      <c r="T155" s="774">
        <f t="shared" si="126"/>
        <v>4323</v>
      </c>
      <c r="U155" s="775">
        <f t="shared" si="127"/>
        <v>0</v>
      </c>
      <c r="V155" s="775">
        <f t="shared" si="112"/>
        <v>0</v>
      </c>
      <c r="W155" s="775">
        <f t="shared" si="104"/>
        <v>0</v>
      </c>
      <c r="X155" s="775">
        <f t="shared" si="128"/>
        <v>0</v>
      </c>
      <c r="Y155" s="775">
        <f t="shared" si="129"/>
        <v>0</v>
      </c>
      <c r="AA155" s="773">
        <v>143</v>
      </c>
      <c r="AB155" s="774">
        <f t="shared" si="130"/>
        <v>4323</v>
      </c>
      <c r="AC155" s="775">
        <f t="shared" si="131"/>
        <v>0</v>
      </c>
      <c r="AD155" s="775">
        <f t="shared" si="113"/>
        <v>0</v>
      </c>
      <c r="AE155" s="775">
        <f t="shared" si="105"/>
        <v>0</v>
      </c>
      <c r="AF155" s="775">
        <f t="shared" si="132"/>
        <v>0</v>
      </c>
      <c r="AG155" s="775">
        <f t="shared" si="133"/>
        <v>0</v>
      </c>
      <c r="AI155" s="773">
        <v>143</v>
      </c>
      <c r="AJ155" s="774">
        <f t="shared" si="134"/>
        <v>4323</v>
      </c>
      <c r="AK155" s="775">
        <f t="shared" si="135"/>
        <v>0</v>
      </c>
      <c r="AL155" s="775">
        <f t="shared" si="114"/>
        <v>0</v>
      </c>
      <c r="AM155" s="775">
        <f t="shared" si="106"/>
        <v>0</v>
      </c>
      <c r="AN155" s="775">
        <f t="shared" si="136"/>
        <v>0</v>
      </c>
      <c r="AO155" s="775">
        <f t="shared" si="137"/>
        <v>0</v>
      </c>
      <c r="AQ155" s="773">
        <v>143</v>
      </c>
      <c r="AR155" s="774">
        <f t="shared" si="138"/>
        <v>4323</v>
      </c>
      <c r="AS155" s="775">
        <f t="shared" si="139"/>
        <v>0</v>
      </c>
      <c r="AT155" s="775">
        <f t="shared" si="115"/>
        <v>0</v>
      </c>
      <c r="AU155" s="775">
        <f t="shared" si="107"/>
        <v>0</v>
      </c>
      <c r="AV155" s="775">
        <f t="shared" si="140"/>
        <v>0</v>
      </c>
      <c r="AW155" s="775">
        <f t="shared" si="141"/>
        <v>0</v>
      </c>
      <c r="AY155" s="773">
        <v>143</v>
      </c>
      <c r="AZ155" s="774">
        <f t="shared" si="142"/>
        <v>4323</v>
      </c>
      <c r="BA155" s="775">
        <f t="shared" si="143"/>
        <v>0</v>
      </c>
      <c r="BB155" s="775">
        <f t="shared" si="116"/>
        <v>0</v>
      </c>
      <c r="BC155" s="775">
        <f t="shared" si="108"/>
        <v>0</v>
      </c>
      <c r="BD155" s="775">
        <f t="shared" si="144"/>
        <v>0</v>
      </c>
      <c r="BE155" s="775">
        <f t="shared" si="145"/>
        <v>0</v>
      </c>
      <c r="BG155" s="773">
        <v>143</v>
      </c>
      <c r="BH155" s="774">
        <f t="shared" si="146"/>
        <v>4323</v>
      </c>
      <c r="BI155" s="775">
        <f t="shared" si="147"/>
        <v>0</v>
      </c>
      <c r="BJ155" s="775">
        <f t="shared" si="117"/>
        <v>0</v>
      </c>
      <c r="BK155" s="775">
        <f t="shared" si="109"/>
        <v>0</v>
      </c>
      <c r="BL155" s="775">
        <f t="shared" si="148"/>
        <v>0</v>
      </c>
      <c r="BM155" s="775">
        <f t="shared" si="149"/>
        <v>0</v>
      </c>
    </row>
    <row r="156" spans="1:65">
      <c r="A156" s="11">
        <f t="shared" si="102"/>
        <v>1911</v>
      </c>
      <c r="B156" s="773">
        <v>144</v>
      </c>
      <c r="C156" s="774">
        <f t="shared" si="118"/>
        <v>4353</v>
      </c>
      <c r="D156" s="775">
        <f t="shared" si="119"/>
        <v>0</v>
      </c>
      <c r="E156" s="775">
        <f t="shared" si="110"/>
        <v>0</v>
      </c>
      <c r="F156" s="775">
        <f t="shared" si="100"/>
        <v>0</v>
      </c>
      <c r="G156" s="775">
        <f t="shared" si="120"/>
        <v>0</v>
      </c>
      <c r="H156" s="775">
        <f t="shared" si="121"/>
        <v>0</v>
      </c>
      <c r="I156" s="775">
        <f t="shared" si="101"/>
        <v>0</v>
      </c>
      <c r="K156" s="773">
        <v>144</v>
      </c>
      <c r="L156" s="774">
        <f t="shared" si="122"/>
        <v>4353</v>
      </c>
      <c r="M156" s="775">
        <f t="shared" si="123"/>
        <v>0</v>
      </c>
      <c r="N156" s="775">
        <f t="shared" si="111"/>
        <v>0</v>
      </c>
      <c r="O156" s="775">
        <f t="shared" si="103"/>
        <v>0</v>
      </c>
      <c r="P156" s="775">
        <f t="shared" si="124"/>
        <v>0</v>
      </c>
      <c r="Q156" s="775">
        <f t="shared" si="125"/>
        <v>0</v>
      </c>
      <c r="S156" s="773">
        <v>144</v>
      </c>
      <c r="T156" s="774">
        <f t="shared" si="126"/>
        <v>4353</v>
      </c>
      <c r="U156" s="775">
        <f t="shared" si="127"/>
        <v>0</v>
      </c>
      <c r="V156" s="775">
        <f t="shared" si="112"/>
        <v>0</v>
      </c>
      <c r="W156" s="775">
        <f t="shared" si="104"/>
        <v>0</v>
      </c>
      <c r="X156" s="775">
        <f t="shared" si="128"/>
        <v>0</v>
      </c>
      <c r="Y156" s="775">
        <f t="shared" si="129"/>
        <v>0</v>
      </c>
      <c r="AA156" s="773">
        <v>144</v>
      </c>
      <c r="AB156" s="774">
        <f t="shared" si="130"/>
        <v>4353</v>
      </c>
      <c r="AC156" s="775">
        <f t="shared" si="131"/>
        <v>0</v>
      </c>
      <c r="AD156" s="775">
        <f t="shared" si="113"/>
        <v>0</v>
      </c>
      <c r="AE156" s="775">
        <f t="shared" si="105"/>
        <v>0</v>
      </c>
      <c r="AF156" s="775">
        <f t="shared" si="132"/>
        <v>0</v>
      </c>
      <c r="AG156" s="775">
        <f t="shared" si="133"/>
        <v>0</v>
      </c>
      <c r="AI156" s="773">
        <v>144</v>
      </c>
      <c r="AJ156" s="774">
        <f t="shared" si="134"/>
        <v>4353</v>
      </c>
      <c r="AK156" s="775">
        <f t="shared" si="135"/>
        <v>0</v>
      </c>
      <c r="AL156" s="775">
        <f t="shared" si="114"/>
        <v>0</v>
      </c>
      <c r="AM156" s="775">
        <f t="shared" si="106"/>
        <v>0</v>
      </c>
      <c r="AN156" s="775">
        <f t="shared" si="136"/>
        <v>0</v>
      </c>
      <c r="AO156" s="775">
        <f t="shared" si="137"/>
        <v>0</v>
      </c>
      <c r="AQ156" s="773">
        <v>144</v>
      </c>
      <c r="AR156" s="774">
        <f t="shared" si="138"/>
        <v>4353</v>
      </c>
      <c r="AS156" s="775">
        <f t="shared" si="139"/>
        <v>0</v>
      </c>
      <c r="AT156" s="775">
        <f t="shared" si="115"/>
        <v>0</v>
      </c>
      <c r="AU156" s="775">
        <f t="shared" si="107"/>
        <v>0</v>
      </c>
      <c r="AV156" s="775">
        <f t="shared" si="140"/>
        <v>0</v>
      </c>
      <c r="AW156" s="775">
        <f t="shared" si="141"/>
        <v>0</v>
      </c>
      <c r="AY156" s="773">
        <v>144</v>
      </c>
      <c r="AZ156" s="774">
        <f t="shared" si="142"/>
        <v>4353</v>
      </c>
      <c r="BA156" s="775">
        <f t="shared" si="143"/>
        <v>0</v>
      </c>
      <c r="BB156" s="775">
        <f t="shared" si="116"/>
        <v>0</v>
      </c>
      <c r="BC156" s="775">
        <f t="shared" si="108"/>
        <v>0</v>
      </c>
      <c r="BD156" s="775">
        <f t="shared" si="144"/>
        <v>0</v>
      </c>
      <c r="BE156" s="775">
        <f t="shared" si="145"/>
        <v>0</v>
      </c>
      <c r="BG156" s="773">
        <v>144</v>
      </c>
      <c r="BH156" s="774">
        <f t="shared" si="146"/>
        <v>4353</v>
      </c>
      <c r="BI156" s="775">
        <f t="shared" si="147"/>
        <v>0</v>
      </c>
      <c r="BJ156" s="775">
        <f t="shared" si="117"/>
        <v>0</v>
      </c>
      <c r="BK156" s="775">
        <f t="shared" si="109"/>
        <v>0</v>
      </c>
      <c r="BL156" s="775">
        <f t="shared" si="148"/>
        <v>0</v>
      </c>
      <c r="BM156" s="775">
        <f t="shared" si="149"/>
        <v>0</v>
      </c>
    </row>
    <row r="157" spans="1:65">
      <c r="A157" s="11">
        <f t="shared" si="102"/>
        <v>1912</v>
      </c>
      <c r="B157" s="773">
        <v>145</v>
      </c>
      <c r="C157" s="774">
        <f t="shared" si="118"/>
        <v>4384</v>
      </c>
      <c r="D157" s="775">
        <f t="shared" si="119"/>
        <v>0</v>
      </c>
      <c r="E157" s="775">
        <f t="shared" si="110"/>
        <v>0</v>
      </c>
      <c r="F157" s="775">
        <f t="shared" si="100"/>
        <v>0</v>
      </c>
      <c r="G157" s="775">
        <f t="shared" si="120"/>
        <v>0</v>
      </c>
      <c r="H157" s="775">
        <f t="shared" si="121"/>
        <v>0</v>
      </c>
      <c r="I157" s="775">
        <f t="shared" si="101"/>
        <v>0</v>
      </c>
      <c r="K157" s="773">
        <v>145</v>
      </c>
      <c r="L157" s="774">
        <f t="shared" si="122"/>
        <v>4384</v>
      </c>
      <c r="M157" s="775">
        <f t="shared" si="123"/>
        <v>0</v>
      </c>
      <c r="N157" s="775">
        <f t="shared" si="111"/>
        <v>0</v>
      </c>
      <c r="O157" s="775">
        <f t="shared" si="103"/>
        <v>0</v>
      </c>
      <c r="P157" s="775">
        <f t="shared" si="124"/>
        <v>0</v>
      </c>
      <c r="Q157" s="775">
        <f t="shared" si="125"/>
        <v>0</v>
      </c>
      <c r="S157" s="773">
        <v>145</v>
      </c>
      <c r="T157" s="774">
        <f t="shared" si="126"/>
        <v>4384</v>
      </c>
      <c r="U157" s="775">
        <f t="shared" si="127"/>
        <v>0</v>
      </c>
      <c r="V157" s="775">
        <f t="shared" si="112"/>
        <v>0</v>
      </c>
      <c r="W157" s="775">
        <f t="shared" si="104"/>
        <v>0</v>
      </c>
      <c r="X157" s="775">
        <f t="shared" si="128"/>
        <v>0</v>
      </c>
      <c r="Y157" s="775">
        <f t="shared" si="129"/>
        <v>0</v>
      </c>
      <c r="AA157" s="773">
        <v>145</v>
      </c>
      <c r="AB157" s="774">
        <f t="shared" si="130"/>
        <v>4384</v>
      </c>
      <c r="AC157" s="775">
        <f t="shared" si="131"/>
        <v>0</v>
      </c>
      <c r="AD157" s="775">
        <f t="shared" si="113"/>
        <v>0</v>
      </c>
      <c r="AE157" s="775">
        <f t="shared" si="105"/>
        <v>0</v>
      </c>
      <c r="AF157" s="775">
        <f t="shared" si="132"/>
        <v>0</v>
      </c>
      <c r="AG157" s="775">
        <f t="shared" si="133"/>
        <v>0</v>
      </c>
      <c r="AI157" s="773">
        <v>145</v>
      </c>
      <c r="AJ157" s="774">
        <f t="shared" si="134"/>
        <v>4384</v>
      </c>
      <c r="AK157" s="775">
        <f t="shared" si="135"/>
        <v>0</v>
      </c>
      <c r="AL157" s="775">
        <f t="shared" si="114"/>
        <v>0</v>
      </c>
      <c r="AM157" s="775">
        <f t="shared" si="106"/>
        <v>0</v>
      </c>
      <c r="AN157" s="775">
        <f t="shared" si="136"/>
        <v>0</v>
      </c>
      <c r="AO157" s="775">
        <f t="shared" si="137"/>
        <v>0</v>
      </c>
      <c r="AQ157" s="773">
        <v>145</v>
      </c>
      <c r="AR157" s="774">
        <f t="shared" si="138"/>
        <v>4384</v>
      </c>
      <c r="AS157" s="775">
        <f t="shared" si="139"/>
        <v>0</v>
      </c>
      <c r="AT157" s="775">
        <f t="shared" si="115"/>
        <v>0</v>
      </c>
      <c r="AU157" s="775">
        <f t="shared" si="107"/>
        <v>0</v>
      </c>
      <c r="AV157" s="775">
        <f t="shared" si="140"/>
        <v>0</v>
      </c>
      <c r="AW157" s="775">
        <f t="shared" si="141"/>
        <v>0</v>
      </c>
      <c r="AY157" s="773">
        <v>145</v>
      </c>
      <c r="AZ157" s="774">
        <f t="shared" si="142"/>
        <v>4384</v>
      </c>
      <c r="BA157" s="775">
        <f t="shared" si="143"/>
        <v>0</v>
      </c>
      <c r="BB157" s="775">
        <f t="shared" si="116"/>
        <v>0</v>
      </c>
      <c r="BC157" s="775">
        <f t="shared" si="108"/>
        <v>0</v>
      </c>
      <c r="BD157" s="775">
        <f t="shared" si="144"/>
        <v>0</v>
      </c>
      <c r="BE157" s="775">
        <f t="shared" si="145"/>
        <v>0</v>
      </c>
      <c r="BG157" s="773">
        <v>145</v>
      </c>
      <c r="BH157" s="774">
        <f t="shared" si="146"/>
        <v>4384</v>
      </c>
      <c r="BI157" s="775">
        <f t="shared" si="147"/>
        <v>0</v>
      </c>
      <c r="BJ157" s="775">
        <f t="shared" si="117"/>
        <v>0</v>
      </c>
      <c r="BK157" s="775">
        <f t="shared" si="109"/>
        <v>0</v>
      </c>
      <c r="BL157" s="775">
        <f t="shared" si="148"/>
        <v>0</v>
      </c>
      <c r="BM157" s="775">
        <f t="shared" si="149"/>
        <v>0</v>
      </c>
    </row>
    <row r="158" spans="1:65">
      <c r="A158" s="11">
        <f t="shared" si="102"/>
        <v>1912</v>
      </c>
      <c r="B158" s="773">
        <v>146</v>
      </c>
      <c r="C158" s="774">
        <f t="shared" si="118"/>
        <v>4415</v>
      </c>
      <c r="D158" s="775">
        <f t="shared" si="119"/>
        <v>0</v>
      </c>
      <c r="E158" s="775">
        <f t="shared" si="110"/>
        <v>0</v>
      </c>
      <c r="F158" s="775">
        <f t="shared" si="100"/>
        <v>0</v>
      </c>
      <c r="G158" s="775">
        <f t="shared" si="120"/>
        <v>0</v>
      </c>
      <c r="H158" s="775">
        <f t="shared" si="121"/>
        <v>0</v>
      </c>
      <c r="I158" s="775">
        <f t="shared" si="101"/>
        <v>0</v>
      </c>
      <c r="K158" s="773">
        <v>146</v>
      </c>
      <c r="L158" s="774">
        <f t="shared" si="122"/>
        <v>4415</v>
      </c>
      <c r="M158" s="775">
        <f t="shared" si="123"/>
        <v>0</v>
      </c>
      <c r="N158" s="775">
        <f t="shared" si="111"/>
        <v>0</v>
      </c>
      <c r="O158" s="775">
        <f t="shared" si="103"/>
        <v>0</v>
      </c>
      <c r="P158" s="775">
        <f t="shared" si="124"/>
        <v>0</v>
      </c>
      <c r="Q158" s="775">
        <f t="shared" si="125"/>
        <v>0</v>
      </c>
      <c r="S158" s="773">
        <v>146</v>
      </c>
      <c r="T158" s="774">
        <f t="shared" si="126"/>
        <v>4415</v>
      </c>
      <c r="U158" s="775">
        <f t="shared" si="127"/>
        <v>0</v>
      </c>
      <c r="V158" s="775">
        <f t="shared" si="112"/>
        <v>0</v>
      </c>
      <c r="W158" s="775">
        <f t="shared" si="104"/>
        <v>0</v>
      </c>
      <c r="X158" s="775">
        <f t="shared" si="128"/>
        <v>0</v>
      </c>
      <c r="Y158" s="775">
        <f t="shared" si="129"/>
        <v>0</v>
      </c>
      <c r="AA158" s="773">
        <v>146</v>
      </c>
      <c r="AB158" s="774">
        <f t="shared" si="130"/>
        <v>4415</v>
      </c>
      <c r="AC158" s="775">
        <f t="shared" si="131"/>
        <v>0</v>
      </c>
      <c r="AD158" s="775">
        <f t="shared" si="113"/>
        <v>0</v>
      </c>
      <c r="AE158" s="775">
        <f t="shared" si="105"/>
        <v>0</v>
      </c>
      <c r="AF158" s="775">
        <f t="shared" si="132"/>
        <v>0</v>
      </c>
      <c r="AG158" s="775">
        <f t="shared" si="133"/>
        <v>0</v>
      </c>
      <c r="AI158" s="773">
        <v>146</v>
      </c>
      <c r="AJ158" s="774">
        <f t="shared" si="134"/>
        <v>4415</v>
      </c>
      <c r="AK158" s="775">
        <f t="shared" si="135"/>
        <v>0</v>
      </c>
      <c r="AL158" s="775">
        <f t="shared" si="114"/>
        <v>0</v>
      </c>
      <c r="AM158" s="775">
        <f t="shared" si="106"/>
        <v>0</v>
      </c>
      <c r="AN158" s="775">
        <f t="shared" si="136"/>
        <v>0</v>
      </c>
      <c r="AO158" s="775">
        <f t="shared" si="137"/>
        <v>0</v>
      </c>
      <c r="AQ158" s="773">
        <v>146</v>
      </c>
      <c r="AR158" s="774">
        <f t="shared" si="138"/>
        <v>4415</v>
      </c>
      <c r="AS158" s="775">
        <f t="shared" si="139"/>
        <v>0</v>
      </c>
      <c r="AT158" s="775">
        <f t="shared" si="115"/>
        <v>0</v>
      </c>
      <c r="AU158" s="775">
        <f t="shared" si="107"/>
        <v>0</v>
      </c>
      <c r="AV158" s="775">
        <f t="shared" si="140"/>
        <v>0</v>
      </c>
      <c r="AW158" s="775">
        <f t="shared" si="141"/>
        <v>0</v>
      </c>
      <c r="AY158" s="773">
        <v>146</v>
      </c>
      <c r="AZ158" s="774">
        <f t="shared" si="142"/>
        <v>4415</v>
      </c>
      <c r="BA158" s="775">
        <f t="shared" si="143"/>
        <v>0</v>
      </c>
      <c r="BB158" s="775">
        <f t="shared" si="116"/>
        <v>0</v>
      </c>
      <c r="BC158" s="775">
        <f t="shared" si="108"/>
        <v>0</v>
      </c>
      <c r="BD158" s="775">
        <f t="shared" si="144"/>
        <v>0</v>
      </c>
      <c r="BE158" s="775">
        <f t="shared" si="145"/>
        <v>0</v>
      </c>
      <c r="BG158" s="773">
        <v>146</v>
      </c>
      <c r="BH158" s="774">
        <f t="shared" si="146"/>
        <v>4415</v>
      </c>
      <c r="BI158" s="775">
        <f t="shared" si="147"/>
        <v>0</v>
      </c>
      <c r="BJ158" s="775">
        <f t="shared" si="117"/>
        <v>0</v>
      </c>
      <c r="BK158" s="775">
        <f t="shared" si="109"/>
        <v>0</v>
      </c>
      <c r="BL158" s="775">
        <f t="shared" si="148"/>
        <v>0</v>
      </c>
      <c r="BM158" s="775">
        <f t="shared" si="149"/>
        <v>0</v>
      </c>
    </row>
    <row r="159" spans="1:65">
      <c r="A159" s="11">
        <f t="shared" si="102"/>
        <v>1912</v>
      </c>
      <c r="B159" s="773">
        <v>147</v>
      </c>
      <c r="C159" s="774">
        <f t="shared" si="118"/>
        <v>4444</v>
      </c>
      <c r="D159" s="775">
        <f t="shared" si="119"/>
        <v>0</v>
      </c>
      <c r="E159" s="775">
        <f t="shared" si="110"/>
        <v>0</v>
      </c>
      <c r="F159" s="775">
        <f t="shared" si="100"/>
        <v>0</v>
      </c>
      <c r="G159" s="775">
        <f t="shared" si="120"/>
        <v>0</v>
      </c>
      <c r="H159" s="775">
        <f t="shared" si="121"/>
        <v>0</v>
      </c>
      <c r="I159" s="775">
        <f t="shared" si="101"/>
        <v>0</v>
      </c>
      <c r="K159" s="773">
        <v>147</v>
      </c>
      <c r="L159" s="774">
        <f t="shared" si="122"/>
        <v>4444</v>
      </c>
      <c r="M159" s="775">
        <f t="shared" si="123"/>
        <v>0</v>
      </c>
      <c r="N159" s="775">
        <f t="shared" si="111"/>
        <v>0</v>
      </c>
      <c r="O159" s="775">
        <f t="shared" si="103"/>
        <v>0</v>
      </c>
      <c r="P159" s="775">
        <f t="shared" si="124"/>
        <v>0</v>
      </c>
      <c r="Q159" s="775">
        <f t="shared" si="125"/>
        <v>0</v>
      </c>
      <c r="S159" s="773">
        <v>147</v>
      </c>
      <c r="T159" s="774">
        <f t="shared" si="126"/>
        <v>4444</v>
      </c>
      <c r="U159" s="775">
        <f t="shared" si="127"/>
        <v>0</v>
      </c>
      <c r="V159" s="775">
        <f t="shared" si="112"/>
        <v>0</v>
      </c>
      <c r="W159" s="775">
        <f t="shared" si="104"/>
        <v>0</v>
      </c>
      <c r="X159" s="775">
        <f t="shared" si="128"/>
        <v>0</v>
      </c>
      <c r="Y159" s="775">
        <f t="shared" si="129"/>
        <v>0</v>
      </c>
      <c r="AA159" s="773">
        <v>147</v>
      </c>
      <c r="AB159" s="774">
        <f t="shared" si="130"/>
        <v>4444</v>
      </c>
      <c r="AC159" s="775">
        <f t="shared" si="131"/>
        <v>0</v>
      </c>
      <c r="AD159" s="775">
        <f t="shared" si="113"/>
        <v>0</v>
      </c>
      <c r="AE159" s="775">
        <f t="shared" si="105"/>
        <v>0</v>
      </c>
      <c r="AF159" s="775">
        <f t="shared" si="132"/>
        <v>0</v>
      </c>
      <c r="AG159" s="775">
        <f t="shared" si="133"/>
        <v>0</v>
      </c>
      <c r="AI159" s="773">
        <v>147</v>
      </c>
      <c r="AJ159" s="774">
        <f t="shared" si="134"/>
        <v>4444</v>
      </c>
      <c r="AK159" s="775">
        <f t="shared" si="135"/>
        <v>0</v>
      </c>
      <c r="AL159" s="775">
        <f t="shared" si="114"/>
        <v>0</v>
      </c>
      <c r="AM159" s="775">
        <f t="shared" si="106"/>
        <v>0</v>
      </c>
      <c r="AN159" s="775">
        <f t="shared" si="136"/>
        <v>0</v>
      </c>
      <c r="AO159" s="775">
        <f t="shared" si="137"/>
        <v>0</v>
      </c>
      <c r="AQ159" s="773">
        <v>147</v>
      </c>
      <c r="AR159" s="774">
        <f t="shared" si="138"/>
        <v>4444</v>
      </c>
      <c r="AS159" s="775">
        <f t="shared" si="139"/>
        <v>0</v>
      </c>
      <c r="AT159" s="775">
        <f t="shared" si="115"/>
        <v>0</v>
      </c>
      <c r="AU159" s="775">
        <f t="shared" si="107"/>
        <v>0</v>
      </c>
      <c r="AV159" s="775">
        <f t="shared" si="140"/>
        <v>0</v>
      </c>
      <c r="AW159" s="775">
        <f t="shared" si="141"/>
        <v>0</v>
      </c>
      <c r="AY159" s="773">
        <v>147</v>
      </c>
      <c r="AZ159" s="774">
        <f t="shared" si="142"/>
        <v>4444</v>
      </c>
      <c r="BA159" s="775">
        <f t="shared" si="143"/>
        <v>0</v>
      </c>
      <c r="BB159" s="775">
        <f t="shared" si="116"/>
        <v>0</v>
      </c>
      <c r="BC159" s="775">
        <f t="shared" si="108"/>
        <v>0</v>
      </c>
      <c r="BD159" s="775">
        <f t="shared" si="144"/>
        <v>0</v>
      </c>
      <c r="BE159" s="775">
        <f t="shared" si="145"/>
        <v>0</v>
      </c>
      <c r="BG159" s="773">
        <v>147</v>
      </c>
      <c r="BH159" s="774">
        <f t="shared" si="146"/>
        <v>4444</v>
      </c>
      <c r="BI159" s="775">
        <f t="shared" si="147"/>
        <v>0</v>
      </c>
      <c r="BJ159" s="775">
        <f t="shared" si="117"/>
        <v>0</v>
      </c>
      <c r="BK159" s="775">
        <f t="shared" si="109"/>
        <v>0</v>
      </c>
      <c r="BL159" s="775">
        <f t="shared" si="148"/>
        <v>0</v>
      </c>
      <c r="BM159" s="775">
        <f t="shared" si="149"/>
        <v>0</v>
      </c>
    </row>
    <row r="160" spans="1:65">
      <c r="A160" s="11">
        <f t="shared" si="102"/>
        <v>1912</v>
      </c>
      <c r="B160" s="773">
        <v>148</v>
      </c>
      <c r="C160" s="774">
        <f t="shared" si="118"/>
        <v>4475</v>
      </c>
      <c r="D160" s="775">
        <f t="shared" si="119"/>
        <v>0</v>
      </c>
      <c r="E160" s="775">
        <f t="shared" si="110"/>
        <v>0</v>
      </c>
      <c r="F160" s="775">
        <f t="shared" si="100"/>
        <v>0</v>
      </c>
      <c r="G160" s="775">
        <f t="shared" si="120"/>
        <v>0</v>
      </c>
      <c r="H160" s="775">
        <f t="shared" si="121"/>
        <v>0</v>
      </c>
      <c r="I160" s="775">
        <f t="shared" si="101"/>
        <v>0</v>
      </c>
      <c r="K160" s="773">
        <v>148</v>
      </c>
      <c r="L160" s="774">
        <f t="shared" si="122"/>
        <v>4475</v>
      </c>
      <c r="M160" s="775">
        <f t="shared" si="123"/>
        <v>0</v>
      </c>
      <c r="N160" s="775">
        <f t="shared" si="111"/>
        <v>0</v>
      </c>
      <c r="O160" s="775">
        <f t="shared" si="103"/>
        <v>0</v>
      </c>
      <c r="P160" s="775">
        <f t="shared" si="124"/>
        <v>0</v>
      </c>
      <c r="Q160" s="775">
        <f t="shared" si="125"/>
        <v>0</v>
      </c>
      <c r="S160" s="773">
        <v>148</v>
      </c>
      <c r="T160" s="774">
        <f t="shared" si="126"/>
        <v>4475</v>
      </c>
      <c r="U160" s="775">
        <f t="shared" si="127"/>
        <v>0</v>
      </c>
      <c r="V160" s="775">
        <f t="shared" si="112"/>
        <v>0</v>
      </c>
      <c r="W160" s="775">
        <f t="shared" si="104"/>
        <v>0</v>
      </c>
      <c r="X160" s="775">
        <f t="shared" si="128"/>
        <v>0</v>
      </c>
      <c r="Y160" s="775">
        <f t="shared" si="129"/>
        <v>0</v>
      </c>
      <c r="AA160" s="773">
        <v>148</v>
      </c>
      <c r="AB160" s="774">
        <f t="shared" si="130"/>
        <v>4475</v>
      </c>
      <c r="AC160" s="775">
        <f t="shared" si="131"/>
        <v>0</v>
      </c>
      <c r="AD160" s="775">
        <f t="shared" si="113"/>
        <v>0</v>
      </c>
      <c r="AE160" s="775">
        <f t="shared" si="105"/>
        <v>0</v>
      </c>
      <c r="AF160" s="775">
        <f t="shared" si="132"/>
        <v>0</v>
      </c>
      <c r="AG160" s="775">
        <f t="shared" si="133"/>
        <v>0</v>
      </c>
      <c r="AI160" s="773">
        <v>148</v>
      </c>
      <c r="AJ160" s="774">
        <f t="shared" si="134"/>
        <v>4475</v>
      </c>
      <c r="AK160" s="775">
        <f t="shared" si="135"/>
        <v>0</v>
      </c>
      <c r="AL160" s="775">
        <f t="shared" si="114"/>
        <v>0</v>
      </c>
      <c r="AM160" s="775">
        <f t="shared" si="106"/>
        <v>0</v>
      </c>
      <c r="AN160" s="775">
        <f t="shared" si="136"/>
        <v>0</v>
      </c>
      <c r="AO160" s="775">
        <f t="shared" si="137"/>
        <v>0</v>
      </c>
      <c r="AQ160" s="773">
        <v>148</v>
      </c>
      <c r="AR160" s="774">
        <f t="shared" si="138"/>
        <v>4475</v>
      </c>
      <c r="AS160" s="775">
        <f t="shared" si="139"/>
        <v>0</v>
      </c>
      <c r="AT160" s="775">
        <f t="shared" si="115"/>
        <v>0</v>
      </c>
      <c r="AU160" s="775">
        <f t="shared" si="107"/>
        <v>0</v>
      </c>
      <c r="AV160" s="775">
        <f t="shared" si="140"/>
        <v>0</v>
      </c>
      <c r="AW160" s="775">
        <f t="shared" si="141"/>
        <v>0</v>
      </c>
      <c r="AY160" s="773">
        <v>148</v>
      </c>
      <c r="AZ160" s="774">
        <f t="shared" si="142"/>
        <v>4475</v>
      </c>
      <c r="BA160" s="775">
        <f t="shared" si="143"/>
        <v>0</v>
      </c>
      <c r="BB160" s="775">
        <f t="shared" si="116"/>
        <v>0</v>
      </c>
      <c r="BC160" s="775">
        <f t="shared" si="108"/>
        <v>0</v>
      </c>
      <c r="BD160" s="775">
        <f t="shared" si="144"/>
        <v>0</v>
      </c>
      <c r="BE160" s="775">
        <f t="shared" si="145"/>
        <v>0</v>
      </c>
      <c r="BG160" s="773">
        <v>148</v>
      </c>
      <c r="BH160" s="774">
        <f t="shared" si="146"/>
        <v>4475</v>
      </c>
      <c r="BI160" s="775">
        <f t="shared" si="147"/>
        <v>0</v>
      </c>
      <c r="BJ160" s="775">
        <f t="shared" si="117"/>
        <v>0</v>
      </c>
      <c r="BK160" s="775">
        <f t="shared" si="109"/>
        <v>0</v>
      </c>
      <c r="BL160" s="775">
        <f t="shared" si="148"/>
        <v>0</v>
      </c>
      <c r="BM160" s="775">
        <f t="shared" si="149"/>
        <v>0</v>
      </c>
    </row>
    <row r="161" spans="1:65">
      <c r="A161" s="11">
        <f t="shared" si="102"/>
        <v>1912</v>
      </c>
      <c r="B161" s="773">
        <v>149</v>
      </c>
      <c r="C161" s="774">
        <f t="shared" si="118"/>
        <v>4505</v>
      </c>
      <c r="D161" s="775">
        <f t="shared" si="119"/>
        <v>0</v>
      </c>
      <c r="E161" s="775">
        <f t="shared" si="110"/>
        <v>0</v>
      </c>
      <c r="F161" s="775">
        <f t="shared" si="100"/>
        <v>0</v>
      </c>
      <c r="G161" s="775">
        <f t="shared" si="120"/>
        <v>0</v>
      </c>
      <c r="H161" s="775">
        <f t="shared" si="121"/>
        <v>0</v>
      </c>
      <c r="I161" s="775">
        <f t="shared" si="101"/>
        <v>0</v>
      </c>
      <c r="K161" s="773">
        <v>149</v>
      </c>
      <c r="L161" s="774">
        <f t="shared" si="122"/>
        <v>4505</v>
      </c>
      <c r="M161" s="775">
        <f t="shared" si="123"/>
        <v>0</v>
      </c>
      <c r="N161" s="775">
        <f t="shared" si="111"/>
        <v>0</v>
      </c>
      <c r="O161" s="775">
        <f t="shared" si="103"/>
        <v>0</v>
      </c>
      <c r="P161" s="775">
        <f t="shared" si="124"/>
        <v>0</v>
      </c>
      <c r="Q161" s="775">
        <f t="shared" si="125"/>
        <v>0</v>
      </c>
      <c r="S161" s="773">
        <v>149</v>
      </c>
      <c r="T161" s="774">
        <f t="shared" si="126"/>
        <v>4505</v>
      </c>
      <c r="U161" s="775">
        <f t="shared" si="127"/>
        <v>0</v>
      </c>
      <c r="V161" s="775">
        <f t="shared" si="112"/>
        <v>0</v>
      </c>
      <c r="W161" s="775">
        <f t="shared" si="104"/>
        <v>0</v>
      </c>
      <c r="X161" s="775">
        <f t="shared" si="128"/>
        <v>0</v>
      </c>
      <c r="Y161" s="775">
        <f t="shared" si="129"/>
        <v>0</v>
      </c>
      <c r="AA161" s="773">
        <v>149</v>
      </c>
      <c r="AB161" s="774">
        <f t="shared" si="130"/>
        <v>4505</v>
      </c>
      <c r="AC161" s="775">
        <f t="shared" si="131"/>
        <v>0</v>
      </c>
      <c r="AD161" s="775">
        <f t="shared" si="113"/>
        <v>0</v>
      </c>
      <c r="AE161" s="775">
        <f t="shared" si="105"/>
        <v>0</v>
      </c>
      <c r="AF161" s="775">
        <f t="shared" si="132"/>
        <v>0</v>
      </c>
      <c r="AG161" s="775">
        <f t="shared" si="133"/>
        <v>0</v>
      </c>
      <c r="AI161" s="773">
        <v>149</v>
      </c>
      <c r="AJ161" s="774">
        <f t="shared" si="134"/>
        <v>4505</v>
      </c>
      <c r="AK161" s="775">
        <f t="shared" si="135"/>
        <v>0</v>
      </c>
      <c r="AL161" s="775">
        <f t="shared" si="114"/>
        <v>0</v>
      </c>
      <c r="AM161" s="775">
        <f t="shared" si="106"/>
        <v>0</v>
      </c>
      <c r="AN161" s="775">
        <f t="shared" si="136"/>
        <v>0</v>
      </c>
      <c r="AO161" s="775">
        <f t="shared" si="137"/>
        <v>0</v>
      </c>
      <c r="AQ161" s="773">
        <v>149</v>
      </c>
      <c r="AR161" s="774">
        <f t="shared" si="138"/>
        <v>4505</v>
      </c>
      <c r="AS161" s="775">
        <f t="shared" si="139"/>
        <v>0</v>
      </c>
      <c r="AT161" s="775">
        <f t="shared" si="115"/>
        <v>0</v>
      </c>
      <c r="AU161" s="775">
        <f t="shared" si="107"/>
        <v>0</v>
      </c>
      <c r="AV161" s="775">
        <f t="shared" si="140"/>
        <v>0</v>
      </c>
      <c r="AW161" s="775">
        <f t="shared" si="141"/>
        <v>0</v>
      </c>
      <c r="AY161" s="773">
        <v>149</v>
      </c>
      <c r="AZ161" s="774">
        <f t="shared" si="142"/>
        <v>4505</v>
      </c>
      <c r="BA161" s="775">
        <f t="shared" si="143"/>
        <v>0</v>
      </c>
      <c r="BB161" s="775">
        <f t="shared" si="116"/>
        <v>0</v>
      </c>
      <c r="BC161" s="775">
        <f t="shared" si="108"/>
        <v>0</v>
      </c>
      <c r="BD161" s="775">
        <f t="shared" si="144"/>
        <v>0</v>
      </c>
      <c r="BE161" s="775">
        <f t="shared" si="145"/>
        <v>0</v>
      </c>
      <c r="BG161" s="773">
        <v>149</v>
      </c>
      <c r="BH161" s="774">
        <f t="shared" si="146"/>
        <v>4505</v>
      </c>
      <c r="BI161" s="775">
        <f t="shared" si="147"/>
        <v>0</v>
      </c>
      <c r="BJ161" s="775">
        <f t="shared" si="117"/>
        <v>0</v>
      </c>
      <c r="BK161" s="775">
        <f t="shared" si="109"/>
        <v>0</v>
      </c>
      <c r="BL161" s="775">
        <f t="shared" si="148"/>
        <v>0</v>
      </c>
      <c r="BM161" s="775">
        <f t="shared" si="149"/>
        <v>0</v>
      </c>
    </row>
    <row r="162" spans="1:65">
      <c r="A162" s="11">
        <f t="shared" si="102"/>
        <v>1912</v>
      </c>
      <c r="B162" s="773">
        <v>150</v>
      </c>
      <c r="C162" s="774">
        <f t="shared" si="118"/>
        <v>4536</v>
      </c>
      <c r="D162" s="775">
        <f t="shared" si="119"/>
        <v>0</v>
      </c>
      <c r="E162" s="775">
        <f t="shared" si="110"/>
        <v>0</v>
      </c>
      <c r="F162" s="775">
        <f t="shared" si="100"/>
        <v>0</v>
      </c>
      <c r="G162" s="775">
        <f t="shared" si="120"/>
        <v>0</v>
      </c>
      <c r="H162" s="775">
        <f t="shared" si="121"/>
        <v>0</v>
      </c>
      <c r="I162" s="775">
        <f t="shared" si="101"/>
        <v>0</v>
      </c>
      <c r="K162" s="773">
        <v>150</v>
      </c>
      <c r="L162" s="774">
        <f t="shared" si="122"/>
        <v>4536</v>
      </c>
      <c r="M162" s="775">
        <f t="shared" si="123"/>
        <v>0</v>
      </c>
      <c r="N162" s="775">
        <f t="shared" si="111"/>
        <v>0</v>
      </c>
      <c r="O162" s="775">
        <f t="shared" si="103"/>
        <v>0</v>
      </c>
      <c r="P162" s="775">
        <f t="shared" si="124"/>
        <v>0</v>
      </c>
      <c r="Q162" s="775">
        <f t="shared" si="125"/>
        <v>0</v>
      </c>
      <c r="S162" s="773">
        <v>150</v>
      </c>
      <c r="T162" s="774">
        <f t="shared" si="126"/>
        <v>4536</v>
      </c>
      <c r="U162" s="775">
        <f t="shared" si="127"/>
        <v>0</v>
      </c>
      <c r="V162" s="775">
        <f t="shared" si="112"/>
        <v>0</v>
      </c>
      <c r="W162" s="775">
        <f t="shared" si="104"/>
        <v>0</v>
      </c>
      <c r="X162" s="775">
        <f t="shared" si="128"/>
        <v>0</v>
      </c>
      <c r="Y162" s="775">
        <f t="shared" si="129"/>
        <v>0</v>
      </c>
      <c r="AA162" s="773">
        <v>150</v>
      </c>
      <c r="AB162" s="774">
        <f t="shared" si="130"/>
        <v>4536</v>
      </c>
      <c r="AC162" s="775">
        <f t="shared" si="131"/>
        <v>0</v>
      </c>
      <c r="AD162" s="775">
        <f t="shared" si="113"/>
        <v>0</v>
      </c>
      <c r="AE162" s="775">
        <f t="shared" si="105"/>
        <v>0</v>
      </c>
      <c r="AF162" s="775">
        <f t="shared" si="132"/>
        <v>0</v>
      </c>
      <c r="AG162" s="775">
        <f t="shared" si="133"/>
        <v>0</v>
      </c>
      <c r="AI162" s="773">
        <v>150</v>
      </c>
      <c r="AJ162" s="774">
        <f t="shared" si="134"/>
        <v>4536</v>
      </c>
      <c r="AK162" s="775">
        <f t="shared" si="135"/>
        <v>0</v>
      </c>
      <c r="AL162" s="775">
        <f t="shared" si="114"/>
        <v>0</v>
      </c>
      <c r="AM162" s="775">
        <f t="shared" si="106"/>
        <v>0</v>
      </c>
      <c r="AN162" s="775">
        <f t="shared" si="136"/>
        <v>0</v>
      </c>
      <c r="AO162" s="775">
        <f t="shared" si="137"/>
        <v>0</v>
      </c>
      <c r="AQ162" s="773">
        <v>150</v>
      </c>
      <c r="AR162" s="774">
        <f t="shared" si="138"/>
        <v>4536</v>
      </c>
      <c r="AS162" s="775">
        <f t="shared" si="139"/>
        <v>0</v>
      </c>
      <c r="AT162" s="775">
        <f t="shared" si="115"/>
        <v>0</v>
      </c>
      <c r="AU162" s="775">
        <f t="shared" si="107"/>
        <v>0</v>
      </c>
      <c r="AV162" s="775">
        <f t="shared" si="140"/>
        <v>0</v>
      </c>
      <c r="AW162" s="775">
        <f t="shared" si="141"/>
        <v>0</v>
      </c>
      <c r="AY162" s="773">
        <v>150</v>
      </c>
      <c r="AZ162" s="774">
        <f t="shared" si="142"/>
        <v>4536</v>
      </c>
      <c r="BA162" s="775">
        <f t="shared" si="143"/>
        <v>0</v>
      </c>
      <c r="BB162" s="775">
        <f t="shared" si="116"/>
        <v>0</v>
      </c>
      <c r="BC162" s="775">
        <f t="shared" si="108"/>
        <v>0</v>
      </c>
      <c r="BD162" s="775">
        <f t="shared" si="144"/>
        <v>0</v>
      </c>
      <c r="BE162" s="775">
        <f t="shared" si="145"/>
        <v>0</v>
      </c>
      <c r="BG162" s="773">
        <v>150</v>
      </c>
      <c r="BH162" s="774">
        <f t="shared" si="146"/>
        <v>4536</v>
      </c>
      <c r="BI162" s="775">
        <f t="shared" si="147"/>
        <v>0</v>
      </c>
      <c r="BJ162" s="775">
        <f t="shared" si="117"/>
        <v>0</v>
      </c>
      <c r="BK162" s="775">
        <f t="shared" si="109"/>
        <v>0</v>
      </c>
      <c r="BL162" s="775">
        <f t="shared" si="148"/>
        <v>0</v>
      </c>
      <c r="BM162" s="775">
        <f t="shared" si="149"/>
        <v>0</v>
      </c>
    </row>
    <row r="163" spans="1:65">
      <c r="A163" s="11">
        <f t="shared" si="102"/>
        <v>1912</v>
      </c>
      <c r="B163" s="773">
        <v>151</v>
      </c>
      <c r="C163" s="774">
        <f t="shared" si="118"/>
        <v>4566</v>
      </c>
      <c r="D163" s="775">
        <f t="shared" si="119"/>
        <v>0</v>
      </c>
      <c r="E163" s="775">
        <f t="shared" si="110"/>
        <v>0</v>
      </c>
      <c r="F163" s="775">
        <f t="shared" si="100"/>
        <v>0</v>
      </c>
      <c r="G163" s="775">
        <f t="shared" si="120"/>
        <v>0</v>
      </c>
      <c r="H163" s="775">
        <f t="shared" si="121"/>
        <v>0</v>
      </c>
      <c r="I163" s="775">
        <f t="shared" si="101"/>
        <v>0</v>
      </c>
      <c r="K163" s="773">
        <v>151</v>
      </c>
      <c r="L163" s="774">
        <f t="shared" si="122"/>
        <v>4566</v>
      </c>
      <c r="M163" s="775">
        <f t="shared" si="123"/>
        <v>0</v>
      </c>
      <c r="N163" s="775">
        <f t="shared" si="111"/>
        <v>0</v>
      </c>
      <c r="O163" s="775">
        <f t="shared" si="103"/>
        <v>0</v>
      </c>
      <c r="P163" s="775">
        <f t="shared" si="124"/>
        <v>0</v>
      </c>
      <c r="Q163" s="775">
        <f t="shared" si="125"/>
        <v>0</v>
      </c>
      <c r="S163" s="773">
        <v>151</v>
      </c>
      <c r="T163" s="774">
        <f t="shared" si="126"/>
        <v>4566</v>
      </c>
      <c r="U163" s="775">
        <f t="shared" si="127"/>
        <v>0</v>
      </c>
      <c r="V163" s="775">
        <f t="shared" si="112"/>
        <v>0</v>
      </c>
      <c r="W163" s="775">
        <f t="shared" si="104"/>
        <v>0</v>
      </c>
      <c r="X163" s="775">
        <f t="shared" si="128"/>
        <v>0</v>
      </c>
      <c r="Y163" s="775">
        <f t="shared" si="129"/>
        <v>0</v>
      </c>
      <c r="AA163" s="773">
        <v>151</v>
      </c>
      <c r="AB163" s="774">
        <f t="shared" si="130"/>
        <v>4566</v>
      </c>
      <c r="AC163" s="775">
        <f t="shared" si="131"/>
        <v>0</v>
      </c>
      <c r="AD163" s="775">
        <f t="shared" si="113"/>
        <v>0</v>
      </c>
      <c r="AE163" s="775">
        <f t="shared" si="105"/>
        <v>0</v>
      </c>
      <c r="AF163" s="775">
        <f t="shared" si="132"/>
        <v>0</v>
      </c>
      <c r="AG163" s="775">
        <f t="shared" si="133"/>
        <v>0</v>
      </c>
      <c r="AI163" s="773">
        <v>151</v>
      </c>
      <c r="AJ163" s="774">
        <f t="shared" si="134"/>
        <v>4566</v>
      </c>
      <c r="AK163" s="775">
        <f t="shared" si="135"/>
        <v>0</v>
      </c>
      <c r="AL163" s="775">
        <f t="shared" si="114"/>
        <v>0</v>
      </c>
      <c r="AM163" s="775">
        <f t="shared" si="106"/>
        <v>0</v>
      </c>
      <c r="AN163" s="775">
        <f t="shared" si="136"/>
        <v>0</v>
      </c>
      <c r="AO163" s="775">
        <f t="shared" si="137"/>
        <v>0</v>
      </c>
      <c r="AQ163" s="773">
        <v>151</v>
      </c>
      <c r="AR163" s="774">
        <f t="shared" si="138"/>
        <v>4566</v>
      </c>
      <c r="AS163" s="775">
        <f t="shared" si="139"/>
        <v>0</v>
      </c>
      <c r="AT163" s="775">
        <f t="shared" si="115"/>
        <v>0</v>
      </c>
      <c r="AU163" s="775">
        <f t="shared" si="107"/>
        <v>0</v>
      </c>
      <c r="AV163" s="775">
        <f t="shared" si="140"/>
        <v>0</v>
      </c>
      <c r="AW163" s="775">
        <f t="shared" si="141"/>
        <v>0</v>
      </c>
      <c r="AY163" s="773">
        <v>151</v>
      </c>
      <c r="AZ163" s="774">
        <f t="shared" si="142"/>
        <v>4566</v>
      </c>
      <c r="BA163" s="775">
        <f t="shared" si="143"/>
        <v>0</v>
      </c>
      <c r="BB163" s="775">
        <f t="shared" si="116"/>
        <v>0</v>
      </c>
      <c r="BC163" s="775">
        <f t="shared" si="108"/>
        <v>0</v>
      </c>
      <c r="BD163" s="775">
        <f t="shared" si="144"/>
        <v>0</v>
      </c>
      <c r="BE163" s="775">
        <f t="shared" si="145"/>
        <v>0</v>
      </c>
      <c r="BG163" s="773">
        <v>151</v>
      </c>
      <c r="BH163" s="774">
        <f t="shared" si="146"/>
        <v>4566</v>
      </c>
      <c r="BI163" s="775">
        <f t="shared" si="147"/>
        <v>0</v>
      </c>
      <c r="BJ163" s="775">
        <f t="shared" si="117"/>
        <v>0</v>
      </c>
      <c r="BK163" s="775">
        <f t="shared" si="109"/>
        <v>0</v>
      </c>
      <c r="BL163" s="775">
        <f t="shared" si="148"/>
        <v>0</v>
      </c>
      <c r="BM163" s="775">
        <f t="shared" si="149"/>
        <v>0</v>
      </c>
    </row>
    <row r="164" spans="1:65">
      <c r="A164" s="11">
        <f t="shared" si="102"/>
        <v>1912</v>
      </c>
      <c r="B164" s="773">
        <v>152</v>
      </c>
      <c r="C164" s="774">
        <f t="shared" si="118"/>
        <v>4597</v>
      </c>
      <c r="D164" s="775">
        <f t="shared" si="119"/>
        <v>0</v>
      </c>
      <c r="E164" s="775">
        <f t="shared" si="110"/>
        <v>0</v>
      </c>
      <c r="F164" s="775">
        <f t="shared" si="100"/>
        <v>0</v>
      </c>
      <c r="G164" s="775">
        <f t="shared" si="120"/>
        <v>0</v>
      </c>
      <c r="H164" s="775">
        <f t="shared" si="121"/>
        <v>0</v>
      </c>
      <c r="I164" s="775">
        <f t="shared" si="101"/>
        <v>0</v>
      </c>
      <c r="K164" s="773">
        <v>152</v>
      </c>
      <c r="L164" s="774">
        <f t="shared" si="122"/>
        <v>4597</v>
      </c>
      <c r="M164" s="775">
        <f t="shared" si="123"/>
        <v>0</v>
      </c>
      <c r="N164" s="775">
        <f t="shared" si="111"/>
        <v>0</v>
      </c>
      <c r="O164" s="775">
        <f t="shared" si="103"/>
        <v>0</v>
      </c>
      <c r="P164" s="775">
        <f t="shared" si="124"/>
        <v>0</v>
      </c>
      <c r="Q164" s="775">
        <f t="shared" si="125"/>
        <v>0</v>
      </c>
      <c r="S164" s="773">
        <v>152</v>
      </c>
      <c r="T164" s="774">
        <f t="shared" si="126"/>
        <v>4597</v>
      </c>
      <c r="U164" s="775">
        <f t="shared" si="127"/>
        <v>0</v>
      </c>
      <c r="V164" s="775">
        <f t="shared" si="112"/>
        <v>0</v>
      </c>
      <c r="W164" s="775">
        <f t="shared" si="104"/>
        <v>0</v>
      </c>
      <c r="X164" s="775">
        <f t="shared" si="128"/>
        <v>0</v>
      </c>
      <c r="Y164" s="775">
        <f t="shared" si="129"/>
        <v>0</v>
      </c>
      <c r="AA164" s="773">
        <v>152</v>
      </c>
      <c r="AB164" s="774">
        <f t="shared" si="130"/>
        <v>4597</v>
      </c>
      <c r="AC164" s="775">
        <f t="shared" si="131"/>
        <v>0</v>
      </c>
      <c r="AD164" s="775">
        <f t="shared" si="113"/>
        <v>0</v>
      </c>
      <c r="AE164" s="775">
        <f t="shared" si="105"/>
        <v>0</v>
      </c>
      <c r="AF164" s="775">
        <f t="shared" si="132"/>
        <v>0</v>
      </c>
      <c r="AG164" s="775">
        <f t="shared" si="133"/>
        <v>0</v>
      </c>
      <c r="AI164" s="773">
        <v>152</v>
      </c>
      <c r="AJ164" s="774">
        <f t="shared" si="134"/>
        <v>4597</v>
      </c>
      <c r="AK164" s="775">
        <f t="shared" si="135"/>
        <v>0</v>
      </c>
      <c r="AL164" s="775">
        <f t="shared" si="114"/>
        <v>0</v>
      </c>
      <c r="AM164" s="775">
        <f t="shared" si="106"/>
        <v>0</v>
      </c>
      <c r="AN164" s="775">
        <f t="shared" si="136"/>
        <v>0</v>
      </c>
      <c r="AO164" s="775">
        <f t="shared" si="137"/>
        <v>0</v>
      </c>
      <c r="AQ164" s="773">
        <v>152</v>
      </c>
      <c r="AR164" s="774">
        <f t="shared" si="138"/>
        <v>4597</v>
      </c>
      <c r="AS164" s="775">
        <f t="shared" si="139"/>
        <v>0</v>
      </c>
      <c r="AT164" s="775">
        <f t="shared" si="115"/>
        <v>0</v>
      </c>
      <c r="AU164" s="775">
        <f t="shared" si="107"/>
        <v>0</v>
      </c>
      <c r="AV164" s="775">
        <f t="shared" si="140"/>
        <v>0</v>
      </c>
      <c r="AW164" s="775">
        <f t="shared" si="141"/>
        <v>0</v>
      </c>
      <c r="AY164" s="773">
        <v>152</v>
      </c>
      <c r="AZ164" s="774">
        <f t="shared" si="142"/>
        <v>4597</v>
      </c>
      <c r="BA164" s="775">
        <f t="shared" si="143"/>
        <v>0</v>
      </c>
      <c r="BB164" s="775">
        <f t="shared" si="116"/>
        <v>0</v>
      </c>
      <c r="BC164" s="775">
        <f t="shared" si="108"/>
        <v>0</v>
      </c>
      <c r="BD164" s="775">
        <f t="shared" si="144"/>
        <v>0</v>
      </c>
      <c r="BE164" s="775">
        <f t="shared" si="145"/>
        <v>0</v>
      </c>
      <c r="BG164" s="773">
        <v>152</v>
      </c>
      <c r="BH164" s="774">
        <f t="shared" si="146"/>
        <v>4597</v>
      </c>
      <c r="BI164" s="775">
        <f t="shared" si="147"/>
        <v>0</v>
      </c>
      <c r="BJ164" s="775">
        <f t="shared" si="117"/>
        <v>0</v>
      </c>
      <c r="BK164" s="775">
        <f t="shared" si="109"/>
        <v>0</v>
      </c>
      <c r="BL164" s="775">
        <f t="shared" si="148"/>
        <v>0</v>
      </c>
      <c r="BM164" s="775">
        <f t="shared" si="149"/>
        <v>0</v>
      </c>
    </row>
    <row r="165" spans="1:65">
      <c r="A165" s="11">
        <f t="shared" si="102"/>
        <v>1912</v>
      </c>
      <c r="B165" s="773">
        <v>153</v>
      </c>
      <c r="C165" s="774">
        <f t="shared" si="118"/>
        <v>4628</v>
      </c>
      <c r="D165" s="775">
        <f t="shared" si="119"/>
        <v>0</v>
      </c>
      <c r="E165" s="775">
        <f t="shared" si="110"/>
        <v>0</v>
      </c>
      <c r="F165" s="775">
        <f t="shared" si="100"/>
        <v>0</v>
      </c>
      <c r="G165" s="775">
        <f t="shared" si="120"/>
        <v>0</v>
      </c>
      <c r="H165" s="775">
        <f t="shared" si="121"/>
        <v>0</v>
      </c>
      <c r="I165" s="775">
        <f t="shared" si="101"/>
        <v>0</v>
      </c>
      <c r="K165" s="773">
        <v>153</v>
      </c>
      <c r="L165" s="774">
        <f t="shared" si="122"/>
        <v>4628</v>
      </c>
      <c r="M165" s="775">
        <f t="shared" si="123"/>
        <v>0</v>
      </c>
      <c r="N165" s="775">
        <f t="shared" si="111"/>
        <v>0</v>
      </c>
      <c r="O165" s="775">
        <f t="shared" si="103"/>
        <v>0</v>
      </c>
      <c r="P165" s="775">
        <f t="shared" si="124"/>
        <v>0</v>
      </c>
      <c r="Q165" s="775">
        <f t="shared" si="125"/>
        <v>0</v>
      </c>
      <c r="S165" s="773">
        <v>153</v>
      </c>
      <c r="T165" s="774">
        <f t="shared" si="126"/>
        <v>4628</v>
      </c>
      <c r="U165" s="775">
        <f t="shared" si="127"/>
        <v>0</v>
      </c>
      <c r="V165" s="775">
        <f t="shared" si="112"/>
        <v>0</v>
      </c>
      <c r="W165" s="775">
        <f t="shared" si="104"/>
        <v>0</v>
      </c>
      <c r="X165" s="775">
        <f t="shared" si="128"/>
        <v>0</v>
      </c>
      <c r="Y165" s="775">
        <f t="shared" si="129"/>
        <v>0</v>
      </c>
      <c r="AA165" s="773">
        <v>153</v>
      </c>
      <c r="AB165" s="774">
        <f t="shared" si="130"/>
        <v>4628</v>
      </c>
      <c r="AC165" s="775">
        <f t="shared" si="131"/>
        <v>0</v>
      </c>
      <c r="AD165" s="775">
        <f t="shared" si="113"/>
        <v>0</v>
      </c>
      <c r="AE165" s="775">
        <f t="shared" si="105"/>
        <v>0</v>
      </c>
      <c r="AF165" s="775">
        <f t="shared" si="132"/>
        <v>0</v>
      </c>
      <c r="AG165" s="775">
        <f t="shared" si="133"/>
        <v>0</v>
      </c>
      <c r="AI165" s="773">
        <v>153</v>
      </c>
      <c r="AJ165" s="774">
        <f t="shared" si="134"/>
        <v>4628</v>
      </c>
      <c r="AK165" s="775">
        <f t="shared" si="135"/>
        <v>0</v>
      </c>
      <c r="AL165" s="775">
        <f t="shared" si="114"/>
        <v>0</v>
      </c>
      <c r="AM165" s="775">
        <f t="shared" si="106"/>
        <v>0</v>
      </c>
      <c r="AN165" s="775">
        <f t="shared" si="136"/>
        <v>0</v>
      </c>
      <c r="AO165" s="775">
        <f t="shared" si="137"/>
        <v>0</v>
      </c>
      <c r="AQ165" s="773">
        <v>153</v>
      </c>
      <c r="AR165" s="774">
        <f t="shared" si="138"/>
        <v>4628</v>
      </c>
      <c r="AS165" s="775">
        <f t="shared" si="139"/>
        <v>0</v>
      </c>
      <c r="AT165" s="775">
        <f t="shared" si="115"/>
        <v>0</v>
      </c>
      <c r="AU165" s="775">
        <f t="shared" si="107"/>
        <v>0</v>
      </c>
      <c r="AV165" s="775">
        <f t="shared" si="140"/>
        <v>0</v>
      </c>
      <c r="AW165" s="775">
        <f t="shared" si="141"/>
        <v>0</v>
      </c>
      <c r="AY165" s="773">
        <v>153</v>
      </c>
      <c r="AZ165" s="774">
        <f t="shared" si="142"/>
        <v>4628</v>
      </c>
      <c r="BA165" s="775">
        <f t="shared" si="143"/>
        <v>0</v>
      </c>
      <c r="BB165" s="775">
        <f t="shared" si="116"/>
        <v>0</v>
      </c>
      <c r="BC165" s="775">
        <f t="shared" si="108"/>
        <v>0</v>
      </c>
      <c r="BD165" s="775">
        <f t="shared" si="144"/>
        <v>0</v>
      </c>
      <c r="BE165" s="775">
        <f t="shared" si="145"/>
        <v>0</v>
      </c>
      <c r="BG165" s="773">
        <v>153</v>
      </c>
      <c r="BH165" s="774">
        <f t="shared" si="146"/>
        <v>4628</v>
      </c>
      <c r="BI165" s="775">
        <f t="shared" si="147"/>
        <v>0</v>
      </c>
      <c r="BJ165" s="775">
        <f t="shared" si="117"/>
        <v>0</v>
      </c>
      <c r="BK165" s="775">
        <f t="shared" si="109"/>
        <v>0</v>
      </c>
      <c r="BL165" s="775">
        <f t="shared" si="148"/>
        <v>0</v>
      </c>
      <c r="BM165" s="775">
        <f t="shared" si="149"/>
        <v>0</v>
      </c>
    </row>
    <row r="166" spans="1:65">
      <c r="A166" s="11">
        <f t="shared" si="102"/>
        <v>1912</v>
      </c>
      <c r="B166" s="773">
        <v>154</v>
      </c>
      <c r="C166" s="774">
        <f t="shared" si="118"/>
        <v>4658</v>
      </c>
      <c r="D166" s="775">
        <f t="shared" si="119"/>
        <v>0</v>
      </c>
      <c r="E166" s="775">
        <f t="shared" si="110"/>
        <v>0</v>
      </c>
      <c r="F166" s="775">
        <f t="shared" si="100"/>
        <v>0</v>
      </c>
      <c r="G166" s="775">
        <f t="shared" si="120"/>
        <v>0</v>
      </c>
      <c r="H166" s="775">
        <f t="shared" si="121"/>
        <v>0</v>
      </c>
      <c r="I166" s="775">
        <f t="shared" si="101"/>
        <v>0</v>
      </c>
      <c r="K166" s="773">
        <v>154</v>
      </c>
      <c r="L166" s="774">
        <f t="shared" si="122"/>
        <v>4658</v>
      </c>
      <c r="M166" s="775">
        <f t="shared" si="123"/>
        <v>0</v>
      </c>
      <c r="N166" s="775">
        <f t="shared" si="111"/>
        <v>0</v>
      </c>
      <c r="O166" s="775">
        <f t="shared" si="103"/>
        <v>0</v>
      </c>
      <c r="P166" s="775">
        <f t="shared" si="124"/>
        <v>0</v>
      </c>
      <c r="Q166" s="775">
        <f t="shared" si="125"/>
        <v>0</v>
      </c>
      <c r="S166" s="773">
        <v>154</v>
      </c>
      <c r="T166" s="774">
        <f t="shared" si="126"/>
        <v>4658</v>
      </c>
      <c r="U166" s="775">
        <f t="shared" si="127"/>
        <v>0</v>
      </c>
      <c r="V166" s="775">
        <f t="shared" si="112"/>
        <v>0</v>
      </c>
      <c r="W166" s="775">
        <f t="shared" si="104"/>
        <v>0</v>
      </c>
      <c r="X166" s="775">
        <f t="shared" si="128"/>
        <v>0</v>
      </c>
      <c r="Y166" s="775">
        <f t="shared" si="129"/>
        <v>0</v>
      </c>
      <c r="AA166" s="773">
        <v>154</v>
      </c>
      <c r="AB166" s="774">
        <f t="shared" si="130"/>
        <v>4658</v>
      </c>
      <c r="AC166" s="775">
        <f t="shared" si="131"/>
        <v>0</v>
      </c>
      <c r="AD166" s="775">
        <f t="shared" si="113"/>
        <v>0</v>
      </c>
      <c r="AE166" s="775">
        <f t="shared" si="105"/>
        <v>0</v>
      </c>
      <c r="AF166" s="775">
        <f t="shared" si="132"/>
        <v>0</v>
      </c>
      <c r="AG166" s="775">
        <f t="shared" si="133"/>
        <v>0</v>
      </c>
      <c r="AI166" s="773">
        <v>154</v>
      </c>
      <c r="AJ166" s="774">
        <f t="shared" si="134"/>
        <v>4658</v>
      </c>
      <c r="AK166" s="775">
        <f t="shared" si="135"/>
        <v>0</v>
      </c>
      <c r="AL166" s="775">
        <f t="shared" si="114"/>
        <v>0</v>
      </c>
      <c r="AM166" s="775">
        <f t="shared" si="106"/>
        <v>0</v>
      </c>
      <c r="AN166" s="775">
        <f t="shared" si="136"/>
        <v>0</v>
      </c>
      <c r="AO166" s="775">
        <f t="shared" si="137"/>
        <v>0</v>
      </c>
      <c r="AQ166" s="773">
        <v>154</v>
      </c>
      <c r="AR166" s="774">
        <f t="shared" si="138"/>
        <v>4658</v>
      </c>
      <c r="AS166" s="775">
        <f t="shared" si="139"/>
        <v>0</v>
      </c>
      <c r="AT166" s="775">
        <f t="shared" si="115"/>
        <v>0</v>
      </c>
      <c r="AU166" s="775">
        <f t="shared" si="107"/>
        <v>0</v>
      </c>
      <c r="AV166" s="775">
        <f t="shared" si="140"/>
        <v>0</v>
      </c>
      <c r="AW166" s="775">
        <f t="shared" si="141"/>
        <v>0</v>
      </c>
      <c r="AY166" s="773">
        <v>154</v>
      </c>
      <c r="AZ166" s="774">
        <f t="shared" si="142"/>
        <v>4658</v>
      </c>
      <c r="BA166" s="775">
        <f t="shared" si="143"/>
        <v>0</v>
      </c>
      <c r="BB166" s="775">
        <f t="shared" si="116"/>
        <v>0</v>
      </c>
      <c r="BC166" s="775">
        <f t="shared" si="108"/>
        <v>0</v>
      </c>
      <c r="BD166" s="775">
        <f t="shared" si="144"/>
        <v>0</v>
      </c>
      <c r="BE166" s="775">
        <f t="shared" si="145"/>
        <v>0</v>
      </c>
      <c r="BG166" s="773">
        <v>154</v>
      </c>
      <c r="BH166" s="774">
        <f t="shared" si="146"/>
        <v>4658</v>
      </c>
      <c r="BI166" s="775">
        <f t="shared" si="147"/>
        <v>0</v>
      </c>
      <c r="BJ166" s="775">
        <f t="shared" si="117"/>
        <v>0</v>
      </c>
      <c r="BK166" s="775">
        <f t="shared" si="109"/>
        <v>0</v>
      </c>
      <c r="BL166" s="775">
        <f t="shared" si="148"/>
        <v>0</v>
      </c>
      <c r="BM166" s="775">
        <f t="shared" si="149"/>
        <v>0</v>
      </c>
    </row>
    <row r="167" spans="1:65">
      <c r="A167" s="11">
        <f t="shared" si="102"/>
        <v>1912</v>
      </c>
      <c r="B167" s="773">
        <v>155</v>
      </c>
      <c r="C167" s="774">
        <f t="shared" si="118"/>
        <v>4689</v>
      </c>
      <c r="D167" s="775">
        <f t="shared" si="119"/>
        <v>0</v>
      </c>
      <c r="E167" s="775">
        <f t="shared" si="110"/>
        <v>0</v>
      </c>
      <c r="F167" s="775">
        <f t="shared" si="100"/>
        <v>0</v>
      </c>
      <c r="G167" s="775">
        <f t="shared" si="120"/>
        <v>0</v>
      </c>
      <c r="H167" s="775">
        <f t="shared" si="121"/>
        <v>0</v>
      </c>
      <c r="I167" s="775">
        <f t="shared" si="101"/>
        <v>0</v>
      </c>
      <c r="K167" s="773">
        <v>155</v>
      </c>
      <c r="L167" s="774">
        <f t="shared" si="122"/>
        <v>4689</v>
      </c>
      <c r="M167" s="775">
        <f t="shared" si="123"/>
        <v>0</v>
      </c>
      <c r="N167" s="775">
        <f t="shared" si="111"/>
        <v>0</v>
      </c>
      <c r="O167" s="775">
        <f t="shared" si="103"/>
        <v>0</v>
      </c>
      <c r="P167" s="775">
        <f t="shared" si="124"/>
        <v>0</v>
      </c>
      <c r="Q167" s="775">
        <f t="shared" si="125"/>
        <v>0</v>
      </c>
      <c r="S167" s="773">
        <v>155</v>
      </c>
      <c r="T167" s="774">
        <f t="shared" si="126"/>
        <v>4689</v>
      </c>
      <c r="U167" s="775">
        <f t="shared" si="127"/>
        <v>0</v>
      </c>
      <c r="V167" s="775">
        <f t="shared" si="112"/>
        <v>0</v>
      </c>
      <c r="W167" s="775">
        <f t="shared" si="104"/>
        <v>0</v>
      </c>
      <c r="X167" s="775">
        <f t="shared" si="128"/>
        <v>0</v>
      </c>
      <c r="Y167" s="775">
        <f t="shared" si="129"/>
        <v>0</v>
      </c>
      <c r="AA167" s="773">
        <v>155</v>
      </c>
      <c r="AB167" s="774">
        <f t="shared" si="130"/>
        <v>4689</v>
      </c>
      <c r="AC167" s="775">
        <f t="shared" si="131"/>
        <v>0</v>
      </c>
      <c r="AD167" s="775">
        <f t="shared" si="113"/>
        <v>0</v>
      </c>
      <c r="AE167" s="775">
        <f t="shared" si="105"/>
        <v>0</v>
      </c>
      <c r="AF167" s="775">
        <f t="shared" si="132"/>
        <v>0</v>
      </c>
      <c r="AG167" s="775">
        <f t="shared" si="133"/>
        <v>0</v>
      </c>
      <c r="AI167" s="773">
        <v>155</v>
      </c>
      <c r="AJ167" s="774">
        <f t="shared" si="134"/>
        <v>4689</v>
      </c>
      <c r="AK167" s="775">
        <f t="shared" si="135"/>
        <v>0</v>
      </c>
      <c r="AL167" s="775">
        <f t="shared" si="114"/>
        <v>0</v>
      </c>
      <c r="AM167" s="775">
        <f t="shared" si="106"/>
        <v>0</v>
      </c>
      <c r="AN167" s="775">
        <f t="shared" si="136"/>
        <v>0</v>
      </c>
      <c r="AO167" s="775">
        <f t="shared" si="137"/>
        <v>0</v>
      </c>
      <c r="AQ167" s="773">
        <v>155</v>
      </c>
      <c r="AR167" s="774">
        <f t="shared" si="138"/>
        <v>4689</v>
      </c>
      <c r="AS167" s="775">
        <f t="shared" si="139"/>
        <v>0</v>
      </c>
      <c r="AT167" s="775">
        <f t="shared" si="115"/>
        <v>0</v>
      </c>
      <c r="AU167" s="775">
        <f t="shared" si="107"/>
        <v>0</v>
      </c>
      <c r="AV167" s="775">
        <f t="shared" si="140"/>
        <v>0</v>
      </c>
      <c r="AW167" s="775">
        <f t="shared" si="141"/>
        <v>0</v>
      </c>
      <c r="AY167" s="773">
        <v>155</v>
      </c>
      <c r="AZ167" s="774">
        <f t="shared" si="142"/>
        <v>4689</v>
      </c>
      <c r="BA167" s="775">
        <f t="shared" si="143"/>
        <v>0</v>
      </c>
      <c r="BB167" s="775">
        <f t="shared" si="116"/>
        <v>0</v>
      </c>
      <c r="BC167" s="775">
        <f t="shared" si="108"/>
        <v>0</v>
      </c>
      <c r="BD167" s="775">
        <f t="shared" si="144"/>
        <v>0</v>
      </c>
      <c r="BE167" s="775">
        <f t="shared" si="145"/>
        <v>0</v>
      </c>
      <c r="BG167" s="773">
        <v>155</v>
      </c>
      <c r="BH167" s="774">
        <f t="shared" si="146"/>
        <v>4689</v>
      </c>
      <c r="BI167" s="775">
        <f t="shared" si="147"/>
        <v>0</v>
      </c>
      <c r="BJ167" s="775">
        <f t="shared" si="117"/>
        <v>0</v>
      </c>
      <c r="BK167" s="775">
        <f t="shared" si="109"/>
        <v>0</v>
      </c>
      <c r="BL167" s="775">
        <f t="shared" si="148"/>
        <v>0</v>
      </c>
      <c r="BM167" s="775">
        <f t="shared" si="149"/>
        <v>0</v>
      </c>
    </row>
    <row r="168" spans="1:65">
      <c r="A168" s="11">
        <f t="shared" si="102"/>
        <v>1912</v>
      </c>
      <c r="B168" s="773">
        <v>156</v>
      </c>
      <c r="C168" s="774">
        <f t="shared" si="118"/>
        <v>4719</v>
      </c>
      <c r="D168" s="775">
        <f t="shared" si="119"/>
        <v>0</v>
      </c>
      <c r="E168" s="775">
        <f t="shared" si="110"/>
        <v>0</v>
      </c>
      <c r="F168" s="775">
        <f t="shared" si="100"/>
        <v>0</v>
      </c>
      <c r="G168" s="775">
        <f t="shared" si="120"/>
        <v>0</v>
      </c>
      <c r="H168" s="775">
        <f t="shared" si="121"/>
        <v>0</v>
      </c>
      <c r="I168" s="775">
        <f t="shared" si="101"/>
        <v>0</v>
      </c>
      <c r="K168" s="773">
        <v>156</v>
      </c>
      <c r="L168" s="774">
        <f t="shared" si="122"/>
        <v>4719</v>
      </c>
      <c r="M168" s="775">
        <f t="shared" si="123"/>
        <v>0</v>
      </c>
      <c r="N168" s="775">
        <f t="shared" si="111"/>
        <v>0</v>
      </c>
      <c r="O168" s="775">
        <f t="shared" si="103"/>
        <v>0</v>
      </c>
      <c r="P168" s="775">
        <f t="shared" si="124"/>
        <v>0</v>
      </c>
      <c r="Q168" s="775">
        <f t="shared" si="125"/>
        <v>0</v>
      </c>
      <c r="S168" s="773">
        <v>156</v>
      </c>
      <c r="T168" s="774">
        <f t="shared" si="126"/>
        <v>4719</v>
      </c>
      <c r="U168" s="775">
        <f t="shared" si="127"/>
        <v>0</v>
      </c>
      <c r="V168" s="775">
        <f t="shared" si="112"/>
        <v>0</v>
      </c>
      <c r="W168" s="775">
        <f t="shared" si="104"/>
        <v>0</v>
      </c>
      <c r="X168" s="775">
        <f t="shared" si="128"/>
        <v>0</v>
      </c>
      <c r="Y168" s="775">
        <f t="shared" si="129"/>
        <v>0</v>
      </c>
      <c r="AA168" s="773">
        <v>156</v>
      </c>
      <c r="AB168" s="774">
        <f t="shared" si="130"/>
        <v>4719</v>
      </c>
      <c r="AC168" s="775">
        <f t="shared" si="131"/>
        <v>0</v>
      </c>
      <c r="AD168" s="775">
        <f t="shared" si="113"/>
        <v>0</v>
      </c>
      <c r="AE168" s="775">
        <f t="shared" si="105"/>
        <v>0</v>
      </c>
      <c r="AF168" s="775">
        <f t="shared" si="132"/>
        <v>0</v>
      </c>
      <c r="AG168" s="775">
        <f t="shared" si="133"/>
        <v>0</v>
      </c>
      <c r="AI168" s="773">
        <v>156</v>
      </c>
      <c r="AJ168" s="774">
        <f t="shared" si="134"/>
        <v>4719</v>
      </c>
      <c r="AK168" s="775">
        <f t="shared" si="135"/>
        <v>0</v>
      </c>
      <c r="AL168" s="775">
        <f t="shared" si="114"/>
        <v>0</v>
      </c>
      <c r="AM168" s="775">
        <f t="shared" si="106"/>
        <v>0</v>
      </c>
      <c r="AN168" s="775">
        <f t="shared" si="136"/>
        <v>0</v>
      </c>
      <c r="AO168" s="775">
        <f t="shared" si="137"/>
        <v>0</v>
      </c>
      <c r="AQ168" s="773">
        <v>156</v>
      </c>
      <c r="AR168" s="774">
        <f t="shared" si="138"/>
        <v>4719</v>
      </c>
      <c r="AS168" s="775">
        <f t="shared" si="139"/>
        <v>0</v>
      </c>
      <c r="AT168" s="775">
        <f t="shared" si="115"/>
        <v>0</v>
      </c>
      <c r="AU168" s="775">
        <f t="shared" si="107"/>
        <v>0</v>
      </c>
      <c r="AV168" s="775">
        <f t="shared" si="140"/>
        <v>0</v>
      </c>
      <c r="AW168" s="775">
        <f t="shared" si="141"/>
        <v>0</v>
      </c>
      <c r="AY168" s="773">
        <v>156</v>
      </c>
      <c r="AZ168" s="774">
        <f t="shared" si="142"/>
        <v>4719</v>
      </c>
      <c r="BA168" s="775">
        <f t="shared" si="143"/>
        <v>0</v>
      </c>
      <c r="BB168" s="775">
        <f t="shared" si="116"/>
        <v>0</v>
      </c>
      <c r="BC168" s="775">
        <f t="shared" si="108"/>
        <v>0</v>
      </c>
      <c r="BD168" s="775">
        <f t="shared" si="144"/>
        <v>0</v>
      </c>
      <c r="BE168" s="775">
        <f t="shared" si="145"/>
        <v>0</v>
      </c>
      <c r="BG168" s="773">
        <v>156</v>
      </c>
      <c r="BH168" s="774">
        <f t="shared" si="146"/>
        <v>4719</v>
      </c>
      <c r="BI168" s="775">
        <f t="shared" si="147"/>
        <v>0</v>
      </c>
      <c r="BJ168" s="775">
        <f t="shared" si="117"/>
        <v>0</v>
      </c>
      <c r="BK168" s="775">
        <f t="shared" si="109"/>
        <v>0</v>
      </c>
      <c r="BL168" s="775">
        <f t="shared" si="148"/>
        <v>0</v>
      </c>
      <c r="BM168" s="775">
        <f t="shared" si="149"/>
        <v>0</v>
      </c>
    </row>
    <row r="169" spans="1:65">
      <c r="A169" s="11">
        <f t="shared" si="102"/>
        <v>1913</v>
      </c>
      <c r="B169" s="773">
        <v>157</v>
      </c>
      <c r="C169" s="774">
        <f t="shared" si="118"/>
        <v>4750</v>
      </c>
      <c r="D169" s="775">
        <f t="shared" si="119"/>
        <v>0</v>
      </c>
      <c r="E169" s="775">
        <f t="shared" si="110"/>
        <v>0</v>
      </c>
      <c r="F169" s="775">
        <f t="shared" si="100"/>
        <v>0</v>
      </c>
      <c r="G169" s="775">
        <f t="shared" si="120"/>
        <v>0</v>
      </c>
      <c r="H169" s="775">
        <f t="shared" si="121"/>
        <v>0</v>
      </c>
      <c r="I169" s="775">
        <f t="shared" si="101"/>
        <v>0</v>
      </c>
      <c r="K169" s="773">
        <v>157</v>
      </c>
      <c r="L169" s="774">
        <f t="shared" si="122"/>
        <v>4750</v>
      </c>
      <c r="M169" s="775">
        <f t="shared" si="123"/>
        <v>0</v>
      </c>
      <c r="N169" s="775">
        <f t="shared" si="111"/>
        <v>0</v>
      </c>
      <c r="O169" s="775">
        <f t="shared" si="103"/>
        <v>0</v>
      </c>
      <c r="P169" s="775">
        <f t="shared" si="124"/>
        <v>0</v>
      </c>
      <c r="Q169" s="775">
        <f t="shared" si="125"/>
        <v>0</v>
      </c>
      <c r="S169" s="773">
        <v>157</v>
      </c>
      <c r="T169" s="774">
        <f t="shared" si="126"/>
        <v>4750</v>
      </c>
      <c r="U169" s="775">
        <f t="shared" si="127"/>
        <v>0</v>
      </c>
      <c r="V169" s="775">
        <f t="shared" si="112"/>
        <v>0</v>
      </c>
      <c r="W169" s="775">
        <f t="shared" si="104"/>
        <v>0</v>
      </c>
      <c r="X169" s="775">
        <f t="shared" si="128"/>
        <v>0</v>
      </c>
      <c r="Y169" s="775">
        <f t="shared" si="129"/>
        <v>0</v>
      </c>
      <c r="AA169" s="773">
        <v>157</v>
      </c>
      <c r="AB169" s="774">
        <f t="shared" si="130"/>
        <v>4750</v>
      </c>
      <c r="AC169" s="775">
        <f t="shared" si="131"/>
        <v>0</v>
      </c>
      <c r="AD169" s="775">
        <f t="shared" si="113"/>
        <v>0</v>
      </c>
      <c r="AE169" s="775">
        <f t="shared" si="105"/>
        <v>0</v>
      </c>
      <c r="AF169" s="775">
        <f t="shared" si="132"/>
        <v>0</v>
      </c>
      <c r="AG169" s="775">
        <f t="shared" si="133"/>
        <v>0</v>
      </c>
      <c r="AI169" s="773">
        <v>157</v>
      </c>
      <c r="AJ169" s="774">
        <f t="shared" si="134"/>
        <v>4750</v>
      </c>
      <c r="AK169" s="775">
        <f t="shared" si="135"/>
        <v>0</v>
      </c>
      <c r="AL169" s="775">
        <f t="shared" si="114"/>
        <v>0</v>
      </c>
      <c r="AM169" s="775">
        <f t="shared" si="106"/>
        <v>0</v>
      </c>
      <c r="AN169" s="775">
        <f t="shared" si="136"/>
        <v>0</v>
      </c>
      <c r="AO169" s="775">
        <f t="shared" si="137"/>
        <v>0</v>
      </c>
      <c r="AQ169" s="773">
        <v>157</v>
      </c>
      <c r="AR169" s="774">
        <f t="shared" si="138"/>
        <v>4750</v>
      </c>
      <c r="AS169" s="775">
        <f t="shared" si="139"/>
        <v>0</v>
      </c>
      <c r="AT169" s="775">
        <f t="shared" si="115"/>
        <v>0</v>
      </c>
      <c r="AU169" s="775">
        <f t="shared" si="107"/>
        <v>0</v>
      </c>
      <c r="AV169" s="775">
        <f t="shared" si="140"/>
        <v>0</v>
      </c>
      <c r="AW169" s="775">
        <f t="shared" si="141"/>
        <v>0</v>
      </c>
      <c r="AY169" s="773">
        <v>157</v>
      </c>
      <c r="AZ169" s="774">
        <f t="shared" si="142"/>
        <v>4750</v>
      </c>
      <c r="BA169" s="775">
        <f t="shared" si="143"/>
        <v>0</v>
      </c>
      <c r="BB169" s="775">
        <f t="shared" si="116"/>
        <v>0</v>
      </c>
      <c r="BC169" s="775">
        <f t="shared" si="108"/>
        <v>0</v>
      </c>
      <c r="BD169" s="775">
        <f t="shared" si="144"/>
        <v>0</v>
      </c>
      <c r="BE169" s="775">
        <f t="shared" si="145"/>
        <v>0</v>
      </c>
      <c r="BG169" s="773">
        <v>157</v>
      </c>
      <c r="BH169" s="774">
        <f t="shared" si="146"/>
        <v>4750</v>
      </c>
      <c r="BI169" s="775">
        <f t="shared" si="147"/>
        <v>0</v>
      </c>
      <c r="BJ169" s="775">
        <f t="shared" si="117"/>
        <v>0</v>
      </c>
      <c r="BK169" s="775">
        <f t="shared" si="109"/>
        <v>0</v>
      </c>
      <c r="BL169" s="775">
        <f t="shared" si="148"/>
        <v>0</v>
      </c>
      <c r="BM169" s="775">
        <f t="shared" si="149"/>
        <v>0</v>
      </c>
    </row>
    <row r="170" spans="1:65">
      <c r="A170" s="11">
        <f t="shared" si="102"/>
        <v>1913</v>
      </c>
      <c r="B170" s="773">
        <v>158</v>
      </c>
      <c r="C170" s="774">
        <f t="shared" si="118"/>
        <v>4781</v>
      </c>
      <c r="D170" s="775">
        <f t="shared" si="119"/>
        <v>0</v>
      </c>
      <c r="E170" s="775">
        <f t="shared" si="110"/>
        <v>0</v>
      </c>
      <c r="F170" s="775">
        <f t="shared" si="100"/>
        <v>0</v>
      </c>
      <c r="G170" s="775">
        <f t="shared" si="120"/>
        <v>0</v>
      </c>
      <c r="H170" s="775">
        <f t="shared" si="121"/>
        <v>0</v>
      </c>
      <c r="I170" s="775">
        <f t="shared" si="101"/>
        <v>0</v>
      </c>
      <c r="K170" s="773">
        <v>158</v>
      </c>
      <c r="L170" s="774">
        <f t="shared" si="122"/>
        <v>4781</v>
      </c>
      <c r="M170" s="775">
        <f t="shared" si="123"/>
        <v>0</v>
      </c>
      <c r="N170" s="775">
        <f t="shared" si="111"/>
        <v>0</v>
      </c>
      <c r="O170" s="775">
        <f t="shared" si="103"/>
        <v>0</v>
      </c>
      <c r="P170" s="775">
        <f t="shared" si="124"/>
        <v>0</v>
      </c>
      <c r="Q170" s="775">
        <f t="shared" si="125"/>
        <v>0</v>
      </c>
      <c r="S170" s="773">
        <v>158</v>
      </c>
      <c r="T170" s="774">
        <f t="shared" si="126"/>
        <v>4781</v>
      </c>
      <c r="U170" s="775">
        <f t="shared" si="127"/>
        <v>0</v>
      </c>
      <c r="V170" s="775">
        <f t="shared" si="112"/>
        <v>0</v>
      </c>
      <c r="W170" s="775">
        <f t="shared" si="104"/>
        <v>0</v>
      </c>
      <c r="X170" s="775">
        <f t="shared" si="128"/>
        <v>0</v>
      </c>
      <c r="Y170" s="775">
        <f t="shared" si="129"/>
        <v>0</v>
      </c>
      <c r="AA170" s="773">
        <v>158</v>
      </c>
      <c r="AB170" s="774">
        <f t="shared" si="130"/>
        <v>4781</v>
      </c>
      <c r="AC170" s="775">
        <f t="shared" si="131"/>
        <v>0</v>
      </c>
      <c r="AD170" s="775">
        <f t="shared" si="113"/>
        <v>0</v>
      </c>
      <c r="AE170" s="775">
        <f t="shared" si="105"/>
        <v>0</v>
      </c>
      <c r="AF170" s="775">
        <f t="shared" si="132"/>
        <v>0</v>
      </c>
      <c r="AG170" s="775">
        <f t="shared" si="133"/>
        <v>0</v>
      </c>
      <c r="AI170" s="773">
        <v>158</v>
      </c>
      <c r="AJ170" s="774">
        <f t="shared" si="134"/>
        <v>4781</v>
      </c>
      <c r="AK170" s="775">
        <f t="shared" si="135"/>
        <v>0</v>
      </c>
      <c r="AL170" s="775">
        <f t="shared" si="114"/>
        <v>0</v>
      </c>
      <c r="AM170" s="775">
        <f t="shared" si="106"/>
        <v>0</v>
      </c>
      <c r="AN170" s="775">
        <f t="shared" si="136"/>
        <v>0</v>
      </c>
      <c r="AO170" s="775">
        <f t="shared" si="137"/>
        <v>0</v>
      </c>
      <c r="AQ170" s="773">
        <v>158</v>
      </c>
      <c r="AR170" s="774">
        <f t="shared" si="138"/>
        <v>4781</v>
      </c>
      <c r="AS170" s="775">
        <f t="shared" si="139"/>
        <v>0</v>
      </c>
      <c r="AT170" s="775">
        <f t="shared" si="115"/>
        <v>0</v>
      </c>
      <c r="AU170" s="775">
        <f t="shared" si="107"/>
        <v>0</v>
      </c>
      <c r="AV170" s="775">
        <f t="shared" si="140"/>
        <v>0</v>
      </c>
      <c r="AW170" s="775">
        <f t="shared" si="141"/>
        <v>0</v>
      </c>
      <c r="AY170" s="773">
        <v>158</v>
      </c>
      <c r="AZ170" s="774">
        <f t="shared" si="142"/>
        <v>4781</v>
      </c>
      <c r="BA170" s="775">
        <f t="shared" si="143"/>
        <v>0</v>
      </c>
      <c r="BB170" s="775">
        <f t="shared" si="116"/>
        <v>0</v>
      </c>
      <c r="BC170" s="775">
        <f t="shared" si="108"/>
        <v>0</v>
      </c>
      <c r="BD170" s="775">
        <f t="shared" si="144"/>
        <v>0</v>
      </c>
      <c r="BE170" s="775">
        <f t="shared" si="145"/>
        <v>0</v>
      </c>
      <c r="BG170" s="773">
        <v>158</v>
      </c>
      <c r="BH170" s="774">
        <f t="shared" si="146"/>
        <v>4781</v>
      </c>
      <c r="BI170" s="775">
        <f t="shared" si="147"/>
        <v>0</v>
      </c>
      <c r="BJ170" s="775">
        <f t="shared" si="117"/>
        <v>0</v>
      </c>
      <c r="BK170" s="775">
        <f t="shared" si="109"/>
        <v>0</v>
      </c>
      <c r="BL170" s="775">
        <f t="shared" si="148"/>
        <v>0</v>
      </c>
      <c r="BM170" s="775">
        <f t="shared" si="149"/>
        <v>0</v>
      </c>
    </row>
    <row r="171" spans="1:65">
      <c r="A171" s="11">
        <f t="shared" si="102"/>
        <v>1913</v>
      </c>
      <c r="B171" s="773">
        <v>159</v>
      </c>
      <c r="C171" s="774">
        <f t="shared" si="118"/>
        <v>4809</v>
      </c>
      <c r="D171" s="775">
        <f t="shared" si="119"/>
        <v>0</v>
      </c>
      <c r="E171" s="775">
        <f t="shared" si="110"/>
        <v>0</v>
      </c>
      <c r="F171" s="775">
        <f t="shared" si="100"/>
        <v>0</v>
      </c>
      <c r="G171" s="775">
        <f t="shared" si="120"/>
        <v>0</v>
      </c>
      <c r="H171" s="775">
        <f t="shared" si="121"/>
        <v>0</v>
      </c>
      <c r="I171" s="775">
        <f t="shared" si="101"/>
        <v>0</v>
      </c>
      <c r="K171" s="773">
        <v>159</v>
      </c>
      <c r="L171" s="774">
        <f t="shared" si="122"/>
        <v>4809</v>
      </c>
      <c r="M171" s="775">
        <f t="shared" si="123"/>
        <v>0</v>
      </c>
      <c r="N171" s="775">
        <f t="shared" si="111"/>
        <v>0</v>
      </c>
      <c r="O171" s="775">
        <f t="shared" si="103"/>
        <v>0</v>
      </c>
      <c r="P171" s="775">
        <f t="shared" si="124"/>
        <v>0</v>
      </c>
      <c r="Q171" s="775">
        <f t="shared" si="125"/>
        <v>0</v>
      </c>
      <c r="S171" s="773">
        <v>159</v>
      </c>
      <c r="T171" s="774">
        <f t="shared" si="126"/>
        <v>4809</v>
      </c>
      <c r="U171" s="775">
        <f t="shared" si="127"/>
        <v>0</v>
      </c>
      <c r="V171" s="775">
        <f t="shared" si="112"/>
        <v>0</v>
      </c>
      <c r="W171" s="775">
        <f t="shared" si="104"/>
        <v>0</v>
      </c>
      <c r="X171" s="775">
        <f t="shared" si="128"/>
        <v>0</v>
      </c>
      <c r="Y171" s="775">
        <f t="shared" si="129"/>
        <v>0</v>
      </c>
      <c r="AA171" s="773">
        <v>159</v>
      </c>
      <c r="AB171" s="774">
        <f t="shared" si="130"/>
        <v>4809</v>
      </c>
      <c r="AC171" s="775">
        <f t="shared" si="131"/>
        <v>0</v>
      </c>
      <c r="AD171" s="775">
        <f t="shared" si="113"/>
        <v>0</v>
      </c>
      <c r="AE171" s="775">
        <f t="shared" si="105"/>
        <v>0</v>
      </c>
      <c r="AF171" s="775">
        <f t="shared" si="132"/>
        <v>0</v>
      </c>
      <c r="AG171" s="775">
        <f t="shared" si="133"/>
        <v>0</v>
      </c>
      <c r="AI171" s="773">
        <v>159</v>
      </c>
      <c r="AJ171" s="774">
        <f t="shared" si="134"/>
        <v>4809</v>
      </c>
      <c r="AK171" s="775">
        <f t="shared" si="135"/>
        <v>0</v>
      </c>
      <c r="AL171" s="775">
        <f t="shared" si="114"/>
        <v>0</v>
      </c>
      <c r="AM171" s="775">
        <f t="shared" si="106"/>
        <v>0</v>
      </c>
      <c r="AN171" s="775">
        <f t="shared" si="136"/>
        <v>0</v>
      </c>
      <c r="AO171" s="775">
        <f t="shared" si="137"/>
        <v>0</v>
      </c>
      <c r="AQ171" s="773">
        <v>159</v>
      </c>
      <c r="AR171" s="774">
        <f t="shared" si="138"/>
        <v>4809</v>
      </c>
      <c r="AS171" s="775">
        <f t="shared" si="139"/>
        <v>0</v>
      </c>
      <c r="AT171" s="775">
        <f t="shared" si="115"/>
        <v>0</v>
      </c>
      <c r="AU171" s="775">
        <f t="shared" si="107"/>
        <v>0</v>
      </c>
      <c r="AV171" s="775">
        <f t="shared" si="140"/>
        <v>0</v>
      </c>
      <c r="AW171" s="775">
        <f t="shared" si="141"/>
        <v>0</v>
      </c>
      <c r="AY171" s="773">
        <v>159</v>
      </c>
      <c r="AZ171" s="774">
        <f t="shared" si="142"/>
        <v>4809</v>
      </c>
      <c r="BA171" s="775">
        <f t="shared" si="143"/>
        <v>0</v>
      </c>
      <c r="BB171" s="775">
        <f t="shared" si="116"/>
        <v>0</v>
      </c>
      <c r="BC171" s="775">
        <f t="shared" si="108"/>
        <v>0</v>
      </c>
      <c r="BD171" s="775">
        <f t="shared" si="144"/>
        <v>0</v>
      </c>
      <c r="BE171" s="775">
        <f t="shared" si="145"/>
        <v>0</v>
      </c>
      <c r="BG171" s="773">
        <v>159</v>
      </c>
      <c r="BH171" s="774">
        <f t="shared" si="146"/>
        <v>4809</v>
      </c>
      <c r="BI171" s="775">
        <f t="shared" si="147"/>
        <v>0</v>
      </c>
      <c r="BJ171" s="775">
        <f t="shared" si="117"/>
        <v>0</v>
      </c>
      <c r="BK171" s="775">
        <f t="shared" si="109"/>
        <v>0</v>
      </c>
      <c r="BL171" s="775">
        <f t="shared" si="148"/>
        <v>0</v>
      </c>
      <c r="BM171" s="775">
        <f t="shared" si="149"/>
        <v>0</v>
      </c>
    </row>
    <row r="172" spans="1:65">
      <c r="A172" s="11">
        <f t="shared" si="102"/>
        <v>1913</v>
      </c>
      <c r="B172" s="773">
        <v>160</v>
      </c>
      <c r="C172" s="774">
        <f t="shared" si="118"/>
        <v>4840</v>
      </c>
      <c r="D172" s="775">
        <f t="shared" si="119"/>
        <v>0</v>
      </c>
      <c r="E172" s="775">
        <f t="shared" si="110"/>
        <v>0</v>
      </c>
      <c r="F172" s="775">
        <f t="shared" si="100"/>
        <v>0</v>
      </c>
      <c r="G172" s="775">
        <f t="shared" si="120"/>
        <v>0</v>
      </c>
      <c r="H172" s="775">
        <f t="shared" si="121"/>
        <v>0</v>
      </c>
      <c r="I172" s="775">
        <f t="shared" si="101"/>
        <v>0</v>
      </c>
      <c r="K172" s="773">
        <v>160</v>
      </c>
      <c r="L172" s="774">
        <f t="shared" si="122"/>
        <v>4840</v>
      </c>
      <c r="M172" s="775">
        <f t="shared" si="123"/>
        <v>0</v>
      </c>
      <c r="N172" s="775">
        <f t="shared" si="111"/>
        <v>0</v>
      </c>
      <c r="O172" s="775">
        <f t="shared" si="103"/>
        <v>0</v>
      </c>
      <c r="P172" s="775">
        <f t="shared" si="124"/>
        <v>0</v>
      </c>
      <c r="Q172" s="775">
        <f t="shared" si="125"/>
        <v>0</v>
      </c>
      <c r="S172" s="773">
        <v>160</v>
      </c>
      <c r="T172" s="774">
        <f t="shared" si="126"/>
        <v>4840</v>
      </c>
      <c r="U172" s="775">
        <f t="shared" si="127"/>
        <v>0</v>
      </c>
      <c r="V172" s="775">
        <f t="shared" si="112"/>
        <v>0</v>
      </c>
      <c r="W172" s="775">
        <f t="shared" si="104"/>
        <v>0</v>
      </c>
      <c r="X172" s="775">
        <f t="shared" si="128"/>
        <v>0</v>
      </c>
      <c r="Y172" s="775">
        <f t="shared" si="129"/>
        <v>0</v>
      </c>
      <c r="AA172" s="773">
        <v>160</v>
      </c>
      <c r="AB172" s="774">
        <f t="shared" si="130"/>
        <v>4840</v>
      </c>
      <c r="AC172" s="775">
        <f t="shared" si="131"/>
        <v>0</v>
      </c>
      <c r="AD172" s="775">
        <f t="shared" si="113"/>
        <v>0</v>
      </c>
      <c r="AE172" s="775">
        <f t="shared" si="105"/>
        <v>0</v>
      </c>
      <c r="AF172" s="775">
        <f t="shared" si="132"/>
        <v>0</v>
      </c>
      <c r="AG172" s="775">
        <f t="shared" si="133"/>
        <v>0</v>
      </c>
      <c r="AI172" s="773">
        <v>160</v>
      </c>
      <c r="AJ172" s="774">
        <f t="shared" si="134"/>
        <v>4840</v>
      </c>
      <c r="AK172" s="775">
        <f t="shared" si="135"/>
        <v>0</v>
      </c>
      <c r="AL172" s="775">
        <f t="shared" si="114"/>
        <v>0</v>
      </c>
      <c r="AM172" s="775">
        <f t="shared" si="106"/>
        <v>0</v>
      </c>
      <c r="AN172" s="775">
        <f t="shared" si="136"/>
        <v>0</v>
      </c>
      <c r="AO172" s="775">
        <f t="shared" si="137"/>
        <v>0</v>
      </c>
      <c r="AQ172" s="773">
        <v>160</v>
      </c>
      <c r="AR172" s="774">
        <f t="shared" si="138"/>
        <v>4840</v>
      </c>
      <c r="AS172" s="775">
        <f t="shared" si="139"/>
        <v>0</v>
      </c>
      <c r="AT172" s="775">
        <f t="shared" si="115"/>
        <v>0</v>
      </c>
      <c r="AU172" s="775">
        <f t="shared" si="107"/>
        <v>0</v>
      </c>
      <c r="AV172" s="775">
        <f t="shared" si="140"/>
        <v>0</v>
      </c>
      <c r="AW172" s="775">
        <f t="shared" si="141"/>
        <v>0</v>
      </c>
      <c r="AY172" s="773">
        <v>160</v>
      </c>
      <c r="AZ172" s="774">
        <f t="shared" si="142"/>
        <v>4840</v>
      </c>
      <c r="BA172" s="775">
        <f t="shared" si="143"/>
        <v>0</v>
      </c>
      <c r="BB172" s="775">
        <f t="shared" si="116"/>
        <v>0</v>
      </c>
      <c r="BC172" s="775">
        <f t="shared" si="108"/>
        <v>0</v>
      </c>
      <c r="BD172" s="775">
        <f t="shared" si="144"/>
        <v>0</v>
      </c>
      <c r="BE172" s="775">
        <f t="shared" si="145"/>
        <v>0</v>
      </c>
      <c r="BG172" s="773">
        <v>160</v>
      </c>
      <c r="BH172" s="774">
        <f t="shared" si="146"/>
        <v>4840</v>
      </c>
      <c r="BI172" s="775">
        <f t="shared" si="147"/>
        <v>0</v>
      </c>
      <c r="BJ172" s="775">
        <f t="shared" si="117"/>
        <v>0</v>
      </c>
      <c r="BK172" s="775">
        <f t="shared" si="109"/>
        <v>0</v>
      </c>
      <c r="BL172" s="775">
        <f t="shared" si="148"/>
        <v>0</v>
      </c>
      <c r="BM172" s="775">
        <f t="shared" si="149"/>
        <v>0</v>
      </c>
    </row>
    <row r="173" spans="1:65">
      <c r="A173" s="11">
        <f t="shared" si="102"/>
        <v>1913</v>
      </c>
      <c r="B173" s="773">
        <v>161</v>
      </c>
      <c r="C173" s="774">
        <f t="shared" si="118"/>
        <v>4870</v>
      </c>
      <c r="D173" s="775">
        <f t="shared" si="119"/>
        <v>0</v>
      </c>
      <c r="E173" s="775">
        <f t="shared" si="110"/>
        <v>0</v>
      </c>
      <c r="F173" s="775">
        <f t="shared" si="100"/>
        <v>0</v>
      </c>
      <c r="G173" s="775">
        <f t="shared" si="120"/>
        <v>0</v>
      </c>
      <c r="H173" s="775">
        <f t="shared" si="121"/>
        <v>0</v>
      </c>
      <c r="I173" s="775">
        <f t="shared" si="101"/>
        <v>0</v>
      </c>
      <c r="K173" s="773">
        <v>161</v>
      </c>
      <c r="L173" s="774">
        <f t="shared" si="122"/>
        <v>4870</v>
      </c>
      <c r="M173" s="775">
        <f t="shared" si="123"/>
        <v>0</v>
      </c>
      <c r="N173" s="775">
        <f t="shared" si="111"/>
        <v>0</v>
      </c>
      <c r="O173" s="775">
        <f t="shared" si="103"/>
        <v>0</v>
      </c>
      <c r="P173" s="775">
        <f t="shared" si="124"/>
        <v>0</v>
      </c>
      <c r="Q173" s="775">
        <f t="shared" si="125"/>
        <v>0</v>
      </c>
      <c r="S173" s="773">
        <v>161</v>
      </c>
      <c r="T173" s="774">
        <f t="shared" si="126"/>
        <v>4870</v>
      </c>
      <c r="U173" s="775">
        <f t="shared" si="127"/>
        <v>0</v>
      </c>
      <c r="V173" s="775">
        <f t="shared" si="112"/>
        <v>0</v>
      </c>
      <c r="W173" s="775">
        <f t="shared" si="104"/>
        <v>0</v>
      </c>
      <c r="X173" s="775">
        <f t="shared" si="128"/>
        <v>0</v>
      </c>
      <c r="Y173" s="775">
        <f t="shared" si="129"/>
        <v>0</v>
      </c>
      <c r="AA173" s="773">
        <v>161</v>
      </c>
      <c r="AB173" s="774">
        <f t="shared" si="130"/>
        <v>4870</v>
      </c>
      <c r="AC173" s="775">
        <f t="shared" si="131"/>
        <v>0</v>
      </c>
      <c r="AD173" s="775">
        <f t="shared" si="113"/>
        <v>0</v>
      </c>
      <c r="AE173" s="775">
        <f t="shared" si="105"/>
        <v>0</v>
      </c>
      <c r="AF173" s="775">
        <f t="shared" si="132"/>
        <v>0</v>
      </c>
      <c r="AG173" s="775">
        <f t="shared" si="133"/>
        <v>0</v>
      </c>
      <c r="AI173" s="773">
        <v>161</v>
      </c>
      <c r="AJ173" s="774">
        <f t="shared" si="134"/>
        <v>4870</v>
      </c>
      <c r="AK173" s="775">
        <f t="shared" si="135"/>
        <v>0</v>
      </c>
      <c r="AL173" s="775">
        <f t="shared" si="114"/>
        <v>0</v>
      </c>
      <c r="AM173" s="775">
        <f t="shared" si="106"/>
        <v>0</v>
      </c>
      <c r="AN173" s="775">
        <f t="shared" si="136"/>
        <v>0</v>
      </c>
      <c r="AO173" s="775">
        <f t="shared" si="137"/>
        <v>0</v>
      </c>
      <c r="AQ173" s="773">
        <v>161</v>
      </c>
      <c r="AR173" s="774">
        <f t="shared" si="138"/>
        <v>4870</v>
      </c>
      <c r="AS173" s="775">
        <f t="shared" si="139"/>
        <v>0</v>
      </c>
      <c r="AT173" s="775">
        <f t="shared" si="115"/>
        <v>0</v>
      </c>
      <c r="AU173" s="775">
        <f t="shared" si="107"/>
        <v>0</v>
      </c>
      <c r="AV173" s="775">
        <f t="shared" si="140"/>
        <v>0</v>
      </c>
      <c r="AW173" s="775">
        <f t="shared" si="141"/>
        <v>0</v>
      </c>
      <c r="AY173" s="773">
        <v>161</v>
      </c>
      <c r="AZ173" s="774">
        <f t="shared" si="142"/>
        <v>4870</v>
      </c>
      <c r="BA173" s="775">
        <f t="shared" si="143"/>
        <v>0</v>
      </c>
      <c r="BB173" s="775">
        <f t="shared" si="116"/>
        <v>0</v>
      </c>
      <c r="BC173" s="775">
        <f t="shared" si="108"/>
        <v>0</v>
      </c>
      <c r="BD173" s="775">
        <f t="shared" si="144"/>
        <v>0</v>
      </c>
      <c r="BE173" s="775">
        <f t="shared" si="145"/>
        <v>0</v>
      </c>
      <c r="BG173" s="773">
        <v>161</v>
      </c>
      <c r="BH173" s="774">
        <f t="shared" si="146"/>
        <v>4870</v>
      </c>
      <c r="BI173" s="775">
        <f t="shared" si="147"/>
        <v>0</v>
      </c>
      <c r="BJ173" s="775">
        <f t="shared" si="117"/>
        <v>0</v>
      </c>
      <c r="BK173" s="775">
        <f t="shared" si="109"/>
        <v>0</v>
      </c>
      <c r="BL173" s="775">
        <f t="shared" si="148"/>
        <v>0</v>
      </c>
      <c r="BM173" s="775">
        <f t="shared" si="149"/>
        <v>0</v>
      </c>
    </row>
    <row r="174" spans="1:65">
      <c r="A174" s="11">
        <f t="shared" si="102"/>
        <v>1913</v>
      </c>
      <c r="B174" s="773">
        <v>162</v>
      </c>
      <c r="C174" s="774">
        <f t="shared" si="118"/>
        <v>4901</v>
      </c>
      <c r="D174" s="775">
        <f t="shared" si="119"/>
        <v>0</v>
      </c>
      <c r="E174" s="775">
        <f t="shared" si="110"/>
        <v>0</v>
      </c>
      <c r="F174" s="775">
        <f t="shared" si="100"/>
        <v>0</v>
      </c>
      <c r="G174" s="775">
        <f t="shared" si="120"/>
        <v>0</v>
      </c>
      <c r="H174" s="775">
        <f t="shared" si="121"/>
        <v>0</v>
      </c>
      <c r="I174" s="775">
        <f t="shared" si="101"/>
        <v>0</v>
      </c>
      <c r="K174" s="773">
        <v>162</v>
      </c>
      <c r="L174" s="774">
        <f t="shared" si="122"/>
        <v>4901</v>
      </c>
      <c r="M174" s="775">
        <f t="shared" si="123"/>
        <v>0</v>
      </c>
      <c r="N174" s="775">
        <f t="shared" si="111"/>
        <v>0</v>
      </c>
      <c r="O174" s="775">
        <f t="shared" si="103"/>
        <v>0</v>
      </c>
      <c r="P174" s="775">
        <f t="shared" si="124"/>
        <v>0</v>
      </c>
      <c r="Q174" s="775">
        <f t="shared" si="125"/>
        <v>0</v>
      </c>
      <c r="S174" s="773">
        <v>162</v>
      </c>
      <c r="T174" s="774">
        <f t="shared" si="126"/>
        <v>4901</v>
      </c>
      <c r="U174" s="775">
        <f t="shared" si="127"/>
        <v>0</v>
      </c>
      <c r="V174" s="775">
        <f t="shared" si="112"/>
        <v>0</v>
      </c>
      <c r="W174" s="775">
        <f t="shared" si="104"/>
        <v>0</v>
      </c>
      <c r="X174" s="775">
        <f t="shared" si="128"/>
        <v>0</v>
      </c>
      <c r="Y174" s="775">
        <f t="shared" si="129"/>
        <v>0</v>
      </c>
      <c r="AA174" s="773">
        <v>162</v>
      </c>
      <c r="AB174" s="774">
        <f t="shared" si="130"/>
        <v>4901</v>
      </c>
      <c r="AC174" s="775">
        <f t="shared" si="131"/>
        <v>0</v>
      </c>
      <c r="AD174" s="775">
        <f t="shared" si="113"/>
        <v>0</v>
      </c>
      <c r="AE174" s="775">
        <f t="shared" si="105"/>
        <v>0</v>
      </c>
      <c r="AF174" s="775">
        <f t="shared" si="132"/>
        <v>0</v>
      </c>
      <c r="AG174" s="775">
        <f t="shared" si="133"/>
        <v>0</v>
      </c>
      <c r="AI174" s="773">
        <v>162</v>
      </c>
      <c r="AJ174" s="774">
        <f t="shared" si="134"/>
        <v>4901</v>
      </c>
      <c r="AK174" s="775">
        <f t="shared" si="135"/>
        <v>0</v>
      </c>
      <c r="AL174" s="775">
        <f t="shared" si="114"/>
        <v>0</v>
      </c>
      <c r="AM174" s="775">
        <f t="shared" si="106"/>
        <v>0</v>
      </c>
      <c r="AN174" s="775">
        <f t="shared" si="136"/>
        <v>0</v>
      </c>
      <c r="AO174" s="775">
        <f t="shared" si="137"/>
        <v>0</v>
      </c>
      <c r="AQ174" s="773">
        <v>162</v>
      </c>
      <c r="AR174" s="774">
        <f t="shared" si="138"/>
        <v>4901</v>
      </c>
      <c r="AS174" s="775">
        <f t="shared" si="139"/>
        <v>0</v>
      </c>
      <c r="AT174" s="775">
        <f t="shared" si="115"/>
        <v>0</v>
      </c>
      <c r="AU174" s="775">
        <f t="shared" si="107"/>
        <v>0</v>
      </c>
      <c r="AV174" s="775">
        <f t="shared" si="140"/>
        <v>0</v>
      </c>
      <c r="AW174" s="775">
        <f t="shared" si="141"/>
        <v>0</v>
      </c>
      <c r="AY174" s="773">
        <v>162</v>
      </c>
      <c r="AZ174" s="774">
        <f t="shared" si="142"/>
        <v>4901</v>
      </c>
      <c r="BA174" s="775">
        <f t="shared" si="143"/>
        <v>0</v>
      </c>
      <c r="BB174" s="775">
        <f t="shared" si="116"/>
        <v>0</v>
      </c>
      <c r="BC174" s="775">
        <f t="shared" si="108"/>
        <v>0</v>
      </c>
      <c r="BD174" s="775">
        <f t="shared" si="144"/>
        <v>0</v>
      </c>
      <c r="BE174" s="775">
        <f t="shared" si="145"/>
        <v>0</v>
      </c>
      <c r="BG174" s="773">
        <v>162</v>
      </c>
      <c r="BH174" s="774">
        <f t="shared" si="146"/>
        <v>4901</v>
      </c>
      <c r="BI174" s="775">
        <f t="shared" si="147"/>
        <v>0</v>
      </c>
      <c r="BJ174" s="775">
        <f t="shared" si="117"/>
        <v>0</v>
      </c>
      <c r="BK174" s="775">
        <f t="shared" si="109"/>
        <v>0</v>
      </c>
      <c r="BL174" s="775">
        <f t="shared" si="148"/>
        <v>0</v>
      </c>
      <c r="BM174" s="775">
        <f t="shared" si="149"/>
        <v>0</v>
      </c>
    </row>
    <row r="175" spans="1:65">
      <c r="A175" s="11">
        <f t="shared" si="102"/>
        <v>1913</v>
      </c>
      <c r="B175" s="773">
        <v>163</v>
      </c>
      <c r="C175" s="774">
        <f t="shared" si="118"/>
        <v>4931</v>
      </c>
      <c r="D175" s="775">
        <f t="shared" si="119"/>
        <v>0</v>
      </c>
      <c r="E175" s="775">
        <f t="shared" si="110"/>
        <v>0</v>
      </c>
      <c r="F175" s="775">
        <f t="shared" si="100"/>
        <v>0</v>
      </c>
      <c r="G175" s="775">
        <f t="shared" si="120"/>
        <v>0</v>
      </c>
      <c r="H175" s="775">
        <f t="shared" si="121"/>
        <v>0</v>
      </c>
      <c r="I175" s="775">
        <f t="shared" si="101"/>
        <v>0</v>
      </c>
      <c r="K175" s="773">
        <v>163</v>
      </c>
      <c r="L175" s="774">
        <f t="shared" si="122"/>
        <v>4931</v>
      </c>
      <c r="M175" s="775">
        <f t="shared" si="123"/>
        <v>0</v>
      </c>
      <c r="N175" s="775">
        <f t="shared" si="111"/>
        <v>0</v>
      </c>
      <c r="O175" s="775">
        <f t="shared" si="103"/>
        <v>0</v>
      </c>
      <c r="P175" s="775">
        <f t="shared" si="124"/>
        <v>0</v>
      </c>
      <c r="Q175" s="775">
        <f t="shared" si="125"/>
        <v>0</v>
      </c>
      <c r="S175" s="773">
        <v>163</v>
      </c>
      <c r="T175" s="774">
        <f t="shared" si="126"/>
        <v>4931</v>
      </c>
      <c r="U175" s="775">
        <f t="shared" si="127"/>
        <v>0</v>
      </c>
      <c r="V175" s="775">
        <f t="shared" si="112"/>
        <v>0</v>
      </c>
      <c r="W175" s="775">
        <f t="shared" si="104"/>
        <v>0</v>
      </c>
      <c r="X175" s="775">
        <f t="shared" si="128"/>
        <v>0</v>
      </c>
      <c r="Y175" s="775">
        <f t="shared" si="129"/>
        <v>0</v>
      </c>
      <c r="AA175" s="773">
        <v>163</v>
      </c>
      <c r="AB175" s="774">
        <f t="shared" si="130"/>
        <v>4931</v>
      </c>
      <c r="AC175" s="775">
        <f t="shared" si="131"/>
        <v>0</v>
      </c>
      <c r="AD175" s="775">
        <f t="shared" si="113"/>
        <v>0</v>
      </c>
      <c r="AE175" s="775">
        <f t="shared" si="105"/>
        <v>0</v>
      </c>
      <c r="AF175" s="775">
        <f t="shared" si="132"/>
        <v>0</v>
      </c>
      <c r="AG175" s="775">
        <f t="shared" si="133"/>
        <v>0</v>
      </c>
      <c r="AI175" s="773">
        <v>163</v>
      </c>
      <c r="AJ175" s="774">
        <f t="shared" si="134"/>
        <v>4931</v>
      </c>
      <c r="AK175" s="775">
        <f t="shared" si="135"/>
        <v>0</v>
      </c>
      <c r="AL175" s="775">
        <f t="shared" si="114"/>
        <v>0</v>
      </c>
      <c r="AM175" s="775">
        <f t="shared" si="106"/>
        <v>0</v>
      </c>
      <c r="AN175" s="775">
        <f t="shared" si="136"/>
        <v>0</v>
      </c>
      <c r="AO175" s="775">
        <f t="shared" si="137"/>
        <v>0</v>
      </c>
      <c r="AQ175" s="773">
        <v>163</v>
      </c>
      <c r="AR175" s="774">
        <f t="shared" si="138"/>
        <v>4931</v>
      </c>
      <c r="AS175" s="775">
        <f t="shared" si="139"/>
        <v>0</v>
      </c>
      <c r="AT175" s="775">
        <f t="shared" si="115"/>
        <v>0</v>
      </c>
      <c r="AU175" s="775">
        <f t="shared" si="107"/>
        <v>0</v>
      </c>
      <c r="AV175" s="775">
        <f t="shared" si="140"/>
        <v>0</v>
      </c>
      <c r="AW175" s="775">
        <f t="shared" si="141"/>
        <v>0</v>
      </c>
      <c r="AY175" s="773">
        <v>163</v>
      </c>
      <c r="AZ175" s="774">
        <f t="shared" si="142"/>
        <v>4931</v>
      </c>
      <c r="BA175" s="775">
        <f t="shared" si="143"/>
        <v>0</v>
      </c>
      <c r="BB175" s="775">
        <f t="shared" si="116"/>
        <v>0</v>
      </c>
      <c r="BC175" s="775">
        <f t="shared" si="108"/>
        <v>0</v>
      </c>
      <c r="BD175" s="775">
        <f t="shared" si="144"/>
        <v>0</v>
      </c>
      <c r="BE175" s="775">
        <f t="shared" si="145"/>
        <v>0</v>
      </c>
      <c r="BG175" s="773">
        <v>163</v>
      </c>
      <c r="BH175" s="774">
        <f t="shared" si="146"/>
        <v>4931</v>
      </c>
      <c r="BI175" s="775">
        <f t="shared" si="147"/>
        <v>0</v>
      </c>
      <c r="BJ175" s="775">
        <f t="shared" si="117"/>
        <v>0</v>
      </c>
      <c r="BK175" s="775">
        <f t="shared" si="109"/>
        <v>0</v>
      </c>
      <c r="BL175" s="775">
        <f t="shared" si="148"/>
        <v>0</v>
      </c>
      <c r="BM175" s="775">
        <f t="shared" si="149"/>
        <v>0</v>
      </c>
    </row>
    <row r="176" spans="1:65">
      <c r="A176" s="11">
        <f t="shared" si="102"/>
        <v>1913</v>
      </c>
      <c r="B176" s="773">
        <v>164</v>
      </c>
      <c r="C176" s="774">
        <f t="shared" si="118"/>
        <v>4962</v>
      </c>
      <c r="D176" s="775">
        <f t="shared" si="119"/>
        <v>0</v>
      </c>
      <c r="E176" s="775">
        <f t="shared" si="110"/>
        <v>0</v>
      </c>
      <c r="F176" s="775">
        <f t="shared" si="100"/>
        <v>0</v>
      </c>
      <c r="G176" s="775">
        <f t="shared" si="120"/>
        <v>0</v>
      </c>
      <c r="H176" s="775">
        <f t="shared" si="121"/>
        <v>0</v>
      </c>
      <c r="I176" s="775">
        <f t="shared" si="101"/>
        <v>0</v>
      </c>
      <c r="K176" s="773">
        <v>164</v>
      </c>
      <c r="L176" s="774">
        <f t="shared" si="122"/>
        <v>4962</v>
      </c>
      <c r="M176" s="775">
        <f t="shared" si="123"/>
        <v>0</v>
      </c>
      <c r="N176" s="775">
        <f t="shared" si="111"/>
        <v>0</v>
      </c>
      <c r="O176" s="775">
        <f t="shared" si="103"/>
        <v>0</v>
      </c>
      <c r="P176" s="775">
        <f t="shared" si="124"/>
        <v>0</v>
      </c>
      <c r="Q176" s="775">
        <f t="shared" si="125"/>
        <v>0</v>
      </c>
      <c r="S176" s="773">
        <v>164</v>
      </c>
      <c r="T176" s="774">
        <f t="shared" si="126"/>
        <v>4962</v>
      </c>
      <c r="U176" s="775">
        <f t="shared" si="127"/>
        <v>0</v>
      </c>
      <c r="V176" s="775">
        <f t="shared" si="112"/>
        <v>0</v>
      </c>
      <c r="W176" s="775">
        <f t="shared" si="104"/>
        <v>0</v>
      </c>
      <c r="X176" s="775">
        <f t="shared" si="128"/>
        <v>0</v>
      </c>
      <c r="Y176" s="775">
        <f t="shared" si="129"/>
        <v>0</v>
      </c>
      <c r="AA176" s="773">
        <v>164</v>
      </c>
      <c r="AB176" s="774">
        <f t="shared" si="130"/>
        <v>4962</v>
      </c>
      <c r="AC176" s="775">
        <f t="shared" si="131"/>
        <v>0</v>
      </c>
      <c r="AD176" s="775">
        <f t="shared" si="113"/>
        <v>0</v>
      </c>
      <c r="AE176" s="775">
        <f t="shared" si="105"/>
        <v>0</v>
      </c>
      <c r="AF176" s="775">
        <f t="shared" si="132"/>
        <v>0</v>
      </c>
      <c r="AG176" s="775">
        <f t="shared" si="133"/>
        <v>0</v>
      </c>
      <c r="AI176" s="773">
        <v>164</v>
      </c>
      <c r="AJ176" s="774">
        <f t="shared" si="134"/>
        <v>4962</v>
      </c>
      <c r="AK176" s="775">
        <f t="shared" si="135"/>
        <v>0</v>
      </c>
      <c r="AL176" s="775">
        <f t="shared" si="114"/>
        <v>0</v>
      </c>
      <c r="AM176" s="775">
        <f t="shared" si="106"/>
        <v>0</v>
      </c>
      <c r="AN176" s="775">
        <f t="shared" si="136"/>
        <v>0</v>
      </c>
      <c r="AO176" s="775">
        <f t="shared" si="137"/>
        <v>0</v>
      </c>
      <c r="AQ176" s="773">
        <v>164</v>
      </c>
      <c r="AR176" s="774">
        <f t="shared" si="138"/>
        <v>4962</v>
      </c>
      <c r="AS176" s="775">
        <f t="shared" si="139"/>
        <v>0</v>
      </c>
      <c r="AT176" s="775">
        <f t="shared" si="115"/>
        <v>0</v>
      </c>
      <c r="AU176" s="775">
        <f t="shared" si="107"/>
        <v>0</v>
      </c>
      <c r="AV176" s="775">
        <f t="shared" si="140"/>
        <v>0</v>
      </c>
      <c r="AW176" s="775">
        <f t="shared" si="141"/>
        <v>0</v>
      </c>
      <c r="AY176" s="773">
        <v>164</v>
      </c>
      <c r="AZ176" s="774">
        <f t="shared" si="142"/>
        <v>4962</v>
      </c>
      <c r="BA176" s="775">
        <f t="shared" si="143"/>
        <v>0</v>
      </c>
      <c r="BB176" s="775">
        <f t="shared" si="116"/>
        <v>0</v>
      </c>
      <c r="BC176" s="775">
        <f t="shared" si="108"/>
        <v>0</v>
      </c>
      <c r="BD176" s="775">
        <f t="shared" si="144"/>
        <v>0</v>
      </c>
      <c r="BE176" s="775">
        <f t="shared" si="145"/>
        <v>0</v>
      </c>
      <c r="BG176" s="773">
        <v>164</v>
      </c>
      <c r="BH176" s="774">
        <f t="shared" si="146"/>
        <v>4962</v>
      </c>
      <c r="BI176" s="775">
        <f t="shared" si="147"/>
        <v>0</v>
      </c>
      <c r="BJ176" s="775">
        <f t="shared" si="117"/>
        <v>0</v>
      </c>
      <c r="BK176" s="775">
        <f t="shared" si="109"/>
        <v>0</v>
      </c>
      <c r="BL176" s="775">
        <f t="shared" si="148"/>
        <v>0</v>
      </c>
      <c r="BM176" s="775">
        <f t="shared" si="149"/>
        <v>0</v>
      </c>
    </row>
    <row r="177" spans="1:65">
      <c r="A177" s="11">
        <f t="shared" si="102"/>
        <v>1913</v>
      </c>
      <c r="B177" s="773">
        <v>165</v>
      </c>
      <c r="C177" s="774">
        <f t="shared" si="118"/>
        <v>4993</v>
      </c>
      <c r="D177" s="775">
        <f t="shared" si="119"/>
        <v>0</v>
      </c>
      <c r="E177" s="775">
        <f t="shared" si="110"/>
        <v>0</v>
      </c>
      <c r="F177" s="775">
        <f t="shared" si="100"/>
        <v>0</v>
      </c>
      <c r="G177" s="775">
        <f t="shared" si="120"/>
        <v>0</v>
      </c>
      <c r="H177" s="775">
        <f t="shared" si="121"/>
        <v>0</v>
      </c>
      <c r="I177" s="775">
        <f t="shared" si="101"/>
        <v>0</v>
      </c>
      <c r="K177" s="773">
        <v>165</v>
      </c>
      <c r="L177" s="774">
        <f t="shared" si="122"/>
        <v>4993</v>
      </c>
      <c r="M177" s="775">
        <f t="shared" si="123"/>
        <v>0</v>
      </c>
      <c r="N177" s="775">
        <f t="shared" si="111"/>
        <v>0</v>
      </c>
      <c r="O177" s="775">
        <f t="shared" si="103"/>
        <v>0</v>
      </c>
      <c r="P177" s="775">
        <f t="shared" si="124"/>
        <v>0</v>
      </c>
      <c r="Q177" s="775">
        <f t="shared" si="125"/>
        <v>0</v>
      </c>
      <c r="S177" s="773">
        <v>165</v>
      </c>
      <c r="T177" s="774">
        <f t="shared" si="126"/>
        <v>4993</v>
      </c>
      <c r="U177" s="775">
        <f t="shared" si="127"/>
        <v>0</v>
      </c>
      <c r="V177" s="775">
        <f t="shared" si="112"/>
        <v>0</v>
      </c>
      <c r="W177" s="775">
        <f t="shared" si="104"/>
        <v>0</v>
      </c>
      <c r="X177" s="775">
        <f t="shared" si="128"/>
        <v>0</v>
      </c>
      <c r="Y177" s="775">
        <f t="shared" si="129"/>
        <v>0</v>
      </c>
      <c r="AA177" s="773">
        <v>165</v>
      </c>
      <c r="AB177" s="774">
        <f t="shared" si="130"/>
        <v>4993</v>
      </c>
      <c r="AC177" s="775">
        <f t="shared" si="131"/>
        <v>0</v>
      </c>
      <c r="AD177" s="775">
        <f t="shared" si="113"/>
        <v>0</v>
      </c>
      <c r="AE177" s="775">
        <f t="shared" si="105"/>
        <v>0</v>
      </c>
      <c r="AF177" s="775">
        <f t="shared" si="132"/>
        <v>0</v>
      </c>
      <c r="AG177" s="775">
        <f t="shared" si="133"/>
        <v>0</v>
      </c>
      <c r="AI177" s="773">
        <v>165</v>
      </c>
      <c r="AJ177" s="774">
        <f t="shared" si="134"/>
        <v>4993</v>
      </c>
      <c r="AK177" s="775">
        <f t="shared" si="135"/>
        <v>0</v>
      </c>
      <c r="AL177" s="775">
        <f t="shared" si="114"/>
        <v>0</v>
      </c>
      <c r="AM177" s="775">
        <f t="shared" si="106"/>
        <v>0</v>
      </c>
      <c r="AN177" s="775">
        <f t="shared" si="136"/>
        <v>0</v>
      </c>
      <c r="AO177" s="775">
        <f t="shared" si="137"/>
        <v>0</v>
      </c>
      <c r="AQ177" s="773">
        <v>165</v>
      </c>
      <c r="AR177" s="774">
        <f t="shared" si="138"/>
        <v>4993</v>
      </c>
      <c r="AS177" s="775">
        <f t="shared" si="139"/>
        <v>0</v>
      </c>
      <c r="AT177" s="775">
        <f t="shared" si="115"/>
        <v>0</v>
      </c>
      <c r="AU177" s="775">
        <f t="shared" si="107"/>
        <v>0</v>
      </c>
      <c r="AV177" s="775">
        <f t="shared" si="140"/>
        <v>0</v>
      </c>
      <c r="AW177" s="775">
        <f t="shared" si="141"/>
        <v>0</v>
      </c>
      <c r="AY177" s="773">
        <v>165</v>
      </c>
      <c r="AZ177" s="774">
        <f t="shared" si="142"/>
        <v>4993</v>
      </c>
      <c r="BA177" s="775">
        <f t="shared" si="143"/>
        <v>0</v>
      </c>
      <c r="BB177" s="775">
        <f t="shared" si="116"/>
        <v>0</v>
      </c>
      <c r="BC177" s="775">
        <f t="shared" si="108"/>
        <v>0</v>
      </c>
      <c r="BD177" s="775">
        <f t="shared" si="144"/>
        <v>0</v>
      </c>
      <c r="BE177" s="775">
        <f t="shared" si="145"/>
        <v>0</v>
      </c>
      <c r="BG177" s="773">
        <v>165</v>
      </c>
      <c r="BH177" s="774">
        <f t="shared" si="146"/>
        <v>4993</v>
      </c>
      <c r="BI177" s="775">
        <f t="shared" si="147"/>
        <v>0</v>
      </c>
      <c r="BJ177" s="775">
        <f t="shared" si="117"/>
        <v>0</v>
      </c>
      <c r="BK177" s="775">
        <f t="shared" si="109"/>
        <v>0</v>
      </c>
      <c r="BL177" s="775">
        <f t="shared" si="148"/>
        <v>0</v>
      </c>
      <c r="BM177" s="775">
        <f t="shared" si="149"/>
        <v>0</v>
      </c>
    </row>
    <row r="178" spans="1:65">
      <c r="A178" s="11">
        <f t="shared" si="102"/>
        <v>1913</v>
      </c>
      <c r="B178" s="773">
        <v>166</v>
      </c>
      <c r="C178" s="774">
        <f t="shared" si="118"/>
        <v>5023</v>
      </c>
      <c r="D178" s="775">
        <f t="shared" si="119"/>
        <v>0</v>
      </c>
      <c r="E178" s="775">
        <f t="shared" si="110"/>
        <v>0</v>
      </c>
      <c r="F178" s="775">
        <f t="shared" si="100"/>
        <v>0</v>
      </c>
      <c r="G178" s="775">
        <f t="shared" si="120"/>
        <v>0</v>
      </c>
      <c r="H178" s="775">
        <f t="shared" si="121"/>
        <v>0</v>
      </c>
      <c r="I178" s="775">
        <f t="shared" si="101"/>
        <v>0</v>
      </c>
      <c r="K178" s="773">
        <v>166</v>
      </c>
      <c r="L178" s="774">
        <f t="shared" si="122"/>
        <v>5023</v>
      </c>
      <c r="M178" s="775">
        <f t="shared" si="123"/>
        <v>0</v>
      </c>
      <c r="N178" s="775">
        <f t="shared" si="111"/>
        <v>0</v>
      </c>
      <c r="O178" s="775">
        <f t="shared" si="103"/>
        <v>0</v>
      </c>
      <c r="P178" s="775">
        <f t="shared" si="124"/>
        <v>0</v>
      </c>
      <c r="Q178" s="775">
        <f t="shared" si="125"/>
        <v>0</v>
      </c>
      <c r="S178" s="773">
        <v>166</v>
      </c>
      <c r="T178" s="774">
        <f t="shared" si="126"/>
        <v>5023</v>
      </c>
      <c r="U178" s="775">
        <f t="shared" si="127"/>
        <v>0</v>
      </c>
      <c r="V178" s="775">
        <f t="shared" si="112"/>
        <v>0</v>
      </c>
      <c r="W178" s="775">
        <f t="shared" si="104"/>
        <v>0</v>
      </c>
      <c r="X178" s="775">
        <f t="shared" si="128"/>
        <v>0</v>
      </c>
      <c r="Y178" s="775">
        <f t="shared" si="129"/>
        <v>0</v>
      </c>
      <c r="AA178" s="773">
        <v>166</v>
      </c>
      <c r="AB178" s="774">
        <f t="shared" si="130"/>
        <v>5023</v>
      </c>
      <c r="AC178" s="775">
        <f t="shared" si="131"/>
        <v>0</v>
      </c>
      <c r="AD178" s="775">
        <f t="shared" si="113"/>
        <v>0</v>
      </c>
      <c r="AE178" s="775">
        <f t="shared" si="105"/>
        <v>0</v>
      </c>
      <c r="AF178" s="775">
        <f t="shared" si="132"/>
        <v>0</v>
      </c>
      <c r="AG178" s="775">
        <f t="shared" si="133"/>
        <v>0</v>
      </c>
      <c r="AI178" s="773">
        <v>166</v>
      </c>
      <c r="AJ178" s="774">
        <f t="shared" si="134"/>
        <v>5023</v>
      </c>
      <c r="AK178" s="775">
        <f t="shared" si="135"/>
        <v>0</v>
      </c>
      <c r="AL178" s="775">
        <f t="shared" si="114"/>
        <v>0</v>
      </c>
      <c r="AM178" s="775">
        <f t="shared" si="106"/>
        <v>0</v>
      </c>
      <c r="AN178" s="775">
        <f t="shared" si="136"/>
        <v>0</v>
      </c>
      <c r="AO178" s="775">
        <f t="shared" si="137"/>
        <v>0</v>
      </c>
      <c r="AQ178" s="773">
        <v>166</v>
      </c>
      <c r="AR178" s="774">
        <f t="shared" si="138"/>
        <v>5023</v>
      </c>
      <c r="AS178" s="775">
        <f t="shared" si="139"/>
        <v>0</v>
      </c>
      <c r="AT178" s="775">
        <f t="shared" si="115"/>
        <v>0</v>
      </c>
      <c r="AU178" s="775">
        <f t="shared" si="107"/>
        <v>0</v>
      </c>
      <c r="AV178" s="775">
        <f t="shared" si="140"/>
        <v>0</v>
      </c>
      <c r="AW178" s="775">
        <f t="shared" si="141"/>
        <v>0</v>
      </c>
      <c r="AY178" s="773">
        <v>166</v>
      </c>
      <c r="AZ178" s="774">
        <f t="shared" si="142"/>
        <v>5023</v>
      </c>
      <c r="BA178" s="775">
        <f t="shared" si="143"/>
        <v>0</v>
      </c>
      <c r="BB178" s="775">
        <f t="shared" si="116"/>
        <v>0</v>
      </c>
      <c r="BC178" s="775">
        <f t="shared" si="108"/>
        <v>0</v>
      </c>
      <c r="BD178" s="775">
        <f t="shared" si="144"/>
        <v>0</v>
      </c>
      <c r="BE178" s="775">
        <f t="shared" si="145"/>
        <v>0</v>
      </c>
      <c r="BG178" s="773">
        <v>166</v>
      </c>
      <c r="BH178" s="774">
        <f t="shared" si="146"/>
        <v>5023</v>
      </c>
      <c r="BI178" s="775">
        <f t="shared" si="147"/>
        <v>0</v>
      </c>
      <c r="BJ178" s="775">
        <f t="shared" si="117"/>
        <v>0</v>
      </c>
      <c r="BK178" s="775">
        <f t="shared" si="109"/>
        <v>0</v>
      </c>
      <c r="BL178" s="775">
        <f t="shared" si="148"/>
        <v>0</v>
      </c>
      <c r="BM178" s="775">
        <f t="shared" si="149"/>
        <v>0</v>
      </c>
    </row>
    <row r="179" spans="1:65">
      <c r="A179" s="11">
        <f t="shared" si="102"/>
        <v>1913</v>
      </c>
      <c r="B179" s="773">
        <v>167</v>
      </c>
      <c r="C179" s="774">
        <f t="shared" si="118"/>
        <v>5054</v>
      </c>
      <c r="D179" s="775">
        <f t="shared" si="119"/>
        <v>0</v>
      </c>
      <c r="E179" s="775">
        <f t="shared" si="110"/>
        <v>0</v>
      </c>
      <c r="F179" s="775">
        <f t="shared" si="100"/>
        <v>0</v>
      </c>
      <c r="G179" s="775">
        <f t="shared" si="120"/>
        <v>0</v>
      </c>
      <c r="H179" s="775">
        <f t="shared" si="121"/>
        <v>0</v>
      </c>
      <c r="I179" s="775">
        <f t="shared" si="101"/>
        <v>0</v>
      </c>
      <c r="K179" s="773">
        <v>167</v>
      </c>
      <c r="L179" s="774">
        <f t="shared" si="122"/>
        <v>5054</v>
      </c>
      <c r="M179" s="775">
        <f t="shared" si="123"/>
        <v>0</v>
      </c>
      <c r="N179" s="775">
        <f t="shared" si="111"/>
        <v>0</v>
      </c>
      <c r="O179" s="775">
        <f t="shared" si="103"/>
        <v>0</v>
      </c>
      <c r="P179" s="775">
        <f t="shared" si="124"/>
        <v>0</v>
      </c>
      <c r="Q179" s="775">
        <f t="shared" si="125"/>
        <v>0</v>
      </c>
      <c r="S179" s="773">
        <v>167</v>
      </c>
      <c r="T179" s="774">
        <f t="shared" si="126"/>
        <v>5054</v>
      </c>
      <c r="U179" s="775">
        <f t="shared" si="127"/>
        <v>0</v>
      </c>
      <c r="V179" s="775">
        <f t="shared" si="112"/>
        <v>0</v>
      </c>
      <c r="W179" s="775">
        <f t="shared" si="104"/>
        <v>0</v>
      </c>
      <c r="X179" s="775">
        <f t="shared" si="128"/>
        <v>0</v>
      </c>
      <c r="Y179" s="775">
        <f t="shared" si="129"/>
        <v>0</v>
      </c>
      <c r="AA179" s="773">
        <v>167</v>
      </c>
      <c r="AB179" s="774">
        <f t="shared" si="130"/>
        <v>5054</v>
      </c>
      <c r="AC179" s="775">
        <f t="shared" si="131"/>
        <v>0</v>
      </c>
      <c r="AD179" s="775">
        <f t="shared" si="113"/>
        <v>0</v>
      </c>
      <c r="AE179" s="775">
        <f t="shared" si="105"/>
        <v>0</v>
      </c>
      <c r="AF179" s="775">
        <f t="shared" si="132"/>
        <v>0</v>
      </c>
      <c r="AG179" s="775">
        <f t="shared" si="133"/>
        <v>0</v>
      </c>
      <c r="AI179" s="773">
        <v>167</v>
      </c>
      <c r="AJ179" s="774">
        <f t="shared" si="134"/>
        <v>5054</v>
      </c>
      <c r="AK179" s="775">
        <f t="shared" si="135"/>
        <v>0</v>
      </c>
      <c r="AL179" s="775">
        <f t="shared" si="114"/>
        <v>0</v>
      </c>
      <c r="AM179" s="775">
        <f t="shared" si="106"/>
        <v>0</v>
      </c>
      <c r="AN179" s="775">
        <f t="shared" si="136"/>
        <v>0</v>
      </c>
      <c r="AO179" s="775">
        <f t="shared" si="137"/>
        <v>0</v>
      </c>
      <c r="AQ179" s="773">
        <v>167</v>
      </c>
      <c r="AR179" s="774">
        <f t="shared" si="138"/>
        <v>5054</v>
      </c>
      <c r="AS179" s="775">
        <f t="shared" si="139"/>
        <v>0</v>
      </c>
      <c r="AT179" s="775">
        <f t="shared" si="115"/>
        <v>0</v>
      </c>
      <c r="AU179" s="775">
        <f t="shared" si="107"/>
        <v>0</v>
      </c>
      <c r="AV179" s="775">
        <f t="shared" si="140"/>
        <v>0</v>
      </c>
      <c r="AW179" s="775">
        <f t="shared" si="141"/>
        <v>0</v>
      </c>
      <c r="AY179" s="773">
        <v>167</v>
      </c>
      <c r="AZ179" s="774">
        <f t="shared" si="142"/>
        <v>5054</v>
      </c>
      <c r="BA179" s="775">
        <f t="shared" si="143"/>
        <v>0</v>
      </c>
      <c r="BB179" s="775">
        <f t="shared" si="116"/>
        <v>0</v>
      </c>
      <c r="BC179" s="775">
        <f t="shared" si="108"/>
        <v>0</v>
      </c>
      <c r="BD179" s="775">
        <f t="shared" si="144"/>
        <v>0</v>
      </c>
      <c r="BE179" s="775">
        <f t="shared" si="145"/>
        <v>0</v>
      </c>
      <c r="BG179" s="773">
        <v>167</v>
      </c>
      <c r="BH179" s="774">
        <f t="shared" si="146"/>
        <v>5054</v>
      </c>
      <c r="BI179" s="775">
        <f t="shared" si="147"/>
        <v>0</v>
      </c>
      <c r="BJ179" s="775">
        <f t="shared" si="117"/>
        <v>0</v>
      </c>
      <c r="BK179" s="775">
        <f t="shared" si="109"/>
        <v>0</v>
      </c>
      <c r="BL179" s="775">
        <f t="shared" si="148"/>
        <v>0</v>
      </c>
      <c r="BM179" s="775">
        <f t="shared" si="149"/>
        <v>0</v>
      </c>
    </row>
    <row r="180" spans="1:65">
      <c r="A180" s="11">
        <f t="shared" si="102"/>
        <v>1913</v>
      </c>
      <c r="B180" s="773">
        <v>168</v>
      </c>
      <c r="C180" s="774">
        <f t="shared" si="118"/>
        <v>5084</v>
      </c>
      <c r="D180" s="775">
        <f t="shared" si="119"/>
        <v>0</v>
      </c>
      <c r="E180" s="775">
        <f t="shared" si="110"/>
        <v>0</v>
      </c>
      <c r="F180" s="775">
        <f t="shared" si="100"/>
        <v>0</v>
      </c>
      <c r="G180" s="775">
        <f t="shared" si="120"/>
        <v>0</v>
      </c>
      <c r="H180" s="775">
        <f t="shared" si="121"/>
        <v>0</v>
      </c>
      <c r="I180" s="775">
        <f t="shared" si="101"/>
        <v>0</v>
      </c>
      <c r="K180" s="773">
        <v>168</v>
      </c>
      <c r="L180" s="774">
        <f t="shared" si="122"/>
        <v>5084</v>
      </c>
      <c r="M180" s="775">
        <f t="shared" si="123"/>
        <v>0</v>
      </c>
      <c r="N180" s="775">
        <f t="shared" si="111"/>
        <v>0</v>
      </c>
      <c r="O180" s="775">
        <f t="shared" si="103"/>
        <v>0</v>
      </c>
      <c r="P180" s="775">
        <f t="shared" si="124"/>
        <v>0</v>
      </c>
      <c r="Q180" s="775">
        <f t="shared" si="125"/>
        <v>0</v>
      </c>
      <c r="S180" s="773">
        <v>168</v>
      </c>
      <c r="T180" s="774">
        <f t="shared" si="126"/>
        <v>5084</v>
      </c>
      <c r="U180" s="775">
        <f t="shared" si="127"/>
        <v>0</v>
      </c>
      <c r="V180" s="775">
        <f t="shared" si="112"/>
        <v>0</v>
      </c>
      <c r="W180" s="775">
        <f t="shared" si="104"/>
        <v>0</v>
      </c>
      <c r="X180" s="775">
        <f t="shared" si="128"/>
        <v>0</v>
      </c>
      <c r="Y180" s="775">
        <f t="shared" si="129"/>
        <v>0</v>
      </c>
      <c r="AA180" s="773">
        <v>168</v>
      </c>
      <c r="AB180" s="774">
        <f t="shared" si="130"/>
        <v>5084</v>
      </c>
      <c r="AC180" s="775">
        <f t="shared" si="131"/>
        <v>0</v>
      </c>
      <c r="AD180" s="775">
        <f t="shared" si="113"/>
        <v>0</v>
      </c>
      <c r="AE180" s="775">
        <f t="shared" si="105"/>
        <v>0</v>
      </c>
      <c r="AF180" s="775">
        <f t="shared" si="132"/>
        <v>0</v>
      </c>
      <c r="AG180" s="775">
        <f t="shared" si="133"/>
        <v>0</v>
      </c>
      <c r="AI180" s="773">
        <v>168</v>
      </c>
      <c r="AJ180" s="774">
        <f t="shared" si="134"/>
        <v>5084</v>
      </c>
      <c r="AK180" s="775">
        <f t="shared" si="135"/>
        <v>0</v>
      </c>
      <c r="AL180" s="775">
        <f t="shared" si="114"/>
        <v>0</v>
      </c>
      <c r="AM180" s="775">
        <f t="shared" si="106"/>
        <v>0</v>
      </c>
      <c r="AN180" s="775">
        <f t="shared" si="136"/>
        <v>0</v>
      </c>
      <c r="AO180" s="775">
        <f t="shared" si="137"/>
        <v>0</v>
      </c>
      <c r="AQ180" s="773">
        <v>168</v>
      </c>
      <c r="AR180" s="774">
        <f t="shared" si="138"/>
        <v>5084</v>
      </c>
      <c r="AS180" s="775">
        <f t="shared" si="139"/>
        <v>0</v>
      </c>
      <c r="AT180" s="775">
        <f t="shared" si="115"/>
        <v>0</v>
      </c>
      <c r="AU180" s="775">
        <f t="shared" si="107"/>
        <v>0</v>
      </c>
      <c r="AV180" s="775">
        <f t="shared" si="140"/>
        <v>0</v>
      </c>
      <c r="AW180" s="775">
        <f t="shared" si="141"/>
        <v>0</v>
      </c>
      <c r="AY180" s="773">
        <v>168</v>
      </c>
      <c r="AZ180" s="774">
        <f t="shared" si="142"/>
        <v>5084</v>
      </c>
      <c r="BA180" s="775">
        <f t="shared" si="143"/>
        <v>0</v>
      </c>
      <c r="BB180" s="775">
        <f t="shared" si="116"/>
        <v>0</v>
      </c>
      <c r="BC180" s="775">
        <f t="shared" si="108"/>
        <v>0</v>
      </c>
      <c r="BD180" s="775">
        <f t="shared" si="144"/>
        <v>0</v>
      </c>
      <c r="BE180" s="775">
        <f t="shared" si="145"/>
        <v>0</v>
      </c>
      <c r="BG180" s="773">
        <v>168</v>
      </c>
      <c r="BH180" s="774">
        <f t="shared" si="146"/>
        <v>5084</v>
      </c>
      <c r="BI180" s="775">
        <f t="shared" si="147"/>
        <v>0</v>
      </c>
      <c r="BJ180" s="775">
        <f t="shared" si="117"/>
        <v>0</v>
      </c>
      <c r="BK180" s="775">
        <f t="shared" si="109"/>
        <v>0</v>
      </c>
      <c r="BL180" s="775">
        <f t="shared" si="148"/>
        <v>0</v>
      </c>
      <c r="BM180" s="775">
        <f t="shared" si="149"/>
        <v>0</v>
      </c>
    </row>
    <row r="181" spans="1:65">
      <c r="A181" s="11">
        <f t="shared" si="102"/>
        <v>1914</v>
      </c>
      <c r="B181" s="773">
        <v>169</v>
      </c>
      <c r="C181" s="774">
        <f t="shared" si="118"/>
        <v>5115</v>
      </c>
      <c r="D181" s="775">
        <f t="shared" si="119"/>
        <v>0</v>
      </c>
      <c r="E181" s="775">
        <f t="shared" si="110"/>
        <v>0</v>
      </c>
      <c r="F181" s="775">
        <f t="shared" si="100"/>
        <v>0</v>
      </c>
      <c r="G181" s="775">
        <f t="shared" si="120"/>
        <v>0</v>
      </c>
      <c r="H181" s="775">
        <f t="shared" si="121"/>
        <v>0</v>
      </c>
      <c r="I181" s="775">
        <f t="shared" si="101"/>
        <v>0</v>
      </c>
      <c r="K181" s="773">
        <v>169</v>
      </c>
      <c r="L181" s="774">
        <f t="shared" si="122"/>
        <v>5115</v>
      </c>
      <c r="M181" s="775">
        <f t="shared" si="123"/>
        <v>0</v>
      </c>
      <c r="N181" s="775">
        <f t="shared" si="111"/>
        <v>0</v>
      </c>
      <c r="O181" s="775">
        <f t="shared" si="103"/>
        <v>0</v>
      </c>
      <c r="P181" s="775">
        <f t="shared" si="124"/>
        <v>0</v>
      </c>
      <c r="Q181" s="775">
        <f t="shared" si="125"/>
        <v>0</v>
      </c>
      <c r="S181" s="773">
        <v>169</v>
      </c>
      <c r="T181" s="774">
        <f t="shared" si="126"/>
        <v>5115</v>
      </c>
      <c r="U181" s="775">
        <f t="shared" si="127"/>
        <v>0</v>
      </c>
      <c r="V181" s="775">
        <f t="shared" si="112"/>
        <v>0</v>
      </c>
      <c r="W181" s="775">
        <f t="shared" si="104"/>
        <v>0</v>
      </c>
      <c r="X181" s="775">
        <f t="shared" si="128"/>
        <v>0</v>
      </c>
      <c r="Y181" s="775">
        <f t="shared" si="129"/>
        <v>0</v>
      </c>
      <c r="AA181" s="773">
        <v>169</v>
      </c>
      <c r="AB181" s="774">
        <f t="shared" si="130"/>
        <v>5115</v>
      </c>
      <c r="AC181" s="775">
        <f t="shared" si="131"/>
        <v>0</v>
      </c>
      <c r="AD181" s="775">
        <f t="shared" si="113"/>
        <v>0</v>
      </c>
      <c r="AE181" s="775">
        <f t="shared" si="105"/>
        <v>0</v>
      </c>
      <c r="AF181" s="775">
        <f t="shared" si="132"/>
        <v>0</v>
      </c>
      <c r="AG181" s="775">
        <f t="shared" si="133"/>
        <v>0</v>
      </c>
      <c r="AI181" s="773">
        <v>169</v>
      </c>
      <c r="AJ181" s="774">
        <f t="shared" si="134"/>
        <v>5115</v>
      </c>
      <c r="AK181" s="775">
        <f t="shared" si="135"/>
        <v>0</v>
      </c>
      <c r="AL181" s="775">
        <f t="shared" si="114"/>
        <v>0</v>
      </c>
      <c r="AM181" s="775">
        <f t="shared" si="106"/>
        <v>0</v>
      </c>
      <c r="AN181" s="775">
        <f t="shared" si="136"/>
        <v>0</v>
      </c>
      <c r="AO181" s="775">
        <f t="shared" si="137"/>
        <v>0</v>
      </c>
      <c r="AQ181" s="773">
        <v>169</v>
      </c>
      <c r="AR181" s="774">
        <f t="shared" si="138"/>
        <v>5115</v>
      </c>
      <c r="AS181" s="775">
        <f t="shared" si="139"/>
        <v>0</v>
      </c>
      <c r="AT181" s="775">
        <f t="shared" si="115"/>
        <v>0</v>
      </c>
      <c r="AU181" s="775">
        <f t="shared" si="107"/>
        <v>0</v>
      </c>
      <c r="AV181" s="775">
        <f t="shared" si="140"/>
        <v>0</v>
      </c>
      <c r="AW181" s="775">
        <f t="shared" si="141"/>
        <v>0</v>
      </c>
      <c r="AY181" s="773">
        <v>169</v>
      </c>
      <c r="AZ181" s="774">
        <f t="shared" si="142"/>
        <v>5115</v>
      </c>
      <c r="BA181" s="775">
        <f t="shared" si="143"/>
        <v>0</v>
      </c>
      <c r="BB181" s="775">
        <f t="shared" si="116"/>
        <v>0</v>
      </c>
      <c r="BC181" s="775">
        <f t="shared" si="108"/>
        <v>0</v>
      </c>
      <c r="BD181" s="775">
        <f t="shared" si="144"/>
        <v>0</v>
      </c>
      <c r="BE181" s="775">
        <f t="shared" si="145"/>
        <v>0</v>
      </c>
      <c r="BG181" s="773">
        <v>169</v>
      </c>
      <c r="BH181" s="774">
        <f t="shared" si="146"/>
        <v>5115</v>
      </c>
      <c r="BI181" s="775">
        <f t="shared" si="147"/>
        <v>0</v>
      </c>
      <c r="BJ181" s="775">
        <f t="shared" si="117"/>
        <v>0</v>
      </c>
      <c r="BK181" s="775">
        <f t="shared" si="109"/>
        <v>0</v>
      </c>
      <c r="BL181" s="775">
        <f t="shared" si="148"/>
        <v>0</v>
      </c>
      <c r="BM181" s="775">
        <f t="shared" si="149"/>
        <v>0</v>
      </c>
    </row>
    <row r="182" spans="1:65">
      <c r="A182" s="11">
        <f t="shared" si="102"/>
        <v>1914</v>
      </c>
      <c r="B182" s="773">
        <v>170</v>
      </c>
      <c r="C182" s="774">
        <f t="shared" si="118"/>
        <v>5146</v>
      </c>
      <c r="D182" s="775">
        <f t="shared" si="119"/>
        <v>0</v>
      </c>
      <c r="E182" s="775">
        <f t="shared" si="110"/>
        <v>0</v>
      </c>
      <c r="F182" s="775">
        <f t="shared" si="100"/>
        <v>0</v>
      </c>
      <c r="G182" s="775">
        <f t="shared" si="120"/>
        <v>0</v>
      </c>
      <c r="H182" s="775">
        <f t="shared" si="121"/>
        <v>0</v>
      </c>
      <c r="I182" s="775">
        <f t="shared" si="101"/>
        <v>0</v>
      </c>
      <c r="K182" s="773">
        <v>170</v>
      </c>
      <c r="L182" s="774">
        <f t="shared" si="122"/>
        <v>5146</v>
      </c>
      <c r="M182" s="775">
        <f t="shared" si="123"/>
        <v>0</v>
      </c>
      <c r="N182" s="775">
        <f t="shared" si="111"/>
        <v>0</v>
      </c>
      <c r="O182" s="775">
        <f t="shared" si="103"/>
        <v>0</v>
      </c>
      <c r="P182" s="775">
        <f t="shared" si="124"/>
        <v>0</v>
      </c>
      <c r="Q182" s="775">
        <f t="shared" si="125"/>
        <v>0</v>
      </c>
      <c r="S182" s="773">
        <v>170</v>
      </c>
      <c r="T182" s="774">
        <f t="shared" si="126"/>
        <v>5146</v>
      </c>
      <c r="U182" s="775">
        <f t="shared" si="127"/>
        <v>0</v>
      </c>
      <c r="V182" s="775">
        <f t="shared" si="112"/>
        <v>0</v>
      </c>
      <c r="W182" s="775">
        <f t="shared" si="104"/>
        <v>0</v>
      </c>
      <c r="X182" s="775">
        <f t="shared" si="128"/>
        <v>0</v>
      </c>
      <c r="Y182" s="775">
        <f t="shared" si="129"/>
        <v>0</v>
      </c>
      <c r="AA182" s="773">
        <v>170</v>
      </c>
      <c r="AB182" s="774">
        <f t="shared" si="130"/>
        <v>5146</v>
      </c>
      <c r="AC182" s="775">
        <f t="shared" si="131"/>
        <v>0</v>
      </c>
      <c r="AD182" s="775">
        <f t="shared" si="113"/>
        <v>0</v>
      </c>
      <c r="AE182" s="775">
        <f t="shared" si="105"/>
        <v>0</v>
      </c>
      <c r="AF182" s="775">
        <f t="shared" si="132"/>
        <v>0</v>
      </c>
      <c r="AG182" s="775">
        <f t="shared" si="133"/>
        <v>0</v>
      </c>
      <c r="AI182" s="773">
        <v>170</v>
      </c>
      <c r="AJ182" s="774">
        <f t="shared" si="134"/>
        <v>5146</v>
      </c>
      <c r="AK182" s="775">
        <f t="shared" si="135"/>
        <v>0</v>
      </c>
      <c r="AL182" s="775">
        <f t="shared" si="114"/>
        <v>0</v>
      </c>
      <c r="AM182" s="775">
        <f t="shared" si="106"/>
        <v>0</v>
      </c>
      <c r="AN182" s="775">
        <f t="shared" si="136"/>
        <v>0</v>
      </c>
      <c r="AO182" s="775">
        <f t="shared" si="137"/>
        <v>0</v>
      </c>
      <c r="AQ182" s="773">
        <v>170</v>
      </c>
      <c r="AR182" s="774">
        <f t="shared" si="138"/>
        <v>5146</v>
      </c>
      <c r="AS182" s="775">
        <f t="shared" si="139"/>
        <v>0</v>
      </c>
      <c r="AT182" s="775">
        <f t="shared" si="115"/>
        <v>0</v>
      </c>
      <c r="AU182" s="775">
        <f t="shared" si="107"/>
        <v>0</v>
      </c>
      <c r="AV182" s="775">
        <f t="shared" si="140"/>
        <v>0</v>
      </c>
      <c r="AW182" s="775">
        <f t="shared" si="141"/>
        <v>0</v>
      </c>
      <c r="AY182" s="773">
        <v>170</v>
      </c>
      <c r="AZ182" s="774">
        <f t="shared" si="142"/>
        <v>5146</v>
      </c>
      <c r="BA182" s="775">
        <f t="shared" si="143"/>
        <v>0</v>
      </c>
      <c r="BB182" s="775">
        <f t="shared" si="116"/>
        <v>0</v>
      </c>
      <c r="BC182" s="775">
        <f t="shared" si="108"/>
        <v>0</v>
      </c>
      <c r="BD182" s="775">
        <f t="shared" si="144"/>
        <v>0</v>
      </c>
      <c r="BE182" s="775">
        <f t="shared" si="145"/>
        <v>0</v>
      </c>
      <c r="BG182" s="773">
        <v>170</v>
      </c>
      <c r="BH182" s="774">
        <f t="shared" si="146"/>
        <v>5146</v>
      </c>
      <c r="BI182" s="775">
        <f t="shared" si="147"/>
        <v>0</v>
      </c>
      <c r="BJ182" s="775">
        <f t="shared" si="117"/>
        <v>0</v>
      </c>
      <c r="BK182" s="775">
        <f t="shared" si="109"/>
        <v>0</v>
      </c>
      <c r="BL182" s="775">
        <f t="shared" si="148"/>
        <v>0</v>
      </c>
      <c r="BM182" s="775">
        <f t="shared" si="149"/>
        <v>0</v>
      </c>
    </row>
    <row r="183" spans="1:65">
      <c r="A183" s="11">
        <f t="shared" si="102"/>
        <v>1914</v>
      </c>
      <c r="B183" s="773">
        <v>171</v>
      </c>
      <c r="C183" s="774">
        <f t="shared" si="118"/>
        <v>5174</v>
      </c>
      <c r="D183" s="775">
        <f t="shared" si="119"/>
        <v>0</v>
      </c>
      <c r="E183" s="775">
        <f t="shared" si="110"/>
        <v>0</v>
      </c>
      <c r="F183" s="775">
        <f t="shared" si="100"/>
        <v>0</v>
      </c>
      <c r="G183" s="775">
        <f t="shared" si="120"/>
        <v>0</v>
      </c>
      <c r="H183" s="775">
        <f t="shared" si="121"/>
        <v>0</v>
      </c>
      <c r="I183" s="775">
        <f t="shared" si="101"/>
        <v>0</v>
      </c>
      <c r="K183" s="773">
        <v>171</v>
      </c>
      <c r="L183" s="774">
        <f t="shared" si="122"/>
        <v>5174</v>
      </c>
      <c r="M183" s="775">
        <f t="shared" si="123"/>
        <v>0</v>
      </c>
      <c r="N183" s="775">
        <f t="shared" si="111"/>
        <v>0</v>
      </c>
      <c r="O183" s="775">
        <f t="shared" si="103"/>
        <v>0</v>
      </c>
      <c r="P183" s="775">
        <f t="shared" si="124"/>
        <v>0</v>
      </c>
      <c r="Q183" s="775">
        <f t="shared" si="125"/>
        <v>0</v>
      </c>
      <c r="S183" s="773">
        <v>171</v>
      </c>
      <c r="T183" s="774">
        <f t="shared" si="126"/>
        <v>5174</v>
      </c>
      <c r="U183" s="775">
        <f t="shared" si="127"/>
        <v>0</v>
      </c>
      <c r="V183" s="775">
        <f t="shared" si="112"/>
        <v>0</v>
      </c>
      <c r="W183" s="775">
        <f t="shared" si="104"/>
        <v>0</v>
      </c>
      <c r="X183" s="775">
        <f t="shared" si="128"/>
        <v>0</v>
      </c>
      <c r="Y183" s="775">
        <f t="shared" si="129"/>
        <v>0</v>
      </c>
      <c r="AA183" s="773">
        <v>171</v>
      </c>
      <c r="AB183" s="774">
        <f t="shared" si="130"/>
        <v>5174</v>
      </c>
      <c r="AC183" s="775">
        <f t="shared" si="131"/>
        <v>0</v>
      </c>
      <c r="AD183" s="775">
        <f t="shared" si="113"/>
        <v>0</v>
      </c>
      <c r="AE183" s="775">
        <f t="shared" si="105"/>
        <v>0</v>
      </c>
      <c r="AF183" s="775">
        <f t="shared" si="132"/>
        <v>0</v>
      </c>
      <c r="AG183" s="775">
        <f t="shared" si="133"/>
        <v>0</v>
      </c>
      <c r="AI183" s="773">
        <v>171</v>
      </c>
      <c r="AJ183" s="774">
        <f t="shared" si="134"/>
        <v>5174</v>
      </c>
      <c r="AK183" s="775">
        <f t="shared" si="135"/>
        <v>0</v>
      </c>
      <c r="AL183" s="775">
        <f t="shared" si="114"/>
        <v>0</v>
      </c>
      <c r="AM183" s="775">
        <f t="shared" si="106"/>
        <v>0</v>
      </c>
      <c r="AN183" s="775">
        <f t="shared" si="136"/>
        <v>0</v>
      </c>
      <c r="AO183" s="775">
        <f t="shared" si="137"/>
        <v>0</v>
      </c>
      <c r="AQ183" s="773">
        <v>171</v>
      </c>
      <c r="AR183" s="774">
        <f t="shared" si="138"/>
        <v>5174</v>
      </c>
      <c r="AS183" s="775">
        <f t="shared" si="139"/>
        <v>0</v>
      </c>
      <c r="AT183" s="775">
        <f t="shared" si="115"/>
        <v>0</v>
      </c>
      <c r="AU183" s="775">
        <f t="shared" si="107"/>
        <v>0</v>
      </c>
      <c r="AV183" s="775">
        <f t="shared" si="140"/>
        <v>0</v>
      </c>
      <c r="AW183" s="775">
        <f t="shared" si="141"/>
        <v>0</v>
      </c>
      <c r="AY183" s="773">
        <v>171</v>
      </c>
      <c r="AZ183" s="774">
        <f t="shared" si="142"/>
        <v>5174</v>
      </c>
      <c r="BA183" s="775">
        <f t="shared" si="143"/>
        <v>0</v>
      </c>
      <c r="BB183" s="775">
        <f t="shared" si="116"/>
        <v>0</v>
      </c>
      <c r="BC183" s="775">
        <f t="shared" si="108"/>
        <v>0</v>
      </c>
      <c r="BD183" s="775">
        <f t="shared" si="144"/>
        <v>0</v>
      </c>
      <c r="BE183" s="775">
        <f t="shared" si="145"/>
        <v>0</v>
      </c>
      <c r="BG183" s="773">
        <v>171</v>
      </c>
      <c r="BH183" s="774">
        <f t="shared" si="146"/>
        <v>5174</v>
      </c>
      <c r="BI183" s="775">
        <f t="shared" si="147"/>
        <v>0</v>
      </c>
      <c r="BJ183" s="775">
        <f t="shared" si="117"/>
        <v>0</v>
      </c>
      <c r="BK183" s="775">
        <f t="shared" si="109"/>
        <v>0</v>
      </c>
      <c r="BL183" s="775">
        <f t="shared" si="148"/>
        <v>0</v>
      </c>
      <c r="BM183" s="775">
        <f t="shared" si="149"/>
        <v>0</v>
      </c>
    </row>
    <row r="184" spans="1:65">
      <c r="A184" s="11">
        <f t="shared" si="102"/>
        <v>1914</v>
      </c>
      <c r="B184" s="773">
        <v>172</v>
      </c>
      <c r="C184" s="774">
        <f t="shared" si="118"/>
        <v>5205</v>
      </c>
      <c r="D184" s="775">
        <f t="shared" si="119"/>
        <v>0</v>
      </c>
      <c r="E184" s="775">
        <f t="shared" si="110"/>
        <v>0</v>
      </c>
      <c r="F184" s="775">
        <f t="shared" si="100"/>
        <v>0</v>
      </c>
      <c r="G184" s="775">
        <f t="shared" si="120"/>
        <v>0</v>
      </c>
      <c r="H184" s="775">
        <f t="shared" si="121"/>
        <v>0</v>
      </c>
      <c r="I184" s="775">
        <f t="shared" si="101"/>
        <v>0</v>
      </c>
      <c r="K184" s="773">
        <v>172</v>
      </c>
      <c r="L184" s="774">
        <f t="shared" si="122"/>
        <v>5205</v>
      </c>
      <c r="M184" s="775">
        <f t="shared" si="123"/>
        <v>0</v>
      </c>
      <c r="N184" s="775">
        <f t="shared" si="111"/>
        <v>0</v>
      </c>
      <c r="O184" s="775">
        <f t="shared" si="103"/>
        <v>0</v>
      </c>
      <c r="P184" s="775">
        <f t="shared" si="124"/>
        <v>0</v>
      </c>
      <c r="Q184" s="775">
        <f t="shared" si="125"/>
        <v>0</v>
      </c>
      <c r="S184" s="773">
        <v>172</v>
      </c>
      <c r="T184" s="774">
        <f t="shared" si="126"/>
        <v>5205</v>
      </c>
      <c r="U184" s="775">
        <f t="shared" si="127"/>
        <v>0</v>
      </c>
      <c r="V184" s="775">
        <f t="shared" si="112"/>
        <v>0</v>
      </c>
      <c r="W184" s="775">
        <f t="shared" si="104"/>
        <v>0</v>
      </c>
      <c r="X184" s="775">
        <f t="shared" si="128"/>
        <v>0</v>
      </c>
      <c r="Y184" s="775">
        <f t="shared" si="129"/>
        <v>0</v>
      </c>
      <c r="AA184" s="773">
        <v>172</v>
      </c>
      <c r="AB184" s="774">
        <f t="shared" si="130"/>
        <v>5205</v>
      </c>
      <c r="AC184" s="775">
        <f t="shared" si="131"/>
        <v>0</v>
      </c>
      <c r="AD184" s="775">
        <f t="shared" si="113"/>
        <v>0</v>
      </c>
      <c r="AE184" s="775">
        <f t="shared" si="105"/>
        <v>0</v>
      </c>
      <c r="AF184" s="775">
        <f t="shared" si="132"/>
        <v>0</v>
      </c>
      <c r="AG184" s="775">
        <f t="shared" si="133"/>
        <v>0</v>
      </c>
      <c r="AI184" s="773">
        <v>172</v>
      </c>
      <c r="AJ184" s="774">
        <f t="shared" si="134"/>
        <v>5205</v>
      </c>
      <c r="AK184" s="775">
        <f t="shared" si="135"/>
        <v>0</v>
      </c>
      <c r="AL184" s="775">
        <f t="shared" si="114"/>
        <v>0</v>
      </c>
      <c r="AM184" s="775">
        <f t="shared" si="106"/>
        <v>0</v>
      </c>
      <c r="AN184" s="775">
        <f t="shared" si="136"/>
        <v>0</v>
      </c>
      <c r="AO184" s="775">
        <f t="shared" si="137"/>
        <v>0</v>
      </c>
      <c r="AQ184" s="773">
        <v>172</v>
      </c>
      <c r="AR184" s="774">
        <f t="shared" si="138"/>
        <v>5205</v>
      </c>
      <c r="AS184" s="775">
        <f t="shared" si="139"/>
        <v>0</v>
      </c>
      <c r="AT184" s="775">
        <f t="shared" si="115"/>
        <v>0</v>
      </c>
      <c r="AU184" s="775">
        <f t="shared" si="107"/>
        <v>0</v>
      </c>
      <c r="AV184" s="775">
        <f t="shared" si="140"/>
        <v>0</v>
      </c>
      <c r="AW184" s="775">
        <f t="shared" si="141"/>
        <v>0</v>
      </c>
      <c r="AY184" s="773">
        <v>172</v>
      </c>
      <c r="AZ184" s="774">
        <f t="shared" si="142"/>
        <v>5205</v>
      </c>
      <c r="BA184" s="775">
        <f t="shared" si="143"/>
        <v>0</v>
      </c>
      <c r="BB184" s="775">
        <f t="shared" si="116"/>
        <v>0</v>
      </c>
      <c r="BC184" s="775">
        <f t="shared" si="108"/>
        <v>0</v>
      </c>
      <c r="BD184" s="775">
        <f t="shared" si="144"/>
        <v>0</v>
      </c>
      <c r="BE184" s="775">
        <f t="shared" si="145"/>
        <v>0</v>
      </c>
      <c r="BG184" s="773">
        <v>172</v>
      </c>
      <c r="BH184" s="774">
        <f t="shared" si="146"/>
        <v>5205</v>
      </c>
      <c r="BI184" s="775">
        <f t="shared" si="147"/>
        <v>0</v>
      </c>
      <c r="BJ184" s="775">
        <f t="shared" si="117"/>
        <v>0</v>
      </c>
      <c r="BK184" s="775">
        <f t="shared" si="109"/>
        <v>0</v>
      </c>
      <c r="BL184" s="775">
        <f t="shared" si="148"/>
        <v>0</v>
      </c>
      <c r="BM184" s="775">
        <f t="shared" si="149"/>
        <v>0</v>
      </c>
    </row>
    <row r="185" spans="1:65">
      <c r="A185" s="11">
        <f t="shared" si="102"/>
        <v>1914</v>
      </c>
      <c r="B185" s="773">
        <v>173</v>
      </c>
      <c r="C185" s="774">
        <f t="shared" si="118"/>
        <v>5235</v>
      </c>
      <c r="D185" s="775">
        <f t="shared" si="119"/>
        <v>0</v>
      </c>
      <c r="E185" s="775">
        <f t="shared" si="110"/>
        <v>0</v>
      </c>
      <c r="F185" s="775">
        <f t="shared" si="100"/>
        <v>0</v>
      </c>
      <c r="G185" s="775">
        <f t="shared" si="120"/>
        <v>0</v>
      </c>
      <c r="H185" s="775">
        <f t="shared" si="121"/>
        <v>0</v>
      </c>
      <c r="I185" s="775">
        <f t="shared" si="101"/>
        <v>0</v>
      </c>
      <c r="K185" s="773">
        <v>173</v>
      </c>
      <c r="L185" s="774">
        <f t="shared" si="122"/>
        <v>5235</v>
      </c>
      <c r="M185" s="775">
        <f t="shared" si="123"/>
        <v>0</v>
      </c>
      <c r="N185" s="775">
        <f t="shared" si="111"/>
        <v>0</v>
      </c>
      <c r="O185" s="775">
        <f t="shared" si="103"/>
        <v>0</v>
      </c>
      <c r="P185" s="775">
        <f t="shared" si="124"/>
        <v>0</v>
      </c>
      <c r="Q185" s="775">
        <f t="shared" si="125"/>
        <v>0</v>
      </c>
      <c r="S185" s="773">
        <v>173</v>
      </c>
      <c r="T185" s="774">
        <f t="shared" si="126"/>
        <v>5235</v>
      </c>
      <c r="U185" s="775">
        <f t="shared" si="127"/>
        <v>0</v>
      </c>
      <c r="V185" s="775">
        <f t="shared" si="112"/>
        <v>0</v>
      </c>
      <c r="W185" s="775">
        <f t="shared" si="104"/>
        <v>0</v>
      </c>
      <c r="X185" s="775">
        <f t="shared" si="128"/>
        <v>0</v>
      </c>
      <c r="Y185" s="775">
        <f t="shared" si="129"/>
        <v>0</v>
      </c>
      <c r="AA185" s="773">
        <v>173</v>
      </c>
      <c r="AB185" s="774">
        <f t="shared" si="130"/>
        <v>5235</v>
      </c>
      <c r="AC185" s="775">
        <f t="shared" si="131"/>
        <v>0</v>
      </c>
      <c r="AD185" s="775">
        <f t="shared" si="113"/>
        <v>0</v>
      </c>
      <c r="AE185" s="775">
        <f t="shared" si="105"/>
        <v>0</v>
      </c>
      <c r="AF185" s="775">
        <f t="shared" si="132"/>
        <v>0</v>
      </c>
      <c r="AG185" s="775">
        <f t="shared" si="133"/>
        <v>0</v>
      </c>
      <c r="AI185" s="773">
        <v>173</v>
      </c>
      <c r="AJ185" s="774">
        <f t="shared" si="134"/>
        <v>5235</v>
      </c>
      <c r="AK185" s="775">
        <f t="shared" si="135"/>
        <v>0</v>
      </c>
      <c r="AL185" s="775">
        <f t="shared" si="114"/>
        <v>0</v>
      </c>
      <c r="AM185" s="775">
        <f t="shared" si="106"/>
        <v>0</v>
      </c>
      <c r="AN185" s="775">
        <f t="shared" si="136"/>
        <v>0</v>
      </c>
      <c r="AO185" s="775">
        <f t="shared" si="137"/>
        <v>0</v>
      </c>
      <c r="AQ185" s="773">
        <v>173</v>
      </c>
      <c r="AR185" s="774">
        <f t="shared" si="138"/>
        <v>5235</v>
      </c>
      <c r="AS185" s="775">
        <f t="shared" si="139"/>
        <v>0</v>
      </c>
      <c r="AT185" s="775">
        <f t="shared" si="115"/>
        <v>0</v>
      </c>
      <c r="AU185" s="775">
        <f t="shared" si="107"/>
        <v>0</v>
      </c>
      <c r="AV185" s="775">
        <f t="shared" si="140"/>
        <v>0</v>
      </c>
      <c r="AW185" s="775">
        <f t="shared" si="141"/>
        <v>0</v>
      </c>
      <c r="AY185" s="773">
        <v>173</v>
      </c>
      <c r="AZ185" s="774">
        <f t="shared" si="142"/>
        <v>5235</v>
      </c>
      <c r="BA185" s="775">
        <f t="shared" si="143"/>
        <v>0</v>
      </c>
      <c r="BB185" s="775">
        <f t="shared" si="116"/>
        <v>0</v>
      </c>
      <c r="BC185" s="775">
        <f t="shared" si="108"/>
        <v>0</v>
      </c>
      <c r="BD185" s="775">
        <f t="shared" si="144"/>
        <v>0</v>
      </c>
      <c r="BE185" s="775">
        <f t="shared" si="145"/>
        <v>0</v>
      </c>
      <c r="BG185" s="773">
        <v>173</v>
      </c>
      <c r="BH185" s="774">
        <f t="shared" si="146"/>
        <v>5235</v>
      </c>
      <c r="BI185" s="775">
        <f t="shared" si="147"/>
        <v>0</v>
      </c>
      <c r="BJ185" s="775">
        <f t="shared" si="117"/>
        <v>0</v>
      </c>
      <c r="BK185" s="775">
        <f t="shared" si="109"/>
        <v>0</v>
      </c>
      <c r="BL185" s="775">
        <f t="shared" si="148"/>
        <v>0</v>
      </c>
      <c r="BM185" s="775">
        <f t="shared" si="149"/>
        <v>0</v>
      </c>
    </row>
    <row r="186" spans="1:65">
      <c r="A186" s="11">
        <f t="shared" si="102"/>
        <v>1914</v>
      </c>
      <c r="B186" s="773">
        <v>174</v>
      </c>
      <c r="C186" s="774">
        <f t="shared" si="118"/>
        <v>5266</v>
      </c>
      <c r="D186" s="775">
        <f t="shared" si="119"/>
        <v>0</v>
      </c>
      <c r="E186" s="775">
        <f t="shared" si="110"/>
        <v>0</v>
      </c>
      <c r="F186" s="775">
        <f t="shared" si="100"/>
        <v>0</v>
      </c>
      <c r="G186" s="775">
        <f t="shared" si="120"/>
        <v>0</v>
      </c>
      <c r="H186" s="775">
        <f t="shared" si="121"/>
        <v>0</v>
      </c>
      <c r="I186" s="775">
        <f t="shared" si="101"/>
        <v>0</v>
      </c>
      <c r="K186" s="773">
        <v>174</v>
      </c>
      <c r="L186" s="774">
        <f t="shared" si="122"/>
        <v>5266</v>
      </c>
      <c r="M186" s="775">
        <f t="shared" si="123"/>
        <v>0</v>
      </c>
      <c r="N186" s="775">
        <f t="shared" si="111"/>
        <v>0</v>
      </c>
      <c r="O186" s="775">
        <f t="shared" si="103"/>
        <v>0</v>
      </c>
      <c r="P186" s="775">
        <f t="shared" si="124"/>
        <v>0</v>
      </c>
      <c r="Q186" s="775">
        <f t="shared" si="125"/>
        <v>0</v>
      </c>
      <c r="S186" s="773">
        <v>174</v>
      </c>
      <c r="T186" s="774">
        <f t="shared" si="126"/>
        <v>5266</v>
      </c>
      <c r="U186" s="775">
        <f t="shared" si="127"/>
        <v>0</v>
      </c>
      <c r="V186" s="775">
        <f t="shared" si="112"/>
        <v>0</v>
      </c>
      <c r="W186" s="775">
        <f t="shared" si="104"/>
        <v>0</v>
      </c>
      <c r="X186" s="775">
        <f t="shared" si="128"/>
        <v>0</v>
      </c>
      <c r="Y186" s="775">
        <f t="shared" si="129"/>
        <v>0</v>
      </c>
      <c r="AA186" s="773">
        <v>174</v>
      </c>
      <c r="AB186" s="774">
        <f t="shared" si="130"/>
        <v>5266</v>
      </c>
      <c r="AC186" s="775">
        <f t="shared" si="131"/>
        <v>0</v>
      </c>
      <c r="AD186" s="775">
        <f t="shared" si="113"/>
        <v>0</v>
      </c>
      <c r="AE186" s="775">
        <f t="shared" si="105"/>
        <v>0</v>
      </c>
      <c r="AF186" s="775">
        <f t="shared" si="132"/>
        <v>0</v>
      </c>
      <c r="AG186" s="775">
        <f t="shared" si="133"/>
        <v>0</v>
      </c>
      <c r="AI186" s="773">
        <v>174</v>
      </c>
      <c r="AJ186" s="774">
        <f t="shared" si="134"/>
        <v>5266</v>
      </c>
      <c r="AK186" s="775">
        <f t="shared" si="135"/>
        <v>0</v>
      </c>
      <c r="AL186" s="775">
        <f t="shared" si="114"/>
        <v>0</v>
      </c>
      <c r="AM186" s="775">
        <f t="shared" si="106"/>
        <v>0</v>
      </c>
      <c r="AN186" s="775">
        <f t="shared" si="136"/>
        <v>0</v>
      </c>
      <c r="AO186" s="775">
        <f t="shared" si="137"/>
        <v>0</v>
      </c>
      <c r="AQ186" s="773">
        <v>174</v>
      </c>
      <c r="AR186" s="774">
        <f t="shared" si="138"/>
        <v>5266</v>
      </c>
      <c r="AS186" s="775">
        <f t="shared" si="139"/>
        <v>0</v>
      </c>
      <c r="AT186" s="775">
        <f t="shared" si="115"/>
        <v>0</v>
      </c>
      <c r="AU186" s="775">
        <f t="shared" si="107"/>
        <v>0</v>
      </c>
      <c r="AV186" s="775">
        <f t="shared" si="140"/>
        <v>0</v>
      </c>
      <c r="AW186" s="775">
        <f t="shared" si="141"/>
        <v>0</v>
      </c>
      <c r="AY186" s="773">
        <v>174</v>
      </c>
      <c r="AZ186" s="774">
        <f t="shared" si="142"/>
        <v>5266</v>
      </c>
      <c r="BA186" s="775">
        <f t="shared" si="143"/>
        <v>0</v>
      </c>
      <c r="BB186" s="775">
        <f t="shared" si="116"/>
        <v>0</v>
      </c>
      <c r="BC186" s="775">
        <f t="shared" si="108"/>
        <v>0</v>
      </c>
      <c r="BD186" s="775">
        <f t="shared" si="144"/>
        <v>0</v>
      </c>
      <c r="BE186" s="775">
        <f t="shared" si="145"/>
        <v>0</v>
      </c>
      <c r="BG186" s="773">
        <v>174</v>
      </c>
      <c r="BH186" s="774">
        <f t="shared" si="146"/>
        <v>5266</v>
      </c>
      <c r="BI186" s="775">
        <f t="shared" si="147"/>
        <v>0</v>
      </c>
      <c r="BJ186" s="775">
        <f t="shared" si="117"/>
        <v>0</v>
      </c>
      <c r="BK186" s="775">
        <f t="shared" si="109"/>
        <v>0</v>
      </c>
      <c r="BL186" s="775">
        <f t="shared" si="148"/>
        <v>0</v>
      </c>
      <c r="BM186" s="775">
        <f t="shared" si="149"/>
        <v>0</v>
      </c>
    </row>
    <row r="187" spans="1:65">
      <c r="A187" s="11">
        <f t="shared" si="102"/>
        <v>1914</v>
      </c>
      <c r="B187" s="773">
        <v>175</v>
      </c>
      <c r="C187" s="774">
        <f t="shared" si="118"/>
        <v>5296</v>
      </c>
      <c r="D187" s="775">
        <f t="shared" si="119"/>
        <v>0</v>
      </c>
      <c r="E187" s="775">
        <f t="shared" si="110"/>
        <v>0</v>
      </c>
      <c r="F187" s="775">
        <f t="shared" si="100"/>
        <v>0</v>
      </c>
      <c r="G187" s="775">
        <f t="shared" si="120"/>
        <v>0</v>
      </c>
      <c r="H187" s="775">
        <f t="shared" si="121"/>
        <v>0</v>
      </c>
      <c r="I187" s="775">
        <f t="shared" si="101"/>
        <v>0</v>
      </c>
      <c r="K187" s="773">
        <v>175</v>
      </c>
      <c r="L187" s="774">
        <f t="shared" si="122"/>
        <v>5296</v>
      </c>
      <c r="M187" s="775">
        <f t="shared" si="123"/>
        <v>0</v>
      </c>
      <c r="N187" s="775">
        <f t="shared" si="111"/>
        <v>0</v>
      </c>
      <c r="O187" s="775">
        <f t="shared" si="103"/>
        <v>0</v>
      </c>
      <c r="P187" s="775">
        <f t="shared" si="124"/>
        <v>0</v>
      </c>
      <c r="Q187" s="775">
        <f t="shared" si="125"/>
        <v>0</v>
      </c>
      <c r="S187" s="773">
        <v>175</v>
      </c>
      <c r="T187" s="774">
        <f t="shared" si="126"/>
        <v>5296</v>
      </c>
      <c r="U187" s="775">
        <f t="shared" si="127"/>
        <v>0</v>
      </c>
      <c r="V187" s="775">
        <f t="shared" si="112"/>
        <v>0</v>
      </c>
      <c r="W187" s="775">
        <f t="shared" si="104"/>
        <v>0</v>
      </c>
      <c r="X187" s="775">
        <f t="shared" si="128"/>
        <v>0</v>
      </c>
      <c r="Y187" s="775">
        <f t="shared" si="129"/>
        <v>0</v>
      </c>
      <c r="AA187" s="773">
        <v>175</v>
      </c>
      <c r="AB187" s="774">
        <f t="shared" si="130"/>
        <v>5296</v>
      </c>
      <c r="AC187" s="775">
        <f t="shared" si="131"/>
        <v>0</v>
      </c>
      <c r="AD187" s="775">
        <f t="shared" si="113"/>
        <v>0</v>
      </c>
      <c r="AE187" s="775">
        <f t="shared" si="105"/>
        <v>0</v>
      </c>
      <c r="AF187" s="775">
        <f t="shared" si="132"/>
        <v>0</v>
      </c>
      <c r="AG187" s="775">
        <f t="shared" si="133"/>
        <v>0</v>
      </c>
      <c r="AI187" s="773">
        <v>175</v>
      </c>
      <c r="AJ187" s="774">
        <f t="shared" si="134"/>
        <v>5296</v>
      </c>
      <c r="AK187" s="775">
        <f t="shared" si="135"/>
        <v>0</v>
      </c>
      <c r="AL187" s="775">
        <f t="shared" si="114"/>
        <v>0</v>
      </c>
      <c r="AM187" s="775">
        <f t="shared" si="106"/>
        <v>0</v>
      </c>
      <c r="AN187" s="775">
        <f t="shared" si="136"/>
        <v>0</v>
      </c>
      <c r="AO187" s="775">
        <f t="shared" si="137"/>
        <v>0</v>
      </c>
      <c r="AQ187" s="773">
        <v>175</v>
      </c>
      <c r="AR187" s="774">
        <f t="shared" si="138"/>
        <v>5296</v>
      </c>
      <c r="AS187" s="775">
        <f t="shared" si="139"/>
        <v>0</v>
      </c>
      <c r="AT187" s="775">
        <f t="shared" si="115"/>
        <v>0</v>
      </c>
      <c r="AU187" s="775">
        <f t="shared" si="107"/>
        <v>0</v>
      </c>
      <c r="AV187" s="775">
        <f t="shared" si="140"/>
        <v>0</v>
      </c>
      <c r="AW187" s="775">
        <f t="shared" si="141"/>
        <v>0</v>
      </c>
      <c r="AY187" s="773">
        <v>175</v>
      </c>
      <c r="AZ187" s="774">
        <f t="shared" si="142"/>
        <v>5296</v>
      </c>
      <c r="BA187" s="775">
        <f t="shared" si="143"/>
        <v>0</v>
      </c>
      <c r="BB187" s="775">
        <f t="shared" si="116"/>
        <v>0</v>
      </c>
      <c r="BC187" s="775">
        <f t="shared" si="108"/>
        <v>0</v>
      </c>
      <c r="BD187" s="775">
        <f t="shared" si="144"/>
        <v>0</v>
      </c>
      <c r="BE187" s="775">
        <f t="shared" si="145"/>
        <v>0</v>
      </c>
      <c r="BG187" s="773">
        <v>175</v>
      </c>
      <c r="BH187" s="774">
        <f t="shared" si="146"/>
        <v>5296</v>
      </c>
      <c r="BI187" s="775">
        <f t="shared" si="147"/>
        <v>0</v>
      </c>
      <c r="BJ187" s="775">
        <f t="shared" si="117"/>
        <v>0</v>
      </c>
      <c r="BK187" s="775">
        <f t="shared" si="109"/>
        <v>0</v>
      </c>
      <c r="BL187" s="775">
        <f t="shared" si="148"/>
        <v>0</v>
      </c>
      <c r="BM187" s="775">
        <f t="shared" si="149"/>
        <v>0</v>
      </c>
    </row>
    <row r="188" spans="1:65">
      <c r="A188" s="11">
        <f t="shared" si="102"/>
        <v>1914</v>
      </c>
      <c r="B188" s="773">
        <v>176</v>
      </c>
      <c r="C188" s="774">
        <f t="shared" si="118"/>
        <v>5327</v>
      </c>
      <c r="D188" s="775">
        <f t="shared" si="119"/>
        <v>0</v>
      </c>
      <c r="E188" s="775">
        <f t="shared" si="110"/>
        <v>0</v>
      </c>
      <c r="F188" s="775">
        <f t="shared" si="100"/>
        <v>0</v>
      </c>
      <c r="G188" s="775">
        <f t="shared" si="120"/>
        <v>0</v>
      </c>
      <c r="H188" s="775">
        <f t="shared" si="121"/>
        <v>0</v>
      </c>
      <c r="I188" s="775">
        <f t="shared" si="101"/>
        <v>0</v>
      </c>
      <c r="K188" s="773">
        <v>176</v>
      </c>
      <c r="L188" s="774">
        <f t="shared" si="122"/>
        <v>5327</v>
      </c>
      <c r="M188" s="775">
        <f t="shared" si="123"/>
        <v>0</v>
      </c>
      <c r="N188" s="775">
        <f t="shared" si="111"/>
        <v>0</v>
      </c>
      <c r="O188" s="775">
        <f t="shared" si="103"/>
        <v>0</v>
      </c>
      <c r="P188" s="775">
        <f t="shared" si="124"/>
        <v>0</v>
      </c>
      <c r="Q188" s="775">
        <f t="shared" si="125"/>
        <v>0</v>
      </c>
      <c r="S188" s="773">
        <v>176</v>
      </c>
      <c r="T188" s="774">
        <f t="shared" si="126"/>
        <v>5327</v>
      </c>
      <c r="U188" s="775">
        <f t="shared" si="127"/>
        <v>0</v>
      </c>
      <c r="V188" s="775">
        <f t="shared" si="112"/>
        <v>0</v>
      </c>
      <c r="W188" s="775">
        <f t="shared" si="104"/>
        <v>0</v>
      </c>
      <c r="X188" s="775">
        <f t="shared" si="128"/>
        <v>0</v>
      </c>
      <c r="Y188" s="775">
        <f t="shared" si="129"/>
        <v>0</v>
      </c>
      <c r="AA188" s="773">
        <v>176</v>
      </c>
      <c r="AB188" s="774">
        <f t="shared" si="130"/>
        <v>5327</v>
      </c>
      <c r="AC188" s="775">
        <f t="shared" si="131"/>
        <v>0</v>
      </c>
      <c r="AD188" s="775">
        <f t="shared" si="113"/>
        <v>0</v>
      </c>
      <c r="AE188" s="775">
        <f t="shared" si="105"/>
        <v>0</v>
      </c>
      <c r="AF188" s="775">
        <f t="shared" si="132"/>
        <v>0</v>
      </c>
      <c r="AG188" s="775">
        <f t="shared" si="133"/>
        <v>0</v>
      </c>
      <c r="AI188" s="773">
        <v>176</v>
      </c>
      <c r="AJ188" s="774">
        <f t="shared" si="134"/>
        <v>5327</v>
      </c>
      <c r="AK188" s="775">
        <f t="shared" si="135"/>
        <v>0</v>
      </c>
      <c r="AL188" s="775">
        <f t="shared" si="114"/>
        <v>0</v>
      </c>
      <c r="AM188" s="775">
        <f t="shared" si="106"/>
        <v>0</v>
      </c>
      <c r="AN188" s="775">
        <f t="shared" si="136"/>
        <v>0</v>
      </c>
      <c r="AO188" s="775">
        <f t="shared" si="137"/>
        <v>0</v>
      </c>
      <c r="AQ188" s="773">
        <v>176</v>
      </c>
      <c r="AR188" s="774">
        <f t="shared" si="138"/>
        <v>5327</v>
      </c>
      <c r="AS188" s="775">
        <f t="shared" si="139"/>
        <v>0</v>
      </c>
      <c r="AT188" s="775">
        <f t="shared" si="115"/>
        <v>0</v>
      </c>
      <c r="AU188" s="775">
        <f t="shared" si="107"/>
        <v>0</v>
      </c>
      <c r="AV188" s="775">
        <f t="shared" si="140"/>
        <v>0</v>
      </c>
      <c r="AW188" s="775">
        <f t="shared" si="141"/>
        <v>0</v>
      </c>
      <c r="AY188" s="773">
        <v>176</v>
      </c>
      <c r="AZ188" s="774">
        <f t="shared" si="142"/>
        <v>5327</v>
      </c>
      <c r="BA188" s="775">
        <f t="shared" si="143"/>
        <v>0</v>
      </c>
      <c r="BB188" s="775">
        <f t="shared" si="116"/>
        <v>0</v>
      </c>
      <c r="BC188" s="775">
        <f t="shared" si="108"/>
        <v>0</v>
      </c>
      <c r="BD188" s="775">
        <f t="shared" si="144"/>
        <v>0</v>
      </c>
      <c r="BE188" s="775">
        <f t="shared" si="145"/>
        <v>0</v>
      </c>
      <c r="BG188" s="773">
        <v>176</v>
      </c>
      <c r="BH188" s="774">
        <f t="shared" si="146"/>
        <v>5327</v>
      </c>
      <c r="BI188" s="775">
        <f t="shared" si="147"/>
        <v>0</v>
      </c>
      <c r="BJ188" s="775">
        <f t="shared" si="117"/>
        <v>0</v>
      </c>
      <c r="BK188" s="775">
        <f t="shared" si="109"/>
        <v>0</v>
      </c>
      <c r="BL188" s="775">
        <f t="shared" si="148"/>
        <v>0</v>
      </c>
      <c r="BM188" s="775">
        <f t="shared" si="149"/>
        <v>0</v>
      </c>
    </row>
    <row r="189" spans="1:65">
      <c r="A189" s="11">
        <f t="shared" si="102"/>
        <v>1914</v>
      </c>
      <c r="B189" s="773">
        <v>177</v>
      </c>
      <c r="C189" s="774">
        <f t="shared" si="118"/>
        <v>5358</v>
      </c>
      <c r="D189" s="775">
        <f t="shared" si="119"/>
        <v>0</v>
      </c>
      <c r="E189" s="775">
        <f t="shared" si="110"/>
        <v>0</v>
      </c>
      <c r="F189" s="775">
        <f t="shared" si="100"/>
        <v>0</v>
      </c>
      <c r="G189" s="775">
        <f t="shared" si="120"/>
        <v>0</v>
      </c>
      <c r="H189" s="775">
        <f t="shared" si="121"/>
        <v>0</v>
      </c>
      <c r="I189" s="775">
        <f t="shared" si="101"/>
        <v>0</v>
      </c>
      <c r="K189" s="773">
        <v>177</v>
      </c>
      <c r="L189" s="774">
        <f t="shared" si="122"/>
        <v>5358</v>
      </c>
      <c r="M189" s="775">
        <f t="shared" si="123"/>
        <v>0</v>
      </c>
      <c r="N189" s="775">
        <f t="shared" si="111"/>
        <v>0</v>
      </c>
      <c r="O189" s="775">
        <f t="shared" si="103"/>
        <v>0</v>
      </c>
      <c r="P189" s="775">
        <f t="shared" si="124"/>
        <v>0</v>
      </c>
      <c r="Q189" s="775">
        <f t="shared" si="125"/>
        <v>0</v>
      </c>
      <c r="S189" s="773">
        <v>177</v>
      </c>
      <c r="T189" s="774">
        <f t="shared" si="126"/>
        <v>5358</v>
      </c>
      <c r="U189" s="775">
        <f t="shared" si="127"/>
        <v>0</v>
      </c>
      <c r="V189" s="775">
        <f t="shared" si="112"/>
        <v>0</v>
      </c>
      <c r="W189" s="775">
        <f t="shared" si="104"/>
        <v>0</v>
      </c>
      <c r="X189" s="775">
        <f t="shared" si="128"/>
        <v>0</v>
      </c>
      <c r="Y189" s="775">
        <f t="shared" si="129"/>
        <v>0</v>
      </c>
      <c r="AA189" s="773">
        <v>177</v>
      </c>
      <c r="AB189" s="774">
        <f t="shared" si="130"/>
        <v>5358</v>
      </c>
      <c r="AC189" s="775">
        <f t="shared" si="131"/>
        <v>0</v>
      </c>
      <c r="AD189" s="775">
        <f t="shared" si="113"/>
        <v>0</v>
      </c>
      <c r="AE189" s="775">
        <f t="shared" si="105"/>
        <v>0</v>
      </c>
      <c r="AF189" s="775">
        <f t="shared" si="132"/>
        <v>0</v>
      </c>
      <c r="AG189" s="775">
        <f t="shared" si="133"/>
        <v>0</v>
      </c>
      <c r="AI189" s="773">
        <v>177</v>
      </c>
      <c r="AJ189" s="774">
        <f t="shared" si="134"/>
        <v>5358</v>
      </c>
      <c r="AK189" s="775">
        <f t="shared" si="135"/>
        <v>0</v>
      </c>
      <c r="AL189" s="775">
        <f t="shared" si="114"/>
        <v>0</v>
      </c>
      <c r="AM189" s="775">
        <f t="shared" si="106"/>
        <v>0</v>
      </c>
      <c r="AN189" s="775">
        <f t="shared" si="136"/>
        <v>0</v>
      </c>
      <c r="AO189" s="775">
        <f t="shared" si="137"/>
        <v>0</v>
      </c>
      <c r="AQ189" s="773">
        <v>177</v>
      </c>
      <c r="AR189" s="774">
        <f t="shared" si="138"/>
        <v>5358</v>
      </c>
      <c r="AS189" s="775">
        <f t="shared" si="139"/>
        <v>0</v>
      </c>
      <c r="AT189" s="775">
        <f t="shared" si="115"/>
        <v>0</v>
      </c>
      <c r="AU189" s="775">
        <f t="shared" si="107"/>
        <v>0</v>
      </c>
      <c r="AV189" s="775">
        <f t="shared" si="140"/>
        <v>0</v>
      </c>
      <c r="AW189" s="775">
        <f t="shared" si="141"/>
        <v>0</v>
      </c>
      <c r="AY189" s="773">
        <v>177</v>
      </c>
      <c r="AZ189" s="774">
        <f t="shared" si="142"/>
        <v>5358</v>
      </c>
      <c r="BA189" s="775">
        <f t="shared" si="143"/>
        <v>0</v>
      </c>
      <c r="BB189" s="775">
        <f t="shared" si="116"/>
        <v>0</v>
      </c>
      <c r="BC189" s="775">
        <f t="shared" si="108"/>
        <v>0</v>
      </c>
      <c r="BD189" s="775">
        <f t="shared" si="144"/>
        <v>0</v>
      </c>
      <c r="BE189" s="775">
        <f t="shared" si="145"/>
        <v>0</v>
      </c>
      <c r="BG189" s="773">
        <v>177</v>
      </c>
      <c r="BH189" s="774">
        <f t="shared" si="146"/>
        <v>5358</v>
      </c>
      <c r="BI189" s="775">
        <f t="shared" si="147"/>
        <v>0</v>
      </c>
      <c r="BJ189" s="775">
        <f t="shared" si="117"/>
        <v>0</v>
      </c>
      <c r="BK189" s="775">
        <f t="shared" si="109"/>
        <v>0</v>
      </c>
      <c r="BL189" s="775">
        <f t="shared" si="148"/>
        <v>0</v>
      </c>
      <c r="BM189" s="775">
        <f t="shared" si="149"/>
        <v>0</v>
      </c>
    </row>
    <row r="190" spans="1:65">
      <c r="A190" s="11">
        <f t="shared" si="102"/>
        <v>1914</v>
      </c>
      <c r="B190" s="773">
        <v>178</v>
      </c>
      <c r="C190" s="774">
        <f t="shared" si="118"/>
        <v>5388</v>
      </c>
      <c r="D190" s="775">
        <f t="shared" si="119"/>
        <v>0</v>
      </c>
      <c r="E190" s="775">
        <f t="shared" si="110"/>
        <v>0</v>
      </c>
      <c r="F190" s="775">
        <f t="shared" si="100"/>
        <v>0</v>
      </c>
      <c r="G190" s="775">
        <f t="shared" si="120"/>
        <v>0</v>
      </c>
      <c r="H190" s="775">
        <f t="shared" si="121"/>
        <v>0</v>
      </c>
      <c r="I190" s="775">
        <f t="shared" si="101"/>
        <v>0</v>
      </c>
      <c r="K190" s="773">
        <v>178</v>
      </c>
      <c r="L190" s="774">
        <f t="shared" si="122"/>
        <v>5388</v>
      </c>
      <c r="M190" s="775">
        <f t="shared" si="123"/>
        <v>0</v>
      </c>
      <c r="N190" s="775">
        <f t="shared" si="111"/>
        <v>0</v>
      </c>
      <c r="O190" s="775">
        <f t="shared" si="103"/>
        <v>0</v>
      </c>
      <c r="P190" s="775">
        <f t="shared" si="124"/>
        <v>0</v>
      </c>
      <c r="Q190" s="775">
        <f t="shared" si="125"/>
        <v>0</v>
      </c>
      <c r="S190" s="773">
        <v>178</v>
      </c>
      <c r="T190" s="774">
        <f t="shared" si="126"/>
        <v>5388</v>
      </c>
      <c r="U190" s="775">
        <f t="shared" si="127"/>
        <v>0</v>
      </c>
      <c r="V190" s="775">
        <f t="shared" si="112"/>
        <v>0</v>
      </c>
      <c r="W190" s="775">
        <f t="shared" si="104"/>
        <v>0</v>
      </c>
      <c r="X190" s="775">
        <f t="shared" si="128"/>
        <v>0</v>
      </c>
      <c r="Y190" s="775">
        <f t="shared" si="129"/>
        <v>0</v>
      </c>
      <c r="AA190" s="773">
        <v>178</v>
      </c>
      <c r="AB190" s="774">
        <f t="shared" si="130"/>
        <v>5388</v>
      </c>
      <c r="AC190" s="775">
        <f t="shared" si="131"/>
        <v>0</v>
      </c>
      <c r="AD190" s="775">
        <f t="shared" si="113"/>
        <v>0</v>
      </c>
      <c r="AE190" s="775">
        <f t="shared" si="105"/>
        <v>0</v>
      </c>
      <c r="AF190" s="775">
        <f t="shared" si="132"/>
        <v>0</v>
      </c>
      <c r="AG190" s="775">
        <f t="shared" si="133"/>
        <v>0</v>
      </c>
      <c r="AI190" s="773">
        <v>178</v>
      </c>
      <c r="AJ190" s="774">
        <f t="shared" si="134"/>
        <v>5388</v>
      </c>
      <c r="AK190" s="775">
        <f t="shared" si="135"/>
        <v>0</v>
      </c>
      <c r="AL190" s="775">
        <f t="shared" si="114"/>
        <v>0</v>
      </c>
      <c r="AM190" s="775">
        <f t="shared" si="106"/>
        <v>0</v>
      </c>
      <c r="AN190" s="775">
        <f t="shared" si="136"/>
        <v>0</v>
      </c>
      <c r="AO190" s="775">
        <f t="shared" si="137"/>
        <v>0</v>
      </c>
      <c r="AQ190" s="773">
        <v>178</v>
      </c>
      <c r="AR190" s="774">
        <f t="shared" si="138"/>
        <v>5388</v>
      </c>
      <c r="AS190" s="775">
        <f t="shared" si="139"/>
        <v>0</v>
      </c>
      <c r="AT190" s="775">
        <f t="shared" si="115"/>
        <v>0</v>
      </c>
      <c r="AU190" s="775">
        <f t="shared" si="107"/>
        <v>0</v>
      </c>
      <c r="AV190" s="775">
        <f t="shared" si="140"/>
        <v>0</v>
      </c>
      <c r="AW190" s="775">
        <f t="shared" si="141"/>
        <v>0</v>
      </c>
      <c r="AY190" s="773">
        <v>178</v>
      </c>
      <c r="AZ190" s="774">
        <f t="shared" si="142"/>
        <v>5388</v>
      </c>
      <c r="BA190" s="775">
        <f t="shared" si="143"/>
        <v>0</v>
      </c>
      <c r="BB190" s="775">
        <f t="shared" si="116"/>
        <v>0</v>
      </c>
      <c r="BC190" s="775">
        <f t="shared" si="108"/>
        <v>0</v>
      </c>
      <c r="BD190" s="775">
        <f t="shared" si="144"/>
        <v>0</v>
      </c>
      <c r="BE190" s="775">
        <f t="shared" si="145"/>
        <v>0</v>
      </c>
      <c r="BG190" s="773">
        <v>178</v>
      </c>
      <c r="BH190" s="774">
        <f t="shared" si="146"/>
        <v>5388</v>
      </c>
      <c r="BI190" s="775">
        <f t="shared" si="147"/>
        <v>0</v>
      </c>
      <c r="BJ190" s="775">
        <f t="shared" si="117"/>
        <v>0</v>
      </c>
      <c r="BK190" s="775">
        <f t="shared" si="109"/>
        <v>0</v>
      </c>
      <c r="BL190" s="775">
        <f t="shared" si="148"/>
        <v>0</v>
      </c>
      <c r="BM190" s="775">
        <f t="shared" si="149"/>
        <v>0</v>
      </c>
    </row>
    <row r="191" spans="1:65">
      <c r="A191" s="11">
        <f t="shared" si="102"/>
        <v>1914</v>
      </c>
      <c r="B191" s="773">
        <v>179</v>
      </c>
      <c r="C191" s="774">
        <f t="shared" si="118"/>
        <v>5419</v>
      </c>
      <c r="D191" s="775">
        <f t="shared" si="119"/>
        <v>0</v>
      </c>
      <c r="E191" s="775">
        <f t="shared" si="110"/>
        <v>0</v>
      </c>
      <c r="F191" s="775">
        <f t="shared" si="100"/>
        <v>0</v>
      </c>
      <c r="G191" s="775">
        <f t="shared" si="120"/>
        <v>0</v>
      </c>
      <c r="H191" s="775">
        <f t="shared" si="121"/>
        <v>0</v>
      </c>
      <c r="I191" s="775">
        <f t="shared" si="101"/>
        <v>0</v>
      </c>
      <c r="K191" s="773">
        <v>179</v>
      </c>
      <c r="L191" s="774">
        <f t="shared" si="122"/>
        <v>5419</v>
      </c>
      <c r="M191" s="775">
        <f t="shared" si="123"/>
        <v>0</v>
      </c>
      <c r="N191" s="775">
        <f t="shared" si="111"/>
        <v>0</v>
      </c>
      <c r="O191" s="775">
        <f t="shared" si="103"/>
        <v>0</v>
      </c>
      <c r="P191" s="775">
        <f t="shared" si="124"/>
        <v>0</v>
      </c>
      <c r="Q191" s="775">
        <f t="shared" si="125"/>
        <v>0</v>
      </c>
      <c r="S191" s="773">
        <v>179</v>
      </c>
      <c r="T191" s="774">
        <f t="shared" si="126"/>
        <v>5419</v>
      </c>
      <c r="U191" s="775">
        <f t="shared" si="127"/>
        <v>0</v>
      </c>
      <c r="V191" s="775">
        <f t="shared" si="112"/>
        <v>0</v>
      </c>
      <c r="W191" s="775">
        <f t="shared" si="104"/>
        <v>0</v>
      </c>
      <c r="X191" s="775">
        <f t="shared" si="128"/>
        <v>0</v>
      </c>
      <c r="Y191" s="775">
        <f t="shared" si="129"/>
        <v>0</v>
      </c>
      <c r="AA191" s="773">
        <v>179</v>
      </c>
      <c r="AB191" s="774">
        <f t="shared" si="130"/>
        <v>5419</v>
      </c>
      <c r="AC191" s="775">
        <f t="shared" si="131"/>
        <v>0</v>
      </c>
      <c r="AD191" s="775">
        <f t="shared" si="113"/>
        <v>0</v>
      </c>
      <c r="AE191" s="775">
        <f t="shared" si="105"/>
        <v>0</v>
      </c>
      <c r="AF191" s="775">
        <f t="shared" si="132"/>
        <v>0</v>
      </c>
      <c r="AG191" s="775">
        <f t="shared" si="133"/>
        <v>0</v>
      </c>
      <c r="AI191" s="773">
        <v>179</v>
      </c>
      <c r="AJ191" s="774">
        <f t="shared" si="134"/>
        <v>5419</v>
      </c>
      <c r="AK191" s="775">
        <f t="shared" si="135"/>
        <v>0</v>
      </c>
      <c r="AL191" s="775">
        <f t="shared" si="114"/>
        <v>0</v>
      </c>
      <c r="AM191" s="775">
        <f t="shared" si="106"/>
        <v>0</v>
      </c>
      <c r="AN191" s="775">
        <f t="shared" si="136"/>
        <v>0</v>
      </c>
      <c r="AO191" s="775">
        <f t="shared" si="137"/>
        <v>0</v>
      </c>
      <c r="AQ191" s="773">
        <v>179</v>
      </c>
      <c r="AR191" s="774">
        <f t="shared" si="138"/>
        <v>5419</v>
      </c>
      <c r="AS191" s="775">
        <f t="shared" si="139"/>
        <v>0</v>
      </c>
      <c r="AT191" s="775">
        <f t="shared" si="115"/>
        <v>0</v>
      </c>
      <c r="AU191" s="775">
        <f t="shared" si="107"/>
        <v>0</v>
      </c>
      <c r="AV191" s="775">
        <f t="shared" si="140"/>
        <v>0</v>
      </c>
      <c r="AW191" s="775">
        <f t="shared" si="141"/>
        <v>0</v>
      </c>
      <c r="AY191" s="773">
        <v>179</v>
      </c>
      <c r="AZ191" s="774">
        <f t="shared" si="142"/>
        <v>5419</v>
      </c>
      <c r="BA191" s="775">
        <f t="shared" si="143"/>
        <v>0</v>
      </c>
      <c r="BB191" s="775">
        <f t="shared" si="116"/>
        <v>0</v>
      </c>
      <c r="BC191" s="775">
        <f t="shared" si="108"/>
        <v>0</v>
      </c>
      <c r="BD191" s="775">
        <f t="shared" si="144"/>
        <v>0</v>
      </c>
      <c r="BE191" s="775">
        <f t="shared" si="145"/>
        <v>0</v>
      </c>
      <c r="BG191" s="773">
        <v>179</v>
      </c>
      <c r="BH191" s="774">
        <f t="shared" si="146"/>
        <v>5419</v>
      </c>
      <c r="BI191" s="775">
        <f t="shared" si="147"/>
        <v>0</v>
      </c>
      <c r="BJ191" s="775">
        <f t="shared" si="117"/>
        <v>0</v>
      </c>
      <c r="BK191" s="775">
        <f t="shared" si="109"/>
        <v>0</v>
      </c>
      <c r="BL191" s="775">
        <f t="shared" si="148"/>
        <v>0</v>
      </c>
      <c r="BM191" s="775">
        <f t="shared" si="149"/>
        <v>0</v>
      </c>
    </row>
    <row r="192" spans="1:65">
      <c r="A192" s="11">
        <f t="shared" si="102"/>
        <v>1914</v>
      </c>
      <c r="B192" s="773">
        <v>180</v>
      </c>
      <c r="C192" s="774">
        <f t="shared" si="118"/>
        <v>5449</v>
      </c>
      <c r="D192" s="775">
        <f t="shared" si="119"/>
        <v>0</v>
      </c>
      <c r="E192" s="775">
        <f t="shared" si="110"/>
        <v>0</v>
      </c>
      <c r="F192" s="775">
        <f t="shared" si="100"/>
        <v>0</v>
      </c>
      <c r="G192" s="775">
        <f t="shared" si="120"/>
        <v>0</v>
      </c>
      <c r="H192" s="775">
        <f t="shared" si="121"/>
        <v>0</v>
      </c>
      <c r="I192" s="775">
        <f t="shared" si="101"/>
        <v>0</v>
      </c>
      <c r="K192" s="773">
        <v>180</v>
      </c>
      <c r="L192" s="774">
        <f t="shared" si="122"/>
        <v>5449</v>
      </c>
      <c r="M192" s="775">
        <f t="shared" si="123"/>
        <v>0</v>
      </c>
      <c r="N192" s="775">
        <f t="shared" si="111"/>
        <v>0</v>
      </c>
      <c r="O192" s="775">
        <f t="shared" si="103"/>
        <v>0</v>
      </c>
      <c r="P192" s="775">
        <f t="shared" si="124"/>
        <v>0</v>
      </c>
      <c r="Q192" s="775">
        <f t="shared" si="125"/>
        <v>0</v>
      </c>
      <c r="S192" s="773">
        <v>180</v>
      </c>
      <c r="T192" s="774">
        <f t="shared" si="126"/>
        <v>5449</v>
      </c>
      <c r="U192" s="775">
        <f t="shared" si="127"/>
        <v>0</v>
      </c>
      <c r="V192" s="775">
        <f t="shared" si="112"/>
        <v>0</v>
      </c>
      <c r="W192" s="775">
        <f t="shared" si="104"/>
        <v>0</v>
      </c>
      <c r="X192" s="775">
        <f t="shared" si="128"/>
        <v>0</v>
      </c>
      <c r="Y192" s="775">
        <f t="shared" si="129"/>
        <v>0</v>
      </c>
      <c r="AA192" s="773">
        <v>180</v>
      </c>
      <c r="AB192" s="774">
        <f t="shared" si="130"/>
        <v>5449</v>
      </c>
      <c r="AC192" s="775">
        <f t="shared" si="131"/>
        <v>0</v>
      </c>
      <c r="AD192" s="775">
        <f t="shared" si="113"/>
        <v>0</v>
      </c>
      <c r="AE192" s="775">
        <f t="shared" si="105"/>
        <v>0</v>
      </c>
      <c r="AF192" s="775">
        <f t="shared" si="132"/>
        <v>0</v>
      </c>
      <c r="AG192" s="775">
        <f t="shared" si="133"/>
        <v>0</v>
      </c>
      <c r="AI192" s="773">
        <v>180</v>
      </c>
      <c r="AJ192" s="774">
        <f t="shared" si="134"/>
        <v>5449</v>
      </c>
      <c r="AK192" s="775">
        <f t="shared" si="135"/>
        <v>0</v>
      </c>
      <c r="AL192" s="775">
        <f t="shared" si="114"/>
        <v>0</v>
      </c>
      <c r="AM192" s="775">
        <f t="shared" si="106"/>
        <v>0</v>
      </c>
      <c r="AN192" s="775">
        <f t="shared" si="136"/>
        <v>0</v>
      </c>
      <c r="AO192" s="775">
        <f t="shared" si="137"/>
        <v>0</v>
      </c>
      <c r="AQ192" s="773">
        <v>180</v>
      </c>
      <c r="AR192" s="774">
        <f t="shared" si="138"/>
        <v>5449</v>
      </c>
      <c r="AS192" s="775">
        <f t="shared" si="139"/>
        <v>0</v>
      </c>
      <c r="AT192" s="775">
        <f t="shared" si="115"/>
        <v>0</v>
      </c>
      <c r="AU192" s="775">
        <f t="shared" si="107"/>
        <v>0</v>
      </c>
      <c r="AV192" s="775">
        <f t="shared" si="140"/>
        <v>0</v>
      </c>
      <c r="AW192" s="775">
        <f t="shared" si="141"/>
        <v>0</v>
      </c>
      <c r="AY192" s="773">
        <v>180</v>
      </c>
      <c r="AZ192" s="774">
        <f t="shared" si="142"/>
        <v>5449</v>
      </c>
      <c r="BA192" s="775">
        <f t="shared" si="143"/>
        <v>0</v>
      </c>
      <c r="BB192" s="775">
        <f t="shared" si="116"/>
        <v>0</v>
      </c>
      <c r="BC192" s="775">
        <f t="shared" si="108"/>
        <v>0</v>
      </c>
      <c r="BD192" s="775">
        <f t="shared" si="144"/>
        <v>0</v>
      </c>
      <c r="BE192" s="775">
        <f t="shared" si="145"/>
        <v>0</v>
      </c>
      <c r="BG192" s="773">
        <v>180</v>
      </c>
      <c r="BH192" s="774">
        <f t="shared" si="146"/>
        <v>5449</v>
      </c>
      <c r="BI192" s="775">
        <f t="shared" si="147"/>
        <v>0</v>
      </c>
      <c r="BJ192" s="775">
        <f t="shared" si="117"/>
        <v>0</v>
      </c>
      <c r="BK192" s="775">
        <f t="shared" si="109"/>
        <v>0</v>
      </c>
      <c r="BL192" s="775">
        <f t="shared" si="148"/>
        <v>0</v>
      </c>
      <c r="BM192" s="775">
        <f t="shared" si="149"/>
        <v>0</v>
      </c>
    </row>
    <row r="193" spans="1:65">
      <c r="A193" s="11">
        <f t="shared" si="102"/>
        <v>1915</v>
      </c>
      <c r="B193" s="773">
        <v>181</v>
      </c>
      <c r="C193" s="774">
        <f t="shared" si="118"/>
        <v>5480</v>
      </c>
      <c r="D193" s="775">
        <f t="shared" si="119"/>
        <v>0</v>
      </c>
      <c r="E193" s="775">
        <f t="shared" si="110"/>
        <v>0</v>
      </c>
      <c r="F193" s="775">
        <f t="shared" si="100"/>
        <v>0</v>
      </c>
      <c r="G193" s="775">
        <f t="shared" si="120"/>
        <v>0</v>
      </c>
      <c r="H193" s="775">
        <f t="shared" si="121"/>
        <v>0</v>
      </c>
      <c r="I193" s="775">
        <f t="shared" si="101"/>
        <v>0</v>
      </c>
      <c r="K193" s="773">
        <v>181</v>
      </c>
      <c r="L193" s="774">
        <f t="shared" si="122"/>
        <v>5480</v>
      </c>
      <c r="M193" s="775">
        <f t="shared" si="123"/>
        <v>0</v>
      </c>
      <c r="N193" s="775">
        <f t="shared" si="111"/>
        <v>0</v>
      </c>
      <c r="O193" s="775">
        <f t="shared" si="103"/>
        <v>0</v>
      </c>
      <c r="P193" s="775">
        <f t="shared" si="124"/>
        <v>0</v>
      </c>
      <c r="Q193" s="775">
        <f t="shared" si="125"/>
        <v>0</v>
      </c>
      <c r="S193" s="773">
        <v>181</v>
      </c>
      <c r="T193" s="774">
        <f t="shared" si="126"/>
        <v>5480</v>
      </c>
      <c r="U193" s="775">
        <f t="shared" si="127"/>
        <v>0</v>
      </c>
      <c r="V193" s="775">
        <f t="shared" si="112"/>
        <v>0</v>
      </c>
      <c r="W193" s="775">
        <f t="shared" si="104"/>
        <v>0</v>
      </c>
      <c r="X193" s="775">
        <f t="shared" si="128"/>
        <v>0</v>
      </c>
      <c r="Y193" s="775">
        <f t="shared" si="129"/>
        <v>0</v>
      </c>
      <c r="AA193" s="773">
        <v>181</v>
      </c>
      <c r="AB193" s="774">
        <f t="shared" si="130"/>
        <v>5480</v>
      </c>
      <c r="AC193" s="775">
        <f t="shared" si="131"/>
        <v>0</v>
      </c>
      <c r="AD193" s="775">
        <f t="shared" si="113"/>
        <v>0</v>
      </c>
      <c r="AE193" s="775">
        <f t="shared" si="105"/>
        <v>0</v>
      </c>
      <c r="AF193" s="775">
        <f t="shared" si="132"/>
        <v>0</v>
      </c>
      <c r="AG193" s="775">
        <f t="shared" si="133"/>
        <v>0</v>
      </c>
      <c r="AI193" s="773">
        <v>181</v>
      </c>
      <c r="AJ193" s="774">
        <f t="shared" si="134"/>
        <v>5480</v>
      </c>
      <c r="AK193" s="775">
        <f t="shared" si="135"/>
        <v>0</v>
      </c>
      <c r="AL193" s="775">
        <f t="shared" si="114"/>
        <v>0</v>
      </c>
      <c r="AM193" s="775">
        <f t="shared" si="106"/>
        <v>0</v>
      </c>
      <c r="AN193" s="775">
        <f t="shared" si="136"/>
        <v>0</v>
      </c>
      <c r="AO193" s="775">
        <f t="shared" si="137"/>
        <v>0</v>
      </c>
      <c r="AQ193" s="773">
        <v>181</v>
      </c>
      <c r="AR193" s="774">
        <f t="shared" si="138"/>
        <v>5480</v>
      </c>
      <c r="AS193" s="775">
        <f t="shared" si="139"/>
        <v>0</v>
      </c>
      <c r="AT193" s="775">
        <f t="shared" si="115"/>
        <v>0</v>
      </c>
      <c r="AU193" s="775">
        <f t="shared" si="107"/>
        <v>0</v>
      </c>
      <c r="AV193" s="775">
        <f t="shared" si="140"/>
        <v>0</v>
      </c>
      <c r="AW193" s="775">
        <f t="shared" si="141"/>
        <v>0</v>
      </c>
      <c r="AY193" s="773">
        <v>181</v>
      </c>
      <c r="AZ193" s="774">
        <f t="shared" si="142"/>
        <v>5480</v>
      </c>
      <c r="BA193" s="775">
        <f t="shared" si="143"/>
        <v>0</v>
      </c>
      <c r="BB193" s="775">
        <f t="shared" si="116"/>
        <v>0</v>
      </c>
      <c r="BC193" s="775">
        <f t="shared" si="108"/>
        <v>0</v>
      </c>
      <c r="BD193" s="775">
        <f t="shared" si="144"/>
        <v>0</v>
      </c>
      <c r="BE193" s="775">
        <f t="shared" si="145"/>
        <v>0</v>
      </c>
      <c r="BG193" s="773">
        <v>181</v>
      </c>
      <c r="BH193" s="774">
        <f t="shared" si="146"/>
        <v>5480</v>
      </c>
      <c r="BI193" s="775">
        <f t="shared" si="147"/>
        <v>0</v>
      </c>
      <c r="BJ193" s="775">
        <f t="shared" si="117"/>
        <v>0</v>
      </c>
      <c r="BK193" s="775">
        <f t="shared" si="109"/>
        <v>0</v>
      </c>
      <c r="BL193" s="775">
        <f t="shared" si="148"/>
        <v>0</v>
      </c>
      <c r="BM193" s="775">
        <f t="shared" si="149"/>
        <v>0</v>
      </c>
    </row>
    <row r="194" spans="1:65">
      <c r="A194" s="11">
        <f t="shared" si="102"/>
        <v>1915</v>
      </c>
      <c r="B194" s="773">
        <v>182</v>
      </c>
      <c r="C194" s="774">
        <f t="shared" si="118"/>
        <v>5511</v>
      </c>
      <c r="D194" s="775">
        <f t="shared" si="119"/>
        <v>0</v>
      </c>
      <c r="E194" s="775">
        <f t="shared" si="110"/>
        <v>0</v>
      </c>
      <c r="F194" s="775">
        <f t="shared" si="100"/>
        <v>0</v>
      </c>
      <c r="G194" s="775">
        <f t="shared" si="120"/>
        <v>0</v>
      </c>
      <c r="H194" s="775">
        <f t="shared" si="121"/>
        <v>0</v>
      </c>
      <c r="I194" s="775">
        <f t="shared" si="101"/>
        <v>0</v>
      </c>
      <c r="K194" s="773">
        <v>182</v>
      </c>
      <c r="L194" s="774">
        <f t="shared" si="122"/>
        <v>5511</v>
      </c>
      <c r="M194" s="775">
        <f t="shared" si="123"/>
        <v>0</v>
      </c>
      <c r="N194" s="775">
        <f t="shared" si="111"/>
        <v>0</v>
      </c>
      <c r="O194" s="775">
        <f t="shared" si="103"/>
        <v>0</v>
      </c>
      <c r="P194" s="775">
        <f t="shared" si="124"/>
        <v>0</v>
      </c>
      <c r="Q194" s="775">
        <f t="shared" si="125"/>
        <v>0</v>
      </c>
      <c r="S194" s="773">
        <v>182</v>
      </c>
      <c r="T194" s="774">
        <f t="shared" si="126"/>
        <v>5511</v>
      </c>
      <c r="U194" s="775">
        <f t="shared" si="127"/>
        <v>0</v>
      </c>
      <c r="V194" s="775">
        <f t="shared" si="112"/>
        <v>0</v>
      </c>
      <c r="W194" s="775">
        <f t="shared" si="104"/>
        <v>0</v>
      </c>
      <c r="X194" s="775">
        <f t="shared" si="128"/>
        <v>0</v>
      </c>
      <c r="Y194" s="775">
        <f t="shared" si="129"/>
        <v>0</v>
      </c>
      <c r="AA194" s="773">
        <v>182</v>
      </c>
      <c r="AB194" s="774">
        <f t="shared" si="130"/>
        <v>5511</v>
      </c>
      <c r="AC194" s="775">
        <f t="shared" si="131"/>
        <v>0</v>
      </c>
      <c r="AD194" s="775">
        <f t="shared" si="113"/>
        <v>0</v>
      </c>
      <c r="AE194" s="775">
        <f t="shared" si="105"/>
        <v>0</v>
      </c>
      <c r="AF194" s="775">
        <f t="shared" si="132"/>
        <v>0</v>
      </c>
      <c r="AG194" s="775">
        <f t="shared" si="133"/>
        <v>0</v>
      </c>
      <c r="AI194" s="773">
        <v>182</v>
      </c>
      <c r="AJ194" s="774">
        <f t="shared" si="134"/>
        <v>5511</v>
      </c>
      <c r="AK194" s="775">
        <f t="shared" si="135"/>
        <v>0</v>
      </c>
      <c r="AL194" s="775">
        <f t="shared" si="114"/>
        <v>0</v>
      </c>
      <c r="AM194" s="775">
        <f t="shared" si="106"/>
        <v>0</v>
      </c>
      <c r="AN194" s="775">
        <f t="shared" si="136"/>
        <v>0</v>
      </c>
      <c r="AO194" s="775">
        <f t="shared" si="137"/>
        <v>0</v>
      </c>
      <c r="AQ194" s="773">
        <v>182</v>
      </c>
      <c r="AR194" s="774">
        <f t="shared" si="138"/>
        <v>5511</v>
      </c>
      <c r="AS194" s="775">
        <f t="shared" si="139"/>
        <v>0</v>
      </c>
      <c r="AT194" s="775">
        <f t="shared" si="115"/>
        <v>0</v>
      </c>
      <c r="AU194" s="775">
        <f t="shared" si="107"/>
        <v>0</v>
      </c>
      <c r="AV194" s="775">
        <f t="shared" si="140"/>
        <v>0</v>
      </c>
      <c r="AW194" s="775">
        <f t="shared" si="141"/>
        <v>0</v>
      </c>
      <c r="AY194" s="773">
        <v>182</v>
      </c>
      <c r="AZ194" s="774">
        <f t="shared" si="142"/>
        <v>5511</v>
      </c>
      <c r="BA194" s="775">
        <f t="shared" si="143"/>
        <v>0</v>
      </c>
      <c r="BB194" s="775">
        <f t="shared" si="116"/>
        <v>0</v>
      </c>
      <c r="BC194" s="775">
        <f t="shared" si="108"/>
        <v>0</v>
      </c>
      <c r="BD194" s="775">
        <f t="shared" si="144"/>
        <v>0</v>
      </c>
      <c r="BE194" s="775">
        <f t="shared" si="145"/>
        <v>0</v>
      </c>
      <c r="BG194" s="773">
        <v>182</v>
      </c>
      <c r="BH194" s="774">
        <f t="shared" si="146"/>
        <v>5511</v>
      </c>
      <c r="BI194" s="775">
        <f t="shared" si="147"/>
        <v>0</v>
      </c>
      <c r="BJ194" s="775">
        <f t="shared" si="117"/>
        <v>0</v>
      </c>
      <c r="BK194" s="775">
        <f t="shared" si="109"/>
        <v>0</v>
      </c>
      <c r="BL194" s="775">
        <f t="shared" si="148"/>
        <v>0</v>
      </c>
      <c r="BM194" s="775">
        <f t="shared" si="149"/>
        <v>0</v>
      </c>
    </row>
    <row r="195" spans="1:65">
      <c r="A195" s="11">
        <f t="shared" si="102"/>
        <v>1915</v>
      </c>
      <c r="B195" s="773">
        <v>183</v>
      </c>
      <c r="C195" s="774">
        <f t="shared" si="118"/>
        <v>5539</v>
      </c>
      <c r="D195" s="775">
        <f t="shared" si="119"/>
        <v>0</v>
      </c>
      <c r="E195" s="775">
        <f t="shared" si="110"/>
        <v>0</v>
      </c>
      <c r="F195" s="775">
        <f t="shared" si="100"/>
        <v>0</v>
      </c>
      <c r="G195" s="775">
        <f t="shared" si="120"/>
        <v>0</v>
      </c>
      <c r="H195" s="775">
        <f t="shared" si="121"/>
        <v>0</v>
      </c>
      <c r="I195" s="775">
        <f t="shared" si="101"/>
        <v>0</v>
      </c>
      <c r="K195" s="773">
        <v>183</v>
      </c>
      <c r="L195" s="774">
        <f t="shared" si="122"/>
        <v>5539</v>
      </c>
      <c r="M195" s="775">
        <f t="shared" si="123"/>
        <v>0</v>
      </c>
      <c r="N195" s="775">
        <f t="shared" si="111"/>
        <v>0</v>
      </c>
      <c r="O195" s="775">
        <f t="shared" si="103"/>
        <v>0</v>
      </c>
      <c r="P195" s="775">
        <f t="shared" si="124"/>
        <v>0</v>
      </c>
      <c r="Q195" s="775">
        <f t="shared" si="125"/>
        <v>0</v>
      </c>
      <c r="S195" s="773">
        <v>183</v>
      </c>
      <c r="T195" s="774">
        <f t="shared" si="126"/>
        <v>5539</v>
      </c>
      <c r="U195" s="775">
        <f t="shared" si="127"/>
        <v>0</v>
      </c>
      <c r="V195" s="775">
        <f t="shared" si="112"/>
        <v>0</v>
      </c>
      <c r="W195" s="775">
        <f t="shared" si="104"/>
        <v>0</v>
      </c>
      <c r="X195" s="775">
        <f t="shared" si="128"/>
        <v>0</v>
      </c>
      <c r="Y195" s="775">
        <f t="shared" si="129"/>
        <v>0</v>
      </c>
      <c r="AA195" s="773">
        <v>183</v>
      </c>
      <c r="AB195" s="774">
        <f t="shared" si="130"/>
        <v>5539</v>
      </c>
      <c r="AC195" s="775">
        <f t="shared" si="131"/>
        <v>0</v>
      </c>
      <c r="AD195" s="775">
        <f t="shared" si="113"/>
        <v>0</v>
      </c>
      <c r="AE195" s="775">
        <f t="shared" si="105"/>
        <v>0</v>
      </c>
      <c r="AF195" s="775">
        <f t="shared" si="132"/>
        <v>0</v>
      </c>
      <c r="AG195" s="775">
        <f t="shared" si="133"/>
        <v>0</v>
      </c>
      <c r="AI195" s="773">
        <v>183</v>
      </c>
      <c r="AJ195" s="774">
        <f t="shared" si="134"/>
        <v>5539</v>
      </c>
      <c r="AK195" s="775">
        <f t="shared" si="135"/>
        <v>0</v>
      </c>
      <c r="AL195" s="775">
        <f t="shared" si="114"/>
        <v>0</v>
      </c>
      <c r="AM195" s="775">
        <f t="shared" si="106"/>
        <v>0</v>
      </c>
      <c r="AN195" s="775">
        <f t="shared" si="136"/>
        <v>0</v>
      </c>
      <c r="AO195" s="775">
        <f t="shared" si="137"/>
        <v>0</v>
      </c>
      <c r="AQ195" s="773">
        <v>183</v>
      </c>
      <c r="AR195" s="774">
        <f t="shared" si="138"/>
        <v>5539</v>
      </c>
      <c r="AS195" s="775">
        <f t="shared" si="139"/>
        <v>0</v>
      </c>
      <c r="AT195" s="775">
        <f t="shared" si="115"/>
        <v>0</v>
      </c>
      <c r="AU195" s="775">
        <f t="shared" si="107"/>
        <v>0</v>
      </c>
      <c r="AV195" s="775">
        <f t="shared" si="140"/>
        <v>0</v>
      </c>
      <c r="AW195" s="775">
        <f t="shared" si="141"/>
        <v>0</v>
      </c>
      <c r="AY195" s="773">
        <v>183</v>
      </c>
      <c r="AZ195" s="774">
        <f t="shared" si="142"/>
        <v>5539</v>
      </c>
      <c r="BA195" s="775">
        <f t="shared" si="143"/>
        <v>0</v>
      </c>
      <c r="BB195" s="775">
        <f t="shared" si="116"/>
        <v>0</v>
      </c>
      <c r="BC195" s="775">
        <f t="shared" si="108"/>
        <v>0</v>
      </c>
      <c r="BD195" s="775">
        <f t="shared" si="144"/>
        <v>0</v>
      </c>
      <c r="BE195" s="775">
        <f t="shared" si="145"/>
        <v>0</v>
      </c>
      <c r="BG195" s="773">
        <v>183</v>
      </c>
      <c r="BH195" s="774">
        <f t="shared" si="146"/>
        <v>5539</v>
      </c>
      <c r="BI195" s="775">
        <f t="shared" si="147"/>
        <v>0</v>
      </c>
      <c r="BJ195" s="775">
        <f t="shared" si="117"/>
        <v>0</v>
      </c>
      <c r="BK195" s="775">
        <f t="shared" si="109"/>
        <v>0</v>
      </c>
      <c r="BL195" s="775">
        <f t="shared" si="148"/>
        <v>0</v>
      </c>
      <c r="BM195" s="775">
        <f t="shared" si="149"/>
        <v>0</v>
      </c>
    </row>
    <row r="196" spans="1:65">
      <c r="A196" s="11">
        <f t="shared" si="102"/>
        <v>1915</v>
      </c>
      <c r="B196" s="773">
        <v>184</v>
      </c>
      <c r="C196" s="774">
        <f t="shared" si="118"/>
        <v>5570</v>
      </c>
      <c r="D196" s="775">
        <f t="shared" si="119"/>
        <v>0</v>
      </c>
      <c r="E196" s="775">
        <f t="shared" si="110"/>
        <v>0</v>
      </c>
      <c r="F196" s="775">
        <f t="shared" si="100"/>
        <v>0</v>
      </c>
      <c r="G196" s="775">
        <f t="shared" si="120"/>
        <v>0</v>
      </c>
      <c r="H196" s="775">
        <f t="shared" si="121"/>
        <v>0</v>
      </c>
      <c r="I196" s="775">
        <f t="shared" si="101"/>
        <v>0</v>
      </c>
      <c r="K196" s="773">
        <v>184</v>
      </c>
      <c r="L196" s="774">
        <f t="shared" si="122"/>
        <v>5570</v>
      </c>
      <c r="M196" s="775">
        <f t="shared" si="123"/>
        <v>0</v>
      </c>
      <c r="N196" s="775">
        <f t="shared" si="111"/>
        <v>0</v>
      </c>
      <c r="O196" s="775">
        <f t="shared" si="103"/>
        <v>0</v>
      </c>
      <c r="P196" s="775">
        <f t="shared" si="124"/>
        <v>0</v>
      </c>
      <c r="Q196" s="775">
        <f t="shared" si="125"/>
        <v>0</v>
      </c>
      <c r="S196" s="773">
        <v>184</v>
      </c>
      <c r="T196" s="774">
        <f t="shared" si="126"/>
        <v>5570</v>
      </c>
      <c r="U196" s="775">
        <f t="shared" si="127"/>
        <v>0</v>
      </c>
      <c r="V196" s="775">
        <f t="shared" si="112"/>
        <v>0</v>
      </c>
      <c r="W196" s="775">
        <f t="shared" si="104"/>
        <v>0</v>
      </c>
      <c r="X196" s="775">
        <f t="shared" si="128"/>
        <v>0</v>
      </c>
      <c r="Y196" s="775">
        <f t="shared" si="129"/>
        <v>0</v>
      </c>
      <c r="AA196" s="773">
        <v>184</v>
      </c>
      <c r="AB196" s="774">
        <f t="shared" si="130"/>
        <v>5570</v>
      </c>
      <c r="AC196" s="775">
        <f t="shared" si="131"/>
        <v>0</v>
      </c>
      <c r="AD196" s="775">
        <f t="shared" si="113"/>
        <v>0</v>
      </c>
      <c r="AE196" s="775">
        <f t="shared" si="105"/>
        <v>0</v>
      </c>
      <c r="AF196" s="775">
        <f t="shared" si="132"/>
        <v>0</v>
      </c>
      <c r="AG196" s="775">
        <f t="shared" si="133"/>
        <v>0</v>
      </c>
      <c r="AI196" s="773">
        <v>184</v>
      </c>
      <c r="AJ196" s="774">
        <f t="shared" si="134"/>
        <v>5570</v>
      </c>
      <c r="AK196" s="775">
        <f t="shared" si="135"/>
        <v>0</v>
      </c>
      <c r="AL196" s="775">
        <f t="shared" si="114"/>
        <v>0</v>
      </c>
      <c r="AM196" s="775">
        <f t="shared" si="106"/>
        <v>0</v>
      </c>
      <c r="AN196" s="775">
        <f t="shared" si="136"/>
        <v>0</v>
      </c>
      <c r="AO196" s="775">
        <f t="shared" si="137"/>
        <v>0</v>
      </c>
      <c r="AQ196" s="773">
        <v>184</v>
      </c>
      <c r="AR196" s="774">
        <f t="shared" si="138"/>
        <v>5570</v>
      </c>
      <c r="AS196" s="775">
        <f t="shared" si="139"/>
        <v>0</v>
      </c>
      <c r="AT196" s="775">
        <f t="shared" si="115"/>
        <v>0</v>
      </c>
      <c r="AU196" s="775">
        <f t="shared" si="107"/>
        <v>0</v>
      </c>
      <c r="AV196" s="775">
        <f t="shared" si="140"/>
        <v>0</v>
      </c>
      <c r="AW196" s="775">
        <f t="shared" si="141"/>
        <v>0</v>
      </c>
      <c r="AY196" s="773">
        <v>184</v>
      </c>
      <c r="AZ196" s="774">
        <f t="shared" si="142"/>
        <v>5570</v>
      </c>
      <c r="BA196" s="775">
        <f t="shared" si="143"/>
        <v>0</v>
      </c>
      <c r="BB196" s="775">
        <f t="shared" si="116"/>
        <v>0</v>
      </c>
      <c r="BC196" s="775">
        <f t="shared" si="108"/>
        <v>0</v>
      </c>
      <c r="BD196" s="775">
        <f t="shared" si="144"/>
        <v>0</v>
      </c>
      <c r="BE196" s="775">
        <f t="shared" si="145"/>
        <v>0</v>
      </c>
      <c r="BG196" s="773">
        <v>184</v>
      </c>
      <c r="BH196" s="774">
        <f t="shared" si="146"/>
        <v>5570</v>
      </c>
      <c r="BI196" s="775">
        <f t="shared" si="147"/>
        <v>0</v>
      </c>
      <c r="BJ196" s="775">
        <f t="shared" si="117"/>
        <v>0</v>
      </c>
      <c r="BK196" s="775">
        <f t="shared" si="109"/>
        <v>0</v>
      </c>
      <c r="BL196" s="775">
        <f t="shared" si="148"/>
        <v>0</v>
      </c>
      <c r="BM196" s="775">
        <f t="shared" si="149"/>
        <v>0</v>
      </c>
    </row>
    <row r="197" spans="1:65">
      <c r="A197" s="11">
        <f t="shared" si="102"/>
        <v>1915</v>
      </c>
      <c r="B197" s="773">
        <v>185</v>
      </c>
      <c r="C197" s="774">
        <f t="shared" si="118"/>
        <v>5600</v>
      </c>
      <c r="D197" s="775">
        <f t="shared" si="119"/>
        <v>0</v>
      </c>
      <c r="E197" s="775">
        <f t="shared" si="110"/>
        <v>0</v>
      </c>
      <c r="F197" s="775">
        <f t="shared" si="100"/>
        <v>0</v>
      </c>
      <c r="G197" s="775">
        <f t="shared" si="120"/>
        <v>0</v>
      </c>
      <c r="H197" s="775">
        <f t="shared" si="121"/>
        <v>0</v>
      </c>
      <c r="I197" s="775">
        <f t="shared" si="101"/>
        <v>0</v>
      </c>
      <c r="K197" s="773">
        <v>185</v>
      </c>
      <c r="L197" s="774">
        <f t="shared" si="122"/>
        <v>5600</v>
      </c>
      <c r="M197" s="775">
        <f t="shared" si="123"/>
        <v>0</v>
      </c>
      <c r="N197" s="775">
        <f t="shared" si="111"/>
        <v>0</v>
      </c>
      <c r="O197" s="775">
        <f t="shared" si="103"/>
        <v>0</v>
      </c>
      <c r="P197" s="775">
        <f t="shared" si="124"/>
        <v>0</v>
      </c>
      <c r="Q197" s="775">
        <f t="shared" si="125"/>
        <v>0</v>
      </c>
      <c r="S197" s="773">
        <v>185</v>
      </c>
      <c r="T197" s="774">
        <f t="shared" si="126"/>
        <v>5600</v>
      </c>
      <c r="U197" s="775">
        <f t="shared" si="127"/>
        <v>0</v>
      </c>
      <c r="V197" s="775">
        <f t="shared" si="112"/>
        <v>0</v>
      </c>
      <c r="W197" s="775">
        <f t="shared" si="104"/>
        <v>0</v>
      </c>
      <c r="X197" s="775">
        <f t="shared" si="128"/>
        <v>0</v>
      </c>
      <c r="Y197" s="775">
        <f t="shared" si="129"/>
        <v>0</v>
      </c>
      <c r="AA197" s="773">
        <v>185</v>
      </c>
      <c r="AB197" s="774">
        <f t="shared" si="130"/>
        <v>5600</v>
      </c>
      <c r="AC197" s="775">
        <f t="shared" si="131"/>
        <v>0</v>
      </c>
      <c r="AD197" s="775">
        <f t="shared" si="113"/>
        <v>0</v>
      </c>
      <c r="AE197" s="775">
        <f t="shared" si="105"/>
        <v>0</v>
      </c>
      <c r="AF197" s="775">
        <f t="shared" si="132"/>
        <v>0</v>
      </c>
      <c r="AG197" s="775">
        <f t="shared" si="133"/>
        <v>0</v>
      </c>
      <c r="AI197" s="773">
        <v>185</v>
      </c>
      <c r="AJ197" s="774">
        <f t="shared" si="134"/>
        <v>5600</v>
      </c>
      <c r="AK197" s="775">
        <f t="shared" si="135"/>
        <v>0</v>
      </c>
      <c r="AL197" s="775">
        <f t="shared" si="114"/>
        <v>0</v>
      </c>
      <c r="AM197" s="775">
        <f t="shared" si="106"/>
        <v>0</v>
      </c>
      <c r="AN197" s="775">
        <f t="shared" si="136"/>
        <v>0</v>
      </c>
      <c r="AO197" s="775">
        <f t="shared" si="137"/>
        <v>0</v>
      </c>
      <c r="AQ197" s="773">
        <v>185</v>
      </c>
      <c r="AR197" s="774">
        <f t="shared" si="138"/>
        <v>5600</v>
      </c>
      <c r="AS197" s="775">
        <f t="shared" si="139"/>
        <v>0</v>
      </c>
      <c r="AT197" s="775">
        <f t="shared" si="115"/>
        <v>0</v>
      </c>
      <c r="AU197" s="775">
        <f t="shared" si="107"/>
        <v>0</v>
      </c>
      <c r="AV197" s="775">
        <f t="shared" si="140"/>
        <v>0</v>
      </c>
      <c r="AW197" s="775">
        <f t="shared" si="141"/>
        <v>0</v>
      </c>
      <c r="AY197" s="773">
        <v>185</v>
      </c>
      <c r="AZ197" s="774">
        <f t="shared" si="142"/>
        <v>5600</v>
      </c>
      <c r="BA197" s="775">
        <f t="shared" si="143"/>
        <v>0</v>
      </c>
      <c r="BB197" s="775">
        <f t="shared" si="116"/>
        <v>0</v>
      </c>
      <c r="BC197" s="775">
        <f t="shared" si="108"/>
        <v>0</v>
      </c>
      <c r="BD197" s="775">
        <f t="shared" si="144"/>
        <v>0</v>
      </c>
      <c r="BE197" s="775">
        <f t="shared" si="145"/>
        <v>0</v>
      </c>
      <c r="BG197" s="773">
        <v>185</v>
      </c>
      <c r="BH197" s="774">
        <f t="shared" si="146"/>
        <v>5600</v>
      </c>
      <c r="BI197" s="775">
        <f t="shared" si="147"/>
        <v>0</v>
      </c>
      <c r="BJ197" s="775">
        <f t="shared" si="117"/>
        <v>0</v>
      </c>
      <c r="BK197" s="775">
        <f t="shared" si="109"/>
        <v>0</v>
      </c>
      <c r="BL197" s="775">
        <f t="shared" si="148"/>
        <v>0</v>
      </c>
      <c r="BM197" s="775">
        <f t="shared" si="149"/>
        <v>0</v>
      </c>
    </row>
    <row r="198" spans="1:65">
      <c r="A198" s="11">
        <f t="shared" si="102"/>
        <v>1915</v>
      </c>
      <c r="B198" s="773">
        <v>186</v>
      </c>
      <c r="C198" s="774">
        <f t="shared" si="118"/>
        <v>5631</v>
      </c>
      <c r="D198" s="775">
        <f t="shared" si="119"/>
        <v>0</v>
      </c>
      <c r="E198" s="775">
        <f t="shared" si="110"/>
        <v>0</v>
      </c>
      <c r="F198" s="775">
        <f t="shared" si="100"/>
        <v>0</v>
      </c>
      <c r="G198" s="775">
        <f t="shared" si="120"/>
        <v>0</v>
      </c>
      <c r="H198" s="775">
        <f t="shared" si="121"/>
        <v>0</v>
      </c>
      <c r="I198" s="775">
        <f t="shared" si="101"/>
        <v>0</v>
      </c>
      <c r="K198" s="773">
        <v>186</v>
      </c>
      <c r="L198" s="774">
        <f t="shared" si="122"/>
        <v>5631</v>
      </c>
      <c r="M198" s="775">
        <f t="shared" si="123"/>
        <v>0</v>
      </c>
      <c r="N198" s="775">
        <f t="shared" si="111"/>
        <v>0</v>
      </c>
      <c r="O198" s="775">
        <f t="shared" si="103"/>
        <v>0</v>
      </c>
      <c r="P198" s="775">
        <f t="shared" si="124"/>
        <v>0</v>
      </c>
      <c r="Q198" s="775">
        <f t="shared" si="125"/>
        <v>0</v>
      </c>
      <c r="S198" s="773">
        <v>186</v>
      </c>
      <c r="T198" s="774">
        <f t="shared" si="126"/>
        <v>5631</v>
      </c>
      <c r="U198" s="775">
        <f t="shared" si="127"/>
        <v>0</v>
      </c>
      <c r="V198" s="775">
        <f t="shared" si="112"/>
        <v>0</v>
      </c>
      <c r="W198" s="775">
        <f t="shared" si="104"/>
        <v>0</v>
      </c>
      <c r="X198" s="775">
        <f t="shared" si="128"/>
        <v>0</v>
      </c>
      <c r="Y198" s="775">
        <f t="shared" si="129"/>
        <v>0</v>
      </c>
      <c r="AA198" s="773">
        <v>186</v>
      </c>
      <c r="AB198" s="774">
        <f t="shared" si="130"/>
        <v>5631</v>
      </c>
      <c r="AC198" s="775">
        <f t="shared" si="131"/>
        <v>0</v>
      </c>
      <c r="AD198" s="775">
        <f t="shared" si="113"/>
        <v>0</v>
      </c>
      <c r="AE198" s="775">
        <f t="shared" si="105"/>
        <v>0</v>
      </c>
      <c r="AF198" s="775">
        <f t="shared" si="132"/>
        <v>0</v>
      </c>
      <c r="AG198" s="775">
        <f t="shared" si="133"/>
        <v>0</v>
      </c>
      <c r="AI198" s="773">
        <v>186</v>
      </c>
      <c r="AJ198" s="774">
        <f t="shared" si="134"/>
        <v>5631</v>
      </c>
      <c r="AK198" s="775">
        <f t="shared" si="135"/>
        <v>0</v>
      </c>
      <c r="AL198" s="775">
        <f t="shared" si="114"/>
        <v>0</v>
      </c>
      <c r="AM198" s="775">
        <f t="shared" si="106"/>
        <v>0</v>
      </c>
      <c r="AN198" s="775">
        <f t="shared" si="136"/>
        <v>0</v>
      </c>
      <c r="AO198" s="775">
        <f t="shared" si="137"/>
        <v>0</v>
      </c>
      <c r="AQ198" s="773">
        <v>186</v>
      </c>
      <c r="AR198" s="774">
        <f t="shared" si="138"/>
        <v>5631</v>
      </c>
      <c r="AS198" s="775">
        <f t="shared" si="139"/>
        <v>0</v>
      </c>
      <c r="AT198" s="775">
        <f t="shared" si="115"/>
        <v>0</v>
      </c>
      <c r="AU198" s="775">
        <f t="shared" si="107"/>
        <v>0</v>
      </c>
      <c r="AV198" s="775">
        <f t="shared" si="140"/>
        <v>0</v>
      </c>
      <c r="AW198" s="775">
        <f t="shared" si="141"/>
        <v>0</v>
      </c>
      <c r="AY198" s="773">
        <v>186</v>
      </c>
      <c r="AZ198" s="774">
        <f t="shared" si="142"/>
        <v>5631</v>
      </c>
      <c r="BA198" s="775">
        <f t="shared" si="143"/>
        <v>0</v>
      </c>
      <c r="BB198" s="775">
        <f t="shared" si="116"/>
        <v>0</v>
      </c>
      <c r="BC198" s="775">
        <f t="shared" si="108"/>
        <v>0</v>
      </c>
      <c r="BD198" s="775">
        <f t="shared" si="144"/>
        <v>0</v>
      </c>
      <c r="BE198" s="775">
        <f t="shared" si="145"/>
        <v>0</v>
      </c>
      <c r="BG198" s="773">
        <v>186</v>
      </c>
      <c r="BH198" s="774">
        <f t="shared" si="146"/>
        <v>5631</v>
      </c>
      <c r="BI198" s="775">
        <f t="shared" si="147"/>
        <v>0</v>
      </c>
      <c r="BJ198" s="775">
        <f t="shared" si="117"/>
        <v>0</v>
      </c>
      <c r="BK198" s="775">
        <f t="shared" si="109"/>
        <v>0</v>
      </c>
      <c r="BL198" s="775">
        <f t="shared" si="148"/>
        <v>0</v>
      </c>
      <c r="BM198" s="775">
        <f t="shared" si="149"/>
        <v>0</v>
      </c>
    </row>
    <row r="199" spans="1:65">
      <c r="A199" s="11">
        <f t="shared" si="102"/>
        <v>1915</v>
      </c>
      <c r="B199" s="773">
        <v>187</v>
      </c>
      <c r="C199" s="774">
        <f t="shared" si="118"/>
        <v>5661</v>
      </c>
      <c r="D199" s="775">
        <f t="shared" si="119"/>
        <v>0</v>
      </c>
      <c r="E199" s="775">
        <f t="shared" si="110"/>
        <v>0</v>
      </c>
      <c r="F199" s="775">
        <f t="shared" si="100"/>
        <v>0</v>
      </c>
      <c r="G199" s="775">
        <f t="shared" si="120"/>
        <v>0</v>
      </c>
      <c r="H199" s="775">
        <f t="shared" si="121"/>
        <v>0</v>
      </c>
      <c r="I199" s="775">
        <f t="shared" si="101"/>
        <v>0</v>
      </c>
      <c r="K199" s="773">
        <v>187</v>
      </c>
      <c r="L199" s="774">
        <f t="shared" si="122"/>
        <v>5661</v>
      </c>
      <c r="M199" s="775">
        <f t="shared" si="123"/>
        <v>0</v>
      </c>
      <c r="N199" s="775">
        <f t="shared" si="111"/>
        <v>0</v>
      </c>
      <c r="O199" s="775">
        <f t="shared" si="103"/>
        <v>0</v>
      </c>
      <c r="P199" s="775">
        <f t="shared" si="124"/>
        <v>0</v>
      </c>
      <c r="Q199" s="775">
        <f t="shared" si="125"/>
        <v>0</v>
      </c>
      <c r="S199" s="773">
        <v>187</v>
      </c>
      <c r="T199" s="774">
        <f t="shared" si="126"/>
        <v>5661</v>
      </c>
      <c r="U199" s="775">
        <f t="shared" si="127"/>
        <v>0</v>
      </c>
      <c r="V199" s="775">
        <f t="shared" si="112"/>
        <v>0</v>
      </c>
      <c r="W199" s="775">
        <f t="shared" si="104"/>
        <v>0</v>
      </c>
      <c r="X199" s="775">
        <f t="shared" si="128"/>
        <v>0</v>
      </c>
      <c r="Y199" s="775">
        <f t="shared" si="129"/>
        <v>0</v>
      </c>
      <c r="AA199" s="773">
        <v>187</v>
      </c>
      <c r="AB199" s="774">
        <f t="shared" si="130"/>
        <v>5661</v>
      </c>
      <c r="AC199" s="775">
        <f t="shared" si="131"/>
        <v>0</v>
      </c>
      <c r="AD199" s="775">
        <f t="shared" si="113"/>
        <v>0</v>
      </c>
      <c r="AE199" s="775">
        <f t="shared" si="105"/>
        <v>0</v>
      </c>
      <c r="AF199" s="775">
        <f t="shared" si="132"/>
        <v>0</v>
      </c>
      <c r="AG199" s="775">
        <f t="shared" si="133"/>
        <v>0</v>
      </c>
      <c r="AI199" s="773">
        <v>187</v>
      </c>
      <c r="AJ199" s="774">
        <f t="shared" si="134"/>
        <v>5661</v>
      </c>
      <c r="AK199" s="775">
        <f t="shared" si="135"/>
        <v>0</v>
      </c>
      <c r="AL199" s="775">
        <f t="shared" si="114"/>
        <v>0</v>
      </c>
      <c r="AM199" s="775">
        <f t="shared" si="106"/>
        <v>0</v>
      </c>
      <c r="AN199" s="775">
        <f t="shared" si="136"/>
        <v>0</v>
      </c>
      <c r="AO199" s="775">
        <f t="shared" si="137"/>
        <v>0</v>
      </c>
      <c r="AQ199" s="773">
        <v>187</v>
      </c>
      <c r="AR199" s="774">
        <f t="shared" si="138"/>
        <v>5661</v>
      </c>
      <c r="AS199" s="775">
        <f t="shared" si="139"/>
        <v>0</v>
      </c>
      <c r="AT199" s="775">
        <f t="shared" si="115"/>
        <v>0</v>
      </c>
      <c r="AU199" s="775">
        <f t="shared" si="107"/>
        <v>0</v>
      </c>
      <c r="AV199" s="775">
        <f t="shared" si="140"/>
        <v>0</v>
      </c>
      <c r="AW199" s="775">
        <f t="shared" si="141"/>
        <v>0</v>
      </c>
      <c r="AY199" s="773">
        <v>187</v>
      </c>
      <c r="AZ199" s="774">
        <f t="shared" si="142"/>
        <v>5661</v>
      </c>
      <c r="BA199" s="775">
        <f t="shared" si="143"/>
        <v>0</v>
      </c>
      <c r="BB199" s="775">
        <f t="shared" si="116"/>
        <v>0</v>
      </c>
      <c r="BC199" s="775">
        <f t="shared" si="108"/>
        <v>0</v>
      </c>
      <c r="BD199" s="775">
        <f t="shared" si="144"/>
        <v>0</v>
      </c>
      <c r="BE199" s="775">
        <f t="shared" si="145"/>
        <v>0</v>
      </c>
      <c r="BG199" s="773">
        <v>187</v>
      </c>
      <c r="BH199" s="774">
        <f t="shared" si="146"/>
        <v>5661</v>
      </c>
      <c r="BI199" s="775">
        <f t="shared" si="147"/>
        <v>0</v>
      </c>
      <c r="BJ199" s="775">
        <f t="shared" si="117"/>
        <v>0</v>
      </c>
      <c r="BK199" s="775">
        <f t="shared" si="109"/>
        <v>0</v>
      </c>
      <c r="BL199" s="775">
        <f t="shared" si="148"/>
        <v>0</v>
      </c>
      <c r="BM199" s="775">
        <f t="shared" si="149"/>
        <v>0</v>
      </c>
    </row>
    <row r="200" spans="1:65">
      <c r="A200" s="11">
        <f t="shared" si="102"/>
        <v>1915</v>
      </c>
      <c r="B200" s="773">
        <v>188</v>
      </c>
      <c r="C200" s="774">
        <f t="shared" si="118"/>
        <v>5692</v>
      </c>
      <c r="D200" s="775">
        <f t="shared" si="119"/>
        <v>0</v>
      </c>
      <c r="E200" s="775">
        <f t="shared" si="110"/>
        <v>0</v>
      </c>
      <c r="F200" s="775">
        <f t="shared" si="100"/>
        <v>0</v>
      </c>
      <c r="G200" s="775">
        <f t="shared" si="120"/>
        <v>0</v>
      </c>
      <c r="H200" s="775">
        <f t="shared" si="121"/>
        <v>0</v>
      </c>
      <c r="I200" s="775">
        <f t="shared" si="101"/>
        <v>0</v>
      </c>
      <c r="K200" s="773">
        <v>188</v>
      </c>
      <c r="L200" s="774">
        <f t="shared" si="122"/>
        <v>5692</v>
      </c>
      <c r="M200" s="775">
        <f t="shared" si="123"/>
        <v>0</v>
      </c>
      <c r="N200" s="775">
        <f t="shared" si="111"/>
        <v>0</v>
      </c>
      <c r="O200" s="775">
        <f t="shared" si="103"/>
        <v>0</v>
      </c>
      <c r="P200" s="775">
        <f t="shared" si="124"/>
        <v>0</v>
      </c>
      <c r="Q200" s="775">
        <f t="shared" si="125"/>
        <v>0</v>
      </c>
      <c r="S200" s="773">
        <v>188</v>
      </c>
      <c r="T200" s="774">
        <f t="shared" si="126"/>
        <v>5692</v>
      </c>
      <c r="U200" s="775">
        <f t="shared" si="127"/>
        <v>0</v>
      </c>
      <c r="V200" s="775">
        <f t="shared" si="112"/>
        <v>0</v>
      </c>
      <c r="W200" s="775">
        <f t="shared" si="104"/>
        <v>0</v>
      </c>
      <c r="X200" s="775">
        <f t="shared" si="128"/>
        <v>0</v>
      </c>
      <c r="Y200" s="775">
        <f t="shared" si="129"/>
        <v>0</v>
      </c>
      <c r="AA200" s="773">
        <v>188</v>
      </c>
      <c r="AB200" s="774">
        <f t="shared" si="130"/>
        <v>5692</v>
      </c>
      <c r="AC200" s="775">
        <f t="shared" si="131"/>
        <v>0</v>
      </c>
      <c r="AD200" s="775">
        <f t="shared" si="113"/>
        <v>0</v>
      </c>
      <c r="AE200" s="775">
        <f t="shared" si="105"/>
        <v>0</v>
      </c>
      <c r="AF200" s="775">
        <f t="shared" si="132"/>
        <v>0</v>
      </c>
      <c r="AG200" s="775">
        <f t="shared" si="133"/>
        <v>0</v>
      </c>
      <c r="AI200" s="773">
        <v>188</v>
      </c>
      <c r="AJ200" s="774">
        <f t="shared" si="134"/>
        <v>5692</v>
      </c>
      <c r="AK200" s="775">
        <f t="shared" si="135"/>
        <v>0</v>
      </c>
      <c r="AL200" s="775">
        <f t="shared" si="114"/>
        <v>0</v>
      </c>
      <c r="AM200" s="775">
        <f t="shared" si="106"/>
        <v>0</v>
      </c>
      <c r="AN200" s="775">
        <f t="shared" si="136"/>
        <v>0</v>
      </c>
      <c r="AO200" s="775">
        <f t="shared" si="137"/>
        <v>0</v>
      </c>
      <c r="AQ200" s="773">
        <v>188</v>
      </c>
      <c r="AR200" s="774">
        <f t="shared" si="138"/>
        <v>5692</v>
      </c>
      <c r="AS200" s="775">
        <f t="shared" si="139"/>
        <v>0</v>
      </c>
      <c r="AT200" s="775">
        <f t="shared" si="115"/>
        <v>0</v>
      </c>
      <c r="AU200" s="775">
        <f t="shared" si="107"/>
        <v>0</v>
      </c>
      <c r="AV200" s="775">
        <f t="shared" si="140"/>
        <v>0</v>
      </c>
      <c r="AW200" s="775">
        <f t="shared" si="141"/>
        <v>0</v>
      </c>
      <c r="AY200" s="773">
        <v>188</v>
      </c>
      <c r="AZ200" s="774">
        <f t="shared" si="142"/>
        <v>5692</v>
      </c>
      <c r="BA200" s="775">
        <f t="shared" si="143"/>
        <v>0</v>
      </c>
      <c r="BB200" s="775">
        <f t="shared" si="116"/>
        <v>0</v>
      </c>
      <c r="BC200" s="775">
        <f t="shared" si="108"/>
        <v>0</v>
      </c>
      <c r="BD200" s="775">
        <f t="shared" si="144"/>
        <v>0</v>
      </c>
      <c r="BE200" s="775">
        <f t="shared" si="145"/>
        <v>0</v>
      </c>
      <c r="BG200" s="773">
        <v>188</v>
      </c>
      <c r="BH200" s="774">
        <f t="shared" si="146"/>
        <v>5692</v>
      </c>
      <c r="BI200" s="775">
        <f t="shared" si="147"/>
        <v>0</v>
      </c>
      <c r="BJ200" s="775">
        <f t="shared" si="117"/>
        <v>0</v>
      </c>
      <c r="BK200" s="775">
        <f t="shared" si="109"/>
        <v>0</v>
      </c>
      <c r="BL200" s="775">
        <f t="shared" si="148"/>
        <v>0</v>
      </c>
      <c r="BM200" s="775">
        <f t="shared" si="149"/>
        <v>0</v>
      </c>
    </row>
    <row r="201" spans="1:65">
      <c r="A201" s="11">
        <f t="shared" si="102"/>
        <v>1915</v>
      </c>
      <c r="B201" s="773">
        <v>189</v>
      </c>
      <c r="C201" s="774">
        <f t="shared" si="118"/>
        <v>5723</v>
      </c>
      <c r="D201" s="775">
        <f t="shared" si="119"/>
        <v>0</v>
      </c>
      <c r="E201" s="775">
        <f t="shared" si="110"/>
        <v>0</v>
      </c>
      <c r="F201" s="775">
        <f t="shared" si="100"/>
        <v>0</v>
      </c>
      <c r="G201" s="775">
        <f t="shared" si="120"/>
        <v>0</v>
      </c>
      <c r="H201" s="775">
        <f t="shared" si="121"/>
        <v>0</v>
      </c>
      <c r="I201" s="775">
        <f t="shared" si="101"/>
        <v>0</v>
      </c>
      <c r="K201" s="773">
        <v>189</v>
      </c>
      <c r="L201" s="774">
        <f t="shared" si="122"/>
        <v>5723</v>
      </c>
      <c r="M201" s="775">
        <f t="shared" si="123"/>
        <v>0</v>
      </c>
      <c r="N201" s="775">
        <f t="shared" si="111"/>
        <v>0</v>
      </c>
      <c r="O201" s="775">
        <f t="shared" si="103"/>
        <v>0</v>
      </c>
      <c r="P201" s="775">
        <f t="shared" si="124"/>
        <v>0</v>
      </c>
      <c r="Q201" s="775">
        <f t="shared" si="125"/>
        <v>0</v>
      </c>
      <c r="S201" s="773">
        <v>189</v>
      </c>
      <c r="T201" s="774">
        <f t="shared" si="126"/>
        <v>5723</v>
      </c>
      <c r="U201" s="775">
        <f t="shared" si="127"/>
        <v>0</v>
      </c>
      <c r="V201" s="775">
        <f t="shared" si="112"/>
        <v>0</v>
      </c>
      <c r="W201" s="775">
        <f t="shared" si="104"/>
        <v>0</v>
      </c>
      <c r="X201" s="775">
        <f t="shared" si="128"/>
        <v>0</v>
      </c>
      <c r="Y201" s="775">
        <f t="shared" si="129"/>
        <v>0</v>
      </c>
      <c r="AA201" s="773">
        <v>189</v>
      </c>
      <c r="AB201" s="774">
        <f t="shared" si="130"/>
        <v>5723</v>
      </c>
      <c r="AC201" s="775">
        <f t="shared" si="131"/>
        <v>0</v>
      </c>
      <c r="AD201" s="775">
        <f t="shared" si="113"/>
        <v>0</v>
      </c>
      <c r="AE201" s="775">
        <f t="shared" si="105"/>
        <v>0</v>
      </c>
      <c r="AF201" s="775">
        <f t="shared" si="132"/>
        <v>0</v>
      </c>
      <c r="AG201" s="775">
        <f t="shared" si="133"/>
        <v>0</v>
      </c>
      <c r="AI201" s="773">
        <v>189</v>
      </c>
      <c r="AJ201" s="774">
        <f t="shared" si="134"/>
        <v>5723</v>
      </c>
      <c r="AK201" s="775">
        <f t="shared" si="135"/>
        <v>0</v>
      </c>
      <c r="AL201" s="775">
        <f t="shared" si="114"/>
        <v>0</v>
      </c>
      <c r="AM201" s="775">
        <f t="shared" si="106"/>
        <v>0</v>
      </c>
      <c r="AN201" s="775">
        <f t="shared" si="136"/>
        <v>0</v>
      </c>
      <c r="AO201" s="775">
        <f t="shared" si="137"/>
        <v>0</v>
      </c>
      <c r="AQ201" s="773">
        <v>189</v>
      </c>
      <c r="AR201" s="774">
        <f t="shared" si="138"/>
        <v>5723</v>
      </c>
      <c r="AS201" s="775">
        <f t="shared" si="139"/>
        <v>0</v>
      </c>
      <c r="AT201" s="775">
        <f t="shared" si="115"/>
        <v>0</v>
      </c>
      <c r="AU201" s="775">
        <f t="shared" si="107"/>
        <v>0</v>
      </c>
      <c r="AV201" s="775">
        <f t="shared" si="140"/>
        <v>0</v>
      </c>
      <c r="AW201" s="775">
        <f t="shared" si="141"/>
        <v>0</v>
      </c>
      <c r="AY201" s="773">
        <v>189</v>
      </c>
      <c r="AZ201" s="774">
        <f t="shared" si="142"/>
        <v>5723</v>
      </c>
      <c r="BA201" s="775">
        <f t="shared" si="143"/>
        <v>0</v>
      </c>
      <c r="BB201" s="775">
        <f t="shared" si="116"/>
        <v>0</v>
      </c>
      <c r="BC201" s="775">
        <f t="shared" si="108"/>
        <v>0</v>
      </c>
      <c r="BD201" s="775">
        <f t="shared" si="144"/>
        <v>0</v>
      </c>
      <c r="BE201" s="775">
        <f t="shared" si="145"/>
        <v>0</v>
      </c>
      <c r="BG201" s="773">
        <v>189</v>
      </c>
      <c r="BH201" s="774">
        <f t="shared" si="146"/>
        <v>5723</v>
      </c>
      <c r="BI201" s="775">
        <f t="shared" si="147"/>
        <v>0</v>
      </c>
      <c r="BJ201" s="775">
        <f t="shared" si="117"/>
        <v>0</v>
      </c>
      <c r="BK201" s="775">
        <f t="shared" si="109"/>
        <v>0</v>
      </c>
      <c r="BL201" s="775">
        <f t="shared" si="148"/>
        <v>0</v>
      </c>
      <c r="BM201" s="775">
        <f t="shared" si="149"/>
        <v>0</v>
      </c>
    </row>
    <row r="202" spans="1:65">
      <c r="A202" s="11">
        <f t="shared" si="102"/>
        <v>1915</v>
      </c>
      <c r="B202" s="773">
        <v>190</v>
      </c>
      <c r="C202" s="774">
        <f t="shared" si="118"/>
        <v>5753</v>
      </c>
      <c r="D202" s="775">
        <f t="shared" si="119"/>
        <v>0</v>
      </c>
      <c r="E202" s="775">
        <f t="shared" si="110"/>
        <v>0</v>
      </c>
      <c r="F202" s="775">
        <f t="shared" si="100"/>
        <v>0</v>
      </c>
      <c r="G202" s="775">
        <f t="shared" si="120"/>
        <v>0</v>
      </c>
      <c r="H202" s="775">
        <f t="shared" si="121"/>
        <v>0</v>
      </c>
      <c r="I202" s="775">
        <f t="shared" si="101"/>
        <v>0</v>
      </c>
      <c r="K202" s="773">
        <v>190</v>
      </c>
      <c r="L202" s="774">
        <f t="shared" si="122"/>
        <v>5753</v>
      </c>
      <c r="M202" s="775">
        <f t="shared" si="123"/>
        <v>0</v>
      </c>
      <c r="N202" s="775">
        <f t="shared" si="111"/>
        <v>0</v>
      </c>
      <c r="O202" s="775">
        <f t="shared" si="103"/>
        <v>0</v>
      </c>
      <c r="P202" s="775">
        <f t="shared" si="124"/>
        <v>0</v>
      </c>
      <c r="Q202" s="775">
        <f t="shared" si="125"/>
        <v>0</v>
      </c>
      <c r="S202" s="773">
        <v>190</v>
      </c>
      <c r="T202" s="774">
        <f t="shared" si="126"/>
        <v>5753</v>
      </c>
      <c r="U202" s="775">
        <f t="shared" si="127"/>
        <v>0</v>
      </c>
      <c r="V202" s="775">
        <f t="shared" si="112"/>
        <v>0</v>
      </c>
      <c r="W202" s="775">
        <f t="shared" si="104"/>
        <v>0</v>
      </c>
      <c r="X202" s="775">
        <f t="shared" si="128"/>
        <v>0</v>
      </c>
      <c r="Y202" s="775">
        <f t="shared" si="129"/>
        <v>0</v>
      </c>
      <c r="AA202" s="773">
        <v>190</v>
      </c>
      <c r="AB202" s="774">
        <f t="shared" si="130"/>
        <v>5753</v>
      </c>
      <c r="AC202" s="775">
        <f t="shared" si="131"/>
        <v>0</v>
      </c>
      <c r="AD202" s="775">
        <f t="shared" si="113"/>
        <v>0</v>
      </c>
      <c r="AE202" s="775">
        <f t="shared" si="105"/>
        <v>0</v>
      </c>
      <c r="AF202" s="775">
        <f t="shared" si="132"/>
        <v>0</v>
      </c>
      <c r="AG202" s="775">
        <f t="shared" si="133"/>
        <v>0</v>
      </c>
      <c r="AI202" s="773">
        <v>190</v>
      </c>
      <c r="AJ202" s="774">
        <f t="shared" si="134"/>
        <v>5753</v>
      </c>
      <c r="AK202" s="775">
        <f t="shared" si="135"/>
        <v>0</v>
      </c>
      <c r="AL202" s="775">
        <f t="shared" si="114"/>
        <v>0</v>
      </c>
      <c r="AM202" s="775">
        <f t="shared" si="106"/>
        <v>0</v>
      </c>
      <c r="AN202" s="775">
        <f t="shared" si="136"/>
        <v>0</v>
      </c>
      <c r="AO202" s="775">
        <f t="shared" si="137"/>
        <v>0</v>
      </c>
      <c r="AQ202" s="773">
        <v>190</v>
      </c>
      <c r="AR202" s="774">
        <f t="shared" si="138"/>
        <v>5753</v>
      </c>
      <c r="AS202" s="775">
        <f t="shared" si="139"/>
        <v>0</v>
      </c>
      <c r="AT202" s="775">
        <f t="shared" si="115"/>
        <v>0</v>
      </c>
      <c r="AU202" s="775">
        <f t="shared" si="107"/>
        <v>0</v>
      </c>
      <c r="AV202" s="775">
        <f t="shared" si="140"/>
        <v>0</v>
      </c>
      <c r="AW202" s="775">
        <f t="shared" si="141"/>
        <v>0</v>
      </c>
      <c r="AY202" s="773">
        <v>190</v>
      </c>
      <c r="AZ202" s="774">
        <f t="shared" si="142"/>
        <v>5753</v>
      </c>
      <c r="BA202" s="775">
        <f t="shared" si="143"/>
        <v>0</v>
      </c>
      <c r="BB202" s="775">
        <f t="shared" si="116"/>
        <v>0</v>
      </c>
      <c r="BC202" s="775">
        <f t="shared" si="108"/>
        <v>0</v>
      </c>
      <c r="BD202" s="775">
        <f t="shared" si="144"/>
        <v>0</v>
      </c>
      <c r="BE202" s="775">
        <f t="shared" si="145"/>
        <v>0</v>
      </c>
      <c r="BG202" s="773">
        <v>190</v>
      </c>
      <c r="BH202" s="774">
        <f t="shared" si="146"/>
        <v>5753</v>
      </c>
      <c r="BI202" s="775">
        <f t="shared" si="147"/>
        <v>0</v>
      </c>
      <c r="BJ202" s="775">
        <f t="shared" si="117"/>
        <v>0</v>
      </c>
      <c r="BK202" s="775">
        <f t="shared" si="109"/>
        <v>0</v>
      </c>
      <c r="BL202" s="775">
        <f t="shared" si="148"/>
        <v>0</v>
      </c>
      <c r="BM202" s="775">
        <f t="shared" si="149"/>
        <v>0</v>
      </c>
    </row>
    <row r="203" spans="1:65">
      <c r="A203" s="11">
        <f t="shared" si="102"/>
        <v>1915</v>
      </c>
      <c r="B203" s="773">
        <v>191</v>
      </c>
      <c r="C203" s="774">
        <f t="shared" si="118"/>
        <v>5784</v>
      </c>
      <c r="D203" s="775">
        <f t="shared" si="119"/>
        <v>0</v>
      </c>
      <c r="E203" s="775">
        <f t="shared" si="110"/>
        <v>0</v>
      </c>
      <c r="F203" s="775">
        <f t="shared" si="100"/>
        <v>0</v>
      </c>
      <c r="G203" s="775">
        <f t="shared" si="120"/>
        <v>0</v>
      </c>
      <c r="H203" s="775">
        <f t="shared" si="121"/>
        <v>0</v>
      </c>
      <c r="I203" s="775">
        <f t="shared" si="101"/>
        <v>0</v>
      </c>
      <c r="K203" s="773">
        <v>191</v>
      </c>
      <c r="L203" s="774">
        <f t="shared" si="122"/>
        <v>5784</v>
      </c>
      <c r="M203" s="775">
        <f t="shared" si="123"/>
        <v>0</v>
      </c>
      <c r="N203" s="775">
        <f t="shared" si="111"/>
        <v>0</v>
      </c>
      <c r="O203" s="775">
        <f t="shared" si="103"/>
        <v>0</v>
      </c>
      <c r="P203" s="775">
        <f t="shared" si="124"/>
        <v>0</v>
      </c>
      <c r="Q203" s="775">
        <f t="shared" si="125"/>
        <v>0</v>
      </c>
      <c r="S203" s="773">
        <v>191</v>
      </c>
      <c r="T203" s="774">
        <f t="shared" si="126"/>
        <v>5784</v>
      </c>
      <c r="U203" s="775">
        <f t="shared" si="127"/>
        <v>0</v>
      </c>
      <c r="V203" s="775">
        <f t="shared" si="112"/>
        <v>0</v>
      </c>
      <c r="W203" s="775">
        <f t="shared" si="104"/>
        <v>0</v>
      </c>
      <c r="X203" s="775">
        <f t="shared" si="128"/>
        <v>0</v>
      </c>
      <c r="Y203" s="775">
        <f t="shared" si="129"/>
        <v>0</v>
      </c>
      <c r="AA203" s="773">
        <v>191</v>
      </c>
      <c r="AB203" s="774">
        <f t="shared" si="130"/>
        <v>5784</v>
      </c>
      <c r="AC203" s="775">
        <f t="shared" si="131"/>
        <v>0</v>
      </c>
      <c r="AD203" s="775">
        <f t="shared" si="113"/>
        <v>0</v>
      </c>
      <c r="AE203" s="775">
        <f t="shared" si="105"/>
        <v>0</v>
      </c>
      <c r="AF203" s="775">
        <f t="shared" si="132"/>
        <v>0</v>
      </c>
      <c r="AG203" s="775">
        <f t="shared" si="133"/>
        <v>0</v>
      </c>
      <c r="AI203" s="773">
        <v>191</v>
      </c>
      <c r="AJ203" s="774">
        <f t="shared" si="134"/>
        <v>5784</v>
      </c>
      <c r="AK203" s="775">
        <f t="shared" si="135"/>
        <v>0</v>
      </c>
      <c r="AL203" s="775">
        <f t="shared" si="114"/>
        <v>0</v>
      </c>
      <c r="AM203" s="775">
        <f t="shared" si="106"/>
        <v>0</v>
      </c>
      <c r="AN203" s="775">
        <f t="shared" si="136"/>
        <v>0</v>
      </c>
      <c r="AO203" s="775">
        <f t="shared" si="137"/>
        <v>0</v>
      </c>
      <c r="AQ203" s="773">
        <v>191</v>
      </c>
      <c r="AR203" s="774">
        <f t="shared" si="138"/>
        <v>5784</v>
      </c>
      <c r="AS203" s="775">
        <f t="shared" si="139"/>
        <v>0</v>
      </c>
      <c r="AT203" s="775">
        <f t="shared" si="115"/>
        <v>0</v>
      </c>
      <c r="AU203" s="775">
        <f t="shared" si="107"/>
        <v>0</v>
      </c>
      <c r="AV203" s="775">
        <f t="shared" si="140"/>
        <v>0</v>
      </c>
      <c r="AW203" s="775">
        <f t="shared" si="141"/>
        <v>0</v>
      </c>
      <c r="AY203" s="773">
        <v>191</v>
      </c>
      <c r="AZ203" s="774">
        <f t="shared" si="142"/>
        <v>5784</v>
      </c>
      <c r="BA203" s="775">
        <f t="shared" si="143"/>
        <v>0</v>
      </c>
      <c r="BB203" s="775">
        <f t="shared" si="116"/>
        <v>0</v>
      </c>
      <c r="BC203" s="775">
        <f t="shared" si="108"/>
        <v>0</v>
      </c>
      <c r="BD203" s="775">
        <f t="shared" si="144"/>
        <v>0</v>
      </c>
      <c r="BE203" s="775">
        <f t="shared" si="145"/>
        <v>0</v>
      </c>
      <c r="BG203" s="773">
        <v>191</v>
      </c>
      <c r="BH203" s="774">
        <f t="shared" si="146"/>
        <v>5784</v>
      </c>
      <c r="BI203" s="775">
        <f t="shared" si="147"/>
        <v>0</v>
      </c>
      <c r="BJ203" s="775">
        <f t="shared" si="117"/>
        <v>0</v>
      </c>
      <c r="BK203" s="775">
        <f t="shared" si="109"/>
        <v>0</v>
      </c>
      <c r="BL203" s="775">
        <f t="shared" si="148"/>
        <v>0</v>
      </c>
      <c r="BM203" s="775">
        <f t="shared" si="149"/>
        <v>0</v>
      </c>
    </row>
    <row r="204" spans="1:65">
      <c r="A204" s="11">
        <f t="shared" si="102"/>
        <v>1915</v>
      </c>
      <c r="B204" s="773">
        <v>192</v>
      </c>
      <c r="C204" s="774">
        <f t="shared" si="118"/>
        <v>5814</v>
      </c>
      <c r="D204" s="775">
        <f t="shared" si="119"/>
        <v>0</v>
      </c>
      <c r="E204" s="775">
        <f t="shared" si="110"/>
        <v>0</v>
      </c>
      <c r="F204" s="775">
        <f t="shared" si="100"/>
        <v>0</v>
      </c>
      <c r="G204" s="775">
        <f t="shared" si="120"/>
        <v>0</v>
      </c>
      <c r="H204" s="775">
        <f t="shared" si="121"/>
        <v>0</v>
      </c>
      <c r="I204" s="775">
        <f t="shared" si="101"/>
        <v>0</v>
      </c>
      <c r="K204" s="773">
        <v>192</v>
      </c>
      <c r="L204" s="774">
        <f t="shared" si="122"/>
        <v>5814</v>
      </c>
      <c r="M204" s="775">
        <f t="shared" si="123"/>
        <v>0</v>
      </c>
      <c r="N204" s="775">
        <f t="shared" si="111"/>
        <v>0</v>
      </c>
      <c r="O204" s="775">
        <f t="shared" si="103"/>
        <v>0</v>
      </c>
      <c r="P204" s="775">
        <f t="shared" si="124"/>
        <v>0</v>
      </c>
      <c r="Q204" s="775">
        <f t="shared" si="125"/>
        <v>0</v>
      </c>
      <c r="S204" s="773">
        <v>192</v>
      </c>
      <c r="T204" s="774">
        <f t="shared" si="126"/>
        <v>5814</v>
      </c>
      <c r="U204" s="775">
        <f t="shared" si="127"/>
        <v>0</v>
      </c>
      <c r="V204" s="775">
        <f t="shared" si="112"/>
        <v>0</v>
      </c>
      <c r="W204" s="775">
        <f t="shared" si="104"/>
        <v>0</v>
      </c>
      <c r="X204" s="775">
        <f t="shared" si="128"/>
        <v>0</v>
      </c>
      <c r="Y204" s="775">
        <f t="shared" si="129"/>
        <v>0</v>
      </c>
      <c r="AA204" s="773">
        <v>192</v>
      </c>
      <c r="AB204" s="774">
        <f t="shared" si="130"/>
        <v>5814</v>
      </c>
      <c r="AC204" s="775">
        <f t="shared" si="131"/>
        <v>0</v>
      </c>
      <c r="AD204" s="775">
        <f t="shared" si="113"/>
        <v>0</v>
      </c>
      <c r="AE204" s="775">
        <f t="shared" si="105"/>
        <v>0</v>
      </c>
      <c r="AF204" s="775">
        <f t="shared" si="132"/>
        <v>0</v>
      </c>
      <c r="AG204" s="775">
        <f t="shared" si="133"/>
        <v>0</v>
      </c>
      <c r="AI204" s="773">
        <v>192</v>
      </c>
      <c r="AJ204" s="774">
        <f t="shared" si="134"/>
        <v>5814</v>
      </c>
      <c r="AK204" s="775">
        <f t="shared" si="135"/>
        <v>0</v>
      </c>
      <c r="AL204" s="775">
        <f t="shared" si="114"/>
        <v>0</v>
      </c>
      <c r="AM204" s="775">
        <f t="shared" si="106"/>
        <v>0</v>
      </c>
      <c r="AN204" s="775">
        <f t="shared" si="136"/>
        <v>0</v>
      </c>
      <c r="AO204" s="775">
        <f t="shared" si="137"/>
        <v>0</v>
      </c>
      <c r="AQ204" s="773">
        <v>192</v>
      </c>
      <c r="AR204" s="774">
        <f t="shared" si="138"/>
        <v>5814</v>
      </c>
      <c r="AS204" s="775">
        <f t="shared" si="139"/>
        <v>0</v>
      </c>
      <c r="AT204" s="775">
        <f t="shared" si="115"/>
        <v>0</v>
      </c>
      <c r="AU204" s="775">
        <f t="shared" si="107"/>
        <v>0</v>
      </c>
      <c r="AV204" s="775">
        <f t="shared" si="140"/>
        <v>0</v>
      </c>
      <c r="AW204" s="775">
        <f t="shared" si="141"/>
        <v>0</v>
      </c>
      <c r="AY204" s="773">
        <v>192</v>
      </c>
      <c r="AZ204" s="774">
        <f t="shared" si="142"/>
        <v>5814</v>
      </c>
      <c r="BA204" s="775">
        <f t="shared" si="143"/>
        <v>0</v>
      </c>
      <c r="BB204" s="775">
        <f t="shared" si="116"/>
        <v>0</v>
      </c>
      <c r="BC204" s="775">
        <f t="shared" si="108"/>
        <v>0</v>
      </c>
      <c r="BD204" s="775">
        <f t="shared" si="144"/>
        <v>0</v>
      </c>
      <c r="BE204" s="775">
        <f t="shared" si="145"/>
        <v>0</v>
      </c>
      <c r="BG204" s="773">
        <v>192</v>
      </c>
      <c r="BH204" s="774">
        <f t="shared" si="146"/>
        <v>5814</v>
      </c>
      <c r="BI204" s="775">
        <f t="shared" si="147"/>
        <v>0</v>
      </c>
      <c r="BJ204" s="775">
        <f t="shared" si="117"/>
        <v>0</v>
      </c>
      <c r="BK204" s="775">
        <f t="shared" si="109"/>
        <v>0</v>
      </c>
      <c r="BL204" s="775">
        <f t="shared" si="148"/>
        <v>0</v>
      </c>
      <c r="BM204" s="775">
        <f t="shared" si="149"/>
        <v>0</v>
      </c>
    </row>
    <row r="205" spans="1:65">
      <c r="A205" s="11">
        <f t="shared" si="102"/>
        <v>1916</v>
      </c>
      <c r="B205" s="773">
        <v>193</v>
      </c>
      <c r="C205" s="774">
        <f t="shared" si="118"/>
        <v>5845</v>
      </c>
      <c r="D205" s="775">
        <f t="shared" si="119"/>
        <v>0</v>
      </c>
      <c r="E205" s="775">
        <f t="shared" si="110"/>
        <v>0</v>
      </c>
      <c r="F205" s="775">
        <f t="shared" ref="F205:F268" si="150">D205*$E$7/12</f>
        <v>0</v>
      </c>
      <c r="G205" s="775">
        <f t="shared" si="120"/>
        <v>0</v>
      </c>
      <c r="H205" s="775">
        <f t="shared" si="121"/>
        <v>0</v>
      </c>
      <c r="I205" s="775">
        <f t="shared" ref="I205:I268" si="151">D205*rng01_MortgageInsurangePremium/12</f>
        <v>0</v>
      </c>
      <c r="K205" s="773">
        <v>193</v>
      </c>
      <c r="L205" s="774">
        <f t="shared" si="122"/>
        <v>5845</v>
      </c>
      <c r="M205" s="775">
        <f t="shared" si="123"/>
        <v>0</v>
      </c>
      <c r="N205" s="775">
        <f t="shared" si="111"/>
        <v>0</v>
      </c>
      <c r="O205" s="775">
        <f t="shared" si="103"/>
        <v>0</v>
      </c>
      <c r="P205" s="775">
        <f t="shared" si="124"/>
        <v>0</v>
      </c>
      <c r="Q205" s="775">
        <f t="shared" si="125"/>
        <v>0</v>
      </c>
      <c r="S205" s="773">
        <v>193</v>
      </c>
      <c r="T205" s="774">
        <f t="shared" si="126"/>
        <v>5845</v>
      </c>
      <c r="U205" s="775">
        <f t="shared" si="127"/>
        <v>0</v>
      </c>
      <c r="V205" s="775">
        <f t="shared" si="112"/>
        <v>0</v>
      </c>
      <c r="W205" s="775">
        <f t="shared" si="104"/>
        <v>0</v>
      </c>
      <c r="X205" s="775">
        <f t="shared" si="128"/>
        <v>0</v>
      </c>
      <c r="Y205" s="775">
        <f t="shared" si="129"/>
        <v>0</v>
      </c>
      <c r="AA205" s="773">
        <v>193</v>
      </c>
      <c r="AB205" s="774">
        <f t="shared" si="130"/>
        <v>5845</v>
      </c>
      <c r="AC205" s="775">
        <f t="shared" si="131"/>
        <v>0</v>
      </c>
      <c r="AD205" s="775">
        <f t="shared" si="113"/>
        <v>0</v>
      </c>
      <c r="AE205" s="775">
        <f t="shared" si="105"/>
        <v>0</v>
      </c>
      <c r="AF205" s="775">
        <f t="shared" si="132"/>
        <v>0</v>
      </c>
      <c r="AG205" s="775">
        <f t="shared" si="133"/>
        <v>0</v>
      </c>
      <c r="AI205" s="773">
        <v>193</v>
      </c>
      <c r="AJ205" s="774">
        <f t="shared" si="134"/>
        <v>5845</v>
      </c>
      <c r="AK205" s="775">
        <f t="shared" si="135"/>
        <v>0</v>
      </c>
      <c r="AL205" s="775">
        <f t="shared" si="114"/>
        <v>0</v>
      </c>
      <c r="AM205" s="775">
        <f t="shared" si="106"/>
        <v>0</v>
      </c>
      <c r="AN205" s="775">
        <f t="shared" si="136"/>
        <v>0</v>
      </c>
      <c r="AO205" s="775">
        <f t="shared" si="137"/>
        <v>0</v>
      </c>
      <c r="AQ205" s="773">
        <v>193</v>
      </c>
      <c r="AR205" s="774">
        <f t="shared" si="138"/>
        <v>5845</v>
      </c>
      <c r="AS205" s="775">
        <f t="shared" si="139"/>
        <v>0</v>
      </c>
      <c r="AT205" s="775">
        <f t="shared" si="115"/>
        <v>0</v>
      </c>
      <c r="AU205" s="775">
        <f t="shared" si="107"/>
        <v>0</v>
      </c>
      <c r="AV205" s="775">
        <f t="shared" si="140"/>
        <v>0</v>
      </c>
      <c r="AW205" s="775">
        <f t="shared" si="141"/>
        <v>0</v>
      </c>
      <c r="AY205" s="773">
        <v>193</v>
      </c>
      <c r="AZ205" s="774">
        <f t="shared" si="142"/>
        <v>5845</v>
      </c>
      <c r="BA205" s="775">
        <f t="shared" si="143"/>
        <v>0</v>
      </c>
      <c r="BB205" s="775">
        <f t="shared" si="116"/>
        <v>0</v>
      </c>
      <c r="BC205" s="775">
        <f t="shared" si="108"/>
        <v>0</v>
      </c>
      <c r="BD205" s="775">
        <f t="shared" si="144"/>
        <v>0</v>
      </c>
      <c r="BE205" s="775">
        <f t="shared" si="145"/>
        <v>0</v>
      </c>
      <c r="BG205" s="773">
        <v>193</v>
      </c>
      <c r="BH205" s="774">
        <f t="shared" si="146"/>
        <v>5845</v>
      </c>
      <c r="BI205" s="775">
        <f t="shared" si="147"/>
        <v>0</v>
      </c>
      <c r="BJ205" s="775">
        <f t="shared" si="117"/>
        <v>0</v>
      </c>
      <c r="BK205" s="775">
        <f t="shared" si="109"/>
        <v>0</v>
      </c>
      <c r="BL205" s="775">
        <f t="shared" si="148"/>
        <v>0</v>
      </c>
      <c r="BM205" s="775">
        <f t="shared" si="149"/>
        <v>0</v>
      </c>
    </row>
    <row r="206" spans="1:65">
      <c r="A206" s="11">
        <f t="shared" ref="A206:A269" si="152">YEAR(C206)</f>
        <v>1916</v>
      </c>
      <c r="B206" s="773">
        <v>194</v>
      </c>
      <c r="C206" s="774">
        <f t="shared" si="118"/>
        <v>5876</v>
      </c>
      <c r="D206" s="775">
        <f t="shared" si="119"/>
        <v>0</v>
      </c>
      <c r="E206" s="775">
        <f t="shared" si="110"/>
        <v>0</v>
      </c>
      <c r="F206" s="775">
        <f t="shared" si="150"/>
        <v>0</v>
      </c>
      <c r="G206" s="775">
        <f t="shared" si="120"/>
        <v>0</v>
      </c>
      <c r="H206" s="775">
        <f t="shared" si="121"/>
        <v>0</v>
      </c>
      <c r="I206" s="775">
        <f t="shared" si="151"/>
        <v>0</v>
      </c>
      <c r="K206" s="773">
        <v>194</v>
      </c>
      <c r="L206" s="774">
        <f t="shared" si="122"/>
        <v>5876</v>
      </c>
      <c r="M206" s="775">
        <f t="shared" si="123"/>
        <v>0</v>
      </c>
      <c r="N206" s="775">
        <f t="shared" si="111"/>
        <v>0</v>
      </c>
      <c r="O206" s="775">
        <f t="shared" ref="O206:O269" si="153">M206*$N$7/12</f>
        <v>0</v>
      </c>
      <c r="P206" s="775">
        <f t="shared" si="124"/>
        <v>0</v>
      </c>
      <c r="Q206" s="775">
        <f t="shared" si="125"/>
        <v>0</v>
      </c>
      <c r="S206" s="773">
        <v>194</v>
      </c>
      <c r="T206" s="774">
        <f t="shared" si="126"/>
        <v>5876</v>
      </c>
      <c r="U206" s="775">
        <f t="shared" si="127"/>
        <v>0</v>
      </c>
      <c r="V206" s="775">
        <f t="shared" si="112"/>
        <v>0</v>
      </c>
      <c r="W206" s="775">
        <f t="shared" ref="W206:W269" si="154">U206*V$7/12</f>
        <v>0</v>
      </c>
      <c r="X206" s="775">
        <f t="shared" si="128"/>
        <v>0</v>
      </c>
      <c r="Y206" s="775">
        <f t="shared" si="129"/>
        <v>0</v>
      </c>
      <c r="AA206" s="773">
        <v>194</v>
      </c>
      <c r="AB206" s="774">
        <f t="shared" si="130"/>
        <v>5876</v>
      </c>
      <c r="AC206" s="775">
        <f t="shared" si="131"/>
        <v>0</v>
      </c>
      <c r="AD206" s="775">
        <f t="shared" si="113"/>
        <v>0</v>
      </c>
      <c r="AE206" s="775">
        <f t="shared" ref="AE206:AE269" si="155">AC206*AD$7/12</f>
        <v>0</v>
      </c>
      <c r="AF206" s="775">
        <f t="shared" si="132"/>
        <v>0</v>
      </c>
      <c r="AG206" s="775">
        <f t="shared" si="133"/>
        <v>0</v>
      </c>
      <c r="AI206" s="773">
        <v>194</v>
      </c>
      <c r="AJ206" s="774">
        <f t="shared" si="134"/>
        <v>5876</v>
      </c>
      <c r="AK206" s="775">
        <f t="shared" si="135"/>
        <v>0</v>
      </c>
      <c r="AL206" s="775">
        <f t="shared" si="114"/>
        <v>0</v>
      </c>
      <c r="AM206" s="775">
        <f t="shared" ref="AM206:AM269" si="156">AK206*AL$7/12</f>
        <v>0</v>
      </c>
      <c r="AN206" s="775">
        <f t="shared" si="136"/>
        <v>0</v>
      </c>
      <c r="AO206" s="775">
        <f t="shared" si="137"/>
        <v>0</v>
      </c>
      <c r="AQ206" s="773">
        <v>194</v>
      </c>
      <c r="AR206" s="774">
        <f t="shared" si="138"/>
        <v>5876</v>
      </c>
      <c r="AS206" s="775">
        <f t="shared" si="139"/>
        <v>0</v>
      </c>
      <c r="AT206" s="775">
        <f t="shared" si="115"/>
        <v>0</v>
      </c>
      <c r="AU206" s="775">
        <f t="shared" ref="AU206:AU269" si="157">AS206*AT$7/12</f>
        <v>0</v>
      </c>
      <c r="AV206" s="775">
        <f t="shared" si="140"/>
        <v>0</v>
      </c>
      <c r="AW206" s="775">
        <f t="shared" si="141"/>
        <v>0</v>
      </c>
      <c r="AY206" s="773">
        <v>194</v>
      </c>
      <c r="AZ206" s="774">
        <f t="shared" si="142"/>
        <v>5876</v>
      </c>
      <c r="BA206" s="775">
        <f t="shared" si="143"/>
        <v>0</v>
      </c>
      <c r="BB206" s="775">
        <f t="shared" si="116"/>
        <v>0</v>
      </c>
      <c r="BC206" s="775">
        <f t="shared" ref="BC206:BC269" si="158">BA206*BB$7/12</f>
        <v>0</v>
      </c>
      <c r="BD206" s="775">
        <f t="shared" si="144"/>
        <v>0</v>
      </c>
      <c r="BE206" s="775">
        <f t="shared" si="145"/>
        <v>0</v>
      </c>
      <c r="BG206" s="773">
        <v>194</v>
      </c>
      <c r="BH206" s="774">
        <f t="shared" si="146"/>
        <v>5876</v>
      </c>
      <c r="BI206" s="775">
        <f t="shared" si="147"/>
        <v>0</v>
      </c>
      <c r="BJ206" s="775">
        <f t="shared" si="117"/>
        <v>0</v>
      </c>
      <c r="BK206" s="775">
        <f t="shared" ref="BK206:BK269" si="159">BI206*BJ$7/12</f>
        <v>0</v>
      </c>
      <c r="BL206" s="775">
        <f t="shared" si="148"/>
        <v>0</v>
      </c>
      <c r="BM206" s="775">
        <f t="shared" si="149"/>
        <v>0</v>
      </c>
    </row>
    <row r="207" spans="1:65">
      <c r="A207" s="11">
        <f t="shared" si="152"/>
        <v>1916</v>
      </c>
      <c r="B207" s="773">
        <v>195</v>
      </c>
      <c r="C207" s="774">
        <f t="shared" si="118"/>
        <v>5905</v>
      </c>
      <c r="D207" s="775">
        <f t="shared" si="119"/>
        <v>0</v>
      </c>
      <c r="E207" s="775">
        <f t="shared" ref="E207:E270" si="160">IF(ROUND(D207,0)&gt;0,E206,0)</f>
        <v>0</v>
      </c>
      <c r="F207" s="775">
        <f t="shared" si="150"/>
        <v>0</v>
      </c>
      <c r="G207" s="775">
        <f t="shared" si="120"/>
        <v>0</v>
      </c>
      <c r="H207" s="775">
        <f t="shared" si="121"/>
        <v>0</v>
      </c>
      <c r="I207" s="775">
        <f t="shared" si="151"/>
        <v>0</v>
      </c>
      <c r="K207" s="773">
        <v>195</v>
      </c>
      <c r="L207" s="774">
        <f t="shared" si="122"/>
        <v>5905</v>
      </c>
      <c r="M207" s="775">
        <f t="shared" si="123"/>
        <v>0</v>
      </c>
      <c r="N207" s="775">
        <f t="shared" ref="N207:N270" si="161">IF(ROUND(M207,0)&gt;0,N206,0)</f>
        <v>0</v>
      </c>
      <c r="O207" s="775">
        <f t="shared" si="153"/>
        <v>0</v>
      </c>
      <c r="P207" s="775">
        <f t="shared" si="124"/>
        <v>0</v>
      </c>
      <c r="Q207" s="775">
        <f t="shared" si="125"/>
        <v>0</v>
      </c>
      <c r="S207" s="773">
        <v>195</v>
      </c>
      <c r="T207" s="774">
        <f t="shared" si="126"/>
        <v>5905</v>
      </c>
      <c r="U207" s="775">
        <f t="shared" si="127"/>
        <v>0</v>
      </c>
      <c r="V207" s="775">
        <f t="shared" ref="V207:V270" si="162">IF(ROUND(U207,0)&gt;0,V206,0)</f>
        <v>0</v>
      </c>
      <c r="W207" s="775">
        <f t="shared" si="154"/>
        <v>0</v>
      </c>
      <c r="X207" s="775">
        <f t="shared" si="128"/>
        <v>0</v>
      </c>
      <c r="Y207" s="775">
        <f t="shared" si="129"/>
        <v>0</v>
      </c>
      <c r="AA207" s="773">
        <v>195</v>
      </c>
      <c r="AB207" s="774">
        <f t="shared" si="130"/>
        <v>5905</v>
      </c>
      <c r="AC207" s="775">
        <f t="shared" si="131"/>
        <v>0</v>
      </c>
      <c r="AD207" s="775">
        <f t="shared" ref="AD207:AD270" si="163">IF(ROUND(AC207,0)&gt;0,AD206,0)</f>
        <v>0</v>
      </c>
      <c r="AE207" s="775">
        <f t="shared" si="155"/>
        <v>0</v>
      </c>
      <c r="AF207" s="775">
        <f t="shared" si="132"/>
        <v>0</v>
      </c>
      <c r="AG207" s="775">
        <f t="shared" si="133"/>
        <v>0</v>
      </c>
      <c r="AI207" s="773">
        <v>195</v>
      </c>
      <c r="AJ207" s="774">
        <f t="shared" si="134"/>
        <v>5905</v>
      </c>
      <c r="AK207" s="775">
        <f t="shared" si="135"/>
        <v>0</v>
      </c>
      <c r="AL207" s="775">
        <f t="shared" ref="AL207:AL270" si="164">IF(ROUND(AK207,0)&gt;0,AL206,0)</f>
        <v>0</v>
      </c>
      <c r="AM207" s="775">
        <f t="shared" si="156"/>
        <v>0</v>
      </c>
      <c r="AN207" s="775">
        <f t="shared" si="136"/>
        <v>0</v>
      </c>
      <c r="AO207" s="775">
        <f t="shared" si="137"/>
        <v>0</v>
      </c>
      <c r="AQ207" s="773">
        <v>195</v>
      </c>
      <c r="AR207" s="774">
        <f t="shared" si="138"/>
        <v>5905</v>
      </c>
      <c r="AS207" s="775">
        <f t="shared" si="139"/>
        <v>0</v>
      </c>
      <c r="AT207" s="775">
        <f t="shared" ref="AT207:AT270" si="165">IF(ROUND(AS207,0)&gt;0,AT206,0)</f>
        <v>0</v>
      </c>
      <c r="AU207" s="775">
        <f t="shared" si="157"/>
        <v>0</v>
      </c>
      <c r="AV207" s="775">
        <f t="shared" si="140"/>
        <v>0</v>
      </c>
      <c r="AW207" s="775">
        <f t="shared" si="141"/>
        <v>0</v>
      </c>
      <c r="AY207" s="773">
        <v>195</v>
      </c>
      <c r="AZ207" s="774">
        <f t="shared" si="142"/>
        <v>5905</v>
      </c>
      <c r="BA207" s="775">
        <f t="shared" si="143"/>
        <v>0</v>
      </c>
      <c r="BB207" s="775">
        <f t="shared" ref="BB207:BB270" si="166">IF(ROUND(BA207,0)&gt;0,BB206,0)</f>
        <v>0</v>
      </c>
      <c r="BC207" s="775">
        <f t="shared" si="158"/>
        <v>0</v>
      </c>
      <c r="BD207" s="775">
        <f t="shared" si="144"/>
        <v>0</v>
      </c>
      <c r="BE207" s="775">
        <f t="shared" si="145"/>
        <v>0</v>
      </c>
      <c r="BG207" s="773">
        <v>195</v>
      </c>
      <c r="BH207" s="774">
        <f t="shared" si="146"/>
        <v>5905</v>
      </c>
      <c r="BI207" s="775">
        <f t="shared" si="147"/>
        <v>0</v>
      </c>
      <c r="BJ207" s="775">
        <f t="shared" ref="BJ207:BJ270" si="167">IF(ROUND(BI207,0)&gt;0,BJ206,0)</f>
        <v>0</v>
      </c>
      <c r="BK207" s="775">
        <f t="shared" si="159"/>
        <v>0</v>
      </c>
      <c r="BL207" s="775">
        <f t="shared" si="148"/>
        <v>0</v>
      </c>
      <c r="BM207" s="775">
        <f t="shared" si="149"/>
        <v>0</v>
      </c>
    </row>
    <row r="208" spans="1:65">
      <c r="A208" s="11">
        <f t="shared" si="152"/>
        <v>1916</v>
      </c>
      <c r="B208" s="773">
        <v>196</v>
      </c>
      <c r="C208" s="774">
        <f t="shared" ref="C208:C271" si="168">DATE(IF(MONTH(C207)=12,YEAR(C207)+1,YEAR(C207)),IF(MONTH(C207)=12,1,MONTH(C207)+1),1)</f>
        <v>5936</v>
      </c>
      <c r="D208" s="775">
        <f t="shared" ref="D208:D271" si="169">H207</f>
        <v>0</v>
      </c>
      <c r="E208" s="775">
        <f t="shared" si="160"/>
        <v>0</v>
      </c>
      <c r="F208" s="775">
        <f t="shared" si="150"/>
        <v>0</v>
      </c>
      <c r="G208" s="775">
        <f t="shared" ref="G208:G271" si="170">E208-F208</f>
        <v>0</v>
      </c>
      <c r="H208" s="775">
        <f t="shared" ref="H208:H271" si="171">D208-G208</f>
        <v>0</v>
      </c>
      <c r="I208" s="775">
        <f t="shared" si="151"/>
        <v>0</v>
      </c>
      <c r="K208" s="773">
        <v>196</v>
      </c>
      <c r="L208" s="774">
        <f t="shared" ref="L208:L271" si="172">DATE(IF(MONTH(L207)=12,YEAR(L207)+1,YEAR(L207)),IF(MONTH(L207)=12,1,MONTH(L207)+1),1)</f>
        <v>5936</v>
      </c>
      <c r="M208" s="775">
        <f t="shared" ref="M208:M271" si="173">Q207</f>
        <v>0</v>
      </c>
      <c r="N208" s="775">
        <f t="shared" si="161"/>
        <v>0</v>
      </c>
      <c r="O208" s="775">
        <f t="shared" si="153"/>
        <v>0</v>
      </c>
      <c r="P208" s="775">
        <f t="shared" ref="P208:P271" si="174">N208-O208</f>
        <v>0</v>
      </c>
      <c r="Q208" s="775">
        <f t="shared" ref="Q208:Q271" si="175">M208-P208</f>
        <v>0</v>
      </c>
      <c r="S208" s="773">
        <v>196</v>
      </c>
      <c r="T208" s="774">
        <f t="shared" ref="T208:T271" si="176">DATE(IF(MONTH(T207)=12,YEAR(T207)+1,YEAR(T207)),IF(MONTH(T207)=12,1,MONTH(T207)+1),1)</f>
        <v>5936</v>
      </c>
      <c r="U208" s="775">
        <f t="shared" ref="U208:U271" si="177">Y207</f>
        <v>0</v>
      </c>
      <c r="V208" s="775">
        <f t="shared" si="162"/>
        <v>0</v>
      </c>
      <c r="W208" s="775">
        <f t="shared" si="154"/>
        <v>0</v>
      </c>
      <c r="X208" s="775">
        <f t="shared" ref="X208:X271" si="178">V208-W208</f>
        <v>0</v>
      </c>
      <c r="Y208" s="775">
        <f t="shared" ref="Y208:Y271" si="179">U208-X208</f>
        <v>0</v>
      </c>
      <c r="AA208" s="773">
        <v>196</v>
      </c>
      <c r="AB208" s="774">
        <f t="shared" ref="AB208:AB271" si="180">DATE(IF(MONTH(AB207)=12,YEAR(AB207)+1,YEAR(AB207)),IF(MONTH(AB207)=12,1,MONTH(AB207)+1),1)</f>
        <v>5936</v>
      </c>
      <c r="AC208" s="775">
        <f t="shared" ref="AC208:AC271" si="181">AG207</f>
        <v>0</v>
      </c>
      <c r="AD208" s="775">
        <f t="shared" si="163"/>
        <v>0</v>
      </c>
      <c r="AE208" s="775">
        <f t="shared" si="155"/>
        <v>0</v>
      </c>
      <c r="AF208" s="775">
        <f t="shared" ref="AF208:AF271" si="182">AD208-AE208</f>
        <v>0</v>
      </c>
      <c r="AG208" s="775">
        <f t="shared" ref="AG208:AG271" si="183">AC208-AF208</f>
        <v>0</v>
      </c>
      <c r="AI208" s="773">
        <v>196</v>
      </c>
      <c r="AJ208" s="774">
        <f t="shared" ref="AJ208:AJ271" si="184">DATE(IF(MONTH(AJ207)=12,YEAR(AJ207)+1,YEAR(AJ207)),IF(MONTH(AJ207)=12,1,MONTH(AJ207)+1),1)</f>
        <v>5936</v>
      </c>
      <c r="AK208" s="775">
        <f t="shared" ref="AK208:AK271" si="185">AO207</f>
        <v>0</v>
      </c>
      <c r="AL208" s="775">
        <f t="shared" si="164"/>
        <v>0</v>
      </c>
      <c r="AM208" s="775">
        <f t="shared" si="156"/>
        <v>0</v>
      </c>
      <c r="AN208" s="775">
        <f t="shared" ref="AN208:AN271" si="186">AL208-AM208</f>
        <v>0</v>
      </c>
      <c r="AO208" s="775">
        <f t="shared" ref="AO208:AO271" si="187">AK208-AN208</f>
        <v>0</v>
      </c>
      <c r="AQ208" s="773">
        <v>196</v>
      </c>
      <c r="AR208" s="774">
        <f t="shared" ref="AR208:AR271" si="188">DATE(IF(MONTH(AR207)=12,YEAR(AR207)+1,YEAR(AR207)),IF(MONTH(AR207)=12,1,MONTH(AR207)+1),1)</f>
        <v>5936</v>
      </c>
      <c r="AS208" s="775">
        <f t="shared" ref="AS208:AS271" si="189">AW207</f>
        <v>0</v>
      </c>
      <c r="AT208" s="775">
        <f t="shared" si="165"/>
        <v>0</v>
      </c>
      <c r="AU208" s="775">
        <f t="shared" si="157"/>
        <v>0</v>
      </c>
      <c r="AV208" s="775">
        <f t="shared" ref="AV208:AV271" si="190">AT208-AU208</f>
        <v>0</v>
      </c>
      <c r="AW208" s="775">
        <f t="shared" ref="AW208:AW271" si="191">AS208-AV208</f>
        <v>0</v>
      </c>
      <c r="AY208" s="773">
        <v>196</v>
      </c>
      <c r="AZ208" s="774">
        <f t="shared" ref="AZ208:AZ271" si="192">DATE(IF(MONTH(AZ207)=12,YEAR(AZ207)+1,YEAR(AZ207)),IF(MONTH(AZ207)=12,1,MONTH(AZ207)+1),1)</f>
        <v>5936</v>
      </c>
      <c r="BA208" s="775">
        <f t="shared" ref="BA208:BA271" si="193">BE207</f>
        <v>0</v>
      </c>
      <c r="BB208" s="775">
        <f t="shared" si="166"/>
        <v>0</v>
      </c>
      <c r="BC208" s="775">
        <f t="shared" si="158"/>
        <v>0</v>
      </c>
      <c r="BD208" s="775">
        <f t="shared" ref="BD208:BD271" si="194">BB208-BC208</f>
        <v>0</v>
      </c>
      <c r="BE208" s="775">
        <f t="shared" ref="BE208:BE271" si="195">BA208-BD208</f>
        <v>0</v>
      </c>
      <c r="BG208" s="773">
        <v>196</v>
      </c>
      <c r="BH208" s="774">
        <f t="shared" ref="BH208:BH271" si="196">DATE(IF(MONTH(BH207)=12,YEAR(BH207)+1,YEAR(BH207)),IF(MONTH(BH207)=12,1,MONTH(BH207)+1),1)</f>
        <v>5936</v>
      </c>
      <c r="BI208" s="775">
        <f t="shared" ref="BI208:BI271" si="197">BM207</f>
        <v>0</v>
      </c>
      <c r="BJ208" s="775">
        <f t="shared" si="167"/>
        <v>0</v>
      </c>
      <c r="BK208" s="775">
        <f t="shared" si="159"/>
        <v>0</v>
      </c>
      <c r="BL208" s="775">
        <f t="shared" ref="BL208:BL271" si="198">BJ208-BK208</f>
        <v>0</v>
      </c>
      <c r="BM208" s="775">
        <f t="shared" ref="BM208:BM271" si="199">BI208-BL208</f>
        <v>0</v>
      </c>
    </row>
    <row r="209" spans="1:65">
      <c r="A209" s="11">
        <f t="shared" si="152"/>
        <v>1916</v>
      </c>
      <c r="B209" s="773">
        <v>197</v>
      </c>
      <c r="C209" s="774">
        <f t="shared" si="168"/>
        <v>5966</v>
      </c>
      <c r="D209" s="775">
        <f t="shared" si="169"/>
        <v>0</v>
      </c>
      <c r="E209" s="775">
        <f t="shared" si="160"/>
        <v>0</v>
      </c>
      <c r="F209" s="775">
        <f t="shared" si="150"/>
        <v>0</v>
      </c>
      <c r="G209" s="775">
        <f t="shared" si="170"/>
        <v>0</v>
      </c>
      <c r="H209" s="775">
        <f t="shared" si="171"/>
        <v>0</v>
      </c>
      <c r="I209" s="775">
        <f t="shared" si="151"/>
        <v>0</v>
      </c>
      <c r="K209" s="773">
        <v>197</v>
      </c>
      <c r="L209" s="774">
        <f t="shared" si="172"/>
        <v>5966</v>
      </c>
      <c r="M209" s="775">
        <f t="shared" si="173"/>
        <v>0</v>
      </c>
      <c r="N209" s="775">
        <f t="shared" si="161"/>
        <v>0</v>
      </c>
      <c r="O209" s="775">
        <f t="shared" si="153"/>
        <v>0</v>
      </c>
      <c r="P209" s="775">
        <f t="shared" si="174"/>
        <v>0</v>
      </c>
      <c r="Q209" s="775">
        <f t="shared" si="175"/>
        <v>0</v>
      </c>
      <c r="S209" s="773">
        <v>197</v>
      </c>
      <c r="T209" s="774">
        <f t="shared" si="176"/>
        <v>5966</v>
      </c>
      <c r="U209" s="775">
        <f t="shared" si="177"/>
        <v>0</v>
      </c>
      <c r="V209" s="775">
        <f t="shared" si="162"/>
        <v>0</v>
      </c>
      <c r="W209" s="775">
        <f t="shared" si="154"/>
        <v>0</v>
      </c>
      <c r="X209" s="775">
        <f t="shared" si="178"/>
        <v>0</v>
      </c>
      <c r="Y209" s="775">
        <f t="shared" si="179"/>
        <v>0</v>
      </c>
      <c r="AA209" s="773">
        <v>197</v>
      </c>
      <c r="AB209" s="774">
        <f t="shared" si="180"/>
        <v>5966</v>
      </c>
      <c r="AC209" s="775">
        <f t="shared" si="181"/>
        <v>0</v>
      </c>
      <c r="AD209" s="775">
        <f t="shared" si="163"/>
        <v>0</v>
      </c>
      <c r="AE209" s="775">
        <f t="shared" si="155"/>
        <v>0</v>
      </c>
      <c r="AF209" s="775">
        <f t="shared" si="182"/>
        <v>0</v>
      </c>
      <c r="AG209" s="775">
        <f t="shared" si="183"/>
        <v>0</v>
      </c>
      <c r="AI209" s="773">
        <v>197</v>
      </c>
      <c r="AJ209" s="774">
        <f t="shared" si="184"/>
        <v>5966</v>
      </c>
      <c r="AK209" s="775">
        <f t="shared" si="185"/>
        <v>0</v>
      </c>
      <c r="AL209" s="775">
        <f t="shared" si="164"/>
        <v>0</v>
      </c>
      <c r="AM209" s="775">
        <f t="shared" si="156"/>
        <v>0</v>
      </c>
      <c r="AN209" s="775">
        <f t="shared" si="186"/>
        <v>0</v>
      </c>
      <c r="AO209" s="775">
        <f t="shared" si="187"/>
        <v>0</v>
      </c>
      <c r="AQ209" s="773">
        <v>197</v>
      </c>
      <c r="AR209" s="774">
        <f t="shared" si="188"/>
        <v>5966</v>
      </c>
      <c r="AS209" s="775">
        <f t="shared" si="189"/>
        <v>0</v>
      </c>
      <c r="AT209" s="775">
        <f t="shared" si="165"/>
        <v>0</v>
      </c>
      <c r="AU209" s="775">
        <f t="shared" si="157"/>
        <v>0</v>
      </c>
      <c r="AV209" s="775">
        <f t="shared" si="190"/>
        <v>0</v>
      </c>
      <c r="AW209" s="775">
        <f t="shared" si="191"/>
        <v>0</v>
      </c>
      <c r="AY209" s="773">
        <v>197</v>
      </c>
      <c r="AZ209" s="774">
        <f t="shared" si="192"/>
        <v>5966</v>
      </c>
      <c r="BA209" s="775">
        <f t="shared" si="193"/>
        <v>0</v>
      </c>
      <c r="BB209" s="775">
        <f t="shared" si="166"/>
        <v>0</v>
      </c>
      <c r="BC209" s="775">
        <f t="shared" si="158"/>
        <v>0</v>
      </c>
      <c r="BD209" s="775">
        <f t="shared" si="194"/>
        <v>0</v>
      </c>
      <c r="BE209" s="775">
        <f t="shared" si="195"/>
        <v>0</v>
      </c>
      <c r="BG209" s="773">
        <v>197</v>
      </c>
      <c r="BH209" s="774">
        <f t="shared" si="196"/>
        <v>5966</v>
      </c>
      <c r="BI209" s="775">
        <f t="shared" si="197"/>
        <v>0</v>
      </c>
      <c r="BJ209" s="775">
        <f t="shared" si="167"/>
        <v>0</v>
      </c>
      <c r="BK209" s="775">
        <f t="shared" si="159"/>
        <v>0</v>
      </c>
      <c r="BL209" s="775">
        <f t="shared" si="198"/>
        <v>0</v>
      </c>
      <c r="BM209" s="775">
        <f t="shared" si="199"/>
        <v>0</v>
      </c>
    </row>
    <row r="210" spans="1:65">
      <c r="A210" s="11">
        <f t="shared" si="152"/>
        <v>1916</v>
      </c>
      <c r="B210" s="773">
        <v>198</v>
      </c>
      <c r="C210" s="774">
        <f t="shared" si="168"/>
        <v>5997</v>
      </c>
      <c r="D210" s="775">
        <f t="shared" si="169"/>
        <v>0</v>
      </c>
      <c r="E210" s="775">
        <f t="shared" si="160"/>
        <v>0</v>
      </c>
      <c r="F210" s="775">
        <f t="shared" si="150"/>
        <v>0</v>
      </c>
      <c r="G210" s="775">
        <f t="shared" si="170"/>
        <v>0</v>
      </c>
      <c r="H210" s="775">
        <f t="shared" si="171"/>
        <v>0</v>
      </c>
      <c r="I210" s="775">
        <f t="shared" si="151"/>
        <v>0</v>
      </c>
      <c r="K210" s="773">
        <v>198</v>
      </c>
      <c r="L210" s="774">
        <f t="shared" si="172"/>
        <v>5997</v>
      </c>
      <c r="M210" s="775">
        <f t="shared" si="173"/>
        <v>0</v>
      </c>
      <c r="N210" s="775">
        <f t="shared" si="161"/>
        <v>0</v>
      </c>
      <c r="O210" s="775">
        <f t="shared" si="153"/>
        <v>0</v>
      </c>
      <c r="P210" s="775">
        <f t="shared" si="174"/>
        <v>0</v>
      </c>
      <c r="Q210" s="775">
        <f t="shared" si="175"/>
        <v>0</v>
      </c>
      <c r="S210" s="773">
        <v>198</v>
      </c>
      <c r="T210" s="774">
        <f t="shared" si="176"/>
        <v>5997</v>
      </c>
      <c r="U210" s="775">
        <f t="shared" si="177"/>
        <v>0</v>
      </c>
      <c r="V210" s="775">
        <f t="shared" si="162"/>
        <v>0</v>
      </c>
      <c r="W210" s="775">
        <f t="shared" si="154"/>
        <v>0</v>
      </c>
      <c r="X210" s="775">
        <f t="shared" si="178"/>
        <v>0</v>
      </c>
      <c r="Y210" s="775">
        <f t="shared" si="179"/>
        <v>0</v>
      </c>
      <c r="AA210" s="773">
        <v>198</v>
      </c>
      <c r="AB210" s="774">
        <f t="shared" si="180"/>
        <v>5997</v>
      </c>
      <c r="AC210" s="775">
        <f t="shared" si="181"/>
        <v>0</v>
      </c>
      <c r="AD210" s="775">
        <f t="shared" si="163"/>
        <v>0</v>
      </c>
      <c r="AE210" s="775">
        <f t="shared" si="155"/>
        <v>0</v>
      </c>
      <c r="AF210" s="775">
        <f t="shared" si="182"/>
        <v>0</v>
      </c>
      <c r="AG210" s="775">
        <f t="shared" si="183"/>
        <v>0</v>
      </c>
      <c r="AI210" s="773">
        <v>198</v>
      </c>
      <c r="AJ210" s="774">
        <f t="shared" si="184"/>
        <v>5997</v>
      </c>
      <c r="AK210" s="775">
        <f t="shared" si="185"/>
        <v>0</v>
      </c>
      <c r="AL210" s="775">
        <f t="shared" si="164"/>
        <v>0</v>
      </c>
      <c r="AM210" s="775">
        <f t="shared" si="156"/>
        <v>0</v>
      </c>
      <c r="AN210" s="775">
        <f t="shared" si="186"/>
        <v>0</v>
      </c>
      <c r="AO210" s="775">
        <f t="shared" si="187"/>
        <v>0</v>
      </c>
      <c r="AQ210" s="773">
        <v>198</v>
      </c>
      <c r="AR210" s="774">
        <f t="shared" si="188"/>
        <v>5997</v>
      </c>
      <c r="AS210" s="775">
        <f t="shared" si="189"/>
        <v>0</v>
      </c>
      <c r="AT210" s="775">
        <f t="shared" si="165"/>
        <v>0</v>
      </c>
      <c r="AU210" s="775">
        <f t="shared" si="157"/>
        <v>0</v>
      </c>
      <c r="AV210" s="775">
        <f t="shared" si="190"/>
        <v>0</v>
      </c>
      <c r="AW210" s="775">
        <f t="shared" si="191"/>
        <v>0</v>
      </c>
      <c r="AY210" s="773">
        <v>198</v>
      </c>
      <c r="AZ210" s="774">
        <f t="shared" si="192"/>
        <v>5997</v>
      </c>
      <c r="BA210" s="775">
        <f t="shared" si="193"/>
        <v>0</v>
      </c>
      <c r="BB210" s="775">
        <f t="shared" si="166"/>
        <v>0</v>
      </c>
      <c r="BC210" s="775">
        <f t="shared" si="158"/>
        <v>0</v>
      </c>
      <c r="BD210" s="775">
        <f t="shared" si="194"/>
        <v>0</v>
      </c>
      <c r="BE210" s="775">
        <f t="shared" si="195"/>
        <v>0</v>
      </c>
      <c r="BG210" s="773">
        <v>198</v>
      </c>
      <c r="BH210" s="774">
        <f t="shared" si="196"/>
        <v>5997</v>
      </c>
      <c r="BI210" s="775">
        <f t="shared" si="197"/>
        <v>0</v>
      </c>
      <c r="BJ210" s="775">
        <f t="shared" si="167"/>
        <v>0</v>
      </c>
      <c r="BK210" s="775">
        <f t="shared" si="159"/>
        <v>0</v>
      </c>
      <c r="BL210" s="775">
        <f t="shared" si="198"/>
        <v>0</v>
      </c>
      <c r="BM210" s="775">
        <f t="shared" si="199"/>
        <v>0</v>
      </c>
    </row>
    <row r="211" spans="1:65">
      <c r="A211" s="11">
        <f t="shared" si="152"/>
        <v>1916</v>
      </c>
      <c r="B211" s="773">
        <v>199</v>
      </c>
      <c r="C211" s="774">
        <f t="shared" si="168"/>
        <v>6027</v>
      </c>
      <c r="D211" s="775">
        <f t="shared" si="169"/>
        <v>0</v>
      </c>
      <c r="E211" s="775">
        <f t="shared" si="160"/>
        <v>0</v>
      </c>
      <c r="F211" s="775">
        <f t="shared" si="150"/>
        <v>0</v>
      </c>
      <c r="G211" s="775">
        <f t="shared" si="170"/>
        <v>0</v>
      </c>
      <c r="H211" s="775">
        <f t="shared" si="171"/>
        <v>0</v>
      </c>
      <c r="I211" s="775">
        <f t="shared" si="151"/>
        <v>0</v>
      </c>
      <c r="K211" s="773">
        <v>199</v>
      </c>
      <c r="L211" s="774">
        <f t="shared" si="172"/>
        <v>6027</v>
      </c>
      <c r="M211" s="775">
        <f t="shared" si="173"/>
        <v>0</v>
      </c>
      <c r="N211" s="775">
        <f t="shared" si="161"/>
        <v>0</v>
      </c>
      <c r="O211" s="775">
        <f t="shared" si="153"/>
        <v>0</v>
      </c>
      <c r="P211" s="775">
        <f t="shared" si="174"/>
        <v>0</v>
      </c>
      <c r="Q211" s="775">
        <f t="shared" si="175"/>
        <v>0</v>
      </c>
      <c r="S211" s="773">
        <v>199</v>
      </c>
      <c r="T211" s="774">
        <f t="shared" si="176"/>
        <v>6027</v>
      </c>
      <c r="U211" s="775">
        <f t="shared" si="177"/>
        <v>0</v>
      </c>
      <c r="V211" s="775">
        <f t="shared" si="162"/>
        <v>0</v>
      </c>
      <c r="W211" s="775">
        <f t="shared" si="154"/>
        <v>0</v>
      </c>
      <c r="X211" s="775">
        <f t="shared" si="178"/>
        <v>0</v>
      </c>
      <c r="Y211" s="775">
        <f t="shared" si="179"/>
        <v>0</v>
      </c>
      <c r="AA211" s="773">
        <v>199</v>
      </c>
      <c r="AB211" s="774">
        <f t="shared" si="180"/>
        <v>6027</v>
      </c>
      <c r="AC211" s="775">
        <f t="shared" si="181"/>
        <v>0</v>
      </c>
      <c r="AD211" s="775">
        <f t="shared" si="163"/>
        <v>0</v>
      </c>
      <c r="AE211" s="775">
        <f t="shared" si="155"/>
        <v>0</v>
      </c>
      <c r="AF211" s="775">
        <f t="shared" si="182"/>
        <v>0</v>
      </c>
      <c r="AG211" s="775">
        <f t="shared" si="183"/>
        <v>0</v>
      </c>
      <c r="AI211" s="773">
        <v>199</v>
      </c>
      <c r="AJ211" s="774">
        <f t="shared" si="184"/>
        <v>6027</v>
      </c>
      <c r="AK211" s="775">
        <f t="shared" si="185"/>
        <v>0</v>
      </c>
      <c r="AL211" s="775">
        <f t="shared" si="164"/>
        <v>0</v>
      </c>
      <c r="AM211" s="775">
        <f t="shared" si="156"/>
        <v>0</v>
      </c>
      <c r="AN211" s="775">
        <f t="shared" si="186"/>
        <v>0</v>
      </c>
      <c r="AO211" s="775">
        <f t="shared" si="187"/>
        <v>0</v>
      </c>
      <c r="AQ211" s="773">
        <v>199</v>
      </c>
      <c r="AR211" s="774">
        <f t="shared" si="188"/>
        <v>6027</v>
      </c>
      <c r="AS211" s="775">
        <f t="shared" si="189"/>
        <v>0</v>
      </c>
      <c r="AT211" s="775">
        <f t="shared" si="165"/>
        <v>0</v>
      </c>
      <c r="AU211" s="775">
        <f t="shared" si="157"/>
        <v>0</v>
      </c>
      <c r="AV211" s="775">
        <f t="shared" si="190"/>
        <v>0</v>
      </c>
      <c r="AW211" s="775">
        <f t="shared" si="191"/>
        <v>0</v>
      </c>
      <c r="AY211" s="773">
        <v>199</v>
      </c>
      <c r="AZ211" s="774">
        <f t="shared" si="192"/>
        <v>6027</v>
      </c>
      <c r="BA211" s="775">
        <f t="shared" si="193"/>
        <v>0</v>
      </c>
      <c r="BB211" s="775">
        <f t="shared" si="166"/>
        <v>0</v>
      </c>
      <c r="BC211" s="775">
        <f t="shared" si="158"/>
        <v>0</v>
      </c>
      <c r="BD211" s="775">
        <f t="shared" si="194"/>
        <v>0</v>
      </c>
      <c r="BE211" s="775">
        <f t="shared" si="195"/>
        <v>0</v>
      </c>
      <c r="BG211" s="773">
        <v>199</v>
      </c>
      <c r="BH211" s="774">
        <f t="shared" si="196"/>
        <v>6027</v>
      </c>
      <c r="BI211" s="775">
        <f t="shared" si="197"/>
        <v>0</v>
      </c>
      <c r="BJ211" s="775">
        <f t="shared" si="167"/>
        <v>0</v>
      </c>
      <c r="BK211" s="775">
        <f t="shared" si="159"/>
        <v>0</v>
      </c>
      <c r="BL211" s="775">
        <f t="shared" si="198"/>
        <v>0</v>
      </c>
      <c r="BM211" s="775">
        <f t="shared" si="199"/>
        <v>0</v>
      </c>
    </row>
    <row r="212" spans="1:65">
      <c r="A212" s="11">
        <f t="shared" si="152"/>
        <v>1916</v>
      </c>
      <c r="B212" s="773">
        <v>200</v>
      </c>
      <c r="C212" s="774">
        <f t="shared" si="168"/>
        <v>6058</v>
      </c>
      <c r="D212" s="775">
        <f t="shared" si="169"/>
        <v>0</v>
      </c>
      <c r="E212" s="775">
        <f t="shared" si="160"/>
        <v>0</v>
      </c>
      <c r="F212" s="775">
        <f t="shared" si="150"/>
        <v>0</v>
      </c>
      <c r="G212" s="775">
        <f t="shared" si="170"/>
        <v>0</v>
      </c>
      <c r="H212" s="775">
        <f t="shared" si="171"/>
        <v>0</v>
      </c>
      <c r="I212" s="775">
        <f t="shared" si="151"/>
        <v>0</v>
      </c>
      <c r="K212" s="773">
        <v>200</v>
      </c>
      <c r="L212" s="774">
        <f t="shared" si="172"/>
        <v>6058</v>
      </c>
      <c r="M212" s="775">
        <f t="shared" si="173"/>
        <v>0</v>
      </c>
      <c r="N212" s="775">
        <f t="shared" si="161"/>
        <v>0</v>
      </c>
      <c r="O212" s="775">
        <f t="shared" si="153"/>
        <v>0</v>
      </c>
      <c r="P212" s="775">
        <f t="shared" si="174"/>
        <v>0</v>
      </c>
      <c r="Q212" s="775">
        <f t="shared" si="175"/>
        <v>0</v>
      </c>
      <c r="S212" s="773">
        <v>200</v>
      </c>
      <c r="T212" s="774">
        <f t="shared" si="176"/>
        <v>6058</v>
      </c>
      <c r="U212" s="775">
        <f t="shared" si="177"/>
        <v>0</v>
      </c>
      <c r="V212" s="775">
        <f t="shared" si="162"/>
        <v>0</v>
      </c>
      <c r="W212" s="775">
        <f t="shared" si="154"/>
        <v>0</v>
      </c>
      <c r="X212" s="775">
        <f t="shared" si="178"/>
        <v>0</v>
      </c>
      <c r="Y212" s="775">
        <f t="shared" si="179"/>
        <v>0</v>
      </c>
      <c r="AA212" s="773">
        <v>200</v>
      </c>
      <c r="AB212" s="774">
        <f t="shared" si="180"/>
        <v>6058</v>
      </c>
      <c r="AC212" s="775">
        <f t="shared" si="181"/>
        <v>0</v>
      </c>
      <c r="AD212" s="775">
        <f t="shared" si="163"/>
        <v>0</v>
      </c>
      <c r="AE212" s="775">
        <f t="shared" si="155"/>
        <v>0</v>
      </c>
      <c r="AF212" s="775">
        <f t="shared" si="182"/>
        <v>0</v>
      </c>
      <c r="AG212" s="775">
        <f t="shared" si="183"/>
        <v>0</v>
      </c>
      <c r="AI212" s="773">
        <v>200</v>
      </c>
      <c r="AJ212" s="774">
        <f t="shared" si="184"/>
        <v>6058</v>
      </c>
      <c r="AK212" s="775">
        <f t="shared" si="185"/>
        <v>0</v>
      </c>
      <c r="AL212" s="775">
        <f t="shared" si="164"/>
        <v>0</v>
      </c>
      <c r="AM212" s="775">
        <f t="shared" si="156"/>
        <v>0</v>
      </c>
      <c r="AN212" s="775">
        <f t="shared" si="186"/>
        <v>0</v>
      </c>
      <c r="AO212" s="775">
        <f t="shared" si="187"/>
        <v>0</v>
      </c>
      <c r="AQ212" s="773">
        <v>200</v>
      </c>
      <c r="AR212" s="774">
        <f t="shared" si="188"/>
        <v>6058</v>
      </c>
      <c r="AS212" s="775">
        <f t="shared" si="189"/>
        <v>0</v>
      </c>
      <c r="AT212" s="775">
        <f t="shared" si="165"/>
        <v>0</v>
      </c>
      <c r="AU212" s="775">
        <f t="shared" si="157"/>
        <v>0</v>
      </c>
      <c r="AV212" s="775">
        <f t="shared" si="190"/>
        <v>0</v>
      </c>
      <c r="AW212" s="775">
        <f t="shared" si="191"/>
        <v>0</v>
      </c>
      <c r="AY212" s="773">
        <v>200</v>
      </c>
      <c r="AZ212" s="774">
        <f t="shared" si="192"/>
        <v>6058</v>
      </c>
      <c r="BA212" s="775">
        <f t="shared" si="193"/>
        <v>0</v>
      </c>
      <c r="BB212" s="775">
        <f t="shared" si="166"/>
        <v>0</v>
      </c>
      <c r="BC212" s="775">
        <f t="shared" si="158"/>
        <v>0</v>
      </c>
      <c r="BD212" s="775">
        <f t="shared" si="194"/>
        <v>0</v>
      </c>
      <c r="BE212" s="775">
        <f t="shared" si="195"/>
        <v>0</v>
      </c>
      <c r="BG212" s="773">
        <v>200</v>
      </c>
      <c r="BH212" s="774">
        <f t="shared" si="196"/>
        <v>6058</v>
      </c>
      <c r="BI212" s="775">
        <f t="shared" si="197"/>
        <v>0</v>
      </c>
      <c r="BJ212" s="775">
        <f t="shared" si="167"/>
        <v>0</v>
      </c>
      <c r="BK212" s="775">
        <f t="shared" si="159"/>
        <v>0</v>
      </c>
      <c r="BL212" s="775">
        <f t="shared" si="198"/>
        <v>0</v>
      </c>
      <c r="BM212" s="775">
        <f t="shared" si="199"/>
        <v>0</v>
      </c>
    </row>
    <row r="213" spans="1:65">
      <c r="A213" s="11">
        <f t="shared" si="152"/>
        <v>1916</v>
      </c>
      <c r="B213" s="773">
        <v>201</v>
      </c>
      <c r="C213" s="774">
        <f t="shared" si="168"/>
        <v>6089</v>
      </c>
      <c r="D213" s="775">
        <f t="shared" si="169"/>
        <v>0</v>
      </c>
      <c r="E213" s="775">
        <f t="shared" si="160"/>
        <v>0</v>
      </c>
      <c r="F213" s="775">
        <f t="shared" si="150"/>
        <v>0</v>
      </c>
      <c r="G213" s="775">
        <f t="shared" si="170"/>
        <v>0</v>
      </c>
      <c r="H213" s="775">
        <f t="shared" si="171"/>
        <v>0</v>
      </c>
      <c r="I213" s="775">
        <f t="shared" si="151"/>
        <v>0</v>
      </c>
      <c r="K213" s="773">
        <v>201</v>
      </c>
      <c r="L213" s="774">
        <f t="shared" si="172"/>
        <v>6089</v>
      </c>
      <c r="M213" s="775">
        <f t="shared" si="173"/>
        <v>0</v>
      </c>
      <c r="N213" s="775">
        <f t="shared" si="161"/>
        <v>0</v>
      </c>
      <c r="O213" s="775">
        <f t="shared" si="153"/>
        <v>0</v>
      </c>
      <c r="P213" s="775">
        <f t="shared" si="174"/>
        <v>0</v>
      </c>
      <c r="Q213" s="775">
        <f t="shared" si="175"/>
        <v>0</v>
      </c>
      <c r="S213" s="773">
        <v>201</v>
      </c>
      <c r="T213" s="774">
        <f t="shared" si="176"/>
        <v>6089</v>
      </c>
      <c r="U213" s="775">
        <f t="shared" si="177"/>
        <v>0</v>
      </c>
      <c r="V213" s="775">
        <f t="shared" si="162"/>
        <v>0</v>
      </c>
      <c r="W213" s="775">
        <f t="shared" si="154"/>
        <v>0</v>
      </c>
      <c r="X213" s="775">
        <f t="shared" si="178"/>
        <v>0</v>
      </c>
      <c r="Y213" s="775">
        <f t="shared" si="179"/>
        <v>0</v>
      </c>
      <c r="AA213" s="773">
        <v>201</v>
      </c>
      <c r="AB213" s="774">
        <f t="shared" si="180"/>
        <v>6089</v>
      </c>
      <c r="AC213" s="775">
        <f t="shared" si="181"/>
        <v>0</v>
      </c>
      <c r="AD213" s="775">
        <f t="shared" si="163"/>
        <v>0</v>
      </c>
      <c r="AE213" s="775">
        <f t="shared" si="155"/>
        <v>0</v>
      </c>
      <c r="AF213" s="775">
        <f t="shared" si="182"/>
        <v>0</v>
      </c>
      <c r="AG213" s="775">
        <f t="shared" si="183"/>
        <v>0</v>
      </c>
      <c r="AI213" s="773">
        <v>201</v>
      </c>
      <c r="AJ213" s="774">
        <f t="shared" si="184"/>
        <v>6089</v>
      </c>
      <c r="AK213" s="775">
        <f t="shared" si="185"/>
        <v>0</v>
      </c>
      <c r="AL213" s="775">
        <f t="shared" si="164"/>
        <v>0</v>
      </c>
      <c r="AM213" s="775">
        <f t="shared" si="156"/>
        <v>0</v>
      </c>
      <c r="AN213" s="775">
        <f t="shared" si="186"/>
        <v>0</v>
      </c>
      <c r="AO213" s="775">
        <f t="shared" si="187"/>
        <v>0</v>
      </c>
      <c r="AQ213" s="773">
        <v>201</v>
      </c>
      <c r="AR213" s="774">
        <f t="shared" si="188"/>
        <v>6089</v>
      </c>
      <c r="AS213" s="775">
        <f t="shared" si="189"/>
        <v>0</v>
      </c>
      <c r="AT213" s="775">
        <f t="shared" si="165"/>
        <v>0</v>
      </c>
      <c r="AU213" s="775">
        <f t="shared" si="157"/>
        <v>0</v>
      </c>
      <c r="AV213" s="775">
        <f t="shared" si="190"/>
        <v>0</v>
      </c>
      <c r="AW213" s="775">
        <f t="shared" si="191"/>
        <v>0</v>
      </c>
      <c r="AY213" s="773">
        <v>201</v>
      </c>
      <c r="AZ213" s="774">
        <f t="shared" si="192"/>
        <v>6089</v>
      </c>
      <c r="BA213" s="775">
        <f t="shared" si="193"/>
        <v>0</v>
      </c>
      <c r="BB213" s="775">
        <f t="shared" si="166"/>
        <v>0</v>
      </c>
      <c r="BC213" s="775">
        <f t="shared" si="158"/>
        <v>0</v>
      </c>
      <c r="BD213" s="775">
        <f t="shared" si="194"/>
        <v>0</v>
      </c>
      <c r="BE213" s="775">
        <f t="shared" si="195"/>
        <v>0</v>
      </c>
      <c r="BG213" s="773">
        <v>201</v>
      </c>
      <c r="BH213" s="774">
        <f t="shared" si="196"/>
        <v>6089</v>
      </c>
      <c r="BI213" s="775">
        <f t="shared" si="197"/>
        <v>0</v>
      </c>
      <c r="BJ213" s="775">
        <f t="shared" si="167"/>
        <v>0</v>
      </c>
      <c r="BK213" s="775">
        <f t="shared" si="159"/>
        <v>0</v>
      </c>
      <c r="BL213" s="775">
        <f t="shared" si="198"/>
        <v>0</v>
      </c>
      <c r="BM213" s="775">
        <f t="shared" si="199"/>
        <v>0</v>
      </c>
    </row>
    <row r="214" spans="1:65">
      <c r="A214" s="11">
        <f t="shared" si="152"/>
        <v>1916</v>
      </c>
      <c r="B214" s="773">
        <v>202</v>
      </c>
      <c r="C214" s="774">
        <f t="shared" si="168"/>
        <v>6119</v>
      </c>
      <c r="D214" s="775">
        <f t="shared" si="169"/>
        <v>0</v>
      </c>
      <c r="E214" s="775">
        <f t="shared" si="160"/>
        <v>0</v>
      </c>
      <c r="F214" s="775">
        <f t="shared" si="150"/>
        <v>0</v>
      </c>
      <c r="G214" s="775">
        <f t="shared" si="170"/>
        <v>0</v>
      </c>
      <c r="H214" s="775">
        <f t="shared" si="171"/>
        <v>0</v>
      </c>
      <c r="I214" s="775">
        <f t="shared" si="151"/>
        <v>0</v>
      </c>
      <c r="K214" s="773">
        <v>202</v>
      </c>
      <c r="L214" s="774">
        <f t="shared" si="172"/>
        <v>6119</v>
      </c>
      <c r="M214" s="775">
        <f t="shared" si="173"/>
        <v>0</v>
      </c>
      <c r="N214" s="775">
        <f t="shared" si="161"/>
        <v>0</v>
      </c>
      <c r="O214" s="775">
        <f t="shared" si="153"/>
        <v>0</v>
      </c>
      <c r="P214" s="775">
        <f t="shared" si="174"/>
        <v>0</v>
      </c>
      <c r="Q214" s="775">
        <f t="shared" si="175"/>
        <v>0</v>
      </c>
      <c r="S214" s="773">
        <v>202</v>
      </c>
      <c r="T214" s="774">
        <f t="shared" si="176"/>
        <v>6119</v>
      </c>
      <c r="U214" s="775">
        <f t="shared" si="177"/>
        <v>0</v>
      </c>
      <c r="V214" s="775">
        <f t="shared" si="162"/>
        <v>0</v>
      </c>
      <c r="W214" s="775">
        <f t="shared" si="154"/>
        <v>0</v>
      </c>
      <c r="X214" s="775">
        <f t="shared" si="178"/>
        <v>0</v>
      </c>
      <c r="Y214" s="775">
        <f t="shared" si="179"/>
        <v>0</v>
      </c>
      <c r="AA214" s="773">
        <v>202</v>
      </c>
      <c r="AB214" s="774">
        <f t="shared" si="180"/>
        <v>6119</v>
      </c>
      <c r="AC214" s="775">
        <f t="shared" si="181"/>
        <v>0</v>
      </c>
      <c r="AD214" s="775">
        <f t="shared" si="163"/>
        <v>0</v>
      </c>
      <c r="AE214" s="775">
        <f t="shared" si="155"/>
        <v>0</v>
      </c>
      <c r="AF214" s="775">
        <f t="shared" si="182"/>
        <v>0</v>
      </c>
      <c r="AG214" s="775">
        <f t="shared" si="183"/>
        <v>0</v>
      </c>
      <c r="AI214" s="773">
        <v>202</v>
      </c>
      <c r="AJ214" s="774">
        <f t="shared" si="184"/>
        <v>6119</v>
      </c>
      <c r="AK214" s="775">
        <f t="shared" si="185"/>
        <v>0</v>
      </c>
      <c r="AL214" s="775">
        <f t="shared" si="164"/>
        <v>0</v>
      </c>
      <c r="AM214" s="775">
        <f t="shared" si="156"/>
        <v>0</v>
      </c>
      <c r="AN214" s="775">
        <f t="shared" si="186"/>
        <v>0</v>
      </c>
      <c r="AO214" s="775">
        <f t="shared" si="187"/>
        <v>0</v>
      </c>
      <c r="AQ214" s="773">
        <v>202</v>
      </c>
      <c r="AR214" s="774">
        <f t="shared" si="188"/>
        <v>6119</v>
      </c>
      <c r="AS214" s="775">
        <f t="shared" si="189"/>
        <v>0</v>
      </c>
      <c r="AT214" s="775">
        <f t="shared" si="165"/>
        <v>0</v>
      </c>
      <c r="AU214" s="775">
        <f t="shared" si="157"/>
        <v>0</v>
      </c>
      <c r="AV214" s="775">
        <f t="shared" si="190"/>
        <v>0</v>
      </c>
      <c r="AW214" s="775">
        <f t="shared" si="191"/>
        <v>0</v>
      </c>
      <c r="AY214" s="773">
        <v>202</v>
      </c>
      <c r="AZ214" s="774">
        <f t="shared" si="192"/>
        <v>6119</v>
      </c>
      <c r="BA214" s="775">
        <f t="shared" si="193"/>
        <v>0</v>
      </c>
      <c r="BB214" s="775">
        <f t="shared" si="166"/>
        <v>0</v>
      </c>
      <c r="BC214" s="775">
        <f t="shared" si="158"/>
        <v>0</v>
      </c>
      <c r="BD214" s="775">
        <f t="shared" si="194"/>
        <v>0</v>
      </c>
      <c r="BE214" s="775">
        <f t="shared" si="195"/>
        <v>0</v>
      </c>
      <c r="BG214" s="773">
        <v>202</v>
      </c>
      <c r="BH214" s="774">
        <f t="shared" si="196"/>
        <v>6119</v>
      </c>
      <c r="BI214" s="775">
        <f t="shared" si="197"/>
        <v>0</v>
      </c>
      <c r="BJ214" s="775">
        <f t="shared" si="167"/>
        <v>0</v>
      </c>
      <c r="BK214" s="775">
        <f t="shared" si="159"/>
        <v>0</v>
      </c>
      <c r="BL214" s="775">
        <f t="shared" si="198"/>
        <v>0</v>
      </c>
      <c r="BM214" s="775">
        <f t="shared" si="199"/>
        <v>0</v>
      </c>
    </row>
    <row r="215" spans="1:65">
      <c r="A215" s="11">
        <f t="shared" si="152"/>
        <v>1916</v>
      </c>
      <c r="B215" s="773">
        <v>203</v>
      </c>
      <c r="C215" s="774">
        <f t="shared" si="168"/>
        <v>6150</v>
      </c>
      <c r="D215" s="775">
        <f t="shared" si="169"/>
        <v>0</v>
      </c>
      <c r="E215" s="775">
        <f t="shared" si="160"/>
        <v>0</v>
      </c>
      <c r="F215" s="775">
        <f t="shared" si="150"/>
        <v>0</v>
      </c>
      <c r="G215" s="775">
        <f t="shared" si="170"/>
        <v>0</v>
      </c>
      <c r="H215" s="775">
        <f t="shared" si="171"/>
        <v>0</v>
      </c>
      <c r="I215" s="775">
        <f t="shared" si="151"/>
        <v>0</v>
      </c>
      <c r="K215" s="773">
        <v>203</v>
      </c>
      <c r="L215" s="774">
        <f t="shared" si="172"/>
        <v>6150</v>
      </c>
      <c r="M215" s="775">
        <f t="shared" si="173"/>
        <v>0</v>
      </c>
      <c r="N215" s="775">
        <f t="shared" si="161"/>
        <v>0</v>
      </c>
      <c r="O215" s="775">
        <f t="shared" si="153"/>
        <v>0</v>
      </c>
      <c r="P215" s="775">
        <f t="shared" si="174"/>
        <v>0</v>
      </c>
      <c r="Q215" s="775">
        <f t="shared" si="175"/>
        <v>0</v>
      </c>
      <c r="S215" s="773">
        <v>203</v>
      </c>
      <c r="T215" s="774">
        <f t="shared" si="176"/>
        <v>6150</v>
      </c>
      <c r="U215" s="775">
        <f t="shared" si="177"/>
        <v>0</v>
      </c>
      <c r="V215" s="775">
        <f t="shared" si="162"/>
        <v>0</v>
      </c>
      <c r="W215" s="775">
        <f t="shared" si="154"/>
        <v>0</v>
      </c>
      <c r="X215" s="775">
        <f t="shared" si="178"/>
        <v>0</v>
      </c>
      <c r="Y215" s="775">
        <f t="shared" si="179"/>
        <v>0</v>
      </c>
      <c r="AA215" s="773">
        <v>203</v>
      </c>
      <c r="AB215" s="774">
        <f t="shared" si="180"/>
        <v>6150</v>
      </c>
      <c r="AC215" s="775">
        <f t="shared" si="181"/>
        <v>0</v>
      </c>
      <c r="AD215" s="775">
        <f t="shared" si="163"/>
        <v>0</v>
      </c>
      <c r="AE215" s="775">
        <f t="shared" si="155"/>
        <v>0</v>
      </c>
      <c r="AF215" s="775">
        <f t="shared" si="182"/>
        <v>0</v>
      </c>
      <c r="AG215" s="775">
        <f t="shared" si="183"/>
        <v>0</v>
      </c>
      <c r="AI215" s="773">
        <v>203</v>
      </c>
      <c r="AJ215" s="774">
        <f t="shared" si="184"/>
        <v>6150</v>
      </c>
      <c r="AK215" s="775">
        <f t="shared" si="185"/>
        <v>0</v>
      </c>
      <c r="AL215" s="775">
        <f t="shared" si="164"/>
        <v>0</v>
      </c>
      <c r="AM215" s="775">
        <f t="shared" si="156"/>
        <v>0</v>
      </c>
      <c r="AN215" s="775">
        <f t="shared" si="186"/>
        <v>0</v>
      </c>
      <c r="AO215" s="775">
        <f t="shared" si="187"/>
        <v>0</v>
      </c>
      <c r="AQ215" s="773">
        <v>203</v>
      </c>
      <c r="AR215" s="774">
        <f t="shared" si="188"/>
        <v>6150</v>
      </c>
      <c r="AS215" s="775">
        <f t="shared" si="189"/>
        <v>0</v>
      </c>
      <c r="AT215" s="775">
        <f t="shared" si="165"/>
        <v>0</v>
      </c>
      <c r="AU215" s="775">
        <f t="shared" si="157"/>
        <v>0</v>
      </c>
      <c r="AV215" s="775">
        <f t="shared" si="190"/>
        <v>0</v>
      </c>
      <c r="AW215" s="775">
        <f t="shared" si="191"/>
        <v>0</v>
      </c>
      <c r="AY215" s="773">
        <v>203</v>
      </c>
      <c r="AZ215" s="774">
        <f t="shared" si="192"/>
        <v>6150</v>
      </c>
      <c r="BA215" s="775">
        <f t="shared" si="193"/>
        <v>0</v>
      </c>
      <c r="BB215" s="775">
        <f t="shared" si="166"/>
        <v>0</v>
      </c>
      <c r="BC215" s="775">
        <f t="shared" si="158"/>
        <v>0</v>
      </c>
      <c r="BD215" s="775">
        <f t="shared" si="194"/>
        <v>0</v>
      </c>
      <c r="BE215" s="775">
        <f t="shared" si="195"/>
        <v>0</v>
      </c>
      <c r="BG215" s="773">
        <v>203</v>
      </c>
      <c r="BH215" s="774">
        <f t="shared" si="196"/>
        <v>6150</v>
      </c>
      <c r="BI215" s="775">
        <f t="shared" si="197"/>
        <v>0</v>
      </c>
      <c r="BJ215" s="775">
        <f t="shared" si="167"/>
        <v>0</v>
      </c>
      <c r="BK215" s="775">
        <f t="shared" si="159"/>
        <v>0</v>
      </c>
      <c r="BL215" s="775">
        <f t="shared" si="198"/>
        <v>0</v>
      </c>
      <c r="BM215" s="775">
        <f t="shared" si="199"/>
        <v>0</v>
      </c>
    </row>
    <row r="216" spans="1:65">
      <c r="A216" s="11">
        <f t="shared" si="152"/>
        <v>1916</v>
      </c>
      <c r="B216" s="773">
        <v>204</v>
      </c>
      <c r="C216" s="774">
        <f t="shared" si="168"/>
        <v>6180</v>
      </c>
      <c r="D216" s="775">
        <f t="shared" si="169"/>
        <v>0</v>
      </c>
      <c r="E216" s="775">
        <f t="shared" si="160"/>
        <v>0</v>
      </c>
      <c r="F216" s="775">
        <f t="shared" si="150"/>
        <v>0</v>
      </c>
      <c r="G216" s="775">
        <f t="shared" si="170"/>
        <v>0</v>
      </c>
      <c r="H216" s="775">
        <f t="shared" si="171"/>
        <v>0</v>
      </c>
      <c r="I216" s="775">
        <f t="shared" si="151"/>
        <v>0</v>
      </c>
      <c r="K216" s="773">
        <v>204</v>
      </c>
      <c r="L216" s="774">
        <f t="shared" si="172"/>
        <v>6180</v>
      </c>
      <c r="M216" s="775">
        <f t="shared" si="173"/>
        <v>0</v>
      </c>
      <c r="N216" s="775">
        <f t="shared" si="161"/>
        <v>0</v>
      </c>
      <c r="O216" s="775">
        <f t="shared" si="153"/>
        <v>0</v>
      </c>
      <c r="P216" s="775">
        <f t="shared" si="174"/>
        <v>0</v>
      </c>
      <c r="Q216" s="775">
        <f t="shared" si="175"/>
        <v>0</v>
      </c>
      <c r="S216" s="773">
        <v>204</v>
      </c>
      <c r="T216" s="774">
        <f t="shared" si="176"/>
        <v>6180</v>
      </c>
      <c r="U216" s="775">
        <f t="shared" si="177"/>
        <v>0</v>
      </c>
      <c r="V216" s="775">
        <f t="shared" si="162"/>
        <v>0</v>
      </c>
      <c r="W216" s="775">
        <f t="shared" si="154"/>
        <v>0</v>
      </c>
      <c r="X216" s="775">
        <f t="shared" si="178"/>
        <v>0</v>
      </c>
      <c r="Y216" s="775">
        <f t="shared" si="179"/>
        <v>0</v>
      </c>
      <c r="AA216" s="773">
        <v>204</v>
      </c>
      <c r="AB216" s="774">
        <f t="shared" si="180"/>
        <v>6180</v>
      </c>
      <c r="AC216" s="775">
        <f t="shared" si="181"/>
        <v>0</v>
      </c>
      <c r="AD216" s="775">
        <f t="shared" si="163"/>
        <v>0</v>
      </c>
      <c r="AE216" s="775">
        <f t="shared" si="155"/>
        <v>0</v>
      </c>
      <c r="AF216" s="775">
        <f t="shared" si="182"/>
        <v>0</v>
      </c>
      <c r="AG216" s="775">
        <f t="shared" si="183"/>
        <v>0</v>
      </c>
      <c r="AI216" s="773">
        <v>204</v>
      </c>
      <c r="AJ216" s="774">
        <f t="shared" si="184"/>
        <v>6180</v>
      </c>
      <c r="AK216" s="775">
        <f t="shared" si="185"/>
        <v>0</v>
      </c>
      <c r="AL216" s="775">
        <f t="shared" si="164"/>
        <v>0</v>
      </c>
      <c r="AM216" s="775">
        <f t="shared" si="156"/>
        <v>0</v>
      </c>
      <c r="AN216" s="775">
        <f t="shared" si="186"/>
        <v>0</v>
      </c>
      <c r="AO216" s="775">
        <f t="shared" si="187"/>
        <v>0</v>
      </c>
      <c r="AQ216" s="773">
        <v>204</v>
      </c>
      <c r="AR216" s="774">
        <f t="shared" si="188"/>
        <v>6180</v>
      </c>
      <c r="AS216" s="775">
        <f t="shared" si="189"/>
        <v>0</v>
      </c>
      <c r="AT216" s="775">
        <f t="shared" si="165"/>
        <v>0</v>
      </c>
      <c r="AU216" s="775">
        <f t="shared" si="157"/>
        <v>0</v>
      </c>
      <c r="AV216" s="775">
        <f t="shared" si="190"/>
        <v>0</v>
      </c>
      <c r="AW216" s="775">
        <f t="shared" si="191"/>
        <v>0</v>
      </c>
      <c r="AY216" s="773">
        <v>204</v>
      </c>
      <c r="AZ216" s="774">
        <f t="shared" si="192"/>
        <v>6180</v>
      </c>
      <c r="BA216" s="775">
        <f t="shared" si="193"/>
        <v>0</v>
      </c>
      <c r="BB216" s="775">
        <f t="shared" si="166"/>
        <v>0</v>
      </c>
      <c r="BC216" s="775">
        <f t="shared" si="158"/>
        <v>0</v>
      </c>
      <c r="BD216" s="775">
        <f t="shared" si="194"/>
        <v>0</v>
      </c>
      <c r="BE216" s="775">
        <f t="shared" si="195"/>
        <v>0</v>
      </c>
      <c r="BG216" s="773">
        <v>204</v>
      </c>
      <c r="BH216" s="774">
        <f t="shared" si="196"/>
        <v>6180</v>
      </c>
      <c r="BI216" s="775">
        <f t="shared" si="197"/>
        <v>0</v>
      </c>
      <c r="BJ216" s="775">
        <f t="shared" si="167"/>
        <v>0</v>
      </c>
      <c r="BK216" s="775">
        <f t="shared" si="159"/>
        <v>0</v>
      </c>
      <c r="BL216" s="775">
        <f t="shared" si="198"/>
        <v>0</v>
      </c>
      <c r="BM216" s="775">
        <f t="shared" si="199"/>
        <v>0</v>
      </c>
    </row>
    <row r="217" spans="1:65">
      <c r="A217" s="11">
        <f t="shared" si="152"/>
        <v>1917</v>
      </c>
      <c r="B217" s="773">
        <v>205</v>
      </c>
      <c r="C217" s="774">
        <f t="shared" si="168"/>
        <v>6211</v>
      </c>
      <c r="D217" s="775">
        <f t="shared" si="169"/>
        <v>0</v>
      </c>
      <c r="E217" s="775">
        <f t="shared" si="160"/>
        <v>0</v>
      </c>
      <c r="F217" s="775">
        <f t="shared" si="150"/>
        <v>0</v>
      </c>
      <c r="G217" s="775">
        <f t="shared" si="170"/>
        <v>0</v>
      </c>
      <c r="H217" s="775">
        <f t="shared" si="171"/>
        <v>0</v>
      </c>
      <c r="I217" s="775">
        <f t="shared" si="151"/>
        <v>0</v>
      </c>
      <c r="K217" s="773">
        <v>205</v>
      </c>
      <c r="L217" s="774">
        <f t="shared" si="172"/>
        <v>6211</v>
      </c>
      <c r="M217" s="775">
        <f t="shared" si="173"/>
        <v>0</v>
      </c>
      <c r="N217" s="775">
        <f t="shared" si="161"/>
        <v>0</v>
      </c>
      <c r="O217" s="775">
        <f t="shared" si="153"/>
        <v>0</v>
      </c>
      <c r="P217" s="775">
        <f t="shared" si="174"/>
        <v>0</v>
      </c>
      <c r="Q217" s="775">
        <f t="shared" si="175"/>
        <v>0</v>
      </c>
      <c r="S217" s="773">
        <v>205</v>
      </c>
      <c r="T217" s="774">
        <f t="shared" si="176"/>
        <v>6211</v>
      </c>
      <c r="U217" s="775">
        <f t="shared" si="177"/>
        <v>0</v>
      </c>
      <c r="V217" s="775">
        <f t="shared" si="162"/>
        <v>0</v>
      </c>
      <c r="W217" s="775">
        <f t="shared" si="154"/>
        <v>0</v>
      </c>
      <c r="X217" s="775">
        <f t="shared" si="178"/>
        <v>0</v>
      </c>
      <c r="Y217" s="775">
        <f t="shared" si="179"/>
        <v>0</v>
      </c>
      <c r="AA217" s="773">
        <v>205</v>
      </c>
      <c r="AB217" s="774">
        <f t="shared" si="180"/>
        <v>6211</v>
      </c>
      <c r="AC217" s="775">
        <f t="shared" si="181"/>
        <v>0</v>
      </c>
      <c r="AD217" s="775">
        <f t="shared" si="163"/>
        <v>0</v>
      </c>
      <c r="AE217" s="775">
        <f t="shared" si="155"/>
        <v>0</v>
      </c>
      <c r="AF217" s="775">
        <f t="shared" si="182"/>
        <v>0</v>
      </c>
      <c r="AG217" s="775">
        <f t="shared" si="183"/>
        <v>0</v>
      </c>
      <c r="AI217" s="773">
        <v>205</v>
      </c>
      <c r="AJ217" s="774">
        <f t="shared" si="184"/>
        <v>6211</v>
      </c>
      <c r="AK217" s="775">
        <f t="shared" si="185"/>
        <v>0</v>
      </c>
      <c r="AL217" s="775">
        <f t="shared" si="164"/>
        <v>0</v>
      </c>
      <c r="AM217" s="775">
        <f t="shared" si="156"/>
        <v>0</v>
      </c>
      <c r="AN217" s="775">
        <f t="shared" si="186"/>
        <v>0</v>
      </c>
      <c r="AO217" s="775">
        <f t="shared" si="187"/>
        <v>0</v>
      </c>
      <c r="AQ217" s="773">
        <v>205</v>
      </c>
      <c r="AR217" s="774">
        <f t="shared" si="188"/>
        <v>6211</v>
      </c>
      <c r="AS217" s="775">
        <f t="shared" si="189"/>
        <v>0</v>
      </c>
      <c r="AT217" s="775">
        <f t="shared" si="165"/>
        <v>0</v>
      </c>
      <c r="AU217" s="775">
        <f t="shared" si="157"/>
        <v>0</v>
      </c>
      <c r="AV217" s="775">
        <f t="shared" si="190"/>
        <v>0</v>
      </c>
      <c r="AW217" s="775">
        <f t="shared" si="191"/>
        <v>0</v>
      </c>
      <c r="AY217" s="773">
        <v>205</v>
      </c>
      <c r="AZ217" s="774">
        <f t="shared" si="192"/>
        <v>6211</v>
      </c>
      <c r="BA217" s="775">
        <f t="shared" si="193"/>
        <v>0</v>
      </c>
      <c r="BB217" s="775">
        <f t="shared" si="166"/>
        <v>0</v>
      </c>
      <c r="BC217" s="775">
        <f t="shared" si="158"/>
        <v>0</v>
      </c>
      <c r="BD217" s="775">
        <f t="shared" si="194"/>
        <v>0</v>
      </c>
      <c r="BE217" s="775">
        <f t="shared" si="195"/>
        <v>0</v>
      </c>
      <c r="BG217" s="773">
        <v>205</v>
      </c>
      <c r="BH217" s="774">
        <f t="shared" si="196"/>
        <v>6211</v>
      </c>
      <c r="BI217" s="775">
        <f t="shared" si="197"/>
        <v>0</v>
      </c>
      <c r="BJ217" s="775">
        <f t="shared" si="167"/>
        <v>0</v>
      </c>
      <c r="BK217" s="775">
        <f t="shared" si="159"/>
        <v>0</v>
      </c>
      <c r="BL217" s="775">
        <f t="shared" si="198"/>
        <v>0</v>
      </c>
      <c r="BM217" s="775">
        <f t="shared" si="199"/>
        <v>0</v>
      </c>
    </row>
    <row r="218" spans="1:65">
      <c r="A218" s="11">
        <f t="shared" si="152"/>
        <v>1917</v>
      </c>
      <c r="B218" s="773">
        <v>206</v>
      </c>
      <c r="C218" s="774">
        <f t="shared" si="168"/>
        <v>6242</v>
      </c>
      <c r="D218" s="775">
        <f t="shared" si="169"/>
        <v>0</v>
      </c>
      <c r="E218" s="775">
        <f t="shared" si="160"/>
        <v>0</v>
      </c>
      <c r="F218" s="775">
        <f t="shared" si="150"/>
        <v>0</v>
      </c>
      <c r="G218" s="775">
        <f t="shared" si="170"/>
        <v>0</v>
      </c>
      <c r="H218" s="775">
        <f t="shared" si="171"/>
        <v>0</v>
      </c>
      <c r="I218" s="775">
        <f t="shared" si="151"/>
        <v>0</v>
      </c>
      <c r="K218" s="773">
        <v>206</v>
      </c>
      <c r="L218" s="774">
        <f t="shared" si="172"/>
        <v>6242</v>
      </c>
      <c r="M218" s="775">
        <f t="shared" si="173"/>
        <v>0</v>
      </c>
      <c r="N218" s="775">
        <f t="shared" si="161"/>
        <v>0</v>
      </c>
      <c r="O218" s="775">
        <f t="shared" si="153"/>
        <v>0</v>
      </c>
      <c r="P218" s="775">
        <f t="shared" si="174"/>
        <v>0</v>
      </c>
      <c r="Q218" s="775">
        <f t="shared" si="175"/>
        <v>0</v>
      </c>
      <c r="S218" s="773">
        <v>206</v>
      </c>
      <c r="T218" s="774">
        <f t="shared" si="176"/>
        <v>6242</v>
      </c>
      <c r="U218" s="775">
        <f t="shared" si="177"/>
        <v>0</v>
      </c>
      <c r="V218" s="775">
        <f t="shared" si="162"/>
        <v>0</v>
      </c>
      <c r="W218" s="775">
        <f t="shared" si="154"/>
        <v>0</v>
      </c>
      <c r="X218" s="775">
        <f t="shared" si="178"/>
        <v>0</v>
      </c>
      <c r="Y218" s="775">
        <f t="shared" si="179"/>
        <v>0</v>
      </c>
      <c r="AA218" s="773">
        <v>206</v>
      </c>
      <c r="AB218" s="774">
        <f t="shared" si="180"/>
        <v>6242</v>
      </c>
      <c r="AC218" s="775">
        <f t="shared" si="181"/>
        <v>0</v>
      </c>
      <c r="AD218" s="775">
        <f t="shared" si="163"/>
        <v>0</v>
      </c>
      <c r="AE218" s="775">
        <f t="shared" si="155"/>
        <v>0</v>
      </c>
      <c r="AF218" s="775">
        <f t="shared" si="182"/>
        <v>0</v>
      </c>
      <c r="AG218" s="775">
        <f t="shared" si="183"/>
        <v>0</v>
      </c>
      <c r="AI218" s="773">
        <v>206</v>
      </c>
      <c r="AJ218" s="774">
        <f t="shared" si="184"/>
        <v>6242</v>
      </c>
      <c r="AK218" s="775">
        <f t="shared" si="185"/>
        <v>0</v>
      </c>
      <c r="AL218" s="775">
        <f t="shared" si="164"/>
        <v>0</v>
      </c>
      <c r="AM218" s="775">
        <f t="shared" si="156"/>
        <v>0</v>
      </c>
      <c r="AN218" s="775">
        <f t="shared" si="186"/>
        <v>0</v>
      </c>
      <c r="AO218" s="775">
        <f t="shared" si="187"/>
        <v>0</v>
      </c>
      <c r="AQ218" s="773">
        <v>206</v>
      </c>
      <c r="AR218" s="774">
        <f t="shared" si="188"/>
        <v>6242</v>
      </c>
      <c r="AS218" s="775">
        <f t="shared" si="189"/>
        <v>0</v>
      </c>
      <c r="AT218" s="775">
        <f t="shared" si="165"/>
        <v>0</v>
      </c>
      <c r="AU218" s="775">
        <f t="shared" si="157"/>
        <v>0</v>
      </c>
      <c r="AV218" s="775">
        <f t="shared" si="190"/>
        <v>0</v>
      </c>
      <c r="AW218" s="775">
        <f t="shared" si="191"/>
        <v>0</v>
      </c>
      <c r="AY218" s="773">
        <v>206</v>
      </c>
      <c r="AZ218" s="774">
        <f t="shared" si="192"/>
        <v>6242</v>
      </c>
      <c r="BA218" s="775">
        <f t="shared" si="193"/>
        <v>0</v>
      </c>
      <c r="BB218" s="775">
        <f t="shared" si="166"/>
        <v>0</v>
      </c>
      <c r="BC218" s="775">
        <f t="shared" si="158"/>
        <v>0</v>
      </c>
      <c r="BD218" s="775">
        <f t="shared" si="194"/>
        <v>0</v>
      </c>
      <c r="BE218" s="775">
        <f t="shared" si="195"/>
        <v>0</v>
      </c>
      <c r="BG218" s="773">
        <v>206</v>
      </c>
      <c r="BH218" s="774">
        <f t="shared" si="196"/>
        <v>6242</v>
      </c>
      <c r="BI218" s="775">
        <f t="shared" si="197"/>
        <v>0</v>
      </c>
      <c r="BJ218" s="775">
        <f t="shared" si="167"/>
        <v>0</v>
      </c>
      <c r="BK218" s="775">
        <f t="shared" si="159"/>
        <v>0</v>
      </c>
      <c r="BL218" s="775">
        <f t="shared" si="198"/>
        <v>0</v>
      </c>
      <c r="BM218" s="775">
        <f t="shared" si="199"/>
        <v>0</v>
      </c>
    </row>
    <row r="219" spans="1:65">
      <c r="A219" s="11">
        <f t="shared" si="152"/>
        <v>1917</v>
      </c>
      <c r="B219" s="773">
        <v>207</v>
      </c>
      <c r="C219" s="774">
        <f t="shared" si="168"/>
        <v>6270</v>
      </c>
      <c r="D219" s="775">
        <f t="shared" si="169"/>
        <v>0</v>
      </c>
      <c r="E219" s="775">
        <f t="shared" si="160"/>
        <v>0</v>
      </c>
      <c r="F219" s="775">
        <f t="shared" si="150"/>
        <v>0</v>
      </c>
      <c r="G219" s="775">
        <f t="shared" si="170"/>
        <v>0</v>
      </c>
      <c r="H219" s="775">
        <f t="shared" si="171"/>
        <v>0</v>
      </c>
      <c r="I219" s="775">
        <f t="shared" si="151"/>
        <v>0</v>
      </c>
      <c r="K219" s="773">
        <v>207</v>
      </c>
      <c r="L219" s="774">
        <f t="shared" si="172"/>
        <v>6270</v>
      </c>
      <c r="M219" s="775">
        <f t="shared" si="173"/>
        <v>0</v>
      </c>
      <c r="N219" s="775">
        <f t="shared" si="161"/>
        <v>0</v>
      </c>
      <c r="O219" s="775">
        <f t="shared" si="153"/>
        <v>0</v>
      </c>
      <c r="P219" s="775">
        <f t="shared" si="174"/>
        <v>0</v>
      </c>
      <c r="Q219" s="775">
        <f t="shared" si="175"/>
        <v>0</v>
      </c>
      <c r="S219" s="773">
        <v>207</v>
      </c>
      <c r="T219" s="774">
        <f t="shared" si="176"/>
        <v>6270</v>
      </c>
      <c r="U219" s="775">
        <f t="shared" si="177"/>
        <v>0</v>
      </c>
      <c r="V219" s="775">
        <f t="shared" si="162"/>
        <v>0</v>
      </c>
      <c r="W219" s="775">
        <f t="shared" si="154"/>
        <v>0</v>
      </c>
      <c r="X219" s="775">
        <f t="shared" si="178"/>
        <v>0</v>
      </c>
      <c r="Y219" s="775">
        <f t="shared" si="179"/>
        <v>0</v>
      </c>
      <c r="AA219" s="773">
        <v>207</v>
      </c>
      <c r="AB219" s="774">
        <f t="shared" si="180"/>
        <v>6270</v>
      </c>
      <c r="AC219" s="775">
        <f t="shared" si="181"/>
        <v>0</v>
      </c>
      <c r="AD219" s="775">
        <f t="shared" si="163"/>
        <v>0</v>
      </c>
      <c r="AE219" s="775">
        <f t="shared" si="155"/>
        <v>0</v>
      </c>
      <c r="AF219" s="775">
        <f t="shared" si="182"/>
        <v>0</v>
      </c>
      <c r="AG219" s="775">
        <f t="shared" si="183"/>
        <v>0</v>
      </c>
      <c r="AI219" s="773">
        <v>207</v>
      </c>
      <c r="AJ219" s="774">
        <f t="shared" si="184"/>
        <v>6270</v>
      </c>
      <c r="AK219" s="775">
        <f t="shared" si="185"/>
        <v>0</v>
      </c>
      <c r="AL219" s="775">
        <f t="shared" si="164"/>
        <v>0</v>
      </c>
      <c r="AM219" s="775">
        <f t="shared" si="156"/>
        <v>0</v>
      </c>
      <c r="AN219" s="775">
        <f t="shared" si="186"/>
        <v>0</v>
      </c>
      <c r="AO219" s="775">
        <f t="shared" si="187"/>
        <v>0</v>
      </c>
      <c r="AQ219" s="773">
        <v>207</v>
      </c>
      <c r="AR219" s="774">
        <f t="shared" si="188"/>
        <v>6270</v>
      </c>
      <c r="AS219" s="775">
        <f t="shared" si="189"/>
        <v>0</v>
      </c>
      <c r="AT219" s="775">
        <f t="shared" si="165"/>
        <v>0</v>
      </c>
      <c r="AU219" s="775">
        <f t="shared" si="157"/>
        <v>0</v>
      </c>
      <c r="AV219" s="775">
        <f t="shared" si="190"/>
        <v>0</v>
      </c>
      <c r="AW219" s="775">
        <f t="shared" si="191"/>
        <v>0</v>
      </c>
      <c r="AY219" s="773">
        <v>207</v>
      </c>
      <c r="AZ219" s="774">
        <f t="shared" si="192"/>
        <v>6270</v>
      </c>
      <c r="BA219" s="775">
        <f t="shared" si="193"/>
        <v>0</v>
      </c>
      <c r="BB219" s="775">
        <f t="shared" si="166"/>
        <v>0</v>
      </c>
      <c r="BC219" s="775">
        <f t="shared" si="158"/>
        <v>0</v>
      </c>
      <c r="BD219" s="775">
        <f t="shared" si="194"/>
        <v>0</v>
      </c>
      <c r="BE219" s="775">
        <f t="shared" si="195"/>
        <v>0</v>
      </c>
      <c r="BG219" s="773">
        <v>207</v>
      </c>
      <c r="BH219" s="774">
        <f t="shared" si="196"/>
        <v>6270</v>
      </c>
      <c r="BI219" s="775">
        <f t="shared" si="197"/>
        <v>0</v>
      </c>
      <c r="BJ219" s="775">
        <f t="shared" si="167"/>
        <v>0</v>
      </c>
      <c r="BK219" s="775">
        <f t="shared" si="159"/>
        <v>0</v>
      </c>
      <c r="BL219" s="775">
        <f t="shared" si="198"/>
        <v>0</v>
      </c>
      <c r="BM219" s="775">
        <f t="shared" si="199"/>
        <v>0</v>
      </c>
    </row>
    <row r="220" spans="1:65">
      <c r="A220" s="11">
        <f t="shared" si="152"/>
        <v>1917</v>
      </c>
      <c r="B220" s="773">
        <v>208</v>
      </c>
      <c r="C220" s="774">
        <f t="shared" si="168"/>
        <v>6301</v>
      </c>
      <c r="D220" s="775">
        <f t="shared" si="169"/>
        <v>0</v>
      </c>
      <c r="E220" s="775">
        <f t="shared" si="160"/>
        <v>0</v>
      </c>
      <c r="F220" s="775">
        <f t="shared" si="150"/>
        <v>0</v>
      </c>
      <c r="G220" s="775">
        <f t="shared" si="170"/>
        <v>0</v>
      </c>
      <c r="H220" s="775">
        <f t="shared" si="171"/>
        <v>0</v>
      </c>
      <c r="I220" s="775">
        <f t="shared" si="151"/>
        <v>0</v>
      </c>
      <c r="K220" s="773">
        <v>208</v>
      </c>
      <c r="L220" s="774">
        <f t="shared" si="172"/>
        <v>6301</v>
      </c>
      <c r="M220" s="775">
        <f t="shared" si="173"/>
        <v>0</v>
      </c>
      <c r="N220" s="775">
        <f t="shared" si="161"/>
        <v>0</v>
      </c>
      <c r="O220" s="775">
        <f t="shared" si="153"/>
        <v>0</v>
      </c>
      <c r="P220" s="775">
        <f t="shared" si="174"/>
        <v>0</v>
      </c>
      <c r="Q220" s="775">
        <f t="shared" si="175"/>
        <v>0</v>
      </c>
      <c r="S220" s="773">
        <v>208</v>
      </c>
      <c r="T220" s="774">
        <f t="shared" si="176"/>
        <v>6301</v>
      </c>
      <c r="U220" s="775">
        <f t="shared" si="177"/>
        <v>0</v>
      </c>
      <c r="V220" s="775">
        <f t="shared" si="162"/>
        <v>0</v>
      </c>
      <c r="W220" s="775">
        <f t="shared" si="154"/>
        <v>0</v>
      </c>
      <c r="X220" s="775">
        <f t="shared" si="178"/>
        <v>0</v>
      </c>
      <c r="Y220" s="775">
        <f t="shared" si="179"/>
        <v>0</v>
      </c>
      <c r="AA220" s="773">
        <v>208</v>
      </c>
      <c r="AB220" s="774">
        <f t="shared" si="180"/>
        <v>6301</v>
      </c>
      <c r="AC220" s="775">
        <f t="shared" si="181"/>
        <v>0</v>
      </c>
      <c r="AD220" s="775">
        <f t="shared" si="163"/>
        <v>0</v>
      </c>
      <c r="AE220" s="775">
        <f t="shared" si="155"/>
        <v>0</v>
      </c>
      <c r="AF220" s="775">
        <f t="shared" si="182"/>
        <v>0</v>
      </c>
      <c r="AG220" s="775">
        <f t="shared" si="183"/>
        <v>0</v>
      </c>
      <c r="AI220" s="773">
        <v>208</v>
      </c>
      <c r="AJ220" s="774">
        <f t="shared" si="184"/>
        <v>6301</v>
      </c>
      <c r="AK220" s="775">
        <f t="shared" si="185"/>
        <v>0</v>
      </c>
      <c r="AL220" s="775">
        <f t="shared" si="164"/>
        <v>0</v>
      </c>
      <c r="AM220" s="775">
        <f t="shared" si="156"/>
        <v>0</v>
      </c>
      <c r="AN220" s="775">
        <f t="shared" si="186"/>
        <v>0</v>
      </c>
      <c r="AO220" s="775">
        <f t="shared" si="187"/>
        <v>0</v>
      </c>
      <c r="AQ220" s="773">
        <v>208</v>
      </c>
      <c r="AR220" s="774">
        <f t="shared" si="188"/>
        <v>6301</v>
      </c>
      <c r="AS220" s="775">
        <f t="shared" si="189"/>
        <v>0</v>
      </c>
      <c r="AT220" s="775">
        <f t="shared" si="165"/>
        <v>0</v>
      </c>
      <c r="AU220" s="775">
        <f t="shared" si="157"/>
        <v>0</v>
      </c>
      <c r="AV220" s="775">
        <f t="shared" si="190"/>
        <v>0</v>
      </c>
      <c r="AW220" s="775">
        <f t="shared" si="191"/>
        <v>0</v>
      </c>
      <c r="AY220" s="773">
        <v>208</v>
      </c>
      <c r="AZ220" s="774">
        <f t="shared" si="192"/>
        <v>6301</v>
      </c>
      <c r="BA220" s="775">
        <f t="shared" si="193"/>
        <v>0</v>
      </c>
      <c r="BB220" s="775">
        <f t="shared" si="166"/>
        <v>0</v>
      </c>
      <c r="BC220" s="775">
        <f t="shared" si="158"/>
        <v>0</v>
      </c>
      <c r="BD220" s="775">
        <f t="shared" si="194"/>
        <v>0</v>
      </c>
      <c r="BE220" s="775">
        <f t="shared" si="195"/>
        <v>0</v>
      </c>
      <c r="BG220" s="773">
        <v>208</v>
      </c>
      <c r="BH220" s="774">
        <f t="shared" si="196"/>
        <v>6301</v>
      </c>
      <c r="BI220" s="775">
        <f t="shared" si="197"/>
        <v>0</v>
      </c>
      <c r="BJ220" s="775">
        <f t="shared" si="167"/>
        <v>0</v>
      </c>
      <c r="BK220" s="775">
        <f t="shared" si="159"/>
        <v>0</v>
      </c>
      <c r="BL220" s="775">
        <f t="shared" si="198"/>
        <v>0</v>
      </c>
      <c r="BM220" s="775">
        <f t="shared" si="199"/>
        <v>0</v>
      </c>
    </row>
    <row r="221" spans="1:65">
      <c r="A221" s="11">
        <f t="shared" si="152"/>
        <v>1917</v>
      </c>
      <c r="B221" s="773">
        <v>209</v>
      </c>
      <c r="C221" s="774">
        <f t="shared" si="168"/>
        <v>6331</v>
      </c>
      <c r="D221" s="775">
        <f t="shared" si="169"/>
        <v>0</v>
      </c>
      <c r="E221" s="775">
        <f t="shared" si="160"/>
        <v>0</v>
      </c>
      <c r="F221" s="775">
        <f t="shared" si="150"/>
        <v>0</v>
      </c>
      <c r="G221" s="775">
        <f t="shared" si="170"/>
        <v>0</v>
      </c>
      <c r="H221" s="775">
        <f t="shared" si="171"/>
        <v>0</v>
      </c>
      <c r="I221" s="775">
        <f t="shared" si="151"/>
        <v>0</v>
      </c>
      <c r="K221" s="773">
        <v>209</v>
      </c>
      <c r="L221" s="774">
        <f t="shared" si="172"/>
        <v>6331</v>
      </c>
      <c r="M221" s="775">
        <f t="shared" si="173"/>
        <v>0</v>
      </c>
      <c r="N221" s="775">
        <f t="shared" si="161"/>
        <v>0</v>
      </c>
      <c r="O221" s="775">
        <f t="shared" si="153"/>
        <v>0</v>
      </c>
      <c r="P221" s="775">
        <f t="shared" si="174"/>
        <v>0</v>
      </c>
      <c r="Q221" s="775">
        <f t="shared" si="175"/>
        <v>0</v>
      </c>
      <c r="S221" s="773">
        <v>209</v>
      </c>
      <c r="T221" s="774">
        <f t="shared" si="176"/>
        <v>6331</v>
      </c>
      <c r="U221" s="775">
        <f t="shared" si="177"/>
        <v>0</v>
      </c>
      <c r="V221" s="775">
        <f t="shared" si="162"/>
        <v>0</v>
      </c>
      <c r="W221" s="775">
        <f t="shared" si="154"/>
        <v>0</v>
      </c>
      <c r="X221" s="775">
        <f t="shared" si="178"/>
        <v>0</v>
      </c>
      <c r="Y221" s="775">
        <f t="shared" si="179"/>
        <v>0</v>
      </c>
      <c r="AA221" s="773">
        <v>209</v>
      </c>
      <c r="AB221" s="774">
        <f t="shared" si="180"/>
        <v>6331</v>
      </c>
      <c r="AC221" s="775">
        <f t="shared" si="181"/>
        <v>0</v>
      </c>
      <c r="AD221" s="775">
        <f t="shared" si="163"/>
        <v>0</v>
      </c>
      <c r="AE221" s="775">
        <f t="shared" si="155"/>
        <v>0</v>
      </c>
      <c r="AF221" s="775">
        <f t="shared" si="182"/>
        <v>0</v>
      </c>
      <c r="AG221" s="775">
        <f t="shared" si="183"/>
        <v>0</v>
      </c>
      <c r="AI221" s="773">
        <v>209</v>
      </c>
      <c r="AJ221" s="774">
        <f t="shared" si="184"/>
        <v>6331</v>
      </c>
      <c r="AK221" s="775">
        <f t="shared" si="185"/>
        <v>0</v>
      </c>
      <c r="AL221" s="775">
        <f t="shared" si="164"/>
        <v>0</v>
      </c>
      <c r="AM221" s="775">
        <f t="shared" si="156"/>
        <v>0</v>
      </c>
      <c r="AN221" s="775">
        <f t="shared" si="186"/>
        <v>0</v>
      </c>
      <c r="AO221" s="775">
        <f t="shared" si="187"/>
        <v>0</v>
      </c>
      <c r="AQ221" s="773">
        <v>209</v>
      </c>
      <c r="AR221" s="774">
        <f t="shared" si="188"/>
        <v>6331</v>
      </c>
      <c r="AS221" s="775">
        <f t="shared" si="189"/>
        <v>0</v>
      </c>
      <c r="AT221" s="775">
        <f t="shared" si="165"/>
        <v>0</v>
      </c>
      <c r="AU221" s="775">
        <f t="shared" si="157"/>
        <v>0</v>
      </c>
      <c r="AV221" s="775">
        <f t="shared" si="190"/>
        <v>0</v>
      </c>
      <c r="AW221" s="775">
        <f t="shared" si="191"/>
        <v>0</v>
      </c>
      <c r="AY221" s="773">
        <v>209</v>
      </c>
      <c r="AZ221" s="774">
        <f t="shared" si="192"/>
        <v>6331</v>
      </c>
      <c r="BA221" s="775">
        <f t="shared" si="193"/>
        <v>0</v>
      </c>
      <c r="BB221" s="775">
        <f t="shared" si="166"/>
        <v>0</v>
      </c>
      <c r="BC221" s="775">
        <f t="shared" si="158"/>
        <v>0</v>
      </c>
      <c r="BD221" s="775">
        <f t="shared" si="194"/>
        <v>0</v>
      </c>
      <c r="BE221" s="775">
        <f t="shared" si="195"/>
        <v>0</v>
      </c>
      <c r="BG221" s="773">
        <v>209</v>
      </c>
      <c r="BH221" s="774">
        <f t="shared" si="196"/>
        <v>6331</v>
      </c>
      <c r="BI221" s="775">
        <f t="shared" si="197"/>
        <v>0</v>
      </c>
      <c r="BJ221" s="775">
        <f t="shared" si="167"/>
        <v>0</v>
      </c>
      <c r="BK221" s="775">
        <f t="shared" si="159"/>
        <v>0</v>
      </c>
      <c r="BL221" s="775">
        <f t="shared" si="198"/>
        <v>0</v>
      </c>
      <c r="BM221" s="775">
        <f t="shared" si="199"/>
        <v>0</v>
      </c>
    </row>
    <row r="222" spans="1:65">
      <c r="A222" s="11">
        <f t="shared" si="152"/>
        <v>1917</v>
      </c>
      <c r="B222" s="773">
        <v>210</v>
      </c>
      <c r="C222" s="774">
        <f t="shared" si="168"/>
        <v>6362</v>
      </c>
      <c r="D222" s="775">
        <f t="shared" si="169"/>
        <v>0</v>
      </c>
      <c r="E222" s="775">
        <f t="shared" si="160"/>
        <v>0</v>
      </c>
      <c r="F222" s="775">
        <f t="shared" si="150"/>
        <v>0</v>
      </c>
      <c r="G222" s="775">
        <f t="shared" si="170"/>
        <v>0</v>
      </c>
      <c r="H222" s="775">
        <f t="shared" si="171"/>
        <v>0</v>
      </c>
      <c r="I222" s="775">
        <f t="shared" si="151"/>
        <v>0</v>
      </c>
      <c r="K222" s="773">
        <v>210</v>
      </c>
      <c r="L222" s="774">
        <f t="shared" si="172"/>
        <v>6362</v>
      </c>
      <c r="M222" s="775">
        <f t="shared" si="173"/>
        <v>0</v>
      </c>
      <c r="N222" s="775">
        <f t="shared" si="161"/>
        <v>0</v>
      </c>
      <c r="O222" s="775">
        <f t="shared" si="153"/>
        <v>0</v>
      </c>
      <c r="P222" s="775">
        <f t="shared" si="174"/>
        <v>0</v>
      </c>
      <c r="Q222" s="775">
        <f t="shared" si="175"/>
        <v>0</v>
      </c>
      <c r="S222" s="773">
        <v>210</v>
      </c>
      <c r="T222" s="774">
        <f t="shared" si="176"/>
        <v>6362</v>
      </c>
      <c r="U222" s="775">
        <f t="shared" si="177"/>
        <v>0</v>
      </c>
      <c r="V222" s="775">
        <f t="shared" si="162"/>
        <v>0</v>
      </c>
      <c r="W222" s="775">
        <f t="shared" si="154"/>
        <v>0</v>
      </c>
      <c r="X222" s="775">
        <f t="shared" si="178"/>
        <v>0</v>
      </c>
      <c r="Y222" s="775">
        <f t="shared" si="179"/>
        <v>0</v>
      </c>
      <c r="AA222" s="773">
        <v>210</v>
      </c>
      <c r="AB222" s="774">
        <f t="shared" si="180"/>
        <v>6362</v>
      </c>
      <c r="AC222" s="775">
        <f t="shared" si="181"/>
        <v>0</v>
      </c>
      <c r="AD222" s="775">
        <f t="shared" si="163"/>
        <v>0</v>
      </c>
      <c r="AE222" s="775">
        <f t="shared" si="155"/>
        <v>0</v>
      </c>
      <c r="AF222" s="775">
        <f t="shared" si="182"/>
        <v>0</v>
      </c>
      <c r="AG222" s="775">
        <f t="shared" si="183"/>
        <v>0</v>
      </c>
      <c r="AI222" s="773">
        <v>210</v>
      </c>
      <c r="AJ222" s="774">
        <f t="shared" si="184"/>
        <v>6362</v>
      </c>
      <c r="AK222" s="775">
        <f t="shared" si="185"/>
        <v>0</v>
      </c>
      <c r="AL222" s="775">
        <f t="shared" si="164"/>
        <v>0</v>
      </c>
      <c r="AM222" s="775">
        <f t="shared" si="156"/>
        <v>0</v>
      </c>
      <c r="AN222" s="775">
        <f t="shared" si="186"/>
        <v>0</v>
      </c>
      <c r="AO222" s="775">
        <f t="shared" si="187"/>
        <v>0</v>
      </c>
      <c r="AQ222" s="773">
        <v>210</v>
      </c>
      <c r="AR222" s="774">
        <f t="shared" si="188"/>
        <v>6362</v>
      </c>
      <c r="AS222" s="775">
        <f t="shared" si="189"/>
        <v>0</v>
      </c>
      <c r="AT222" s="775">
        <f t="shared" si="165"/>
        <v>0</v>
      </c>
      <c r="AU222" s="775">
        <f t="shared" si="157"/>
        <v>0</v>
      </c>
      <c r="AV222" s="775">
        <f t="shared" si="190"/>
        <v>0</v>
      </c>
      <c r="AW222" s="775">
        <f t="shared" si="191"/>
        <v>0</v>
      </c>
      <c r="AY222" s="773">
        <v>210</v>
      </c>
      <c r="AZ222" s="774">
        <f t="shared" si="192"/>
        <v>6362</v>
      </c>
      <c r="BA222" s="775">
        <f t="shared" si="193"/>
        <v>0</v>
      </c>
      <c r="BB222" s="775">
        <f t="shared" si="166"/>
        <v>0</v>
      </c>
      <c r="BC222" s="775">
        <f t="shared" si="158"/>
        <v>0</v>
      </c>
      <c r="BD222" s="775">
        <f t="shared" si="194"/>
        <v>0</v>
      </c>
      <c r="BE222" s="775">
        <f t="shared" si="195"/>
        <v>0</v>
      </c>
      <c r="BG222" s="773">
        <v>210</v>
      </c>
      <c r="BH222" s="774">
        <f t="shared" si="196"/>
        <v>6362</v>
      </c>
      <c r="BI222" s="775">
        <f t="shared" si="197"/>
        <v>0</v>
      </c>
      <c r="BJ222" s="775">
        <f t="shared" si="167"/>
        <v>0</v>
      </c>
      <c r="BK222" s="775">
        <f t="shared" si="159"/>
        <v>0</v>
      </c>
      <c r="BL222" s="775">
        <f t="shared" si="198"/>
        <v>0</v>
      </c>
      <c r="BM222" s="775">
        <f t="shared" si="199"/>
        <v>0</v>
      </c>
    </row>
    <row r="223" spans="1:65">
      <c r="A223" s="11">
        <f t="shared" si="152"/>
        <v>1917</v>
      </c>
      <c r="B223" s="773">
        <v>211</v>
      </c>
      <c r="C223" s="774">
        <f t="shared" si="168"/>
        <v>6392</v>
      </c>
      <c r="D223" s="775">
        <f t="shared" si="169"/>
        <v>0</v>
      </c>
      <c r="E223" s="775">
        <f t="shared" si="160"/>
        <v>0</v>
      </c>
      <c r="F223" s="775">
        <f t="shared" si="150"/>
        <v>0</v>
      </c>
      <c r="G223" s="775">
        <f t="shared" si="170"/>
        <v>0</v>
      </c>
      <c r="H223" s="775">
        <f t="shared" si="171"/>
        <v>0</v>
      </c>
      <c r="I223" s="775">
        <f t="shared" si="151"/>
        <v>0</v>
      </c>
      <c r="K223" s="773">
        <v>211</v>
      </c>
      <c r="L223" s="774">
        <f t="shared" si="172"/>
        <v>6392</v>
      </c>
      <c r="M223" s="775">
        <f t="shared" si="173"/>
        <v>0</v>
      </c>
      <c r="N223" s="775">
        <f t="shared" si="161"/>
        <v>0</v>
      </c>
      <c r="O223" s="775">
        <f t="shared" si="153"/>
        <v>0</v>
      </c>
      <c r="P223" s="775">
        <f t="shared" si="174"/>
        <v>0</v>
      </c>
      <c r="Q223" s="775">
        <f t="shared" si="175"/>
        <v>0</v>
      </c>
      <c r="S223" s="773">
        <v>211</v>
      </c>
      <c r="T223" s="774">
        <f t="shared" si="176"/>
        <v>6392</v>
      </c>
      <c r="U223" s="775">
        <f t="shared" si="177"/>
        <v>0</v>
      </c>
      <c r="V223" s="775">
        <f t="shared" si="162"/>
        <v>0</v>
      </c>
      <c r="W223" s="775">
        <f t="shared" si="154"/>
        <v>0</v>
      </c>
      <c r="X223" s="775">
        <f t="shared" si="178"/>
        <v>0</v>
      </c>
      <c r="Y223" s="775">
        <f t="shared" si="179"/>
        <v>0</v>
      </c>
      <c r="AA223" s="773">
        <v>211</v>
      </c>
      <c r="AB223" s="774">
        <f t="shared" si="180"/>
        <v>6392</v>
      </c>
      <c r="AC223" s="775">
        <f t="shared" si="181"/>
        <v>0</v>
      </c>
      <c r="AD223" s="775">
        <f t="shared" si="163"/>
        <v>0</v>
      </c>
      <c r="AE223" s="775">
        <f t="shared" si="155"/>
        <v>0</v>
      </c>
      <c r="AF223" s="775">
        <f t="shared" si="182"/>
        <v>0</v>
      </c>
      <c r="AG223" s="775">
        <f t="shared" si="183"/>
        <v>0</v>
      </c>
      <c r="AI223" s="773">
        <v>211</v>
      </c>
      <c r="AJ223" s="774">
        <f t="shared" si="184"/>
        <v>6392</v>
      </c>
      <c r="AK223" s="775">
        <f t="shared" si="185"/>
        <v>0</v>
      </c>
      <c r="AL223" s="775">
        <f t="shared" si="164"/>
        <v>0</v>
      </c>
      <c r="AM223" s="775">
        <f t="shared" si="156"/>
        <v>0</v>
      </c>
      <c r="AN223" s="775">
        <f t="shared" si="186"/>
        <v>0</v>
      </c>
      <c r="AO223" s="775">
        <f t="shared" si="187"/>
        <v>0</v>
      </c>
      <c r="AQ223" s="773">
        <v>211</v>
      </c>
      <c r="AR223" s="774">
        <f t="shared" si="188"/>
        <v>6392</v>
      </c>
      <c r="AS223" s="775">
        <f t="shared" si="189"/>
        <v>0</v>
      </c>
      <c r="AT223" s="775">
        <f t="shared" si="165"/>
        <v>0</v>
      </c>
      <c r="AU223" s="775">
        <f t="shared" si="157"/>
        <v>0</v>
      </c>
      <c r="AV223" s="775">
        <f t="shared" si="190"/>
        <v>0</v>
      </c>
      <c r="AW223" s="775">
        <f t="shared" si="191"/>
        <v>0</v>
      </c>
      <c r="AY223" s="773">
        <v>211</v>
      </c>
      <c r="AZ223" s="774">
        <f t="shared" si="192"/>
        <v>6392</v>
      </c>
      <c r="BA223" s="775">
        <f t="shared" si="193"/>
        <v>0</v>
      </c>
      <c r="BB223" s="775">
        <f t="shared" si="166"/>
        <v>0</v>
      </c>
      <c r="BC223" s="775">
        <f t="shared" si="158"/>
        <v>0</v>
      </c>
      <c r="BD223" s="775">
        <f t="shared" si="194"/>
        <v>0</v>
      </c>
      <c r="BE223" s="775">
        <f t="shared" si="195"/>
        <v>0</v>
      </c>
      <c r="BG223" s="773">
        <v>211</v>
      </c>
      <c r="BH223" s="774">
        <f t="shared" si="196"/>
        <v>6392</v>
      </c>
      <c r="BI223" s="775">
        <f t="shared" si="197"/>
        <v>0</v>
      </c>
      <c r="BJ223" s="775">
        <f t="shared" si="167"/>
        <v>0</v>
      </c>
      <c r="BK223" s="775">
        <f t="shared" si="159"/>
        <v>0</v>
      </c>
      <c r="BL223" s="775">
        <f t="shared" si="198"/>
        <v>0</v>
      </c>
      <c r="BM223" s="775">
        <f t="shared" si="199"/>
        <v>0</v>
      </c>
    </row>
    <row r="224" spans="1:65">
      <c r="A224" s="11">
        <f t="shared" si="152"/>
        <v>1917</v>
      </c>
      <c r="B224" s="773">
        <v>212</v>
      </c>
      <c r="C224" s="774">
        <f t="shared" si="168"/>
        <v>6423</v>
      </c>
      <c r="D224" s="775">
        <f t="shared" si="169"/>
        <v>0</v>
      </c>
      <c r="E224" s="775">
        <f t="shared" si="160"/>
        <v>0</v>
      </c>
      <c r="F224" s="775">
        <f t="shared" si="150"/>
        <v>0</v>
      </c>
      <c r="G224" s="775">
        <f t="shared" si="170"/>
        <v>0</v>
      </c>
      <c r="H224" s="775">
        <f t="shared" si="171"/>
        <v>0</v>
      </c>
      <c r="I224" s="775">
        <f t="shared" si="151"/>
        <v>0</v>
      </c>
      <c r="K224" s="773">
        <v>212</v>
      </c>
      <c r="L224" s="774">
        <f t="shared" si="172"/>
        <v>6423</v>
      </c>
      <c r="M224" s="775">
        <f t="shared" si="173"/>
        <v>0</v>
      </c>
      <c r="N224" s="775">
        <f t="shared" si="161"/>
        <v>0</v>
      </c>
      <c r="O224" s="775">
        <f t="shared" si="153"/>
        <v>0</v>
      </c>
      <c r="P224" s="775">
        <f t="shared" si="174"/>
        <v>0</v>
      </c>
      <c r="Q224" s="775">
        <f t="shared" si="175"/>
        <v>0</v>
      </c>
      <c r="S224" s="773">
        <v>212</v>
      </c>
      <c r="T224" s="774">
        <f t="shared" si="176"/>
        <v>6423</v>
      </c>
      <c r="U224" s="775">
        <f t="shared" si="177"/>
        <v>0</v>
      </c>
      <c r="V224" s="775">
        <f t="shared" si="162"/>
        <v>0</v>
      </c>
      <c r="W224" s="775">
        <f t="shared" si="154"/>
        <v>0</v>
      </c>
      <c r="X224" s="775">
        <f t="shared" si="178"/>
        <v>0</v>
      </c>
      <c r="Y224" s="775">
        <f t="shared" si="179"/>
        <v>0</v>
      </c>
      <c r="AA224" s="773">
        <v>212</v>
      </c>
      <c r="AB224" s="774">
        <f t="shared" si="180"/>
        <v>6423</v>
      </c>
      <c r="AC224" s="775">
        <f t="shared" si="181"/>
        <v>0</v>
      </c>
      <c r="AD224" s="775">
        <f t="shared" si="163"/>
        <v>0</v>
      </c>
      <c r="AE224" s="775">
        <f t="shared" si="155"/>
        <v>0</v>
      </c>
      <c r="AF224" s="775">
        <f t="shared" si="182"/>
        <v>0</v>
      </c>
      <c r="AG224" s="775">
        <f t="shared" si="183"/>
        <v>0</v>
      </c>
      <c r="AI224" s="773">
        <v>212</v>
      </c>
      <c r="AJ224" s="774">
        <f t="shared" si="184"/>
        <v>6423</v>
      </c>
      <c r="AK224" s="775">
        <f t="shared" si="185"/>
        <v>0</v>
      </c>
      <c r="AL224" s="775">
        <f t="shared" si="164"/>
        <v>0</v>
      </c>
      <c r="AM224" s="775">
        <f t="shared" si="156"/>
        <v>0</v>
      </c>
      <c r="AN224" s="775">
        <f t="shared" si="186"/>
        <v>0</v>
      </c>
      <c r="AO224" s="775">
        <f t="shared" si="187"/>
        <v>0</v>
      </c>
      <c r="AQ224" s="773">
        <v>212</v>
      </c>
      <c r="AR224" s="774">
        <f t="shared" si="188"/>
        <v>6423</v>
      </c>
      <c r="AS224" s="775">
        <f t="shared" si="189"/>
        <v>0</v>
      </c>
      <c r="AT224" s="775">
        <f t="shared" si="165"/>
        <v>0</v>
      </c>
      <c r="AU224" s="775">
        <f t="shared" si="157"/>
        <v>0</v>
      </c>
      <c r="AV224" s="775">
        <f t="shared" si="190"/>
        <v>0</v>
      </c>
      <c r="AW224" s="775">
        <f t="shared" si="191"/>
        <v>0</v>
      </c>
      <c r="AY224" s="773">
        <v>212</v>
      </c>
      <c r="AZ224" s="774">
        <f t="shared" si="192"/>
        <v>6423</v>
      </c>
      <c r="BA224" s="775">
        <f t="shared" si="193"/>
        <v>0</v>
      </c>
      <c r="BB224" s="775">
        <f t="shared" si="166"/>
        <v>0</v>
      </c>
      <c r="BC224" s="775">
        <f t="shared" si="158"/>
        <v>0</v>
      </c>
      <c r="BD224" s="775">
        <f t="shared" si="194"/>
        <v>0</v>
      </c>
      <c r="BE224" s="775">
        <f t="shared" si="195"/>
        <v>0</v>
      </c>
      <c r="BG224" s="773">
        <v>212</v>
      </c>
      <c r="BH224" s="774">
        <f t="shared" si="196"/>
        <v>6423</v>
      </c>
      <c r="BI224" s="775">
        <f t="shared" si="197"/>
        <v>0</v>
      </c>
      <c r="BJ224" s="775">
        <f t="shared" si="167"/>
        <v>0</v>
      </c>
      <c r="BK224" s="775">
        <f t="shared" si="159"/>
        <v>0</v>
      </c>
      <c r="BL224" s="775">
        <f t="shared" si="198"/>
        <v>0</v>
      </c>
      <c r="BM224" s="775">
        <f t="shared" si="199"/>
        <v>0</v>
      </c>
    </row>
    <row r="225" spans="1:65">
      <c r="A225" s="11">
        <f t="shared" si="152"/>
        <v>1917</v>
      </c>
      <c r="B225" s="773">
        <v>213</v>
      </c>
      <c r="C225" s="774">
        <f t="shared" si="168"/>
        <v>6454</v>
      </c>
      <c r="D225" s="775">
        <f t="shared" si="169"/>
        <v>0</v>
      </c>
      <c r="E225" s="775">
        <f t="shared" si="160"/>
        <v>0</v>
      </c>
      <c r="F225" s="775">
        <f t="shared" si="150"/>
        <v>0</v>
      </c>
      <c r="G225" s="775">
        <f t="shared" si="170"/>
        <v>0</v>
      </c>
      <c r="H225" s="775">
        <f t="shared" si="171"/>
        <v>0</v>
      </c>
      <c r="I225" s="775">
        <f t="shared" si="151"/>
        <v>0</v>
      </c>
      <c r="K225" s="773">
        <v>213</v>
      </c>
      <c r="L225" s="774">
        <f t="shared" si="172"/>
        <v>6454</v>
      </c>
      <c r="M225" s="775">
        <f t="shared" si="173"/>
        <v>0</v>
      </c>
      <c r="N225" s="775">
        <f t="shared" si="161"/>
        <v>0</v>
      </c>
      <c r="O225" s="775">
        <f t="shared" si="153"/>
        <v>0</v>
      </c>
      <c r="P225" s="775">
        <f t="shared" si="174"/>
        <v>0</v>
      </c>
      <c r="Q225" s="775">
        <f t="shared" si="175"/>
        <v>0</v>
      </c>
      <c r="S225" s="773">
        <v>213</v>
      </c>
      <c r="T225" s="774">
        <f t="shared" si="176"/>
        <v>6454</v>
      </c>
      <c r="U225" s="775">
        <f t="shared" si="177"/>
        <v>0</v>
      </c>
      <c r="V225" s="775">
        <f t="shared" si="162"/>
        <v>0</v>
      </c>
      <c r="W225" s="775">
        <f t="shared" si="154"/>
        <v>0</v>
      </c>
      <c r="X225" s="775">
        <f t="shared" si="178"/>
        <v>0</v>
      </c>
      <c r="Y225" s="775">
        <f t="shared" si="179"/>
        <v>0</v>
      </c>
      <c r="AA225" s="773">
        <v>213</v>
      </c>
      <c r="AB225" s="774">
        <f t="shared" si="180"/>
        <v>6454</v>
      </c>
      <c r="AC225" s="775">
        <f t="shared" si="181"/>
        <v>0</v>
      </c>
      <c r="AD225" s="775">
        <f t="shared" si="163"/>
        <v>0</v>
      </c>
      <c r="AE225" s="775">
        <f t="shared" si="155"/>
        <v>0</v>
      </c>
      <c r="AF225" s="775">
        <f t="shared" si="182"/>
        <v>0</v>
      </c>
      <c r="AG225" s="775">
        <f t="shared" si="183"/>
        <v>0</v>
      </c>
      <c r="AI225" s="773">
        <v>213</v>
      </c>
      <c r="AJ225" s="774">
        <f t="shared" si="184"/>
        <v>6454</v>
      </c>
      <c r="AK225" s="775">
        <f t="shared" si="185"/>
        <v>0</v>
      </c>
      <c r="AL225" s="775">
        <f t="shared" si="164"/>
        <v>0</v>
      </c>
      <c r="AM225" s="775">
        <f t="shared" si="156"/>
        <v>0</v>
      </c>
      <c r="AN225" s="775">
        <f t="shared" si="186"/>
        <v>0</v>
      </c>
      <c r="AO225" s="775">
        <f t="shared" si="187"/>
        <v>0</v>
      </c>
      <c r="AQ225" s="773">
        <v>213</v>
      </c>
      <c r="AR225" s="774">
        <f t="shared" si="188"/>
        <v>6454</v>
      </c>
      <c r="AS225" s="775">
        <f t="shared" si="189"/>
        <v>0</v>
      </c>
      <c r="AT225" s="775">
        <f t="shared" si="165"/>
        <v>0</v>
      </c>
      <c r="AU225" s="775">
        <f t="shared" si="157"/>
        <v>0</v>
      </c>
      <c r="AV225" s="775">
        <f t="shared" si="190"/>
        <v>0</v>
      </c>
      <c r="AW225" s="775">
        <f t="shared" si="191"/>
        <v>0</v>
      </c>
      <c r="AY225" s="773">
        <v>213</v>
      </c>
      <c r="AZ225" s="774">
        <f t="shared" si="192"/>
        <v>6454</v>
      </c>
      <c r="BA225" s="775">
        <f t="shared" si="193"/>
        <v>0</v>
      </c>
      <c r="BB225" s="775">
        <f t="shared" si="166"/>
        <v>0</v>
      </c>
      <c r="BC225" s="775">
        <f t="shared" si="158"/>
        <v>0</v>
      </c>
      <c r="BD225" s="775">
        <f t="shared" si="194"/>
        <v>0</v>
      </c>
      <c r="BE225" s="775">
        <f t="shared" si="195"/>
        <v>0</v>
      </c>
      <c r="BG225" s="773">
        <v>213</v>
      </c>
      <c r="BH225" s="774">
        <f t="shared" si="196"/>
        <v>6454</v>
      </c>
      <c r="BI225" s="775">
        <f t="shared" si="197"/>
        <v>0</v>
      </c>
      <c r="BJ225" s="775">
        <f t="shared" si="167"/>
        <v>0</v>
      </c>
      <c r="BK225" s="775">
        <f t="shared" si="159"/>
        <v>0</v>
      </c>
      <c r="BL225" s="775">
        <f t="shared" si="198"/>
        <v>0</v>
      </c>
      <c r="BM225" s="775">
        <f t="shared" si="199"/>
        <v>0</v>
      </c>
    </row>
    <row r="226" spans="1:65">
      <c r="A226" s="11">
        <f t="shared" si="152"/>
        <v>1917</v>
      </c>
      <c r="B226" s="773">
        <v>214</v>
      </c>
      <c r="C226" s="774">
        <f t="shared" si="168"/>
        <v>6484</v>
      </c>
      <c r="D226" s="775">
        <f t="shared" si="169"/>
        <v>0</v>
      </c>
      <c r="E226" s="775">
        <f t="shared" si="160"/>
        <v>0</v>
      </c>
      <c r="F226" s="775">
        <f t="shared" si="150"/>
        <v>0</v>
      </c>
      <c r="G226" s="775">
        <f t="shared" si="170"/>
        <v>0</v>
      </c>
      <c r="H226" s="775">
        <f t="shared" si="171"/>
        <v>0</v>
      </c>
      <c r="I226" s="775">
        <f t="shared" si="151"/>
        <v>0</v>
      </c>
      <c r="K226" s="773">
        <v>214</v>
      </c>
      <c r="L226" s="774">
        <f t="shared" si="172"/>
        <v>6484</v>
      </c>
      <c r="M226" s="775">
        <f t="shared" si="173"/>
        <v>0</v>
      </c>
      <c r="N226" s="775">
        <f t="shared" si="161"/>
        <v>0</v>
      </c>
      <c r="O226" s="775">
        <f t="shared" si="153"/>
        <v>0</v>
      </c>
      <c r="P226" s="775">
        <f t="shared" si="174"/>
        <v>0</v>
      </c>
      <c r="Q226" s="775">
        <f t="shared" si="175"/>
        <v>0</v>
      </c>
      <c r="S226" s="773">
        <v>214</v>
      </c>
      <c r="T226" s="774">
        <f t="shared" si="176"/>
        <v>6484</v>
      </c>
      <c r="U226" s="775">
        <f t="shared" si="177"/>
        <v>0</v>
      </c>
      <c r="V226" s="775">
        <f t="shared" si="162"/>
        <v>0</v>
      </c>
      <c r="W226" s="775">
        <f t="shared" si="154"/>
        <v>0</v>
      </c>
      <c r="X226" s="775">
        <f t="shared" si="178"/>
        <v>0</v>
      </c>
      <c r="Y226" s="775">
        <f t="shared" si="179"/>
        <v>0</v>
      </c>
      <c r="AA226" s="773">
        <v>214</v>
      </c>
      <c r="AB226" s="774">
        <f t="shared" si="180"/>
        <v>6484</v>
      </c>
      <c r="AC226" s="775">
        <f t="shared" si="181"/>
        <v>0</v>
      </c>
      <c r="AD226" s="775">
        <f t="shared" si="163"/>
        <v>0</v>
      </c>
      <c r="AE226" s="775">
        <f t="shared" si="155"/>
        <v>0</v>
      </c>
      <c r="AF226" s="775">
        <f t="shared" si="182"/>
        <v>0</v>
      </c>
      <c r="AG226" s="775">
        <f t="shared" si="183"/>
        <v>0</v>
      </c>
      <c r="AI226" s="773">
        <v>214</v>
      </c>
      <c r="AJ226" s="774">
        <f t="shared" si="184"/>
        <v>6484</v>
      </c>
      <c r="AK226" s="775">
        <f t="shared" si="185"/>
        <v>0</v>
      </c>
      <c r="AL226" s="775">
        <f t="shared" si="164"/>
        <v>0</v>
      </c>
      <c r="AM226" s="775">
        <f t="shared" si="156"/>
        <v>0</v>
      </c>
      <c r="AN226" s="775">
        <f t="shared" si="186"/>
        <v>0</v>
      </c>
      <c r="AO226" s="775">
        <f t="shared" si="187"/>
        <v>0</v>
      </c>
      <c r="AQ226" s="773">
        <v>214</v>
      </c>
      <c r="AR226" s="774">
        <f t="shared" si="188"/>
        <v>6484</v>
      </c>
      <c r="AS226" s="775">
        <f t="shared" si="189"/>
        <v>0</v>
      </c>
      <c r="AT226" s="775">
        <f t="shared" si="165"/>
        <v>0</v>
      </c>
      <c r="AU226" s="775">
        <f t="shared" si="157"/>
        <v>0</v>
      </c>
      <c r="AV226" s="775">
        <f t="shared" si="190"/>
        <v>0</v>
      </c>
      <c r="AW226" s="775">
        <f t="shared" si="191"/>
        <v>0</v>
      </c>
      <c r="AY226" s="773">
        <v>214</v>
      </c>
      <c r="AZ226" s="774">
        <f t="shared" si="192"/>
        <v>6484</v>
      </c>
      <c r="BA226" s="775">
        <f t="shared" si="193"/>
        <v>0</v>
      </c>
      <c r="BB226" s="775">
        <f t="shared" si="166"/>
        <v>0</v>
      </c>
      <c r="BC226" s="775">
        <f t="shared" si="158"/>
        <v>0</v>
      </c>
      <c r="BD226" s="775">
        <f t="shared" si="194"/>
        <v>0</v>
      </c>
      <c r="BE226" s="775">
        <f t="shared" si="195"/>
        <v>0</v>
      </c>
      <c r="BG226" s="773">
        <v>214</v>
      </c>
      <c r="BH226" s="774">
        <f t="shared" si="196"/>
        <v>6484</v>
      </c>
      <c r="BI226" s="775">
        <f t="shared" si="197"/>
        <v>0</v>
      </c>
      <c r="BJ226" s="775">
        <f t="shared" si="167"/>
        <v>0</v>
      </c>
      <c r="BK226" s="775">
        <f t="shared" si="159"/>
        <v>0</v>
      </c>
      <c r="BL226" s="775">
        <f t="shared" si="198"/>
        <v>0</v>
      </c>
      <c r="BM226" s="775">
        <f t="shared" si="199"/>
        <v>0</v>
      </c>
    </row>
    <row r="227" spans="1:65">
      <c r="A227" s="11">
        <f t="shared" si="152"/>
        <v>1917</v>
      </c>
      <c r="B227" s="773">
        <v>215</v>
      </c>
      <c r="C227" s="774">
        <f t="shared" si="168"/>
        <v>6515</v>
      </c>
      <c r="D227" s="775">
        <f t="shared" si="169"/>
        <v>0</v>
      </c>
      <c r="E227" s="775">
        <f t="shared" si="160"/>
        <v>0</v>
      </c>
      <c r="F227" s="775">
        <f t="shared" si="150"/>
        <v>0</v>
      </c>
      <c r="G227" s="775">
        <f t="shared" si="170"/>
        <v>0</v>
      </c>
      <c r="H227" s="775">
        <f t="shared" si="171"/>
        <v>0</v>
      </c>
      <c r="I227" s="775">
        <f t="shared" si="151"/>
        <v>0</v>
      </c>
      <c r="K227" s="773">
        <v>215</v>
      </c>
      <c r="L227" s="774">
        <f t="shared" si="172"/>
        <v>6515</v>
      </c>
      <c r="M227" s="775">
        <f t="shared" si="173"/>
        <v>0</v>
      </c>
      <c r="N227" s="775">
        <f t="shared" si="161"/>
        <v>0</v>
      </c>
      <c r="O227" s="775">
        <f t="shared" si="153"/>
        <v>0</v>
      </c>
      <c r="P227" s="775">
        <f t="shared" si="174"/>
        <v>0</v>
      </c>
      <c r="Q227" s="775">
        <f t="shared" si="175"/>
        <v>0</v>
      </c>
      <c r="S227" s="773">
        <v>215</v>
      </c>
      <c r="T227" s="774">
        <f t="shared" si="176"/>
        <v>6515</v>
      </c>
      <c r="U227" s="775">
        <f t="shared" si="177"/>
        <v>0</v>
      </c>
      <c r="V227" s="775">
        <f t="shared" si="162"/>
        <v>0</v>
      </c>
      <c r="W227" s="775">
        <f t="shared" si="154"/>
        <v>0</v>
      </c>
      <c r="X227" s="775">
        <f t="shared" si="178"/>
        <v>0</v>
      </c>
      <c r="Y227" s="775">
        <f t="shared" si="179"/>
        <v>0</v>
      </c>
      <c r="AA227" s="773">
        <v>215</v>
      </c>
      <c r="AB227" s="774">
        <f t="shared" si="180"/>
        <v>6515</v>
      </c>
      <c r="AC227" s="775">
        <f t="shared" si="181"/>
        <v>0</v>
      </c>
      <c r="AD227" s="775">
        <f t="shared" si="163"/>
        <v>0</v>
      </c>
      <c r="AE227" s="775">
        <f t="shared" si="155"/>
        <v>0</v>
      </c>
      <c r="AF227" s="775">
        <f t="shared" si="182"/>
        <v>0</v>
      </c>
      <c r="AG227" s="775">
        <f t="shared" si="183"/>
        <v>0</v>
      </c>
      <c r="AI227" s="773">
        <v>215</v>
      </c>
      <c r="AJ227" s="774">
        <f t="shared" si="184"/>
        <v>6515</v>
      </c>
      <c r="AK227" s="775">
        <f t="shared" si="185"/>
        <v>0</v>
      </c>
      <c r="AL227" s="775">
        <f t="shared" si="164"/>
        <v>0</v>
      </c>
      <c r="AM227" s="775">
        <f t="shared" si="156"/>
        <v>0</v>
      </c>
      <c r="AN227" s="775">
        <f t="shared" si="186"/>
        <v>0</v>
      </c>
      <c r="AO227" s="775">
        <f t="shared" si="187"/>
        <v>0</v>
      </c>
      <c r="AQ227" s="773">
        <v>215</v>
      </c>
      <c r="AR227" s="774">
        <f t="shared" si="188"/>
        <v>6515</v>
      </c>
      <c r="AS227" s="775">
        <f t="shared" si="189"/>
        <v>0</v>
      </c>
      <c r="AT227" s="775">
        <f t="shared" si="165"/>
        <v>0</v>
      </c>
      <c r="AU227" s="775">
        <f t="shared" si="157"/>
        <v>0</v>
      </c>
      <c r="AV227" s="775">
        <f t="shared" si="190"/>
        <v>0</v>
      </c>
      <c r="AW227" s="775">
        <f t="shared" si="191"/>
        <v>0</v>
      </c>
      <c r="AY227" s="773">
        <v>215</v>
      </c>
      <c r="AZ227" s="774">
        <f t="shared" si="192"/>
        <v>6515</v>
      </c>
      <c r="BA227" s="775">
        <f t="shared" si="193"/>
        <v>0</v>
      </c>
      <c r="BB227" s="775">
        <f t="shared" si="166"/>
        <v>0</v>
      </c>
      <c r="BC227" s="775">
        <f t="shared" si="158"/>
        <v>0</v>
      </c>
      <c r="BD227" s="775">
        <f t="shared" si="194"/>
        <v>0</v>
      </c>
      <c r="BE227" s="775">
        <f t="shared" si="195"/>
        <v>0</v>
      </c>
      <c r="BG227" s="773">
        <v>215</v>
      </c>
      <c r="BH227" s="774">
        <f t="shared" si="196"/>
        <v>6515</v>
      </c>
      <c r="BI227" s="775">
        <f t="shared" si="197"/>
        <v>0</v>
      </c>
      <c r="BJ227" s="775">
        <f t="shared" si="167"/>
        <v>0</v>
      </c>
      <c r="BK227" s="775">
        <f t="shared" si="159"/>
        <v>0</v>
      </c>
      <c r="BL227" s="775">
        <f t="shared" si="198"/>
        <v>0</v>
      </c>
      <c r="BM227" s="775">
        <f t="shared" si="199"/>
        <v>0</v>
      </c>
    </row>
    <row r="228" spans="1:65">
      <c r="A228" s="11">
        <f t="shared" si="152"/>
        <v>1917</v>
      </c>
      <c r="B228" s="773">
        <v>216</v>
      </c>
      <c r="C228" s="774">
        <f t="shared" si="168"/>
        <v>6545</v>
      </c>
      <c r="D228" s="775">
        <f t="shared" si="169"/>
        <v>0</v>
      </c>
      <c r="E228" s="775">
        <f t="shared" si="160"/>
        <v>0</v>
      </c>
      <c r="F228" s="775">
        <f t="shared" si="150"/>
        <v>0</v>
      </c>
      <c r="G228" s="775">
        <f t="shared" si="170"/>
        <v>0</v>
      </c>
      <c r="H228" s="775">
        <f t="shared" si="171"/>
        <v>0</v>
      </c>
      <c r="I228" s="775">
        <f t="shared" si="151"/>
        <v>0</v>
      </c>
      <c r="K228" s="773">
        <v>216</v>
      </c>
      <c r="L228" s="774">
        <f t="shared" si="172"/>
        <v>6545</v>
      </c>
      <c r="M228" s="775">
        <f t="shared" si="173"/>
        <v>0</v>
      </c>
      <c r="N228" s="775">
        <f t="shared" si="161"/>
        <v>0</v>
      </c>
      <c r="O228" s="775">
        <f t="shared" si="153"/>
        <v>0</v>
      </c>
      <c r="P228" s="775">
        <f t="shared" si="174"/>
        <v>0</v>
      </c>
      <c r="Q228" s="775">
        <f t="shared" si="175"/>
        <v>0</v>
      </c>
      <c r="S228" s="773">
        <v>216</v>
      </c>
      <c r="T228" s="774">
        <f t="shared" si="176"/>
        <v>6545</v>
      </c>
      <c r="U228" s="775">
        <f t="shared" si="177"/>
        <v>0</v>
      </c>
      <c r="V228" s="775">
        <f t="shared" si="162"/>
        <v>0</v>
      </c>
      <c r="W228" s="775">
        <f t="shared" si="154"/>
        <v>0</v>
      </c>
      <c r="X228" s="775">
        <f t="shared" si="178"/>
        <v>0</v>
      </c>
      <c r="Y228" s="775">
        <f t="shared" si="179"/>
        <v>0</v>
      </c>
      <c r="AA228" s="773">
        <v>216</v>
      </c>
      <c r="AB228" s="774">
        <f t="shared" si="180"/>
        <v>6545</v>
      </c>
      <c r="AC228" s="775">
        <f t="shared" si="181"/>
        <v>0</v>
      </c>
      <c r="AD228" s="775">
        <f t="shared" si="163"/>
        <v>0</v>
      </c>
      <c r="AE228" s="775">
        <f t="shared" si="155"/>
        <v>0</v>
      </c>
      <c r="AF228" s="775">
        <f t="shared" si="182"/>
        <v>0</v>
      </c>
      <c r="AG228" s="775">
        <f t="shared" si="183"/>
        <v>0</v>
      </c>
      <c r="AI228" s="773">
        <v>216</v>
      </c>
      <c r="AJ228" s="774">
        <f t="shared" si="184"/>
        <v>6545</v>
      </c>
      <c r="AK228" s="775">
        <f t="shared" si="185"/>
        <v>0</v>
      </c>
      <c r="AL228" s="775">
        <f t="shared" si="164"/>
        <v>0</v>
      </c>
      <c r="AM228" s="775">
        <f t="shared" si="156"/>
        <v>0</v>
      </c>
      <c r="AN228" s="775">
        <f t="shared" si="186"/>
        <v>0</v>
      </c>
      <c r="AO228" s="775">
        <f t="shared" si="187"/>
        <v>0</v>
      </c>
      <c r="AQ228" s="773">
        <v>216</v>
      </c>
      <c r="AR228" s="774">
        <f t="shared" si="188"/>
        <v>6545</v>
      </c>
      <c r="AS228" s="775">
        <f t="shared" si="189"/>
        <v>0</v>
      </c>
      <c r="AT228" s="775">
        <f t="shared" si="165"/>
        <v>0</v>
      </c>
      <c r="AU228" s="775">
        <f t="shared" si="157"/>
        <v>0</v>
      </c>
      <c r="AV228" s="775">
        <f t="shared" si="190"/>
        <v>0</v>
      </c>
      <c r="AW228" s="775">
        <f t="shared" si="191"/>
        <v>0</v>
      </c>
      <c r="AY228" s="773">
        <v>216</v>
      </c>
      <c r="AZ228" s="774">
        <f t="shared" si="192"/>
        <v>6545</v>
      </c>
      <c r="BA228" s="775">
        <f t="shared" si="193"/>
        <v>0</v>
      </c>
      <c r="BB228" s="775">
        <f t="shared" si="166"/>
        <v>0</v>
      </c>
      <c r="BC228" s="775">
        <f t="shared" si="158"/>
        <v>0</v>
      </c>
      <c r="BD228" s="775">
        <f t="shared" si="194"/>
        <v>0</v>
      </c>
      <c r="BE228" s="775">
        <f t="shared" si="195"/>
        <v>0</v>
      </c>
      <c r="BG228" s="773">
        <v>216</v>
      </c>
      <c r="BH228" s="774">
        <f t="shared" si="196"/>
        <v>6545</v>
      </c>
      <c r="BI228" s="775">
        <f t="shared" si="197"/>
        <v>0</v>
      </c>
      <c r="BJ228" s="775">
        <f t="shared" si="167"/>
        <v>0</v>
      </c>
      <c r="BK228" s="775">
        <f t="shared" si="159"/>
        <v>0</v>
      </c>
      <c r="BL228" s="775">
        <f t="shared" si="198"/>
        <v>0</v>
      </c>
      <c r="BM228" s="775">
        <f t="shared" si="199"/>
        <v>0</v>
      </c>
    </row>
    <row r="229" spans="1:65">
      <c r="A229" s="11">
        <f t="shared" si="152"/>
        <v>1918</v>
      </c>
      <c r="B229" s="773">
        <v>217</v>
      </c>
      <c r="C229" s="774">
        <f t="shared" si="168"/>
        <v>6576</v>
      </c>
      <c r="D229" s="775">
        <f t="shared" si="169"/>
        <v>0</v>
      </c>
      <c r="E229" s="775">
        <f t="shared" si="160"/>
        <v>0</v>
      </c>
      <c r="F229" s="775">
        <f t="shared" si="150"/>
        <v>0</v>
      </c>
      <c r="G229" s="775">
        <f t="shared" si="170"/>
        <v>0</v>
      </c>
      <c r="H229" s="775">
        <f t="shared" si="171"/>
        <v>0</v>
      </c>
      <c r="I229" s="775">
        <f t="shared" si="151"/>
        <v>0</v>
      </c>
      <c r="K229" s="773">
        <v>217</v>
      </c>
      <c r="L229" s="774">
        <f t="shared" si="172"/>
        <v>6576</v>
      </c>
      <c r="M229" s="775">
        <f t="shared" si="173"/>
        <v>0</v>
      </c>
      <c r="N229" s="775">
        <f t="shared" si="161"/>
        <v>0</v>
      </c>
      <c r="O229" s="775">
        <f t="shared" si="153"/>
        <v>0</v>
      </c>
      <c r="P229" s="775">
        <f t="shared" si="174"/>
        <v>0</v>
      </c>
      <c r="Q229" s="775">
        <f t="shared" si="175"/>
        <v>0</v>
      </c>
      <c r="S229" s="773">
        <v>217</v>
      </c>
      <c r="T229" s="774">
        <f t="shared" si="176"/>
        <v>6576</v>
      </c>
      <c r="U229" s="775">
        <f t="shared" si="177"/>
        <v>0</v>
      </c>
      <c r="V229" s="775">
        <f t="shared" si="162"/>
        <v>0</v>
      </c>
      <c r="W229" s="775">
        <f t="shared" si="154"/>
        <v>0</v>
      </c>
      <c r="X229" s="775">
        <f t="shared" si="178"/>
        <v>0</v>
      </c>
      <c r="Y229" s="775">
        <f t="shared" si="179"/>
        <v>0</v>
      </c>
      <c r="AA229" s="773">
        <v>217</v>
      </c>
      <c r="AB229" s="774">
        <f t="shared" si="180"/>
        <v>6576</v>
      </c>
      <c r="AC229" s="775">
        <f t="shared" si="181"/>
        <v>0</v>
      </c>
      <c r="AD229" s="775">
        <f t="shared" si="163"/>
        <v>0</v>
      </c>
      <c r="AE229" s="775">
        <f t="shared" si="155"/>
        <v>0</v>
      </c>
      <c r="AF229" s="775">
        <f t="shared" si="182"/>
        <v>0</v>
      </c>
      <c r="AG229" s="775">
        <f t="shared" si="183"/>
        <v>0</v>
      </c>
      <c r="AI229" s="773">
        <v>217</v>
      </c>
      <c r="AJ229" s="774">
        <f t="shared" si="184"/>
        <v>6576</v>
      </c>
      <c r="AK229" s="775">
        <f t="shared" si="185"/>
        <v>0</v>
      </c>
      <c r="AL229" s="775">
        <f t="shared" si="164"/>
        <v>0</v>
      </c>
      <c r="AM229" s="775">
        <f t="shared" si="156"/>
        <v>0</v>
      </c>
      <c r="AN229" s="775">
        <f t="shared" si="186"/>
        <v>0</v>
      </c>
      <c r="AO229" s="775">
        <f t="shared" si="187"/>
        <v>0</v>
      </c>
      <c r="AQ229" s="773">
        <v>217</v>
      </c>
      <c r="AR229" s="774">
        <f t="shared" si="188"/>
        <v>6576</v>
      </c>
      <c r="AS229" s="775">
        <f t="shared" si="189"/>
        <v>0</v>
      </c>
      <c r="AT229" s="775">
        <f t="shared" si="165"/>
        <v>0</v>
      </c>
      <c r="AU229" s="775">
        <f t="shared" si="157"/>
        <v>0</v>
      </c>
      <c r="AV229" s="775">
        <f t="shared" si="190"/>
        <v>0</v>
      </c>
      <c r="AW229" s="775">
        <f t="shared" si="191"/>
        <v>0</v>
      </c>
      <c r="AY229" s="773">
        <v>217</v>
      </c>
      <c r="AZ229" s="774">
        <f t="shared" si="192"/>
        <v>6576</v>
      </c>
      <c r="BA229" s="775">
        <f t="shared" si="193"/>
        <v>0</v>
      </c>
      <c r="BB229" s="775">
        <f t="shared" si="166"/>
        <v>0</v>
      </c>
      <c r="BC229" s="775">
        <f t="shared" si="158"/>
        <v>0</v>
      </c>
      <c r="BD229" s="775">
        <f t="shared" si="194"/>
        <v>0</v>
      </c>
      <c r="BE229" s="775">
        <f t="shared" si="195"/>
        <v>0</v>
      </c>
      <c r="BG229" s="773">
        <v>217</v>
      </c>
      <c r="BH229" s="774">
        <f t="shared" si="196"/>
        <v>6576</v>
      </c>
      <c r="BI229" s="775">
        <f t="shared" si="197"/>
        <v>0</v>
      </c>
      <c r="BJ229" s="775">
        <f t="shared" si="167"/>
        <v>0</v>
      </c>
      <c r="BK229" s="775">
        <f t="shared" si="159"/>
        <v>0</v>
      </c>
      <c r="BL229" s="775">
        <f t="shared" si="198"/>
        <v>0</v>
      </c>
      <c r="BM229" s="775">
        <f t="shared" si="199"/>
        <v>0</v>
      </c>
    </row>
    <row r="230" spans="1:65">
      <c r="A230" s="11">
        <f t="shared" si="152"/>
        <v>1918</v>
      </c>
      <c r="B230" s="773">
        <v>218</v>
      </c>
      <c r="C230" s="774">
        <f t="shared" si="168"/>
        <v>6607</v>
      </c>
      <c r="D230" s="775">
        <f t="shared" si="169"/>
        <v>0</v>
      </c>
      <c r="E230" s="775">
        <f t="shared" si="160"/>
        <v>0</v>
      </c>
      <c r="F230" s="775">
        <f t="shared" si="150"/>
        <v>0</v>
      </c>
      <c r="G230" s="775">
        <f t="shared" si="170"/>
        <v>0</v>
      </c>
      <c r="H230" s="775">
        <f t="shared" si="171"/>
        <v>0</v>
      </c>
      <c r="I230" s="775">
        <f t="shared" si="151"/>
        <v>0</v>
      </c>
      <c r="K230" s="773">
        <v>218</v>
      </c>
      <c r="L230" s="774">
        <f t="shared" si="172"/>
        <v>6607</v>
      </c>
      <c r="M230" s="775">
        <f t="shared" si="173"/>
        <v>0</v>
      </c>
      <c r="N230" s="775">
        <f t="shared" si="161"/>
        <v>0</v>
      </c>
      <c r="O230" s="775">
        <f t="shared" si="153"/>
        <v>0</v>
      </c>
      <c r="P230" s="775">
        <f t="shared" si="174"/>
        <v>0</v>
      </c>
      <c r="Q230" s="775">
        <f t="shared" si="175"/>
        <v>0</v>
      </c>
      <c r="S230" s="773">
        <v>218</v>
      </c>
      <c r="T230" s="774">
        <f t="shared" si="176"/>
        <v>6607</v>
      </c>
      <c r="U230" s="775">
        <f t="shared" si="177"/>
        <v>0</v>
      </c>
      <c r="V230" s="775">
        <f t="shared" si="162"/>
        <v>0</v>
      </c>
      <c r="W230" s="775">
        <f t="shared" si="154"/>
        <v>0</v>
      </c>
      <c r="X230" s="775">
        <f t="shared" si="178"/>
        <v>0</v>
      </c>
      <c r="Y230" s="775">
        <f t="shared" si="179"/>
        <v>0</v>
      </c>
      <c r="AA230" s="773">
        <v>218</v>
      </c>
      <c r="AB230" s="774">
        <f t="shared" si="180"/>
        <v>6607</v>
      </c>
      <c r="AC230" s="775">
        <f t="shared" si="181"/>
        <v>0</v>
      </c>
      <c r="AD230" s="775">
        <f t="shared" si="163"/>
        <v>0</v>
      </c>
      <c r="AE230" s="775">
        <f t="shared" si="155"/>
        <v>0</v>
      </c>
      <c r="AF230" s="775">
        <f t="shared" si="182"/>
        <v>0</v>
      </c>
      <c r="AG230" s="775">
        <f t="shared" si="183"/>
        <v>0</v>
      </c>
      <c r="AI230" s="773">
        <v>218</v>
      </c>
      <c r="AJ230" s="774">
        <f t="shared" si="184"/>
        <v>6607</v>
      </c>
      <c r="AK230" s="775">
        <f t="shared" si="185"/>
        <v>0</v>
      </c>
      <c r="AL230" s="775">
        <f t="shared" si="164"/>
        <v>0</v>
      </c>
      <c r="AM230" s="775">
        <f t="shared" si="156"/>
        <v>0</v>
      </c>
      <c r="AN230" s="775">
        <f t="shared" si="186"/>
        <v>0</v>
      </c>
      <c r="AO230" s="775">
        <f t="shared" si="187"/>
        <v>0</v>
      </c>
      <c r="AQ230" s="773">
        <v>218</v>
      </c>
      <c r="AR230" s="774">
        <f t="shared" si="188"/>
        <v>6607</v>
      </c>
      <c r="AS230" s="775">
        <f t="shared" si="189"/>
        <v>0</v>
      </c>
      <c r="AT230" s="775">
        <f t="shared" si="165"/>
        <v>0</v>
      </c>
      <c r="AU230" s="775">
        <f t="shared" si="157"/>
        <v>0</v>
      </c>
      <c r="AV230" s="775">
        <f t="shared" si="190"/>
        <v>0</v>
      </c>
      <c r="AW230" s="775">
        <f t="shared" si="191"/>
        <v>0</v>
      </c>
      <c r="AY230" s="773">
        <v>218</v>
      </c>
      <c r="AZ230" s="774">
        <f t="shared" si="192"/>
        <v>6607</v>
      </c>
      <c r="BA230" s="775">
        <f t="shared" si="193"/>
        <v>0</v>
      </c>
      <c r="BB230" s="775">
        <f t="shared" si="166"/>
        <v>0</v>
      </c>
      <c r="BC230" s="775">
        <f t="shared" si="158"/>
        <v>0</v>
      </c>
      <c r="BD230" s="775">
        <f t="shared" si="194"/>
        <v>0</v>
      </c>
      <c r="BE230" s="775">
        <f t="shared" si="195"/>
        <v>0</v>
      </c>
      <c r="BG230" s="773">
        <v>218</v>
      </c>
      <c r="BH230" s="774">
        <f t="shared" si="196"/>
        <v>6607</v>
      </c>
      <c r="BI230" s="775">
        <f t="shared" si="197"/>
        <v>0</v>
      </c>
      <c r="BJ230" s="775">
        <f t="shared" si="167"/>
        <v>0</v>
      </c>
      <c r="BK230" s="775">
        <f t="shared" si="159"/>
        <v>0</v>
      </c>
      <c r="BL230" s="775">
        <f t="shared" si="198"/>
        <v>0</v>
      </c>
      <c r="BM230" s="775">
        <f t="shared" si="199"/>
        <v>0</v>
      </c>
    </row>
    <row r="231" spans="1:65">
      <c r="A231" s="11">
        <f t="shared" si="152"/>
        <v>1918</v>
      </c>
      <c r="B231" s="773">
        <v>219</v>
      </c>
      <c r="C231" s="774">
        <f t="shared" si="168"/>
        <v>6635</v>
      </c>
      <c r="D231" s="775">
        <f t="shared" si="169"/>
        <v>0</v>
      </c>
      <c r="E231" s="775">
        <f t="shared" si="160"/>
        <v>0</v>
      </c>
      <c r="F231" s="775">
        <f t="shared" si="150"/>
        <v>0</v>
      </c>
      <c r="G231" s="775">
        <f t="shared" si="170"/>
        <v>0</v>
      </c>
      <c r="H231" s="775">
        <f t="shared" si="171"/>
        <v>0</v>
      </c>
      <c r="I231" s="775">
        <f t="shared" si="151"/>
        <v>0</v>
      </c>
      <c r="K231" s="773">
        <v>219</v>
      </c>
      <c r="L231" s="774">
        <f t="shared" si="172"/>
        <v>6635</v>
      </c>
      <c r="M231" s="775">
        <f t="shared" si="173"/>
        <v>0</v>
      </c>
      <c r="N231" s="775">
        <f t="shared" si="161"/>
        <v>0</v>
      </c>
      <c r="O231" s="775">
        <f t="shared" si="153"/>
        <v>0</v>
      </c>
      <c r="P231" s="775">
        <f t="shared" si="174"/>
        <v>0</v>
      </c>
      <c r="Q231" s="775">
        <f t="shared" si="175"/>
        <v>0</v>
      </c>
      <c r="S231" s="773">
        <v>219</v>
      </c>
      <c r="T231" s="774">
        <f t="shared" si="176"/>
        <v>6635</v>
      </c>
      <c r="U231" s="775">
        <f t="shared" si="177"/>
        <v>0</v>
      </c>
      <c r="V231" s="775">
        <f t="shared" si="162"/>
        <v>0</v>
      </c>
      <c r="W231" s="775">
        <f t="shared" si="154"/>
        <v>0</v>
      </c>
      <c r="X231" s="775">
        <f t="shared" si="178"/>
        <v>0</v>
      </c>
      <c r="Y231" s="775">
        <f t="shared" si="179"/>
        <v>0</v>
      </c>
      <c r="AA231" s="773">
        <v>219</v>
      </c>
      <c r="AB231" s="774">
        <f t="shared" si="180"/>
        <v>6635</v>
      </c>
      <c r="AC231" s="775">
        <f t="shared" si="181"/>
        <v>0</v>
      </c>
      <c r="AD231" s="775">
        <f t="shared" si="163"/>
        <v>0</v>
      </c>
      <c r="AE231" s="775">
        <f t="shared" si="155"/>
        <v>0</v>
      </c>
      <c r="AF231" s="775">
        <f t="shared" si="182"/>
        <v>0</v>
      </c>
      <c r="AG231" s="775">
        <f t="shared" si="183"/>
        <v>0</v>
      </c>
      <c r="AI231" s="773">
        <v>219</v>
      </c>
      <c r="AJ231" s="774">
        <f t="shared" si="184"/>
        <v>6635</v>
      </c>
      <c r="AK231" s="775">
        <f t="shared" si="185"/>
        <v>0</v>
      </c>
      <c r="AL231" s="775">
        <f t="shared" si="164"/>
        <v>0</v>
      </c>
      <c r="AM231" s="775">
        <f t="shared" si="156"/>
        <v>0</v>
      </c>
      <c r="AN231" s="775">
        <f t="shared" si="186"/>
        <v>0</v>
      </c>
      <c r="AO231" s="775">
        <f t="shared" si="187"/>
        <v>0</v>
      </c>
      <c r="AQ231" s="773">
        <v>219</v>
      </c>
      <c r="AR231" s="774">
        <f t="shared" si="188"/>
        <v>6635</v>
      </c>
      <c r="AS231" s="775">
        <f t="shared" si="189"/>
        <v>0</v>
      </c>
      <c r="AT231" s="775">
        <f t="shared" si="165"/>
        <v>0</v>
      </c>
      <c r="AU231" s="775">
        <f t="shared" si="157"/>
        <v>0</v>
      </c>
      <c r="AV231" s="775">
        <f t="shared" si="190"/>
        <v>0</v>
      </c>
      <c r="AW231" s="775">
        <f t="shared" si="191"/>
        <v>0</v>
      </c>
      <c r="AY231" s="773">
        <v>219</v>
      </c>
      <c r="AZ231" s="774">
        <f t="shared" si="192"/>
        <v>6635</v>
      </c>
      <c r="BA231" s="775">
        <f t="shared" si="193"/>
        <v>0</v>
      </c>
      <c r="BB231" s="775">
        <f t="shared" si="166"/>
        <v>0</v>
      </c>
      <c r="BC231" s="775">
        <f t="shared" si="158"/>
        <v>0</v>
      </c>
      <c r="BD231" s="775">
        <f t="shared" si="194"/>
        <v>0</v>
      </c>
      <c r="BE231" s="775">
        <f t="shared" si="195"/>
        <v>0</v>
      </c>
      <c r="BG231" s="773">
        <v>219</v>
      </c>
      <c r="BH231" s="774">
        <f t="shared" si="196"/>
        <v>6635</v>
      </c>
      <c r="BI231" s="775">
        <f t="shared" si="197"/>
        <v>0</v>
      </c>
      <c r="BJ231" s="775">
        <f t="shared" si="167"/>
        <v>0</v>
      </c>
      <c r="BK231" s="775">
        <f t="shared" si="159"/>
        <v>0</v>
      </c>
      <c r="BL231" s="775">
        <f t="shared" si="198"/>
        <v>0</v>
      </c>
      <c r="BM231" s="775">
        <f t="shared" si="199"/>
        <v>0</v>
      </c>
    </row>
    <row r="232" spans="1:65">
      <c r="A232" s="11">
        <f t="shared" si="152"/>
        <v>1918</v>
      </c>
      <c r="B232" s="773">
        <v>220</v>
      </c>
      <c r="C232" s="774">
        <f t="shared" si="168"/>
        <v>6666</v>
      </c>
      <c r="D232" s="775">
        <f t="shared" si="169"/>
        <v>0</v>
      </c>
      <c r="E232" s="775">
        <f t="shared" si="160"/>
        <v>0</v>
      </c>
      <c r="F232" s="775">
        <f t="shared" si="150"/>
        <v>0</v>
      </c>
      <c r="G232" s="775">
        <f t="shared" si="170"/>
        <v>0</v>
      </c>
      <c r="H232" s="775">
        <f t="shared" si="171"/>
        <v>0</v>
      </c>
      <c r="I232" s="775">
        <f t="shared" si="151"/>
        <v>0</v>
      </c>
      <c r="K232" s="773">
        <v>220</v>
      </c>
      <c r="L232" s="774">
        <f t="shared" si="172"/>
        <v>6666</v>
      </c>
      <c r="M232" s="775">
        <f t="shared" si="173"/>
        <v>0</v>
      </c>
      <c r="N232" s="775">
        <f t="shared" si="161"/>
        <v>0</v>
      </c>
      <c r="O232" s="775">
        <f t="shared" si="153"/>
        <v>0</v>
      </c>
      <c r="P232" s="775">
        <f t="shared" si="174"/>
        <v>0</v>
      </c>
      <c r="Q232" s="775">
        <f t="shared" si="175"/>
        <v>0</v>
      </c>
      <c r="S232" s="773">
        <v>220</v>
      </c>
      <c r="T232" s="774">
        <f t="shared" si="176"/>
        <v>6666</v>
      </c>
      <c r="U232" s="775">
        <f t="shared" si="177"/>
        <v>0</v>
      </c>
      <c r="V232" s="775">
        <f t="shared" si="162"/>
        <v>0</v>
      </c>
      <c r="W232" s="775">
        <f t="shared" si="154"/>
        <v>0</v>
      </c>
      <c r="X232" s="775">
        <f t="shared" si="178"/>
        <v>0</v>
      </c>
      <c r="Y232" s="775">
        <f t="shared" si="179"/>
        <v>0</v>
      </c>
      <c r="AA232" s="773">
        <v>220</v>
      </c>
      <c r="AB232" s="774">
        <f t="shared" si="180"/>
        <v>6666</v>
      </c>
      <c r="AC232" s="775">
        <f t="shared" si="181"/>
        <v>0</v>
      </c>
      <c r="AD232" s="775">
        <f t="shared" si="163"/>
        <v>0</v>
      </c>
      <c r="AE232" s="775">
        <f t="shared" si="155"/>
        <v>0</v>
      </c>
      <c r="AF232" s="775">
        <f t="shared" si="182"/>
        <v>0</v>
      </c>
      <c r="AG232" s="775">
        <f t="shared" si="183"/>
        <v>0</v>
      </c>
      <c r="AI232" s="773">
        <v>220</v>
      </c>
      <c r="AJ232" s="774">
        <f t="shared" si="184"/>
        <v>6666</v>
      </c>
      <c r="AK232" s="775">
        <f t="shared" si="185"/>
        <v>0</v>
      </c>
      <c r="AL232" s="775">
        <f t="shared" si="164"/>
        <v>0</v>
      </c>
      <c r="AM232" s="775">
        <f t="shared" si="156"/>
        <v>0</v>
      </c>
      <c r="AN232" s="775">
        <f t="shared" si="186"/>
        <v>0</v>
      </c>
      <c r="AO232" s="775">
        <f t="shared" si="187"/>
        <v>0</v>
      </c>
      <c r="AQ232" s="773">
        <v>220</v>
      </c>
      <c r="AR232" s="774">
        <f t="shared" si="188"/>
        <v>6666</v>
      </c>
      <c r="AS232" s="775">
        <f t="shared" si="189"/>
        <v>0</v>
      </c>
      <c r="AT232" s="775">
        <f t="shared" si="165"/>
        <v>0</v>
      </c>
      <c r="AU232" s="775">
        <f t="shared" si="157"/>
        <v>0</v>
      </c>
      <c r="AV232" s="775">
        <f t="shared" si="190"/>
        <v>0</v>
      </c>
      <c r="AW232" s="775">
        <f t="shared" si="191"/>
        <v>0</v>
      </c>
      <c r="AY232" s="773">
        <v>220</v>
      </c>
      <c r="AZ232" s="774">
        <f t="shared" si="192"/>
        <v>6666</v>
      </c>
      <c r="BA232" s="775">
        <f t="shared" si="193"/>
        <v>0</v>
      </c>
      <c r="BB232" s="775">
        <f t="shared" si="166"/>
        <v>0</v>
      </c>
      <c r="BC232" s="775">
        <f t="shared" si="158"/>
        <v>0</v>
      </c>
      <c r="BD232" s="775">
        <f t="shared" si="194"/>
        <v>0</v>
      </c>
      <c r="BE232" s="775">
        <f t="shared" si="195"/>
        <v>0</v>
      </c>
      <c r="BG232" s="773">
        <v>220</v>
      </c>
      <c r="BH232" s="774">
        <f t="shared" si="196"/>
        <v>6666</v>
      </c>
      <c r="BI232" s="775">
        <f t="shared" si="197"/>
        <v>0</v>
      </c>
      <c r="BJ232" s="775">
        <f t="shared" si="167"/>
        <v>0</v>
      </c>
      <c r="BK232" s="775">
        <f t="shared" si="159"/>
        <v>0</v>
      </c>
      <c r="BL232" s="775">
        <f t="shared" si="198"/>
        <v>0</v>
      </c>
      <c r="BM232" s="775">
        <f t="shared" si="199"/>
        <v>0</v>
      </c>
    </row>
    <row r="233" spans="1:65">
      <c r="A233" s="11">
        <f t="shared" si="152"/>
        <v>1918</v>
      </c>
      <c r="B233" s="773">
        <v>221</v>
      </c>
      <c r="C233" s="774">
        <f t="shared" si="168"/>
        <v>6696</v>
      </c>
      <c r="D233" s="775">
        <f t="shared" si="169"/>
        <v>0</v>
      </c>
      <c r="E233" s="775">
        <f t="shared" si="160"/>
        <v>0</v>
      </c>
      <c r="F233" s="775">
        <f t="shared" si="150"/>
        <v>0</v>
      </c>
      <c r="G233" s="775">
        <f t="shared" si="170"/>
        <v>0</v>
      </c>
      <c r="H233" s="775">
        <f t="shared" si="171"/>
        <v>0</v>
      </c>
      <c r="I233" s="775">
        <f t="shared" si="151"/>
        <v>0</v>
      </c>
      <c r="K233" s="773">
        <v>221</v>
      </c>
      <c r="L233" s="774">
        <f t="shared" si="172"/>
        <v>6696</v>
      </c>
      <c r="M233" s="775">
        <f t="shared" si="173"/>
        <v>0</v>
      </c>
      <c r="N233" s="775">
        <f t="shared" si="161"/>
        <v>0</v>
      </c>
      <c r="O233" s="775">
        <f t="shared" si="153"/>
        <v>0</v>
      </c>
      <c r="P233" s="775">
        <f t="shared" si="174"/>
        <v>0</v>
      </c>
      <c r="Q233" s="775">
        <f t="shared" si="175"/>
        <v>0</v>
      </c>
      <c r="S233" s="773">
        <v>221</v>
      </c>
      <c r="T233" s="774">
        <f t="shared" si="176"/>
        <v>6696</v>
      </c>
      <c r="U233" s="775">
        <f t="shared" si="177"/>
        <v>0</v>
      </c>
      <c r="V233" s="775">
        <f t="shared" si="162"/>
        <v>0</v>
      </c>
      <c r="W233" s="775">
        <f t="shared" si="154"/>
        <v>0</v>
      </c>
      <c r="X233" s="775">
        <f t="shared" si="178"/>
        <v>0</v>
      </c>
      <c r="Y233" s="775">
        <f t="shared" si="179"/>
        <v>0</v>
      </c>
      <c r="AA233" s="773">
        <v>221</v>
      </c>
      <c r="AB233" s="774">
        <f t="shared" si="180"/>
        <v>6696</v>
      </c>
      <c r="AC233" s="775">
        <f t="shared" si="181"/>
        <v>0</v>
      </c>
      <c r="AD233" s="775">
        <f t="shared" si="163"/>
        <v>0</v>
      </c>
      <c r="AE233" s="775">
        <f t="shared" si="155"/>
        <v>0</v>
      </c>
      <c r="AF233" s="775">
        <f t="shared" si="182"/>
        <v>0</v>
      </c>
      <c r="AG233" s="775">
        <f t="shared" si="183"/>
        <v>0</v>
      </c>
      <c r="AI233" s="773">
        <v>221</v>
      </c>
      <c r="AJ233" s="774">
        <f t="shared" si="184"/>
        <v>6696</v>
      </c>
      <c r="AK233" s="775">
        <f t="shared" si="185"/>
        <v>0</v>
      </c>
      <c r="AL233" s="775">
        <f t="shared" si="164"/>
        <v>0</v>
      </c>
      <c r="AM233" s="775">
        <f t="shared" si="156"/>
        <v>0</v>
      </c>
      <c r="AN233" s="775">
        <f t="shared" si="186"/>
        <v>0</v>
      </c>
      <c r="AO233" s="775">
        <f t="shared" si="187"/>
        <v>0</v>
      </c>
      <c r="AQ233" s="773">
        <v>221</v>
      </c>
      <c r="AR233" s="774">
        <f t="shared" si="188"/>
        <v>6696</v>
      </c>
      <c r="AS233" s="775">
        <f t="shared" si="189"/>
        <v>0</v>
      </c>
      <c r="AT233" s="775">
        <f t="shared" si="165"/>
        <v>0</v>
      </c>
      <c r="AU233" s="775">
        <f t="shared" si="157"/>
        <v>0</v>
      </c>
      <c r="AV233" s="775">
        <f t="shared" si="190"/>
        <v>0</v>
      </c>
      <c r="AW233" s="775">
        <f t="shared" si="191"/>
        <v>0</v>
      </c>
      <c r="AY233" s="773">
        <v>221</v>
      </c>
      <c r="AZ233" s="774">
        <f t="shared" si="192"/>
        <v>6696</v>
      </c>
      <c r="BA233" s="775">
        <f t="shared" si="193"/>
        <v>0</v>
      </c>
      <c r="BB233" s="775">
        <f t="shared" si="166"/>
        <v>0</v>
      </c>
      <c r="BC233" s="775">
        <f t="shared" si="158"/>
        <v>0</v>
      </c>
      <c r="BD233" s="775">
        <f t="shared" si="194"/>
        <v>0</v>
      </c>
      <c r="BE233" s="775">
        <f t="shared" si="195"/>
        <v>0</v>
      </c>
      <c r="BG233" s="773">
        <v>221</v>
      </c>
      <c r="BH233" s="774">
        <f t="shared" si="196"/>
        <v>6696</v>
      </c>
      <c r="BI233" s="775">
        <f t="shared" si="197"/>
        <v>0</v>
      </c>
      <c r="BJ233" s="775">
        <f t="shared" si="167"/>
        <v>0</v>
      </c>
      <c r="BK233" s="775">
        <f t="shared" si="159"/>
        <v>0</v>
      </c>
      <c r="BL233" s="775">
        <f t="shared" si="198"/>
        <v>0</v>
      </c>
      <c r="BM233" s="775">
        <f t="shared" si="199"/>
        <v>0</v>
      </c>
    </row>
    <row r="234" spans="1:65">
      <c r="A234" s="11">
        <f t="shared" si="152"/>
        <v>1918</v>
      </c>
      <c r="B234" s="773">
        <v>222</v>
      </c>
      <c r="C234" s="774">
        <f t="shared" si="168"/>
        <v>6727</v>
      </c>
      <c r="D234" s="775">
        <f t="shared" si="169"/>
        <v>0</v>
      </c>
      <c r="E234" s="775">
        <f t="shared" si="160"/>
        <v>0</v>
      </c>
      <c r="F234" s="775">
        <f t="shared" si="150"/>
        <v>0</v>
      </c>
      <c r="G234" s="775">
        <f t="shared" si="170"/>
        <v>0</v>
      </c>
      <c r="H234" s="775">
        <f t="shared" si="171"/>
        <v>0</v>
      </c>
      <c r="I234" s="775">
        <f t="shared" si="151"/>
        <v>0</v>
      </c>
      <c r="K234" s="773">
        <v>222</v>
      </c>
      <c r="L234" s="774">
        <f t="shared" si="172"/>
        <v>6727</v>
      </c>
      <c r="M234" s="775">
        <f t="shared" si="173"/>
        <v>0</v>
      </c>
      <c r="N234" s="775">
        <f t="shared" si="161"/>
        <v>0</v>
      </c>
      <c r="O234" s="775">
        <f t="shared" si="153"/>
        <v>0</v>
      </c>
      <c r="P234" s="775">
        <f t="shared" si="174"/>
        <v>0</v>
      </c>
      <c r="Q234" s="775">
        <f t="shared" si="175"/>
        <v>0</v>
      </c>
      <c r="S234" s="773">
        <v>222</v>
      </c>
      <c r="T234" s="774">
        <f t="shared" si="176"/>
        <v>6727</v>
      </c>
      <c r="U234" s="775">
        <f t="shared" si="177"/>
        <v>0</v>
      </c>
      <c r="V234" s="775">
        <f t="shared" si="162"/>
        <v>0</v>
      </c>
      <c r="W234" s="775">
        <f t="shared" si="154"/>
        <v>0</v>
      </c>
      <c r="X234" s="775">
        <f t="shared" si="178"/>
        <v>0</v>
      </c>
      <c r="Y234" s="775">
        <f t="shared" si="179"/>
        <v>0</v>
      </c>
      <c r="AA234" s="773">
        <v>222</v>
      </c>
      <c r="AB234" s="774">
        <f t="shared" si="180"/>
        <v>6727</v>
      </c>
      <c r="AC234" s="775">
        <f t="shared" si="181"/>
        <v>0</v>
      </c>
      <c r="AD234" s="775">
        <f t="shared" si="163"/>
        <v>0</v>
      </c>
      <c r="AE234" s="775">
        <f t="shared" si="155"/>
        <v>0</v>
      </c>
      <c r="AF234" s="775">
        <f t="shared" si="182"/>
        <v>0</v>
      </c>
      <c r="AG234" s="775">
        <f t="shared" si="183"/>
        <v>0</v>
      </c>
      <c r="AI234" s="773">
        <v>222</v>
      </c>
      <c r="AJ234" s="774">
        <f t="shared" si="184"/>
        <v>6727</v>
      </c>
      <c r="AK234" s="775">
        <f t="shared" si="185"/>
        <v>0</v>
      </c>
      <c r="AL234" s="775">
        <f t="shared" si="164"/>
        <v>0</v>
      </c>
      <c r="AM234" s="775">
        <f t="shared" si="156"/>
        <v>0</v>
      </c>
      <c r="AN234" s="775">
        <f t="shared" si="186"/>
        <v>0</v>
      </c>
      <c r="AO234" s="775">
        <f t="shared" si="187"/>
        <v>0</v>
      </c>
      <c r="AQ234" s="773">
        <v>222</v>
      </c>
      <c r="AR234" s="774">
        <f t="shared" si="188"/>
        <v>6727</v>
      </c>
      <c r="AS234" s="775">
        <f t="shared" si="189"/>
        <v>0</v>
      </c>
      <c r="AT234" s="775">
        <f t="shared" si="165"/>
        <v>0</v>
      </c>
      <c r="AU234" s="775">
        <f t="shared" si="157"/>
        <v>0</v>
      </c>
      <c r="AV234" s="775">
        <f t="shared" si="190"/>
        <v>0</v>
      </c>
      <c r="AW234" s="775">
        <f t="shared" si="191"/>
        <v>0</v>
      </c>
      <c r="AY234" s="773">
        <v>222</v>
      </c>
      <c r="AZ234" s="774">
        <f t="shared" si="192"/>
        <v>6727</v>
      </c>
      <c r="BA234" s="775">
        <f t="shared" si="193"/>
        <v>0</v>
      </c>
      <c r="BB234" s="775">
        <f t="shared" si="166"/>
        <v>0</v>
      </c>
      <c r="BC234" s="775">
        <f t="shared" si="158"/>
        <v>0</v>
      </c>
      <c r="BD234" s="775">
        <f t="shared" si="194"/>
        <v>0</v>
      </c>
      <c r="BE234" s="775">
        <f t="shared" si="195"/>
        <v>0</v>
      </c>
      <c r="BG234" s="773">
        <v>222</v>
      </c>
      <c r="BH234" s="774">
        <f t="shared" si="196"/>
        <v>6727</v>
      </c>
      <c r="BI234" s="775">
        <f t="shared" si="197"/>
        <v>0</v>
      </c>
      <c r="BJ234" s="775">
        <f t="shared" si="167"/>
        <v>0</v>
      </c>
      <c r="BK234" s="775">
        <f t="shared" si="159"/>
        <v>0</v>
      </c>
      <c r="BL234" s="775">
        <f t="shared" si="198"/>
        <v>0</v>
      </c>
      <c r="BM234" s="775">
        <f t="shared" si="199"/>
        <v>0</v>
      </c>
    </row>
    <row r="235" spans="1:65">
      <c r="A235" s="11">
        <f t="shared" si="152"/>
        <v>1918</v>
      </c>
      <c r="B235" s="773">
        <v>223</v>
      </c>
      <c r="C235" s="774">
        <f t="shared" si="168"/>
        <v>6757</v>
      </c>
      <c r="D235" s="775">
        <f t="shared" si="169"/>
        <v>0</v>
      </c>
      <c r="E235" s="775">
        <f t="shared" si="160"/>
        <v>0</v>
      </c>
      <c r="F235" s="775">
        <f t="shared" si="150"/>
        <v>0</v>
      </c>
      <c r="G235" s="775">
        <f t="shared" si="170"/>
        <v>0</v>
      </c>
      <c r="H235" s="775">
        <f t="shared" si="171"/>
        <v>0</v>
      </c>
      <c r="I235" s="775">
        <f t="shared" si="151"/>
        <v>0</v>
      </c>
      <c r="K235" s="773">
        <v>223</v>
      </c>
      <c r="L235" s="774">
        <f t="shared" si="172"/>
        <v>6757</v>
      </c>
      <c r="M235" s="775">
        <f t="shared" si="173"/>
        <v>0</v>
      </c>
      <c r="N235" s="775">
        <f t="shared" si="161"/>
        <v>0</v>
      </c>
      <c r="O235" s="775">
        <f t="shared" si="153"/>
        <v>0</v>
      </c>
      <c r="P235" s="775">
        <f t="shared" si="174"/>
        <v>0</v>
      </c>
      <c r="Q235" s="775">
        <f t="shared" si="175"/>
        <v>0</v>
      </c>
      <c r="S235" s="773">
        <v>223</v>
      </c>
      <c r="T235" s="774">
        <f t="shared" si="176"/>
        <v>6757</v>
      </c>
      <c r="U235" s="775">
        <f t="shared" si="177"/>
        <v>0</v>
      </c>
      <c r="V235" s="775">
        <f t="shared" si="162"/>
        <v>0</v>
      </c>
      <c r="W235" s="775">
        <f t="shared" si="154"/>
        <v>0</v>
      </c>
      <c r="X235" s="775">
        <f t="shared" si="178"/>
        <v>0</v>
      </c>
      <c r="Y235" s="775">
        <f t="shared" si="179"/>
        <v>0</v>
      </c>
      <c r="AA235" s="773">
        <v>223</v>
      </c>
      <c r="AB235" s="774">
        <f t="shared" si="180"/>
        <v>6757</v>
      </c>
      <c r="AC235" s="775">
        <f t="shared" si="181"/>
        <v>0</v>
      </c>
      <c r="AD235" s="775">
        <f t="shared" si="163"/>
        <v>0</v>
      </c>
      <c r="AE235" s="775">
        <f t="shared" si="155"/>
        <v>0</v>
      </c>
      <c r="AF235" s="775">
        <f t="shared" si="182"/>
        <v>0</v>
      </c>
      <c r="AG235" s="775">
        <f t="shared" si="183"/>
        <v>0</v>
      </c>
      <c r="AI235" s="773">
        <v>223</v>
      </c>
      <c r="AJ235" s="774">
        <f t="shared" si="184"/>
        <v>6757</v>
      </c>
      <c r="AK235" s="775">
        <f t="shared" si="185"/>
        <v>0</v>
      </c>
      <c r="AL235" s="775">
        <f t="shared" si="164"/>
        <v>0</v>
      </c>
      <c r="AM235" s="775">
        <f t="shared" si="156"/>
        <v>0</v>
      </c>
      <c r="AN235" s="775">
        <f t="shared" si="186"/>
        <v>0</v>
      </c>
      <c r="AO235" s="775">
        <f t="shared" si="187"/>
        <v>0</v>
      </c>
      <c r="AQ235" s="773">
        <v>223</v>
      </c>
      <c r="AR235" s="774">
        <f t="shared" si="188"/>
        <v>6757</v>
      </c>
      <c r="AS235" s="775">
        <f t="shared" si="189"/>
        <v>0</v>
      </c>
      <c r="AT235" s="775">
        <f t="shared" si="165"/>
        <v>0</v>
      </c>
      <c r="AU235" s="775">
        <f t="shared" si="157"/>
        <v>0</v>
      </c>
      <c r="AV235" s="775">
        <f t="shared" si="190"/>
        <v>0</v>
      </c>
      <c r="AW235" s="775">
        <f t="shared" si="191"/>
        <v>0</v>
      </c>
      <c r="AY235" s="773">
        <v>223</v>
      </c>
      <c r="AZ235" s="774">
        <f t="shared" si="192"/>
        <v>6757</v>
      </c>
      <c r="BA235" s="775">
        <f t="shared" si="193"/>
        <v>0</v>
      </c>
      <c r="BB235" s="775">
        <f t="shared" si="166"/>
        <v>0</v>
      </c>
      <c r="BC235" s="775">
        <f t="shared" si="158"/>
        <v>0</v>
      </c>
      <c r="BD235" s="775">
        <f t="shared" si="194"/>
        <v>0</v>
      </c>
      <c r="BE235" s="775">
        <f t="shared" si="195"/>
        <v>0</v>
      </c>
      <c r="BG235" s="773">
        <v>223</v>
      </c>
      <c r="BH235" s="774">
        <f t="shared" si="196"/>
        <v>6757</v>
      </c>
      <c r="BI235" s="775">
        <f t="shared" si="197"/>
        <v>0</v>
      </c>
      <c r="BJ235" s="775">
        <f t="shared" si="167"/>
        <v>0</v>
      </c>
      <c r="BK235" s="775">
        <f t="shared" si="159"/>
        <v>0</v>
      </c>
      <c r="BL235" s="775">
        <f t="shared" si="198"/>
        <v>0</v>
      </c>
      <c r="BM235" s="775">
        <f t="shared" si="199"/>
        <v>0</v>
      </c>
    </row>
    <row r="236" spans="1:65">
      <c r="A236" s="11">
        <f t="shared" si="152"/>
        <v>1918</v>
      </c>
      <c r="B236" s="773">
        <v>224</v>
      </c>
      <c r="C236" s="774">
        <f t="shared" si="168"/>
        <v>6788</v>
      </c>
      <c r="D236" s="775">
        <f t="shared" si="169"/>
        <v>0</v>
      </c>
      <c r="E236" s="775">
        <f t="shared" si="160"/>
        <v>0</v>
      </c>
      <c r="F236" s="775">
        <f t="shared" si="150"/>
        <v>0</v>
      </c>
      <c r="G236" s="775">
        <f t="shared" si="170"/>
        <v>0</v>
      </c>
      <c r="H236" s="775">
        <f t="shared" si="171"/>
        <v>0</v>
      </c>
      <c r="I236" s="775">
        <f t="shared" si="151"/>
        <v>0</v>
      </c>
      <c r="K236" s="773">
        <v>224</v>
      </c>
      <c r="L236" s="774">
        <f t="shared" si="172"/>
        <v>6788</v>
      </c>
      <c r="M236" s="775">
        <f t="shared" si="173"/>
        <v>0</v>
      </c>
      <c r="N236" s="775">
        <f t="shared" si="161"/>
        <v>0</v>
      </c>
      <c r="O236" s="775">
        <f t="shared" si="153"/>
        <v>0</v>
      </c>
      <c r="P236" s="775">
        <f t="shared" si="174"/>
        <v>0</v>
      </c>
      <c r="Q236" s="775">
        <f t="shared" si="175"/>
        <v>0</v>
      </c>
      <c r="S236" s="773">
        <v>224</v>
      </c>
      <c r="T236" s="774">
        <f t="shared" si="176"/>
        <v>6788</v>
      </c>
      <c r="U236" s="775">
        <f t="shared" si="177"/>
        <v>0</v>
      </c>
      <c r="V236" s="775">
        <f t="shared" si="162"/>
        <v>0</v>
      </c>
      <c r="W236" s="775">
        <f t="shared" si="154"/>
        <v>0</v>
      </c>
      <c r="X236" s="775">
        <f t="shared" si="178"/>
        <v>0</v>
      </c>
      <c r="Y236" s="775">
        <f t="shared" si="179"/>
        <v>0</v>
      </c>
      <c r="AA236" s="773">
        <v>224</v>
      </c>
      <c r="AB236" s="774">
        <f t="shared" si="180"/>
        <v>6788</v>
      </c>
      <c r="AC236" s="775">
        <f t="shared" si="181"/>
        <v>0</v>
      </c>
      <c r="AD236" s="775">
        <f t="shared" si="163"/>
        <v>0</v>
      </c>
      <c r="AE236" s="775">
        <f t="shared" si="155"/>
        <v>0</v>
      </c>
      <c r="AF236" s="775">
        <f t="shared" si="182"/>
        <v>0</v>
      </c>
      <c r="AG236" s="775">
        <f t="shared" si="183"/>
        <v>0</v>
      </c>
      <c r="AI236" s="773">
        <v>224</v>
      </c>
      <c r="AJ236" s="774">
        <f t="shared" si="184"/>
        <v>6788</v>
      </c>
      <c r="AK236" s="775">
        <f t="shared" si="185"/>
        <v>0</v>
      </c>
      <c r="AL236" s="775">
        <f t="shared" si="164"/>
        <v>0</v>
      </c>
      <c r="AM236" s="775">
        <f t="shared" si="156"/>
        <v>0</v>
      </c>
      <c r="AN236" s="775">
        <f t="shared" si="186"/>
        <v>0</v>
      </c>
      <c r="AO236" s="775">
        <f t="shared" si="187"/>
        <v>0</v>
      </c>
      <c r="AQ236" s="773">
        <v>224</v>
      </c>
      <c r="AR236" s="774">
        <f t="shared" si="188"/>
        <v>6788</v>
      </c>
      <c r="AS236" s="775">
        <f t="shared" si="189"/>
        <v>0</v>
      </c>
      <c r="AT236" s="775">
        <f t="shared" si="165"/>
        <v>0</v>
      </c>
      <c r="AU236" s="775">
        <f t="shared" si="157"/>
        <v>0</v>
      </c>
      <c r="AV236" s="775">
        <f t="shared" si="190"/>
        <v>0</v>
      </c>
      <c r="AW236" s="775">
        <f t="shared" si="191"/>
        <v>0</v>
      </c>
      <c r="AY236" s="773">
        <v>224</v>
      </c>
      <c r="AZ236" s="774">
        <f t="shared" si="192"/>
        <v>6788</v>
      </c>
      <c r="BA236" s="775">
        <f t="shared" si="193"/>
        <v>0</v>
      </c>
      <c r="BB236" s="775">
        <f t="shared" si="166"/>
        <v>0</v>
      </c>
      <c r="BC236" s="775">
        <f t="shared" si="158"/>
        <v>0</v>
      </c>
      <c r="BD236" s="775">
        <f t="shared" si="194"/>
        <v>0</v>
      </c>
      <c r="BE236" s="775">
        <f t="shared" si="195"/>
        <v>0</v>
      </c>
      <c r="BG236" s="773">
        <v>224</v>
      </c>
      <c r="BH236" s="774">
        <f t="shared" si="196"/>
        <v>6788</v>
      </c>
      <c r="BI236" s="775">
        <f t="shared" si="197"/>
        <v>0</v>
      </c>
      <c r="BJ236" s="775">
        <f t="shared" si="167"/>
        <v>0</v>
      </c>
      <c r="BK236" s="775">
        <f t="shared" si="159"/>
        <v>0</v>
      </c>
      <c r="BL236" s="775">
        <f t="shared" si="198"/>
        <v>0</v>
      </c>
      <c r="BM236" s="775">
        <f t="shared" si="199"/>
        <v>0</v>
      </c>
    </row>
    <row r="237" spans="1:65">
      <c r="A237" s="11">
        <f t="shared" si="152"/>
        <v>1918</v>
      </c>
      <c r="B237" s="773">
        <v>225</v>
      </c>
      <c r="C237" s="774">
        <f t="shared" si="168"/>
        <v>6819</v>
      </c>
      <c r="D237" s="775">
        <f t="shared" si="169"/>
        <v>0</v>
      </c>
      <c r="E237" s="775">
        <f t="shared" si="160"/>
        <v>0</v>
      </c>
      <c r="F237" s="775">
        <f t="shared" si="150"/>
        <v>0</v>
      </c>
      <c r="G237" s="775">
        <f t="shared" si="170"/>
        <v>0</v>
      </c>
      <c r="H237" s="775">
        <f t="shared" si="171"/>
        <v>0</v>
      </c>
      <c r="I237" s="775">
        <f t="shared" si="151"/>
        <v>0</v>
      </c>
      <c r="K237" s="773">
        <v>225</v>
      </c>
      <c r="L237" s="774">
        <f t="shared" si="172"/>
        <v>6819</v>
      </c>
      <c r="M237" s="775">
        <f t="shared" si="173"/>
        <v>0</v>
      </c>
      <c r="N237" s="775">
        <f t="shared" si="161"/>
        <v>0</v>
      </c>
      <c r="O237" s="775">
        <f t="shared" si="153"/>
        <v>0</v>
      </c>
      <c r="P237" s="775">
        <f t="shared" si="174"/>
        <v>0</v>
      </c>
      <c r="Q237" s="775">
        <f t="shared" si="175"/>
        <v>0</v>
      </c>
      <c r="S237" s="773">
        <v>225</v>
      </c>
      <c r="T237" s="774">
        <f t="shared" si="176"/>
        <v>6819</v>
      </c>
      <c r="U237" s="775">
        <f t="shared" si="177"/>
        <v>0</v>
      </c>
      <c r="V237" s="775">
        <f t="shared" si="162"/>
        <v>0</v>
      </c>
      <c r="W237" s="775">
        <f t="shared" si="154"/>
        <v>0</v>
      </c>
      <c r="X237" s="775">
        <f t="shared" si="178"/>
        <v>0</v>
      </c>
      <c r="Y237" s="775">
        <f t="shared" si="179"/>
        <v>0</v>
      </c>
      <c r="AA237" s="773">
        <v>225</v>
      </c>
      <c r="AB237" s="774">
        <f t="shared" si="180"/>
        <v>6819</v>
      </c>
      <c r="AC237" s="775">
        <f t="shared" si="181"/>
        <v>0</v>
      </c>
      <c r="AD237" s="775">
        <f t="shared" si="163"/>
        <v>0</v>
      </c>
      <c r="AE237" s="775">
        <f t="shared" si="155"/>
        <v>0</v>
      </c>
      <c r="AF237" s="775">
        <f t="shared" si="182"/>
        <v>0</v>
      </c>
      <c r="AG237" s="775">
        <f t="shared" si="183"/>
        <v>0</v>
      </c>
      <c r="AI237" s="773">
        <v>225</v>
      </c>
      <c r="AJ237" s="774">
        <f t="shared" si="184"/>
        <v>6819</v>
      </c>
      <c r="AK237" s="775">
        <f t="shared" si="185"/>
        <v>0</v>
      </c>
      <c r="AL237" s="775">
        <f t="shared" si="164"/>
        <v>0</v>
      </c>
      <c r="AM237" s="775">
        <f t="shared" si="156"/>
        <v>0</v>
      </c>
      <c r="AN237" s="775">
        <f t="shared" si="186"/>
        <v>0</v>
      </c>
      <c r="AO237" s="775">
        <f t="shared" si="187"/>
        <v>0</v>
      </c>
      <c r="AQ237" s="773">
        <v>225</v>
      </c>
      <c r="AR237" s="774">
        <f t="shared" si="188"/>
        <v>6819</v>
      </c>
      <c r="AS237" s="775">
        <f t="shared" si="189"/>
        <v>0</v>
      </c>
      <c r="AT237" s="775">
        <f t="shared" si="165"/>
        <v>0</v>
      </c>
      <c r="AU237" s="775">
        <f t="shared" si="157"/>
        <v>0</v>
      </c>
      <c r="AV237" s="775">
        <f t="shared" si="190"/>
        <v>0</v>
      </c>
      <c r="AW237" s="775">
        <f t="shared" si="191"/>
        <v>0</v>
      </c>
      <c r="AY237" s="773">
        <v>225</v>
      </c>
      <c r="AZ237" s="774">
        <f t="shared" si="192"/>
        <v>6819</v>
      </c>
      <c r="BA237" s="775">
        <f t="shared" si="193"/>
        <v>0</v>
      </c>
      <c r="BB237" s="775">
        <f t="shared" si="166"/>
        <v>0</v>
      </c>
      <c r="BC237" s="775">
        <f t="shared" si="158"/>
        <v>0</v>
      </c>
      <c r="BD237" s="775">
        <f t="shared" si="194"/>
        <v>0</v>
      </c>
      <c r="BE237" s="775">
        <f t="shared" si="195"/>
        <v>0</v>
      </c>
      <c r="BG237" s="773">
        <v>225</v>
      </c>
      <c r="BH237" s="774">
        <f t="shared" si="196"/>
        <v>6819</v>
      </c>
      <c r="BI237" s="775">
        <f t="shared" si="197"/>
        <v>0</v>
      </c>
      <c r="BJ237" s="775">
        <f t="shared" si="167"/>
        <v>0</v>
      </c>
      <c r="BK237" s="775">
        <f t="shared" si="159"/>
        <v>0</v>
      </c>
      <c r="BL237" s="775">
        <f t="shared" si="198"/>
        <v>0</v>
      </c>
      <c r="BM237" s="775">
        <f t="shared" si="199"/>
        <v>0</v>
      </c>
    </row>
    <row r="238" spans="1:65">
      <c r="A238" s="11">
        <f t="shared" si="152"/>
        <v>1918</v>
      </c>
      <c r="B238" s="773">
        <v>226</v>
      </c>
      <c r="C238" s="774">
        <f t="shared" si="168"/>
        <v>6849</v>
      </c>
      <c r="D238" s="775">
        <f t="shared" si="169"/>
        <v>0</v>
      </c>
      <c r="E238" s="775">
        <f t="shared" si="160"/>
        <v>0</v>
      </c>
      <c r="F238" s="775">
        <f t="shared" si="150"/>
        <v>0</v>
      </c>
      <c r="G238" s="775">
        <f t="shared" si="170"/>
        <v>0</v>
      </c>
      <c r="H238" s="775">
        <f t="shared" si="171"/>
        <v>0</v>
      </c>
      <c r="I238" s="775">
        <f t="shared" si="151"/>
        <v>0</v>
      </c>
      <c r="K238" s="773">
        <v>226</v>
      </c>
      <c r="L238" s="774">
        <f t="shared" si="172"/>
        <v>6849</v>
      </c>
      <c r="M238" s="775">
        <f t="shared" si="173"/>
        <v>0</v>
      </c>
      <c r="N238" s="775">
        <f t="shared" si="161"/>
        <v>0</v>
      </c>
      <c r="O238" s="775">
        <f t="shared" si="153"/>
        <v>0</v>
      </c>
      <c r="P238" s="775">
        <f t="shared" si="174"/>
        <v>0</v>
      </c>
      <c r="Q238" s="775">
        <f t="shared" si="175"/>
        <v>0</v>
      </c>
      <c r="S238" s="773">
        <v>226</v>
      </c>
      <c r="T238" s="774">
        <f t="shared" si="176"/>
        <v>6849</v>
      </c>
      <c r="U238" s="775">
        <f t="shared" si="177"/>
        <v>0</v>
      </c>
      <c r="V238" s="775">
        <f t="shared" si="162"/>
        <v>0</v>
      </c>
      <c r="W238" s="775">
        <f t="shared" si="154"/>
        <v>0</v>
      </c>
      <c r="X238" s="775">
        <f t="shared" si="178"/>
        <v>0</v>
      </c>
      <c r="Y238" s="775">
        <f t="shared" si="179"/>
        <v>0</v>
      </c>
      <c r="AA238" s="773">
        <v>226</v>
      </c>
      <c r="AB238" s="774">
        <f t="shared" si="180"/>
        <v>6849</v>
      </c>
      <c r="AC238" s="775">
        <f t="shared" si="181"/>
        <v>0</v>
      </c>
      <c r="AD238" s="775">
        <f t="shared" si="163"/>
        <v>0</v>
      </c>
      <c r="AE238" s="775">
        <f t="shared" si="155"/>
        <v>0</v>
      </c>
      <c r="AF238" s="775">
        <f t="shared" si="182"/>
        <v>0</v>
      </c>
      <c r="AG238" s="775">
        <f t="shared" si="183"/>
        <v>0</v>
      </c>
      <c r="AI238" s="773">
        <v>226</v>
      </c>
      <c r="AJ238" s="774">
        <f t="shared" si="184"/>
        <v>6849</v>
      </c>
      <c r="AK238" s="775">
        <f t="shared" si="185"/>
        <v>0</v>
      </c>
      <c r="AL238" s="775">
        <f t="shared" si="164"/>
        <v>0</v>
      </c>
      <c r="AM238" s="775">
        <f t="shared" si="156"/>
        <v>0</v>
      </c>
      <c r="AN238" s="775">
        <f t="shared" si="186"/>
        <v>0</v>
      </c>
      <c r="AO238" s="775">
        <f t="shared" si="187"/>
        <v>0</v>
      </c>
      <c r="AQ238" s="773">
        <v>226</v>
      </c>
      <c r="AR238" s="774">
        <f t="shared" si="188"/>
        <v>6849</v>
      </c>
      <c r="AS238" s="775">
        <f t="shared" si="189"/>
        <v>0</v>
      </c>
      <c r="AT238" s="775">
        <f t="shared" si="165"/>
        <v>0</v>
      </c>
      <c r="AU238" s="775">
        <f t="shared" si="157"/>
        <v>0</v>
      </c>
      <c r="AV238" s="775">
        <f t="shared" si="190"/>
        <v>0</v>
      </c>
      <c r="AW238" s="775">
        <f t="shared" si="191"/>
        <v>0</v>
      </c>
      <c r="AY238" s="773">
        <v>226</v>
      </c>
      <c r="AZ238" s="774">
        <f t="shared" si="192"/>
        <v>6849</v>
      </c>
      <c r="BA238" s="775">
        <f t="shared" si="193"/>
        <v>0</v>
      </c>
      <c r="BB238" s="775">
        <f t="shared" si="166"/>
        <v>0</v>
      </c>
      <c r="BC238" s="775">
        <f t="shared" si="158"/>
        <v>0</v>
      </c>
      <c r="BD238" s="775">
        <f t="shared" si="194"/>
        <v>0</v>
      </c>
      <c r="BE238" s="775">
        <f t="shared" si="195"/>
        <v>0</v>
      </c>
      <c r="BG238" s="773">
        <v>226</v>
      </c>
      <c r="BH238" s="774">
        <f t="shared" si="196"/>
        <v>6849</v>
      </c>
      <c r="BI238" s="775">
        <f t="shared" si="197"/>
        <v>0</v>
      </c>
      <c r="BJ238" s="775">
        <f t="shared" si="167"/>
        <v>0</v>
      </c>
      <c r="BK238" s="775">
        <f t="shared" si="159"/>
        <v>0</v>
      </c>
      <c r="BL238" s="775">
        <f t="shared" si="198"/>
        <v>0</v>
      </c>
      <c r="BM238" s="775">
        <f t="shared" si="199"/>
        <v>0</v>
      </c>
    </row>
    <row r="239" spans="1:65">
      <c r="A239" s="11">
        <f t="shared" si="152"/>
        <v>1918</v>
      </c>
      <c r="B239" s="773">
        <v>227</v>
      </c>
      <c r="C239" s="774">
        <f t="shared" si="168"/>
        <v>6880</v>
      </c>
      <c r="D239" s="775">
        <f t="shared" si="169"/>
        <v>0</v>
      </c>
      <c r="E239" s="775">
        <f t="shared" si="160"/>
        <v>0</v>
      </c>
      <c r="F239" s="775">
        <f t="shared" si="150"/>
        <v>0</v>
      </c>
      <c r="G239" s="775">
        <f t="shared" si="170"/>
        <v>0</v>
      </c>
      <c r="H239" s="775">
        <f t="shared" si="171"/>
        <v>0</v>
      </c>
      <c r="I239" s="775">
        <f t="shared" si="151"/>
        <v>0</v>
      </c>
      <c r="K239" s="773">
        <v>227</v>
      </c>
      <c r="L239" s="774">
        <f t="shared" si="172"/>
        <v>6880</v>
      </c>
      <c r="M239" s="775">
        <f t="shared" si="173"/>
        <v>0</v>
      </c>
      <c r="N239" s="775">
        <f t="shared" si="161"/>
        <v>0</v>
      </c>
      <c r="O239" s="775">
        <f t="shared" si="153"/>
        <v>0</v>
      </c>
      <c r="P239" s="775">
        <f t="shared" si="174"/>
        <v>0</v>
      </c>
      <c r="Q239" s="775">
        <f t="shared" si="175"/>
        <v>0</v>
      </c>
      <c r="S239" s="773">
        <v>227</v>
      </c>
      <c r="T239" s="774">
        <f t="shared" si="176"/>
        <v>6880</v>
      </c>
      <c r="U239" s="775">
        <f t="shared" si="177"/>
        <v>0</v>
      </c>
      <c r="V239" s="775">
        <f t="shared" si="162"/>
        <v>0</v>
      </c>
      <c r="W239" s="775">
        <f t="shared" si="154"/>
        <v>0</v>
      </c>
      <c r="X239" s="775">
        <f t="shared" si="178"/>
        <v>0</v>
      </c>
      <c r="Y239" s="775">
        <f t="shared" si="179"/>
        <v>0</v>
      </c>
      <c r="AA239" s="773">
        <v>227</v>
      </c>
      <c r="AB239" s="774">
        <f t="shared" si="180"/>
        <v>6880</v>
      </c>
      <c r="AC239" s="775">
        <f t="shared" si="181"/>
        <v>0</v>
      </c>
      <c r="AD239" s="775">
        <f t="shared" si="163"/>
        <v>0</v>
      </c>
      <c r="AE239" s="775">
        <f t="shared" si="155"/>
        <v>0</v>
      </c>
      <c r="AF239" s="775">
        <f t="shared" si="182"/>
        <v>0</v>
      </c>
      <c r="AG239" s="775">
        <f t="shared" si="183"/>
        <v>0</v>
      </c>
      <c r="AI239" s="773">
        <v>227</v>
      </c>
      <c r="AJ239" s="774">
        <f t="shared" si="184"/>
        <v>6880</v>
      </c>
      <c r="AK239" s="775">
        <f t="shared" si="185"/>
        <v>0</v>
      </c>
      <c r="AL239" s="775">
        <f t="shared" si="164"/>
        <v>0</v>
      </c>
      <c r="AM239" s="775">
        <f t="shared" si="156"/>
        <v>0</v>
      </c>
      <c r="AN239" s="775">
        <f t="shared" si="186"/>
        <v>0</v>
      </c>
      <c r="AO239" s="775">
        <f t="shared" si="187"/>
        <v>0</v>
      </c>
      <c r="AQ239" s="773">
        <v>227</v>
      </c>
      <c r="AR239" s="774">
        <f t="shared" si="188"/>
        <v>6880</v>
      </c>
      <c r="AS239" s="775">
        <f t="shared" si="189"/>
        <v>0</v>
      </c>
      <c r="AT239" s="775">
        <f t="shared" si="165"/>
        <v>0</v>
      </c>
      <c r="AU239" s="775">
        <f t="shared" si="157"/>
        <v>0</v>
      </c>
      <c r="AV239" s="775">
        <f t="shared" si="190"/>
        <v>0</v>
      </c>
      <c r="AW239" s="775">
        <f t="shared" si="191"/>
        <v>0</v>
      </c>
      <c r="AY239" s="773">
        <v>227</v>
      </c>
      <c r="AZ239" s="774">
        <f t="shared" si="192"/>
        <v>6880</v>
      </c>
      <c r="BA239" s="775">
        <f t="shared" si="193"/>
        <v>0</v>
      </c>
      <c r="BB239" s="775">
        <f t="shared" si="166"/>
        <v>0</v>
      </c>
      <c r="BC239" s="775">
        <f t="shared" si="158"/>
        <v>0</v>
      </c>
      <c r="BD239" s="775">
        <f t="shared" si="194"/>
        <v>0</v>
      </c>
      <c r="BE239" s="775">
        <f t="shared" si="195"/>
        <v>0</v>
      </c>
      <c r="BG239" s="773">
        <v>227</v>
      </c>
      <c r="BH239" s="774">
        <f t="shared" si="196"/>
        <v>6880</v>
      </c>
      <c r="BI239" s="775">
        <f t="shared" si="197"/>
        <v>0</v>
      </c>
      <c r="BJ239" s="775">
        <f t="shared" si="167"/>
        <v>0</v>
      </c>
      <c r="BK239" s="775">
        <f t="shared" si="159"/>
        <v>0</v>
      </c>
      <c r="BL239" s="775">
        <f t="shared" si="198"/>
        <v>0</v>
      </c>
      <c r="BM239" s="775">
        <f t="shared" si="199"/>
        <v>0</v>
      </c>
    </row>
    <row r="240" spans="1:65">
      <c r="A240" s="11">
        <f t="shared" si="152"/>
        <v>1918</v>
      </c>
      <c r="B240" s="773">
        <v>228</v>
      </c>
      <c r="C240" s="774">
        <f t="shared" si="168"/>
        <v>6910</v>
      </c>
      <c r="D240" s="775">
        <f t="shared" si="169"/>
        <v>0</v>
      </c>
      <c r="E240" s="775">
        <f t="shared" si="160"/>
        <v>0</v>
      </c>
      <c r="F240" s="775">
        <f t="shared" si="150"/>
        <v>0</v>
      </c>
      <c r="G240" s="775">
        <f t="shared" si="170"/>
        <v>0</v>
      </c>
      <c r="H240" s="775">
        <f t="shared" si="171"/>
        <v>0</v>
      </c>
      <c r="I240" s="775">
        <f t="shared" si="151"/>
        <v>0</v>
      </c>
      <c r="K240" s="773">
        <v>228</v>
      </c>
      <c r="L240" s="774">
        <f t="shared" si="172"/>
        <v>6910</v>
      </c>
      <c r="M240" s="775">
        <f t="shared" si="173"/>
        <v>0</v>
      </c>
      <c r="N240" s="775">
        <f t="shared" si="161"/>
        <v>0</v>
      </c>
      <c r="O240" s="775">
        <f t="shared" si="153"/>
        <v>0</v>
      </c>
      <c r="P240" s="775">
        <f t="shared" si="174"/>
        <v>0</v>
      </c>
      <c r="Q240" s="775">
        <f t="shared" si="175"/>
        <v>0</v>
      </c>
      <c r="S240" s="773">
        <v>228</v>
      </c>
      <c r="T240" s="774">
        <f t="shared" si="176"/>
        <v>6910</v>
      </c>
      <c r="U240" s="775">
        <f t="shared" si="177"/>
        <v>0</v>
      </c>
      <c r="V240" s="775">
        <f t="shared" si="162"/>
        <v>0</v>
      </c>
      <c r="W240" s="775">
        <f t="shared" si="154"/>
        <v>0</v>
      </c>
      <c r="X240" s="775">
        <f t="shared" si="178"/>
        <v>0</v>
      </c>
      <c r="Y240" s="775">
        <f t="shared" si="179"/>
        <v>0</v>
      </c>
      <c r="AA240" s="773">
        <v>228</v>
      </c>
      <c r="AB240" s="774">
        <f t="shared" si="180"/>
        <v>6910</v>
      </c>
      <c r="AC240" s="775">
        <f t="shared" si="181"/>
        <v>0</v>
      </c>
      <c r="AD240" s="775">
        <f t="shared" si="163"/>
        <v>0</v>
      </c>
      <c r="AE240" s="775">
        <f t="shared" si="155"/>
        <v>0</v>
      </c>
      <c r="AF240" s="775">
        <f t="shared" si="182"/>
        <v>0</v>
      </c>
      <c r="AG240" s="775">
        <f t="shared" si="183"/>
        <v>0</v>
      </c>
      <c r="AI240" s="773">
        <v>228</v>
      </c>
      <c r="AJ240" s="774">
        <f t="shared" si="184"/>
        <v>6910</v>
      </c>
      <c r="AK240" s="775">
        <f t="shared" si="185"/>
        <v>0</v>
      </c>
      <c r="AL240" s="775">
        <f t="shared" si="164"/>
        <v>0</v>
      </c>
      <c r="AM240" s="775">
        <f t="shared" si="156"/>
        <v>0</v>
      </c>
      <c r="AN240" s="775">
        <f t="shared" si="186"/>
        <v>0</v>
      </c>
      <c r="AO240" s="775">
        <f t="shared" si="187"/>
        <v>0</v>
      </c>
      <c r="AQ240" s="773">
        <v>228</v>
      </c>
      <c r="AR240" s="774">
        <f t="shared" si="188"/>
        <v>6910</v>
      </c>
      <c r="AS240" s="775">
        <f t="shared" si="189"/>
        <v>0</v>
      </c>
      <c r="AT240" s="775">
        <f t="shared" si="165"/>
        <v>0</v>
      </c>
      <c r="AU240" s="775">
        <f t="shared" si="157"/>
        <v>0</v>
      </c>
      <c r="AV240" s="775">
        <f t="shared" si="190"/>
        <v>0</v>
      </c>
      <c r="AW240" s="775">
        <f t="shared" si="191"/>
        <v>0</v>
      </c>
      <c r="AY240" s="773">
        <v>228</v>
      </c>
      <c r="AZ240" s="774">
        <f t="shared" si="192"/>
        <v>6910</v>
      </c>
      <c r="BA240" s="775">
        <f t="shared" si="193"/>
        <v>0</v>
      </c>
      <c r="BB240" s="775">
        <f t="shared" si="166"/>
        <v>0</v>
      </c>
      <c r="BC240" s="775">
        <f t="shared" si="158"/>
        <v>0</v>
      </c>
      <c r="BD240" s="775">
        <f t="shared" si="194"/>
        <v>0</v>
      </c>
      <c r="BE240" s="775">
        <f t="shared" si="195"/>
        <v>0</v>
      </c>
      <c r="BG240" s="773">
        <v>228</v>
      </c>
      <c r="BH240" s="774">
        <f t="shared" si="196"/>
        <v>6910</v>
      </c>
      <c r="BI240" s="775">
        <f t="shared" si="197"/>
        <v>0</v>
      </c>
      <c r="BJ240" s="775">
        <f t="shared" si="167"/>
        <v>0</v>
      </c>
      <c r="BK240" s="775">
        <f t="shared" si="159"/>
        <v>0</v>
      </c>
      <c r="BL240" s="775">
        <f t="shared" si="198"/>
        <v>0</v>
      </c>
      <c r="BM240" s="775">
        <f t="shared" si="199"/>
        <v>0</v>
      </c>
    </row>
    <row r="241" spans="1:65">
      <c r="A241" s="11">
        <f t="shared" si="152"/>
        <v>1919</v>
      </c>
      <c r="B241" s="773">
        <v>229</v>
      </c>
      <c r="C241" s="774">
        <f t="shared" si="168"/>
        <v>6941</v>
      </c>
      <c r="D241" s="775">
        <f t="shared" si="169"/>
        <v>0</v>
      </c>
      <c r="E241" s="775">
        <f t="shared" si="160"/>
        <v>0</v>
      </c>
      <c r="F241" s="775">
        <f t="shared" si="150"/>
        <v>0</v>
      </c>
      <c r="G241" s="775">
        <f t="shared" si="170"/>
        <v>0</v>
      </c>
      <c r="H241" s="775">
        <f t="shared" si="171"/>
        <v>0</v>
      </c>
      <c r="I241" s="775">
        <f t="shared" si="151"/>
        <v>0</v>
      </c>
      <c r="K241" s="773">
        <v>229</v>
      </c>
      <c r="L241" s="774">
        <f t="shared" si="172"/>
        <v>6941</v>
      </c>
      <c r="M241" s="775">
        <f t="shared" si="173"/>
        <v>0</v>
      </c>
      <c r="N241" s="775">
        <f t="shared" si="161"/>
        <v>0</v>
      </c>
      <c r="O241" s="775">
        <f t="shared" si="153"/>
        <v>0</v>
      </c>
      <c r="P241" s="775">
        <f t="shared" si="174"/>
        <v>0</v>
      </c>
      <c r="Q241" s="775">
        <f t="shared" si="175"/>
        <v>0</v>
      </c>
      <c r="S241" s="773">
        <v>229</v>
      </c>
      <c r="T241" s="774">
        <f t="shared" si="176"/>
        <v>6941</v>
      </c>
      <c r="U241" s="775">
        <f t="shared" si="177"/>
        <v>0</v>
      </c>
      <c r="V241" s="775">
        <f t="shared" si="162"/>
        <v>0</v>
      </c>
      <c r="W241" s="775">
        <f t="shared" si="154"/>
        <v>0</v>
      </c>
      <c r="X241" s="775">
        <f t="shared" si="178"/>
        <v>0</v>
      </c>
      <c r="Y241" s="775">
        <f t="shared" si="179"/>
        <v>0</v>
      </c>
      <c r="AA241" s="773">
        <v>229</v>
      </c>
      <c r="AB241" s="774">
        <f t="shared" si="180"/>
        <v>6941</v>
      </c>
      <c r="AC241" s="775">
        <f t="shared" si="181"/>
        <v>0</v>
      </c>
      <c r="AD241" s="775">
        <f t="shared" si="163"/>
        <v>0</v>
      </c>
      <c r="AE241" s="775">
        <f t="shared" si="155"/>
        <v>0</v>
      </c>
      <c r="AF241" s="775">
        <f t="shared" si="182"/>
        <v>0</v>
      </c>
      <c r="AG241" s="775">
        <f t="shared" si="183"/>
        <v>0</v>
      </c>
      <c r="AI241" s="773">
        <v>229</v>
      </c>
      <c r="AJ241" s="774">
        <f t="shared" si="184"/>
        <v>6941</v>
      </c>
      <c r="AK241" s="775">
        <f t="shared" si="185"/>
        <v>0</v>
      </c>
      <c r="AL241" s="775">
        <f t="shared" si="164"/>
        <v>0</v>
      </c>
      <c r="AM241" s="775">
        <f t="shared" si="156"/>
        <v>0</v>
      </c>
      <c r="AN241" s="775">
        <f t="shared" si="186"/>
        <v>0</v>
      </c>
      <c r="AO241" s="775">
        <f t="shared" si="187"/>
        <v>0</v>
      </c>
      <c r="AQ241" s="773">
        <v>229</v>
      </c>
      <c r="AR241" s="774">
        <f t="shared" si="188"/>
        <v>6941</v>
      </c>
      <c r="AS241" s="775">
        <f t="shared" si="189"/>
        <v>0</v>
      </c>
      <c r="AT241" s="775">
        <f t="shared" si="165"/>
        <v>0</v>
      </c>
      <c r="AU241" s="775">
        <f t="shared" si="157"/>
        <v>0</v>
      </c>
      <c r="AV241" s="775">
        <f t="shared" si="190"/>
        <v>0</v>
      </c>
      <c r="AW241" s="775">
        <f t="shared" si="191"/>
        <v>0</v>
      </c>
      <c r="AY241" s="773">
        <v>229</v>
      </c>
      <c r="AZ241" s="774">
        <f t="shared" si="192"/>
        <v>6941</v>
      </c>
      <c r="BA241" s="775">
        <f t="shared" si="193"/>
        <v>0</v>
      </c>
      <c r="BB241" s="775">
        <f t="shared" si="166"/>
        <v>0</v>
      </c>
      <c r="BC241" s="775">
        <f t="shared" si="158"/>
        <v>0</v>
      </c>
      <c r="BD241" s="775">
        <f t="shared" si="194"/>
        <v>0</v>
      </c>
      <c r="BE241" s="775">
        <f t="shared" si="195"/>
        <v>0</v>
      </c>
      <c r="BG241" s="773">
        <v>229</v>
      </c>
      <c r="BH241" s="774">
        <f t="shared" si="196"/>
        <v>6941</v>
      </c>
      <c r="BI241" s="775">
        <f t="shared" si="197"/>
        <v>0</v>
      </c>
      <c r="BJ241" s="775">
        <f t="shared" si="167"/>
        <v>0</v>
      </c>
      <c r="BK241" s="775">
        <f t="shared" si="159"/>
        <v>0</v>
      </c>
      <c r="BL241" s="775">
        <f t="shared" si="198"/>
        <v>0</v>
      </c>
      <c r="BM241" s="775">
        <f t="shared" si="199"/>
        <v>0</v>
      </c>
    </row>
    <row r="242" spans="1:65">
      <c r="A242" s="11">
        <f t="shared" si="152"/>
        <v>1919</v>
      </c>
      <c r="B242" s="773">
        <v>230</v>
      </c>
      <c r="C242" s="774">
        <f t="shared" si="168"/>
        <v>6972</v>
      </c>
      <c r="D242" s="775">
        <f t="shared" si="169"/>
        <v>0</v>
      </c>
      <c r="E242" s="775">
        <f t="shared" si="160"/>
        <v>0</v>
      </c>
      <c r="F242" s="775">
        <f t="shared" si="150"/>
        <v>0</v>
      </c>
      <c r="G242" s="775">
        <f t="shared" si="170"/>
        <v>0</v>
      </c>
      <c r="H242" s="775">
        <f t="shared" si="171"/>
        <v>0</v>
      </c>
      <c r="I242" s="775">
        <f t="shared" si="151"/>
        <v>0</v>
      </c>
      <c r="K242" s="773">
        <v>230</v>
      </c>
      <c r="L242" s="774">
        <f t="shared" si="172"/>
        <v>6972</v>
      </c>
      <c r="M242" s="775">
        <f t="shared" si="173"/>
        <v>0</v>
      </c>
      <c r="N242" s="775">
        <f t="shared" si="161"/>
        <v>0</v>
      </c>
      <c r="O242" s="775">
        <f t="shared" si="153"/>
        <v>0</v>
      </c>
      <c r="P242" s="775">
        <f t="shared" si="174"/>
        <v>0</v>
      </c>
      <c r="Q242" s="775">
        <f t="shared" si="175"/>
        <v>0</v>
      </c>
      <c r="S242" s="773">
        <v>230</v>
      </c>
      <c r="T242" s="774">
        <f t="shared" si="176"/>
        <v>6972</v>
      </c>
      <c r="U242" s="775">
        <f t="shared" si="177"/>
        <v>0</v>
      </c>
      <c r="V242" s="775">
        <f t="shared" si="162"/>
        <v>0</v>
      </c>
      <c r="W242" s="775">
        <f t="shared" si="154"/>
        <v>0</v>
      </c>
      <c r="X242" s="775">
        <f t="shared" si="178"/>
        <v>0</v>
      </c>
      <c r="Y242" s="775">
        <f t="shared" si="179"/>
        <v>0</v>
      </c>
      <c r="AA242" s="773">
        <v>230</v>
      </c>
      <c r="AB242" s="774">
        <f t="shared" si="180"/>
        <v>6972</v>
      </c>
      <c r="AC242" s="775">
        <f t="shared" si="181"/>
        <v>0</v>
      </c>
      <c r="AD242" s="775">
        <f t="shared" si="163"/>
        <v>0</v>
      </c>
      <c r="AE242" s="775">
        <f t="shared" si="155"/>
        <v>0</v>
      </c>
      <c r="AF242" s="775">
        <f t="shared" si="182"/>
        <v>0</v>
      </c>
      <c r="AG242" s="775">
        <f t="shared" si="183"/>
        <v>0</v>
      </c>
      <c r="AI242" s="773">
        <v>230</v>
      </c>
      <c r="AJ242" s="774">
        <f t="shared" si="184"/>
        <v>6972</v>
      </c>
      <c r="AK242" s="775">
        <f t="shared" si="185"/>
        <v>0</v>
      </c>
      <c r="AL242" s="775">
        <f t="shared" si="164"/>
        <v>0</v>
      </c>
      <c r="AM242" s="775">
        <f t="shared" si="156"/>
        <v>0</v>
      </c>
      <c r="AN242" s="775">
        <f t="shared" si="186"/>
        <v>0</v>
      </c>
      <c r="AO242" s="775">
        <f t="shared" si="187"/>
        <v>0</v>
      </c>
      <c r="AQ242" s="773">
        <v>230</v>
      </c>
      <c r="AR242" s="774">
        <f t="shared" si="188"/>
        <v>6972</v>
      </c>
      <c r="AS242" s="775">
        <f t="shared" si="189"/>
        <v>0</v>
      </c>
      <c r="AT242" s="775">
        <f t="shared" si="165"/>
        <v>0</v>
      </c>
      <c r="AU242" s="775">
        <f t="shared" si="157"/>
        <v>0</v>
      </c>
      <c r="AV242" s="775">
        <f t="shared" si="190"/>
        <v>0</v>
      </c>
      <c r="AW242" s="775">
        <f t="shared" si="191"/>
        <v>0</v>
      </c>
      <c r="AY242" s="773">
        <v>230</v>
      </c>
      <c r="AZ242" s="774">
        <f t="shared" si="192"/>
        <v>6972</v>
      </c>
      <c r="BA242" s="775">
        <f t="shared" si="193"/>
        <v>0</v>
      </c>
      <c r="BB242" s="775">
        <f t="shared" si="166"/>
        <v>0</v>
      </c>
      <c r="BC242" s="775">
        <f t="shared" si="158"/>
        <v>0</v>
      </c>
      <c r="BD242" s="775">
        <f t="shared" si="194"/>
        <v>0</v>
      </c>
      <c r="BE242" s="775">
        <f t="shared" si="195"/>
        <v>0</v>
      </c>
      <c r="BG242" s="773">
        <v>230</v>
      </c>
      <c r="BH242" s="774">
        <f t="shared" si="196"/>
        <v>6972</v>
      </c>
      <c r="BI242" s="775">
        <f t="shared" si="197"/>
        <v>0</v>
      </c>
      <c r="BJ242" s="775">
        <f t="shared" si="167"/>
        <v>0</v>
      </c>
      <c r="BK242" s="775">
        <f t="shared" si="159"/>
        <v>0</v>
      </c>
      <c r="BL242" s="775">
        <f t="shared" si="198"/>
        <v>0</v>
      </c>
      <c r="BM242" s="775">
        <f t="shared" si="199"/>
        <v>0</v>
      </c>
    </row>
    <row r="243" spans="1:65">
      <c r="A243" s="11">
        <f t="shared" si="152"/>
        <v>1919</v>
      </c>
      <c r="B243" s="773">
        <v>231</v>
      </c>
      <c r="C243" s="774">
        <f t="shared" si="168"/>
        <v>7000</v>
      </c>
      <c r="D243" s="775">
        <f t="shared" si="169"/>
        <v>0</v>
      </c>
      <c r="E243" s="775">
        <f t="shared" si="160"/>
        <v>0</v>
      </c>
      <c r="F243" s="775">
        <f t="shared" si="150"/>
        <v>0</v>
      </c>
      <c r="G243" s="775">
        <f t="shared" si="170"/>
        <v>0</v>
      </c>
      <c r="H243" s="775">
        <f t="shared" si="171"/>
        <v>0</v>
      </c>
      <c r="I243" s="775">
        <f t="shared" si="151"/>
        <v>0</v>
      </c>
      <c r="K243" s="773">
        <v>231</v>
      </c>
      <c r="L243" s="774">
        <f t="shared" si="172"/>
        <v>7000</v>
      </c>
      <c r="M243" s="775">
        <f t="shared" si="173"/>
        <v>0</v>
      </c>
      <c r="N243" s="775">
        <f t="shared" si="161"/>
        <v>0</v>
      </c>
      <c r="O243" s="775">
        <f t="shared" si="153"/>
        <v>0</v>
      </c>
      <c r="P243" s="775">
        <f t="shared" si="174"/>
        <v>0</v>
      </c>
      <c r="Q243" s="775">
        <f t="shared" si="175"/>
        <v>0</v>
      </c>
      <c r="S243" s="773">
        <v>231</v>
      </c>
      <c r="T243" s="774">
        <f t="shared" si="176"/>
        <v>7000</v>
      </c>
      <c r="U243" s="775">
        <f t="shared" si="177"/>
        <v>0</v>
      </c>
      <c r="V243" s="775">
        <f t="shared" si="162"/>
        <v>0</v>
      </c>
      <c r="W243" s="775">
        <f t="shared" si="154"/>
        <v>0</v>
      </c>
      <c r="X243" s="775">
        <f t="shared" si="178"/>
        <v>0</v>
      </c>
      <c r="Y243" s="775">
        <f t="shared" si="179"/>
        <v>0</v>
      </c>
      <c r="AA243" s="773">
        <v>231</v>
      </c>
      <c r="AB243" s="774">
        <f t="shared" si="180"/>
        <v>7000</v>
      </c>
      <c r="AC243" s="775">
        <f t="shared" si="181"/>
        <v>0</v>
      </c>
      <c r="AD243" s="775">
        <f t="shared" si="163"/>
        <v>0</v>
      </c>
      <c r="AE243" s="775">
        <f t="shared" si="155"/>
        <v>0</v>
      </c>
      <c r="AF243" s="775">
        <f t="shared" si="182"/>
        <v>0</v>
      </c>
      <c r="AG243" s="775">
        <f t="shared" si="183"/>
        <v>0</v>
      </c>
      <c r="AI243" s="773">
        <v>231</v>
      </c>
      <c r="AJ243" s="774">
        <f t="shared" si="184"/>
        <v>7000</v>
      </c>
      <c r="AK243" s="775">
        <f t="shared" si="185"/>
        <v>0</v>
      </c>
      <c r="AL243" s="775">
        <f t="shared" si="164"/>
        <v>0</v>
      </c>
      <c r="AM243" s="775">
        <f t="shared" si="156"/>
        <v>0</v>
      </c>
      <c r="AN243" s="775">
        <f t="shared" si="186"/>
        <v>0</v>
      </c>
      <c r="AO243" s="775">
        <f t="shared" si="187"/>
        <v>0</v>
      </c>
      <c r="AQ243" s="773">
        <v>231</v>
      </c>
      <c r="AR243" s="774">
        <f t="shared" si="188"/>
        <v>7000</v>
      </c>
      <c r="AS243" s="775">
        <f t="shared" si="189"/>
        <v>0</v>
      </c>
      <c r="AT243" s="775">
        <f t="shared" si="165"/>
        <v>0</v>
      </c>
      <c r="AU243" s="775">
        <f t="shared" si="157"/>
        <v>0</v>
      </c>
      <c r="AV243" s="775">
        <f t="shared" si="190"/>
        <v>0</v>
      </c>
      <c r="AW243" s="775">
        <f t="shared" si="191"/>
        <v>0</v>
      </c>
      <c r="AY243" s="773">
        <v>231</v>
      </c>
      <c r="AZ243" s="774">
        <f t="shared" si="192"/>
        <v>7000</v>
      </c>
      <c r="BA243" s="775">
        <f t="shared" si="193"/>
        <v>0</v>
      </c>
      <c r="BB243" s="775">
        <f t="shared" si="166"/>
        <v>0</v>
      </c>
      <c r="BC243" s="775">
        <f t="shared" si="158"/>
        <v>0</v>
      </c>
      <c r="BD243" s="775">
        <f t="shared" si="194"/>
        <v>0</v>
      </c>
      <c r="BE243" s="775">
        <f t="shared" si="195"/>
        <v>0</v>
      </c>
      <c r="BG243" s="773">
        <v>231</v>
      </c>
      <c r="BH243" s="774">
        <f t="shared" si="196"/>
        <v>7000</v>
      </c>
      <c r="BI243" s="775">
        <f t="shared" si="197"/>
        <v>0</v>
      </c>
      <c r="BJ243" s="775">
        <f t="shared" si="167"/>
        <v>0</v>
      </c>
      <c r="BK243" s="775">
        <f t="shared" si="159"/>
        <v>0</v>
      </c>
      <c r="BL243" s="775">
        <f t="shared" si="198"/>
        <v>0</v>
      </c>
      <c r="BM243" s="775">
        <f t="shared" si="199"/>
        <v>0</v>
      </c>
    </row>
    <row r="244" spans="1:65">
      <c r="A244" s="11">
        <f t="shared" si="152"/>
        <v>1919</v>
      </c>
      <c r="B244" s="773">
        <v>232</v>
      </c>
      <c r="C244" s="774">
        <f t="shared" si="168"/>
        <v>7031</v>
      </c>
      <c r="D244" s="775">
        <f t="shared" si="169"/>
        <v>0</v>
      </c>
      <c r="E244" s="775">
        <f t="shared" si="160"/>
        <v>0</v>
      </c>
      <c r="F244" s="775">
        <f t="shared" si="150"/>
        <v>0</v>
      </c>
      <c r="G244" s="775">
        <f t="shared" si="170"/>
        <v>0</v>
      </c>
      <c r="H244" s="775">
        <f t="shared" si="171"/>
        <v>0</v>
      </c>
      <c r="I244" s="775">
        <f t="shared" si="151"/>
        <v>0</v>
      </c>
      <c r="K244" s="773">
        <v>232</v>
      </c>
      <c r="L244" s="774">
        <f t="shared" si="172"/>
        <v>7031</v>
      </c>
      <c r="M244" s="775">
        <f t="shared" si="173"/>
        <v>0</v>
      </c>
      <c r="N244" s="775">
        <f t="shared" si="161"/>
        <v>0</v>
      </c>
      <c r="O244" s="775">
        <f t="shared" si="153"/>
        <v>0</v>
      </c>
      <c r="P244" s="775">
        <f t="shared" si="174"/>
        <v>0</v>
      </c>
      <c r="Q244" s="775">
        <f t="shared" si="175"/>
        <v>0</v>
      </c>
      <c r="S244" s="773">
        <v>232</v>
      </c>
      <c r="T244" s="774">
        <f t="shared" si="176"/>
        <v>7031</v>
      </c>
      <c r="U244" s="775">
        <f t="shared" si="177"/>
        <v>0</v>
      </c>
      <c r="V244" s="775">
        <f t="shared" si="162"/>
        <v>0</v>
      </c>
      <c r="W244" s="775">
        <f t="shared" si="154"/>
        <v>0</v>
      </c>
      <c r="X244" s="775">
        <f t="shared" si="178"/>
        <v>0</v>
      </c>
      <c r="Y244" s="775">
        <f t="shared" si="179"/>
        <v>0</v>
      </c>
      <c r="AA244" s="773">
        <v>232</v>
      </c>
      <c r="AB244" s="774">
        <f t="shared" si="180"/>
        <v>7031</v>
      </c>
      <c r="AC244" s="775">
        <f t="shared" si="181"/>
        <v>0</v>
      </c>
      <c r="AD244" s="775">
        <f t="shared" si="163"/>
        <v>0</v>
      </c>
      <c r="AE244" s="775">
        <f t="shared" si="155"/>
        <v>0</v>
      </c>
      <c r="AF244" s="775">
        <f t="shared" si="182"/>
        <v>0</v>
      </c>
      <c r="AG244" s="775">
        <f t="shared" si="183"/>
        <v>0</v>
      </c>
      <c r="AI244" s="773">
        <v>232</v>
      </c>
      <c r="AJ244" s="774">
        <f t="shared" si="184"/>
        <v>7031</v>
      </c>
      <c r="AK244" s="775">
        <f t="shared" si="185"/>
        <v>0</v>
      </c>
      <c r="AL244" s="775">
        <f t="shared" si="164"/>
        <v>0</v>
      </c>
      <c r="AM244" s="775">
        <f t="shared" si="156"/>
        <v>0</v>
      </c>
      <c r="AN244" s="775">
        <f t="shared" si="186"/>
        <v>0</v>
      </c>
      <c r="AO244" s="775">
        <f t="shared" si="187"/>
        <v>0</v>
      </c>
      <c r="AQ244" s="773">
        <v>232</v>
      </c>
      <c r="AR244" s="774">
        <f t="shared" si="188"/>
        <v>7031</v>
      </c>
      <c r="AS244" s="775">
        <f t="shared" si="189"/>
        <v>0</v>
      </c>
      <c r="AT244" s="775">
        <f t="shared" si="165"/>
        <v>0</v>
      </c>
      <c r="AU244" s="775">
        <f t="shared" si="157"/>
        <v>0</v>
      </c>
      <c r="AV244" s="775">
        <f t="shared" si="190"/>
        <v>0</v>
      </c>
      <c r="AW244" s="775">
        <f t="shared" si="191"/>
        <v>0</v>
      </c>
      <c r="AY244" s="773">
        <v>232</v>
      </c>
      <c r="AZ244" s="774">
        <f t="shared" si="192"/>
        <v>7031</v>
      </c>
      <c r="BA244" s="775">
        <f t="shared" si="193"/>
        <v>0</v>
      </c>
      <c r="BB244" s="775">
        <f t="shared" si="166"/>
        <v>0</v>
      </c>
      <c r="BC244" s="775">
        <f t="shared" si="158"/>
        <v>0</v>
      </c>
      <c r="BD244" s="775">
        <f t="shared" si="194"/>
        <v>0</v>
      </c>
      <c r="BE244" s="775">
        <f t="shared" si="195"/>
        <v>0</v>
      </c>
      <c r="BG244" s="773">
        <v>232</v>
      </c>
      <c r="BH244" s="774">
        <f t="shared" si="196"/>
        <v>7031</v>
      </c>
      <c r="BI244" s="775">
        <f t="shared" si="197"/>
        <v>0</v>
      </c>
      <c r="BJ244" s="775">
        <f t="shared" si="167"/>
        <v>0</v>
      </c>
      <c r="BK244" s="775">
        <f t="shared" si="159"/>
        <v>0</v>
      </c>
      <c r="BL244" s="775">
        <f t="shared" si="198"/>
        <v>0</v>
      </c>
      <c r="BM244" s="775">
        <f t="shared" si="199"/>
        <v>0</v>
      </c>
    </row>
    <row r="245" spans="1:65">
      <c r="A245" s="11">
        <f t="shared" si="152"/>
        <v>1919</v>
      </c>
      <c r="B245" s="773">
        <v>233</v>
      </c>
      <c r="C245" s="774">
        <f t="shared" si="168"/>
        <v>7061</v>
      </c>
      <c r="D245" s="775">
        <f t="shared" si="169"/>
        <v>0</v>
      </c>
      <c r="E245" s="775">
        <f t="shared" si="160"/>
        <v>0</v>
      </c>
      <c r="F245" s="775">
        <f t="shared" si="150"/>
        <v>0</v>
      </c>
      <c r="G245" s="775">
        <f t="shared" si="170"/>
        <v>0</v>
      </c>
      <c r="H245" s="775">
        <f t="shared" si="171"/>
        <v>0</v>
      </c>
      <c r="I245" s="775">
        <f t="shared" si="151"/>
        <v>0</v>
      </c>
      <c r="K245" s="773">
        <v>233</v>
      </c>
      <c r="L245" s="774">
        <f t="shared" si="172"/>
        <v>7061</v>
      </c>
      <c r="M245" s="775">
        <f t="shared" si="173"/>
        <v>0</v>
      </c>
      <c r="N245" s="775">
        <f t="shared" si="161"/>
        <v>0</v>
      </c>
      <c r="O245" s="775">
        <f t="shared" si="153"/>
        <v>0</v>
      </c>
      <c r="P245" s="775">
        <f t="shared" si="174"/>
        <v>0</v>
      </c>
      <c r="Q245" s="775">
        <f t="shared" si="175"/>
        <v>0</v>
      </c>
      <c r="S245" s="773">
        <v>233</v>
      </c>
      <c r="T245" s="774">
        <f t="shared" si="176"/>
        <v>7061</v>
      </c>
      <c r="U245" s="775">
        <f t="shared" si="177"/>
        <v>0</v>
      </c>
      <c r="V245" s="775">
        <f t="shared" si="162"/>
        <v>0</v>
      </c>
      <c r="W245" s="775">
        <f t="shared" si="154"/>
        <v>0</v>
      </c>
      <c r="X245" s="775">
        <f t="shared" si="178"/>
        <v>0</v>
      </c>
      <c r="Y245" s="775">
        <f t="shared" si="179"/>
        <v>0</v>
      </c>
      <c r="AA245" s="773">
        <v>233</v>
      </c>
      <c r="AB245" s="774">
        <f t="shared" si="180"/>
        <v>7061</v>
      </c>
      <c r="AC245" s="775">
        <f t="shared" si="181"/>
        <v>0</v>
      </c>
      <c r="AD245" s="775">
        <f t="shared" si="163"/>
        <v>0</v>
      </c>
      <c r="AE245" s="775">
        <f t="shared" si="155"/>
        <v>0</v>
      </c>
      <c r="AF245" s="775">
        <f t="shared" si="182"/>
        <v>0</v>
      </c>
      <c r="AG245" s="775">
        <f t="shared" si="183"/>
        <v>0</v>
      </c>
      <c r="AI245" s="773">
        <v>233</v>
      </c>
      <c r="AJ245" s="774">
        <f t="shared" si="184"/>
        <v>7061</v>
      </c>
      <c r="AK245" s="775">
        <f t="shared" si="185"/>
        <v>0</v>
      </c>
      <c r="AL245" s="775">
        <f t="shared" si="164"/>
        <v>0</v>
      </c>
      <c r="AM245" s="775">
        <f t="shared" si="156"/>
        <v>0</v>
      </c>
      <c r="AN245" s="775">
        <f t="shared" si="186"/>
        <v>0</v>
      </c>
      <c r="AO245" s="775">
        <f t="shared" si="187"/>
        <v>0</v>
      </c>
      <c r="AQ245" s="773">
        <v>233</v>
      </c>
      <c r="AR245" s="774">
        <f t="shared" si="188"/>
        <v>7061</v>
      </c>
      <c r="AS245" s="775">
        <f t="shared" si="189"/>
        <v>0</v>
      </c>
      <c r="AT245" s="775">
        <f t="shared" si="165"/>
        <v>0</v>
      </c>
      <c r="AU245" s="775">
        <f t="shared" si="157"/>
        <v>0</v>
      </c>
      <c r="AV245" s="775">
        <f t="shared" si="190"/>
        <v>0</v>
      </c>
      <c r="AW245" s="775">
        <f t="shared" si="191"/>
        <v>0</v>
      </c>
      <c r="AY245" s="773">
        <v>233</v>
      </c>
      <c r="AZ245" s="774">
        <f t="shared" si="192"/>
        <v>7061</v>
      </c>
      <c r="BA245" s="775">
        <f t="shared" si="193"/>
        <v>0</v>
      </c>
      <c r="BB245" s="775">
        <f t="shared" si="166"/>
        <v>0</v>
      </c>
      <c r="BC245" s="775">
        <f t="shared" si="158"/>
        <v>0</v>
      </c>
      <c r="BD245" s="775">
        <f t="shared" si="194"/>
        <v>0</v>
      </c>
      <c r="BE245" s="775">
        <f t="shared" si="195"/>
        <v>0</v>
      </c>
      <c r="BG245" s="773">
        <v>233</v>
      </c>
      <c r="BH245" s="774">
        <f t="shared" si="196"/>
        <v>7061</v>
      </c>
      <c r="BI245" s="775">
        <f t="shared" si="197"/>
        <v>0</v>
      </c>
      <c r="BJ245" s="775">
        <f t="shared" si="167"/>
        <v>0</v>
      </c>
      <c r="BK245" s="775">
        <f t="shared" si="159"/>
        <v>0</v>
      </c>
      <c r="BL245" s="775">
        <f t="shared" si="198"/>
        <v>0</v>
      </c>
      <c r="BM245" s="775">
        <f t="shared" si="199"/>
        <v>0</v>
      </c>
    </row>
    <row r="246" spans="1:65">
      <c r="A246" s="11">
        <f t="shared" si="152"/>
        <v>1919</v>
      </c>
      <c r="B246" s="773">
        <v>234</v>
      </c>
      <c r="C246" s="774">
        <f t="shared" si="168"/>
        <v>7092</v>
      </c>
      <c r="D246" s="775">
        <f t="shared" si="169"/>
        <v>0</v>
      </c>
      <c r="E246" s="775">
        <f t="shared" si="160"/>
        <v>0</v>
      </c>
      <c r="F246" s="775">
        <f t="shared" si="150"/>
        <v>0</v>
      </c>
      <c r="G246" s="775">
        <f t="shared" si="170"/>
        <v>0</v>
      </c>
      <c r="H246" s="775">
        <f t="shared" si="171"/>
        <v>0</v>
      </c>
      <c r="I246" s="775">
        <f t="shared" si="151"/>
        <v>0</v>
      </c>
      <c r="K246" s="773">
        <v>234</v>
      </c>
      <c r="L246" s="774">
        <f t="shared" si="172"/>
        <v>7092</v>
      </c>
      <c r="M246" s="775">
        <f t="shared" si="173"/>
        <v>0</v>
      </c>
      <c r="N246" s="775">
        <f t="shared" si="161"/>
        <v>0</v>
      </c>
      <c r="O246" s="775">
        <f t="shared" si="153"/>
        <v>0</v>
      </c>
      <c r="P246" s="775">
        <f t="shared" si="174"/>
        <v>0</v>
      </c>
      <c r="Q246" s="775">
        <f t="shared" si="175"/>
        <v>0</v>
      </c>
      <c r="S246" s="773">
        <v>234</v>
      </c>
      <c r="T246" s="774">
        <f t="shared" si="176"/>
        <v>7092</v>
      </c>
      <c r="U246" s="775">
        <f t="shared" si="177"/>
        <v>0</v>
      </c>
      <c r="V246" s="775">
        <f t="shared" si="162"/>
        <v>0</v>
      </c>
      <c r="W246" s="775">
        <f t="shared" si="154"/>
        <v>0</v>
      </c>
      <c r="X246" s="775">
        <f t="shared" si="178"/>
        <v>0</v>
      </c>
      <c r="Y246" s="775">
        <f t="shared" si="179"/>
        <v>0</v>
      </c>
      <c r="AA246" s="773">
        <v>234</v>
      </c>
      <c r="AB246" s="774">
        <f t="shared" si="180"/>
        <v>7092</v>
      </c>
      <c r="AC246" s="775">
        <f t="shared" si="181"/>
        <v>0</v>
      </c>
      <c r="AD246" s="775">
        <f t="shared" si="163"/>
        <v>0</v>
      </c>
      <c r="AE246" s="775">
        <f t="shared" si="155"/>
        <v>0</v>
      </c>
      <c r="AF246" s="775">
        <f t="shared" si="182"/>
        <v>0</v>
      </c>
      <c r="AG246" s="775">
        <f t="shared" si="183"/>
        <v>0</v>
      </c>
      <c r="AI246" s="773">
        <v>234</v>
      </c>
      <c r="AJ246" s="774">
        <f t="shared" si="184"/>
        <v>7092</v>
      </c>
      <c r="AK246" s="775">
        <f t="shared" si="185"/>
        <v>0</v>
      </c>
      <c r="AL246" s="775">
        <f t="shared" si="164"/>
        <v>0</v>
      </c>
      <c r="AM246" s="775">
        <f t="shared" si="156"/>
        <v>0</v>
      </c>
      <c r="AN246" s="775">
        <f t="shared" si="186"/>
        <v>0</v>
      </c>
      <c r="AO246" s="775">
        <f t="shared" si="187"/>
        <v>0</v>
      </c>
      <c r="AQ246" s="773">
        <v>234</v>
      </c>
      <c r="AR246" s="774">
        <f t="shared" si="188"/>
        <v>7092</v>
      </c>
      <c r="AS246" s="775">
        <f t="shared" si="189"/>
        <v>0</v>
      </c>
      <c r="AT246" s="775">
        <f t="shared" si="165"/>
        <v>0</v>
      </c>
      <c r="AU246" s="775">
        <f t="shared" si="157"/>
        <v>0</v>
      </c>
      <c r="AV246" s="775">
        <f t="shared" si="190"/>
        <v>0</v>
      </c>
      <c r="AW246" s="775">
        <f t="shared" si="191"/>
        <v>0</v>
      </c>
      <c r="AY246" s="773">
        <v>234</v>
      </c>
      <c r="AZ246" s="774">
        <f t="shared" si="192"/>
        <v>7092</v>
      </c>
      <c r="BA246" s="775">
        <f t="shared" si="193"/>
        <v>0</v>
      </c>
      <c r="BB246" s="775">
        <f t="shared" si="166"/>
        <v>0</v>
      </c>
      <c r="BC246" s="775">
        <f t="shared" si="158"/>
        <v>0</v>
      </c>
      <c r="BD246" s="775">
        <f t="shared" si="194"/>
        <v>0</v>
      </c>
      <c r="BE246" s="775">
        <f t="shared" si="195"/>
        <v>0</v>
      </c>
      <c r="BG246" s="773">
        <v>234</v>
      </c>
      <c r="BH246" s="774">
        <f t="shared" si="196"/>
        <v>7092</v>
      </c>
      <c r="BI246" s="775">
        <f t="shared" si="197"/>
        <v>0</v>
      </c>
      <c r="BJ246" s="775">
        <f t="shared" si="167"/>
        <v>0</v>
      </c>
      <c r="BK246" s="775">
        <f t="shared" si="159"/>
        <v>0</v>
      </c>
      <c r="BL246" s="775">
        <f t="shared" si="198"/>
        <v>0</v>
      </c>
      <c r="BM246" s="775">
        <f t="shared" si="199"/>
        <v>0</v>
      </c>
    </row>
    <row r="247" spans="1:65">
      <c r="A247" s="11">
        <f t="shared" si="152"/>
        <v>1919</v>
      </c>
      <c r="B247" s="773">
        <v>235</v>
      </c>
      <c r="C247" s="774">
        <f t="shared" si="168"/>
        <v>7122</v>
      </c>
      <c r="D247" s="775">
        <f t="shared" si="169"/>
        <v>0</v>
      </c>
      <c r="E247" s="775">
        <f t="shared" si="160"/>
        <v>0</v>
      </c>
      <c r="F247" s="775">
        <f t="shared" si="150"/>
        <v>0</v>
      </c>
      <c r="G247" s="775">
        <f t="shared" si="170"/>
        <v>0</v>
      </c>
      <c r="H247" s="775">
        <f t="shared" si="171"/>
        <v>0</v>
      </c>
      <c r="I247" s="775">
        <f t="shared" si="151"/>
        <v>0</v>
      </c>
      <c r="K247" s="773">
        <v>235</v>
      </c>
      <c r="L247" s="774">
        <f t="shared" si="172"/>
        <v>7122</v>
      </c>
      <c r="M247" s="775">
        <f t="shared" si="173"/>
        <v>0</v>
      </c>
      <c r="N247" s="775">
        <f t="shared" si="161"/>
        <v>0</v>
      </c>
      <c r="O247" s="775">
        <f t="shared" si="153"/>
        <v>0</v>
      </c>
      <c r="P247" s="775">
        <f t="shared" si="174"/>
        <v>0</v>
      </c>
      <c r="Q247" s="775">
        <f t="shared" si="175"/>
        <v>0</v>
      </c>
      <c r="S247" s="773">
        <v>235</v>
      </c>
      <c r="T247" s="774">
        <f t="shared" si="176"/>
        <v>7122</v>
      </c>
      <c r="U247" s="775">
        <f t="shared" si="177"/>
        <v>0</v>
      </c>
      <c r="V247" s="775">
        <f t="shared" si="162"/>
        <v>0</v>
      </c>
      <c r="W247" s="775">
        <f t="shared" si="154"/>
        <v>0</v>
      </c>
      <c r="X247" s="775">
        <f t="shared" si="178"/>
        <v>0</v>
      </c>
      <c r="Y247" s="775">
        <f t="shared" si="179"/>
        <v>0</v>
      </c>
      <c r="AA247" s="773">
        <v>235</v>
      </c>
      <c r="AB247" s="774">
        <f t="shared" si="180"/>
        <v>7122</v>
      </c>
      <c r="AC247" s="775">
        <f t="shared" si="181"/>
        <v>0</v>
      </c>
      <c r="AD247" s="775">
        <f t="shared" si="163"/>
        <v>0</v>
      </c>
      <c r="AE247" s="775">
        <f t="shared" si="155"/>
        <v>0</v>
      </c>
      <c r="AF247" s="775">
        <f t="shared" si="182"/>
        <v>0</v>
      </c>
      <c r="AG247" s="775">
        <f t="shared" si="183"/>
        <v>0</v>
      </c>
      <c r="AI247" s="773">
        <v>235</v>
      </c>
      <c r="AJ247" s="774">
        <f t="shared" si="184"/>
        <v>7122</v>
      </c>
      <c r="AK247" s="775">
        <f t="shared" si="185"/>
        <v>0</v>
      </c>
      <c r="AL247" s="775">
        <f t="shared" si="164"/>
        <v>0</v>
      </c>
      <c r="AM247" s="775">
        <f t="shared" si="156"/>
        <v>0</v>
      </c>
      <c r="AN247" s="775">
        <f t="shared" si="186"/>
        <v>0</v>
      </c>
      <c r="AO247" s="775">
        <f t="shared" si="187"/>
        <v>0</v>
      </c>
      <c r="AQ247" s="773">
        <v>235</v>
      </c>
      <c r="AR247" s="774">
        <f t="shared" si="188"/>
        <v>7122</v>
      </c>
      <c r="AS247" s="775">
        <f t="shared" si="189"/>
        <v>0</v>
      </c>
      <c r="AT247" s="775">
        <f t="shared" si="165"/>
        <v>0</v>
      </c>
      <c r="AU247" s="775">
        <f t="shared" si="157"/>
        <v>0</v>
      </c>
      <c r="AV247" s="775">
        <f t="shared" si="190"/>
        <v>0</v>
      </c>
      <c r="AW247" s="775">
        <f t="shared" si="191"/>
        <v>0</v>
      </c>
      <c r="AY247" s="773">
        <v>235</v>
      </c>
      <c r="AZ247" s="774">
        <f t="shared" si="192"/>
        <v>7122</v>
      </c>
      <c r="BA247" s="775">
        <f t="shared" si="193"/>
        <v>0</v>
      </c>
      <c r="BB247" s="775">
        <f t="shared" si="166"/>
        <v>0</v>
      </c>
      <c r="BC247" s="775">
        <f t="shared" si="158"/>
        <v>0</v>
      </c>
      <c r="BD247" s="775">
        <f t="shared" si="194"/>
        <v>0</v>
      </c>
      <c r="BE247" s="775">
        <f t="shared" si="195"/>
        <v>0</v>
      </c>
      <c r="BG247" s="773">
        <v>235</v>
      </c>
      <c r="BH247" s="774">
        <f t="shared" si="196"/>
        <v>7122</v>
      </c>
      <c r="BI247" s="775">
        <f t="shared" si="197"/>
        <v>0</v>
      </c>
      <c r="BJ247" s="775">
        <f t="shared" si="167"/>
        <v>0</v>
      </c>
      <c r="BK247" s="775">
        <f t="shared" si="159"/>
        <v>0</v>
      </c>
      <c r="BL247" s="775">
        <f t="shared" si="198"/>
        <v>0</v>
      </c>
      <c r="BM247" s="775">
        <f t="shared" si="199"/>
        <v>0</v>
      </c>
    </row>
    <row r="248" spans="1:65">
      <c r="A248" s="11">
        <f t="shared" si="152"/>
        <v>1919</v>
      </c>
      <c r="B248" s="773">
        <v>236</v>
      </c>
      <c r="C248" s="774">
        <f t="shared" si="168"/>
        <v>7153</v>
      </c>
      <c r="D248" s="775">
        <f t="shared" si="169"/>
        <v>0</v>
      </c>
      <c r="E248" s="775">
        <f t="shared" si="160"/>
        <v>0</v>
      </c>
      <c r="F248" s="775">
        <f t="shared" si="150"/>
        <v>0</v>
      </c>
      <c r="G248" s="775">
        <f t="shared" si="170"/>
        <v>0</v>
      </c>
      <c r="H248" s="775">
        <f t="shared" si="171"/>
        <v>0</v>
      </c>
      <c r="I248" s="775">
        <f t="shared" si="151"/>
        <v>0</v>
      </c>
      <c r="K248" s="773">
        <v>236</v>
      </c>
      <c r="L248" s="774">
        <f t="shared" si="172"/>
        <v>7153</v>
      </c>
      <c r="M248" s="775">
        <f t="shared" si="173"/>
        <v>0</v>
      </c>
      <c r="N248" s="775">
        <f t="shared" si="161"/>
        <v>0</v>
      </c>
      <c r="O248" s="775">
        <f t="shared" si="153"/>
        <v>0</v>
      </c>
      <c r="P248" s="775">
        <f t="shared" si="174"/>
        <v>0</v>
      </c>
      <c r="Q248" s="775">
        <f t="shared" si="175"/>
        <v>0</v>
      </c>
      <c r="S248" s="773">
        <v>236</v>
      </c>
      <c r="T248" s="774">
        <f t="shared" si="176"/>
        <v>7153</v>
      </c>
      <c r="U248" s="775">
        <f t="shared" si="177"/>
        <v>0</v>
      </c>
      <c r="V248" s="775">
        <f t="shared" si="162"/>
        <v>0</v>
      </c>
      <c r="W248" s="775">
        <f t="shared" si="154"/>
        <v>0</v>
      </c>
      <c r="X248" s="775">
        <f t="shared" si="178"/>
        <v>0</v>
      </c>
      <c r="Y248" s="775">
        <f t="shared" si="179"/>
        <v>0</v>
      </c>
      <c r="AA248" s="773">
        <v>236</v>
      </c>
      <c r="AB248" s="774">
        <f t="shared" si="180"/>
        <v>7153</v>
      </c>
      <c r="AC248" s="775">
        <f t="shared" si="181"/>
        <v>0</v>
      </c>
      <c r="AD248" s="775">
        <f t="shared" si="163"/>
        <v>0</v>
      </c>
      <c r="AE248" s="775">
        <f t="shared" si="155"/>
        <v>0</v>
      </c>
      <c r="AF248" s="775">
        <f t="shared" si="182"/>
        <v>0</v>
      </c>
      <c r="AG248" s="775">
        <f t="shared" si="183"/>
        <v>0</v>
      </c>
      <c r="AI248" s="773">
        <v>236</v>
      </c>
      <c r="AJ248" s="774">
        <f t="shared" si="184"/>
        <v>7153</v>
      </c>
      <c r="AK248" s="775">
        <f t="shared" si="185"/>
        <v>0</v>
      </c>
      <c r="AL248" s="775">
        <f t="shared" si="164"/>
        <v>0</v>
      </c>
      <c r="AM248" s="775">
        <f t="shared" si="156"/>
        <v>0</v>
      </c>
      <c r="AN248" s="775">
        <f t="shared" si="186"/>
        <v>0</v>
      </c>
      <c r="AO248" s="775">
        <f t="shared" si="187"/>
        <v>0</v>
      </c>
      <c r="AQ248" s="773">
        <v>236</v>
      </c>
      <c r="AR248" s="774">
        <f t="shared" si="188"/>
        <v>7153</v>
      </c>
      <c r="AS248" s="775">
        <f t="shared" si="189"/>
        <v>0</v>
      </c>
      <c r="AT248" s="775">
        <f t="shared" si="165"/>
        <v>0</v>
      </c>
      <c r="AU248" s="775">
        <f t="shared" si="157"/>
        <v>0</v>
      </c>
      <c r="AV248" s="775">
        <f t="shared" si="190"/>
        <v>0</v>
      </c>
      <c r="AW248" s="775">
        <f t="shared" si="191"/>
        <v>0</v>
      </c>
      <c r="AY248" s="773">
        <v>236</v>
      </c>
      <c r="AZ248" s="774">
        <f t="shared" si="192"/>
        <v>7153</v>
      </c>
      <c r="BA248" s="775">
        <f t="shared" si="193"/>
        <v>0</v>
      </c>
      <c r="BB248" s="775">
        <f t="shared" si="166"/>
        <v>0</v>
      </c>
      <c r="BC248" s="775">
        <f t="shared" si="158"/>
        <v>0</v>
      </c>
      <c r="BD248" s="775">
        <f t="shared" si="194"/>
        <v>0</v>
      </c>
      <c r="BE248" s="775">
        <f t="shared" si="195"/>
        <v>0</v>
      </c>
      <c r="BG248" s="773">
        <v>236</v>
      </c>
      <c r="BH248" s="774">
        <f t="shared" si="196"/>
        <v>7153</v>
      </c>
      <c r="BI248" s="775">
        <f t="shared" si="197"/>
        <v>0</v>
      </c>
      <c r="BJ248" s="775">
        <f t="shared" si="167"/>
        <v>0</v>
      </c>
      <c r="BK248" s="775">
        <f t="shared" si="159"/>
        <v>0</v>
      </c>
      <c r="BL248" s="775">
        <f t="shared" si="198"/>
        <v>0</v>
      </c>
      <c r="BM248" s="775">
        <f t="shared" si="199"/>
        <v>0</v>
      </c>
    </row>
    <row r="249" spans="1:65">
      <c r="A249" s="11">
        <f t="shared" si="152"/>
        <v>1919</v>
      </c>
      <c r="B249" s="773">
        <v>237</v>
      </c>
      <c r="C249" s="774">
        <f t="shared" si="168"/>
        <v>7184</v>
      </c>
      <c r="D249" s="775">
        <f t="shared" si="169"/>
        <v>0</v>
      </c>
      <c r="E249" s="775">
        <f t="shared" si="160"/>
        <v>0</v>
      </c>
      <c r="F249" s="775">
        <f t="shared" si="150"/>
        <v>0</v>
      </c>
      <c r="G249" s="775">
        <f t="shared" si="170"/>
        <v>0</v>
      </c>
      <c r="H249" s="775">
        <f t="shared" si="171"/>
        <v>0</v>
      </c>
      <c r="I249" s="775">
        <f t="shared" si="151"/>
        <v>0</v>
      </c>
      <c r="K249" s="773">
        <v>237</v>
      </c>
      <c r="L249" s="774">
        <f t="shared" si="172"/>
        <v>7184</v>
      </c>
      <c r="M249" s="775">
        <f t="shared" si="173"/>
        <v>0</v>
      </c>
      <c r="N249" s="775">
        <f t="shared" si="161"/>
        <v>0</v>
      </c>
      <c r="O249" s="775">
        <f t="shared" si="153"/>
        <v>0</v>
      </c>
      <c r="P249" s="775">
        <f t="shared" si="174"/>
        <v>0</v>
      </c>
      <c r="Q249" s="775">
        <f t="shared" si="175"/>
        <v>0</v>
      </c>
      <c r="S249" s="773">
        <v>237</v>
      </c>
      <c r="T249" s="774">
        <f t="shared" si="176"/>
        <v>7184</v>
      </c>
      <c r="U249" s="775">
        <f t="shared" si="177"/>
        <v>0</v>
      </c>
      <c r="V249" s="775">
        <f t="shared" si="162"/>
        <v>0</v>
      </c>
      <c r="W249" s="775">
        <f t="shared" si="154"/>
        <v>0</v>
      </c>
      <c r="X249" s="775">
        <f t="shared" si="178"/>
        <v>0</v>
      </c>
      <c r="Y249" s="775">
        <f t="shared" si="179"/>
        <v>0</v>
      </c>
      <c r="AA249" s="773">
        <v>237</v>
      </c>
      <c r="AB249" s="774">
        <f t="shared" si="180"/>
        <v>7184</v>
      </c>
      <c r="AC249" s="775">
        <f t="shared" si="181"/>
        <v>0</v>
      </c>
      <c r="AD249" s="775">
        <f t="shared" si="163"/>
        <v>0</v>
      </c>
      <c r="AE249" s="775">
        <f t="shared" si="155"/>
        <v>0</v>
      </c>
      <c r="AF249" s="775">
        <f t="shared" si="182"/>
        <v>0</v>
      </c>
      <c r="AG249" s="775">
        <f t="shared" si="183"/>
        <v>0</v>
      </c>
      <c r="AI249" s="773">
        <v>237</v>
      </c>
      <c r="AJ249" s="774">
        <f t="shared" si="184"/>
        <v>7184</v>
      </c>
      <c r="AK249" s="775">
        <f t="shared" si="185"/>
        <v>0</v>
      </c>
      <c r="AL249" s="775">
        <f t="shared" si="164"/>
        <v>0</v>
      </c>
      <c r="AM249" s="775">
        <f t="shared" si="156"/>
        <v>0</v>
      </c>
      <c r="AN249" s="775">
        <f t="shared" si="186"/>
        <v>0</v>
      </c>
      <c r="AO249" s="775">
        <f t="shared" si="187"/>
        <v>0</v>
      </c>
      <c r="AQ249" s="773">
        <v>237</v>
      </c>
      <c r="AR249" s="774">
        <f t="shared" si="188"/>
        <v>7184</v>
      </c>
      <c r="AS249" s="775">
        <f t="shared" si="189"/>
        <v>0</v>
      </c>
      <c r="AT249" s="775">
        <f t="shared" si="165"/>
        <v>0</v>
      </c>
      <c r="AU249" s="775">
        <f t="shared" si="157"/>
        <v>0</v>
      </c>
      <c r="AV249" s="775">
        <f t="shared" si="190"/>
        <v>0</v>
      </c>
      <c r="AW249" s="775">
        <f t="shared" si="191"/>
        <v>0</v>
      </c>
      <c r="AY249" s="773">
        <v>237</v>
      </c>
      <c r="AZ249" s="774">
        <f t="shared" si="192"/>
        <v>7184</v>
      </c>
      <c r="BA249" s="775">
        <f t="shared" si="193"/>
        <v>0</v>
      </c>
      <c r="BB249" s="775">
        <f t="shared" si="166"/>
        <v>0</v>
      </c>
      <c r="BC249" s="775">
        <f t="shared" si="158"/>
        <v>0</v>
      </c>
      <c r="BD249" s="775">
        <f t="shared" si="194"/>
        <v>0</v>
      </c>
      <c r="BE249" s="775">
        <f t="shared" si="195"/>
        <v>0</v>
      </c>
      <c r="BG249" s="773">
        <v>237</v>
      </c>
      <c r="BH249" s="774">
        <f t="shared" si="196"/>
        <v>7184</v>
      </c>
      <c r="BI249" s="775">
        <f t="shared" si="197"/>
        <v>0</v>
      </c>
      <c r="BJ249" s="775">
        <f t="shared" si="167"/>
        <v>0</v>
      </c>
      <c r="BK249" s="775">
        <f t="shared" si="159"/>
        <v>0</v>
      </c>
      <c r="BL249" s="775">
        <f t="shared" si="198"/>
        <v>0</v>
      </c>
      <c r="BM249" s="775">
        <f t="shared" si="199"/>
        <v>0</v>
      </c>
    </row>
    <row r="250" spans="1:65">
      <c r="A250" s="11">
        <f t="shared" si="152"/>
        <v>1919</v>
      </c>
      <c r="B250" s="773">
        <v>238</v>
      </c>
      <c r="C250" s="774">
        <f t="shared" si="168"/>
        <v>7214</v>
      </c>
      <c r="D250" s="775">
        <f t="shared" si="169"/>
        <v>0</v>
      </c>
      <c r="E250" s="775">
        <f t="shared" si="160"/>
        <v>0</v>
      </c>
      <c r="F250" s="775">
        <f t="shared" si="150"/>
        <v>0</v>
      </c>
      <c r="G250" s="775">
        <f t="shared" si="170"/>
        <v>0</v>
      </c>
      <c r="H250" s="775">
        <f t="shared" si="171"/>
        <v>0</v>
      </c>
      <c r="I250" s="775">
        <f t="shared" si="151"/>
        <v>0</v>
      </c>
      <c r="K250" s="773">
        <v>238</v>
      </c>
      <c r="L250" s="774">
        <f t="shared" si="172"/>
        <v>7214</v>
      </c>
      <c r="M250" s="775">
        <f t="shared" si="173"/>
        <v>0</v>
      </c>
      <c r="N250" s="775">
        <f t="shared" si="161"/>
        <v>0</v>
      </c>
      <c r="O250" s="775">
        <f t="shared" si="153"/>
        <v>0</v>
      </c>
      <c r="P250" s="775">
        <f t="shared" si="174"/>
        <v>0</v>
      </c>
      <c r="Q250" s="775">
        <f t="shared" si="175"/>
        <v>0</v>
      </c>
      <c r="S250" s="773">
        <v>238</v>
      </c>
      <c r="T250" s="774">
        <f t="shared" si="176"/>
        <v>7214</v>
      </c>
      <c r="U250" s="775">
        <f t="shared" si="177"/>
        <v>0</v>
      </c>
      <c r="V250" s="775">
        <f t="shared" si="162"/>
        <v>0</v>
      </c>
      <c r="W250" s="775">
        <f t="shared" si="154"/>
        <v>0</v>
      </c>
      <c r="X250" s="775">
        <f t="shared" si="178"/>
        <v>0</v>
      </c>
      <c r="Y250" s="775">
        <f t="shared" si="179"/>
        <v>0</v>
      </c>
      <c r="AA250" s="773">
        <v>238</v>
      </c>
      <c r="AB250" s="774">
        <f t="shared" si="180"/>
        <v>7214</v>
      </c>
      <c r="AC250" s="775">
        <f t="shared" si="181"/>
        <v>0</v>
      </c>
      <c r="AD250" s="775">
        <f t="shared" si="163"/>
        <v>0</v>
      </c>
      <c r="AE250" s="775">
        <f t="shared" si="155"/>
        <v>0</v>
      </c>
      <c r="AF250" s="775">
        <f t="shared" si="182"/>
        <v>0</v>
      </c>
      <c r="AG250" s="775">
        <f t="shared" si="183"/>
        <v>0</v>
      </c>
      <c r="AI250" s="773">
        <v>238</v>
      </c>
      <c r="AJ250" s="774">
        <f t="shared" si="184"/>
        <v>7214</v>
      </c>
      <c r="AK250" s="775">
        <f t="shared" si="185"/>
        <v>0</v>
      </c>
      <c r="AL250" s="775">
        <f t="shared" si="164"/>
        <v>0</v>
      </c>
      <c r="AM250" s="775">
        <f t="shared" si="156"/>
        <v>0</v>
      </c>
      <c r="AN250" s="775">
        <f t="shared" si="186"/>
        <v>0</v>
      </c>
      <c r="AO250" s="775">
        <f t="shared" si="187"/>
        <v>0</v>
      </c>
      <c r="AQ250" s="773">
        <v>238</v>
      </c>
      <c r="AR250" s="774">
        <f t="shared" si="188"/>
        <v>7214</v>
      </c>
      <c r="AS250" s="775">
        <f t="shared" si="189"/>
        <v>0</v>
      </c>
      <c r="AT250" s="775">
        <f t="shared" si="165"/>
        <v>0</v>
      </c>
      <c r="AU250" s="775">
        <f t="shared" si="157"/>
        <v>0</v>
      </c>
      <c r="AV250" s="775">
        <f t="shared" si="190"/>
        <v>0</v>
      </c>
      <c r="AW250" s="775">
        <f t="shared" si="191"/>
        <v>0</v>
      </c>
      <c r="AY250" s="773">
        <v>238</v>
      </c>
      <c r="AZ250" s="774">
        <f t="shared" si="192"/>
        <v>7214</v>
      </c>
      <c r="BA250" s="775">
        <f t="shared" si="193"/>
        <v>0</v>
      </c>
      <c r="BB250" s="775">
        <f t="shared" si="166"/>
        <v>0</v>
      </c>
      <c r="BC250" s="775">
        <f t="shared" si="158"/>
        <v>0</v>
      </c>
      <c r="BD250" s="775">
        <f t="shared" si="194"/>
        <v>0</v>
      </c>
      <c r="BE250" s="775">
        <f t="shared" si="195"/>
        <v>0</v>
      </c>
      <c r="BG250" s="773">
        <v>238</v>
      </c>
      <c r="BH250" s="774">
        <f t="shared" si="196"/>
        <v>7214</v>
      </c>
      <c r="BI250" s="775">
        <f t="shared" si="197"/>
        <v>0</v>
      </c>
      <c r="BJ250" s="775">
        <f t="shared" si="167"/>
        <v>0</v>
      </c>
      <c r="BK250" s="775">
        <f t="shared" si="159"/>
        <v>0</v>
      </c>
      <c r="BL250" s="775">
        <f t="shared" si="198"/>
        <v>0</v>
      </c>
      <c r="BM250" s="775">
        <f t="shared" si="199"/>
        <v>0</v>
      </c>
    </row>
    <row r="251" spans="1:65">
      <c r="A251" s="11">
        <f t="shared" si="152"/>
        <v>1919</v>
      </c>
      <c r="B251" s="773">
        <v>239</v>
      </c>
      <c r="C251" s="774">
        <f t="shared" si="168"/>
        <v>7245</v>
      </c>
      <c r="D251" s="775">
        <f t="shared" si="169"/>
        <v>0</v>
      </c>
      <c r="E251" s="775">
        <f t="shared" si="160"/>
        <v>0</v>
      </c>
      <c r="F251" s="775">
        <f t="shared" si="150"/>
        <v>0</v>
      </c>
      <c r="G251" s="775">
        <f t="shared" si="170"/>
        <v>0</v>
      </c>
      <c r="H251" s="775">
        <f t="shared" si="171"/>
        <v>0</v>
      </c>
      <c r="I251" s="775">
        <f t="shared" si="151"/>
        <v>0</v>
      </c>
      <c r="K251" s="773">
        <v>239</v>
      </c>
      <c r="L251" s="774">
        <f t="shared" si="172"/>
        <v>7245</v>
      </c>
      <c r="M251" s="775">
        <f t="shared" si="173"/>
        <v>0</v>
      </c>
      <c r="N251" s="775">
        <f t="shared" si="161"/>
        <v>0</v>
      </c>
      <c r="O251" s="775">
        <f t="shared" si="153"/>
        <v>0</v>
      </c>
      <c r="P251" s="775">
        <f t="shared" si="174"/>
        <v>0</v>
      </c>
      <c r="Q251" s="775">
        <f t="shared" si="175"/>
        <v>0</v>
      </c>
      <c r="S251" s="773">
        <v>239</v>
      </c>
      <c r="T251" s="774">
        <f t="shared" si="176"/>
        <v>7245</v>
      </c>
      <c r="U251" s="775">
        <f t="shared" si="177"/>
        <v>0</v>
      </c>
      <c r="V251" s="775">
        <f t="shared" si="162"/>
        <v>0</v>
      </c>
      <c r="W251" s="775">
        <f t="shared" si="154"/>
        <v>0</v>
      </c>
      <c r="X251" s="775">
        <f t="shared" si="178"/>
        <v>0</v>
      </c>
      <c r="Y251" s="775">
        <f t="shared" si="179"/>
        <v>0</v>
      </c>
      <c r="AA251" s="773">
        <v>239</v>
      </c>
      <c r="AB251" s="774">
        <f t="shared" si="180"/>
        <v>7245</v>
      </c>
      <c r="AC251" s="775">
        <f t="shared" si="181"/>
        <v>0</v>
      </c>
      <c r="AD251" s="775">
        <f t="shared" si="163"/>
        <v>0</v>
      </c>
      <c r="AE251" s="775">
        <f t="shared" si="155"/>
        <v>0</v>
      </c>
      <c r="AF251" s="775">
        <f t="shared" si="182"/>
        <v>0</v>
      </c>
      <c r="AG251" s="775">
        <f t="shared" si="183"/>
        <v>0</v>
      </c>
      <c r="AI251" s="773">
        <v>239</v>
      </c>
      <c r="AJ251" s="774">
        <f t="shared" si="184"/>
        <v>7245</v>
      </c>
      <c r="AK251" s="775">
        <f t="shared" si="185"/>
        <v>0</v>
      </c>
      <c r="AL251" s="775">
        <f t="shared" si="164"/>
        <v>0</v>
      </c>
      <c r="AM251" s="775">
        <f t="shared" si="156"/>
        <v>0</v>
      </c>
      <c r="AN251" s="775">
        <f t="shared" si="186"/>
        <v>0</v>
      </c>
      <c r="AO251" s="775">
        <f t="shared" si="187"/>
        <v>0</v>
      </c>
      <c r="AQ251" s="773">
        <v>239</v>
      </c>
      <c r="AR251" s="774">
        <f t="shared" si="188"/>
        <v>7245</v>
      </c>
      <c r="AS251" s="775">
        <f t="shared" si="189"/>
        <v>0</v>
      </c>
      <c r="AT251" s="775">
        <f t="shared" si="165"/>
        <v>0</v>
      </c>
      <c r="AU251" s="775">
        <f t="shared" si="157"/>
        <v>0</v>
      </c>
      <c r="AV251" s="775">
        <f t="shared" si="190"/>
        <v>0</v>
      </c>
      <c r="AW251" s="775">
        <f t="shared" si="191"/>
        <v>0</v>
      </c>
      <c r="AY251" s="773">
        <v>239</v>
      </c>
      <c r="AZ251" s="774">
        <f t="shared" si="192"/>
        <v>7245</v>
      </c>
      <c r="BA251" s="775">
        <f t="shared" si="193"/>
        <v>0</v>
      </c>
      <c r="BB251" s="775">
        <f t="shared" si="166"/>
        <v>0</v>
      </c>
      <c r="BC251" s="775">
        <f t="shared" si="158"/>
        <v>0</v>
      </c>
      <c r="BD251" s="775">
        <f t="shared" si="194"/>
        <v>0</v>
      </c>
      <c r="BE251" s="775">
        <f t="shared" si="195"/>
        <v>0</v>
      </c>
      <c r="BG251" s="773">
        <v>239</v>
      </c>
      <c r="BH251" s="774">
        <f t="shared" si="196"/>
        <v>7245</v>
      </c>
      <c r="BI251" s="775">
        <f t="shared" si="197"/>
        <v>0</v>
      </c>
      <c r="BJ251" s="775">
        <f t="shared" si="167"/>
        <v>0</v>
      </c>
      <c r="BK251" s="775">
        <f t="shared" si="159"/>
        <v>0</v>
      </c>
      <c r="BL251" s="775">
        <f t="shared" si="198"/>
        <v>0</v>
      </c>
      <c r="BM251" s="775">
        <f t="shared" si="199"/>
        <v>0</v>
      </c>
    </row>
    <row r="252" spans="1:65">
      <c r="A252" s="11">
        <f t="shared" si="152"/>
        <v>1919</v>
      </c>
      <c r="B252" s="773">
        <v>240</v>
      </c>
      <c r="C252" s="774">
        <f t="shared" si="168"/>
        <v>7275</v>
      </c>
      <c r="D252" s="775">
        <f t="shared" si="169"/>
        <v>0</v>
      </c>
      <c r="E252" s="775">
        <f t="shared" si="160"/>
        <v>0</v>
      </c>
      <c r="F252" s="775">
        <f t="shared" si="150"/>
        <v>0</v>
      </c>
      <c r="G252" s="775">
        <f t="shared" si="170"/>
        <v>0</v>
      </c>
      <c r="H252" s="775">
        <f t="shared" si="171"/>
        <v>0</v>
      </c>
      <c r="I252" s="775">
        <f t="shared" si="151"/>
        <v>0</v>
      </c>
      <c r="K252" s="773">
        <v>240</v>
      </c>
      <c r="L252" s="774">
        <f t="shared" si="172"/>
        <v>7275</v>
      </c>
      <c r="M252" s="775">
        <f t="shared" si="173"/>
        <v>0</v>
      </c>
      <c r="N252" s="775">
        <f t="shared" si="161"/>
        <v>0</v>
      </c>
      <c r="O252" s="775">
        <f t="shared" si="153"/>
        <v>0</v>
      </c>
      <c r="P252" s="775">
        <f t="shared" si="174"/>
        <v>0</v>
      </c>
      <c r="Q252" s="775">
        <f t="shared" si="175"/>
        <v>0</v>
      </c>
      <c r="S252" s="773">
        <v>240</v>
      </c>
      <c r="T252" s="774">
        <f t="shared" si="176"/>
        <v>7275</v>
      </c>
      <c r="U252" s="775">
        <f t="shared" si="177"/>
        <v>0</v>
      </c>
      <c r="V252" s="775">
        <f t="shared" si="162"/>
        <v>0</v>
      </c>
      <c r="W252" s="775">
        <f t="shared" si="154"/>
        <v>0</v>
      </c>
      <c r="X252" s="775">
        <f t="shared" si="178"/>
        <v>0</v>
      </c>
      <c r="Y252" s="775">
        <f t="shared" si="179"/>
        <v>0</v>
      </c>
      <c r="AA252" s="773">
        <v>240</v>
      </c>
      <c r="AB252" s="774">
        <f t="shared" si="180"/>
        <v>7275</v>
      </c>
      <c r="AC252" s="775">
        <f t="shared" si="181"/>
        <v>0</v>
      </c>
      <c r="AD252" s="775">
        <f t="shared" si="163"/>
        <v>0</v>
      </c>
      <c r="AE252" s="775">
        <f t="shared" si="155"/>
        <v>0</v>
      </c>
      <c r="AF252" s="775">
        <f t="shared" si="182"/>
        <v>0</v>
      </c>
      <c r="AG252" s="775">
        <f t="shared" si="183"/>
        <v>0</v>
      </c>
      <c r="AI252" s="773">
        <v>240</v>
      </c>
      <c r="AJ252" s="774">
        <f t="shared" si="184"/>
        <v>7275</v>
      </c>
      <c r="AK252" s="775">
        <f t="shared" si="185"/>
        <v>0</v>
      </c>
      <c r="AL252" s="775">
        <f t="shared" si="164"/>
        <v>0</v>
      </c>
      <c r="AM252" s="775">
        <f t="shared" si="156"/>
        <v>0</v>
      </c>
      <c r="AN252" s="775">
        <f t="shared" si="186"/>
        <v>0</v>
      </c>
      <c r="AO252" s="775">
        <f t="shared" si="187"/>
        <v>0</v>
      </c>
      <c r="AQ252" s="773">
        <v>240</v>
      </c>
      <c r="AR252" s="774">
        <f t="shared" si="188"/>
        <v>7275</v>
      </c>
      <c r="AS252" s="775">
        <f t="shared" si="189"/>
        <v>0</v>
      </c>
      <c r="AT252" s="775">
        <f t="shared" si="165"/>
        <v>0</v>
      </c>
      <c r="AU252" s="775">
        <f t="shared" si="157"/>
        <v>0</v>
      </c>
      <c r="AV252" s="775">
        <f t="shared" si="190"/>
        <v>0</v>
      </c>
      <c r="AW252" s="775">
        <f t="shared" si="191"/>
        <v>0</v>
      </c>
      <c r="AY252" s="773">
        <v>240</v>
      </c>
      <c r="AZ252" s="774">
        <f t="shared" si="192"/>
        <v>7275</v>
      </c>
      <c r="BA252" s="775">
        <f t="shared" si="193"/>
        <v>0</v>
      </c>
      <c r="BB252" s="775">
        <f t="shared" si="166"/>
        <v>0</v>
      </c>
      <c r="BC252" s="775">
        <f t="shared" si="158"/>
        <v>0</v>
      </c>
      <c r="BD252" s="775">
        <f t="shared" si="194"/>
        <v>0</v>
      </c>
      <c r="BE252" s="775">
        <f t="shared" si="195"/>
        <v>0</v>
      </c>
      <c r="BG252" s="773">
        <v>240</v>
      </c>
      <c r="BH252" s="774">
        <f t="shared" si="196"/>
        <v>7275</v>
      </c>
      <c r="BI252" s="775">
        <f t="shared" si="197"/>
        <v>0</v>
      </c>
      <c r="BJ252" s="775">
        <f t="shared" si="167"/>
        <v>0</v>
      </c>
      <c r="BK252" s="775">
        <f t="shared" si="159"/>
        <v>0</v>
      </c>
      <c r="BL252" s="775">
        <f t="shared" si="198"/>
        <v>0</v>
      </c>
      <c r="BM252" s="775">
        <f t="shared" si="199"/>
        <v>0</v>
      </c>
    </row>
    <row r="253" spans="1:65">
      <c r="A253" s="11">
        <f t="shared" si="152"/>
        <v>1920</v>
      </c>
      <c r="B253" s="773">
        <v>241</v>
      </c>
      <c r="C253" s="774">
        <f t="shared" si="168"/>
        <v>7306</v>
      </c>
      <c r="D253" s="775">
        <f t="shared" si="169"/>
        <v>0</v>
      </c>
      <c r="E253" s="775">
        <f t="shared" si="160"/>
        <v>0</v>
      </c>
      <c r="F253" s="775">
        <f t="shared" si="150"/>
        <v>0</v>
      </c>
      <c r="G253" s="775">
        <f t="shared" si="170"/>
        <v>0</v>
      </c>
      <c r="H253" s="775">
        <f t="shared" si="171"/>
        <v>0</v>
      </c>
      <c r="I253" s="775">
        <f t="shared" si="151"/>
        <v>0</v>
      </c>
      <c r="K253" s="773">
        <v>241</v>
      </c>
      <c r="L253" s="774">
        <f t="shared" si="172"/>
        <v>7306</v>
      </c>
      <c r="M253" s="775">
        <f t="shared" si="173"/>
        <v>0</v>
      </c>
      <c r="N253" s="775">
        <f t="shared" si="161"/>
        <v>0</v>
      </c>
      <c r="O253" s="775">
        <f t="shared" si="153"/>
        <v>0</v>
      </c>
      <c r="P253" s="775">
        <f t="shared" si="174"/>
        <v>0</v>
      </c>
      <c r="Q253" s="775">
        <f t="shared" si="175"/>
        <v>0</v>
      </c>
      <c r="S253" s="773">
        <v>241</v>
      </c>
      <c r="T253" s="774">
        <f t="shared" si="176"/>
        <v>7306</v>
      </c>
      <c r="U253" s="775">
        <f t="shared" si="177"/>
        <v>0</v>
      </c>
      <c r="V253" s="775">
        <f t="shared" si="162"/>
        <v>0</v>
      </c>
      <c r="W253" s="775">
        <f t="shared" si="154"/>
        <v>0</v>
      </c>
      <c r="X253" s="775">
        <f t="shared" si="178"/>
        <v>0</v>
      </c>
      <c r="Y253" s="775">
        <f t="shared" si="179"/>
        <v>0</v>
      </c>
      <c r="AA253" s="773">
        <v>241</v>
      </c>
      <c r="AB253" s="774">
        <f t="shared" si="180"/>
        <v>7306</v>
      </c>
      <c r="AC253" s="775">
        <f t="shared" si="181"/>
        <v>0</v>
      </c>
      <c r="AD253" s="775">
        <f t="shared" si="163"/>
        <v>0</v>
      </c>
      <c r="AE253" s="775">
        <f t="shared" si="155"/>
        <v>0</v>
      </c>
      <c r="AF253" s="775">
        <f t="shared" si="182"/>
        <v>0</v>
      </c>
      <c r="AG253" s="775">
        <f t="shared" si="183"/>
        <v>0</v>
      </c>
      <c r="AI253" s="773">
        <v>241</v>
      </c>
      <c r="AJ253" s="774">
        <f t="shared" si="184"/>
        <v>7306</v>
      </c>
      <c r="AK253" s="775">
        <f t="shared" si="185"/>
        <v>0</v>
      </c>
      <c r="AL253" s="775">
        <f t="shared" si="164"/>
        <v>0</v>
      </c>
      <c r="AM253" s="775">
        <f t="shared" si="156"/>
        <v>0</v>
      </c>
      <c r="AN253" s="775">
        <f t="shared" si="186"/>
        <v>0</v>
      </c>
      <c r="AO253" s="775">
        <f t="shared" si="187"/>
        <v>0</v>
      </c>
      <c r="AQ253" s="773">
        <v>241</v>
      </c>
      <c r="AR253" s="774">
        <f t="shared" si="188"/>
        <v>7306</v>
      </c>
      <c r="AS253" s="775">
        <f t="shared" si="189"/>
        <v>0</v>
      </c>
      <c r="AT253" s="775">
        <f t="shared" si="165"/>
        <v>0</v>
      </c>
      <c r="AU253" s="775">
        <f t="shared" si="157"/>
        <v>0</v>
      </c>
      <c r="AV253" s="775">
        <f t="shared" si="190"/>
        <v>0</v>
      </c>
      <c r="AW253" s="775">
        <f t="shared" si="191"/>
        <v>0</v>
      </c>
      <c r="AY253" s="773">
        <v>241</v>
      </c>
      <c r="AZ253" s="774">
        <f t="shared" si="192"/>
        <v>7306</v>
      </c>
      <c r="BA253" s="775">
        <f t="shared" si="193"/>
        <v>0</v>
      </c>
      <c r="BB253" s="775">
        <f t="shared" si="166"/>
        <v>0</v>
      </c>
      <c r="BC253" s="775">
        <f t="shared" si="158"/>
        <v>0</v>
      </c>
      <c r="BD253" s="775">
        <f t="shared" si="194"/>
        <v>0</v>
      </c>
      <c r="BE253" s="775">
        <f t="shared" si="195"/>
        <v>0</v>
      </c>
      <c r="BG253" s="773">
        <v>241</v>
      </c>
      <c r="BH253" s="774">
        <f t="shared" si="196"/>
        <v>7306</v>
      </c>
      <c r="BI253" s="775">
        <f t="shared" si="197"/>
        <v>0</v>
      </c>
      <c r="BJ253" s="775">
        <f t="shared" si="167"/>
        <v>0</v>
      </c>
      <c r="BK253" s="775">
        <f t="shared" si="159"/>
        <v>0</v>
      </c>
      <c r="BL253" s="775">
        <f t="shared" si="198"/>
        <v>0</v>
      </c>
      <c r="BM253" s="775">
        <f t="shared" si="199"/>
        <v>0</v>
      </c>
    </row>
    <row r="254" spans="1:65">
      <c r="A254" s="11">
        <f t="shared" si="152"/>
        <v>1920</v>
      </c>
      <c r="B254" s="773">
        <v>242</v>
      </c>
      <c r="C254" s="774">
        <f t="shared" si="168"/>
        <v>7337</v>
      </c>
      <c r="D254" s="775">
        <f t="shared" si="169"/>
        <v>0</v>
      </c>
      <c r="E254" s="775">
        <f t="shared" si="160"/>
        <v>0</v>
      </c>
      <c r="F254" s="775">
        <f t="shared" si="150"/>
        <v>0</v>
      </c>
      <c r="G254" s="775">
        <f t="shared" si="170"/>
        <v>0</v>
      </c>
      <c r="H254" s="775">
        <f t="shared" si="171"/>
        <v>0</v>
      </c>
      <c r="I254" s="775">
        <f t="shared" si="151"/>
        <v>0</v>
      </c>
      <c r="K254" s="773">
        <v>242</v>
      </c>
      <c r="L254" s="774">
        <f t="shared" si="172"/>
        <v>7337</v>
      </c>
      <c r="M254" s="775">
        <f t="shared" si="173"/>
        <v>0</v>
      </c>
      <c r="N254" s="775">
        <f t="shared" si="161"/>
        <v>0</v>
      </c>
      <c r="O254" s="775">
        <f t="shared" si="153"/>
        <v>0</v>
      </c>
      <c r="P254" s="775">
        <f t="shared" si="174"/>
        <v>0</v>
      </c>
      <c r="Q254" s="775">
        <f t="shared" si="175"/>
        <v>0</v>
      </c>
      <c r="S254" s="773">
        <v>242</v>
      </c>
      <c r="T254" s="774">
        <f t="shared" si="176"/>
        <v>7337</v>
      </c>
      <c r="U254" s="775">
        <f t="shared" si="177"/>
        <v>0</v>
      </c>
      <c r="V254" s="775">
        <f t="shared" si="162"/>
        <v>0</v>
      </c>
      <c r="W254" s="775">
        <f t="shared" si="154"/>
        <v>0</v>
      </c>
      <c r="X254" s="775">
        <f t="shared" si="178"/>
        <v>0</v>
      </c>
      <c r="Y254" s="775">
        <f t="shared" si="179"/>
        <v>0</v>
      </c>
      <c r="AA254" s="773">
        <v>242</v>
      </c>
      <c r="AB254" s="774">
        <f t="shared" si="180"/>
        <v>7337</v>
      </c>
      <c r="AC254" s="775">
        <f t="shared" si="181"/>
        <v>0</v>
      </c>
      <c r="AD254" s="775">
        <f t="shared" si="163"/>
        <v>0</v>
      </c>
      <c r="AE254" s="775">
        <f t="shared" si="155"/>
        <v>0</v>
      </c>
      <c r="AF254" s="775">
        <f t="shared" si="182"/>
        <v>0</v>
      </c>
      <c r="AG254" s="775">
        <f t="shared" si="183"/>
        <v>0</v>
      </c>
      <c r="AI254" s="773">
        <v>242</v>
      </c>
      <c r="AJ254" s="774">
        <f t="shared" si="184"/>
        <v>7337</v>
      </c>
      <c r="AK254" s="775">
        <f t="shared" si="185"/>
        <v>0</v>
      </c>
      <c r="AL254" s="775">
        <f t="shared" si="164"/>
        <v>0</v>
      </c>
      <c r="AM254" s="775">
        <f t="shared" si="156"/>
        <v>0</v>
      </c>
      <c r="AN254" s="775">
        <f t="shared" si="186"/>
        <v>0</v>
      </c>
      <c r="AO254" s="775">
        <f t="shared" si="187"/>
        <v>0</v>
      </c>
      <c r="AQ254" s="773">
        <v>242</v>
      </c>
      <c r="AR254" s="774">
        <f t="shared" si="188"/>
        <v>7337</v>
      </c>
      <c r="AS254" s="775">
        <f t="shared" si="189"/>
        <v>0</v>
      </c>
      <c r="AT254" s="775">
        <f t="shared" si="165"/>
        <v>0</v>
      </c>
      <c r="AU254" s="775">
        <f t="shared" si="157"/>
        <v>0</v>
      </c>
      <c r="AV254" s="775">
        <f t="shared" si="190"/>
        <v>0</v>
      </c>
      <c r="AW254" s="775">
        <f t="shared" si="191"/>
        <v>0</v>
      </c>
      <c r="AY254" s="773">
        <v>242</v>
      </c>
      <c r="AZ254" s="774">
        <f t="shared" si="192"/>
        <v>7337</v>
      </c>
      <c r="BA254" s="775">
        <f t="shared" si="193"/>
        <v>0</v>
      </c>
      <c r="BB254" s="775">
        <f t="shared" si="166"/>
        <v>0</v>
      </c>
      <c r="BC254" s="775">
        <f t="shared" si="158"/>
        <v>0</v>
      </c>
      <c r="BD254" s="775">
        <f t="shared" si="194"/>
        <v>0</v>
      </c>
      <c r="BE254" s="775">
        <f t="shared" si="195"/>
        <v>0</v>
      </c>
      <c r="BG254" s="773">
        <v>242</v>
      </c>
      <c r="BH254" s="774">
        <f t="shared" si="196"/>
        <v>7337</v>
      </c>
      <c r="BI254" s="775">
        <f t="shared" si="197"/>
        <v>0</v>
      </c>
      <c r="BJ254" s="775">
        <f t="shared" si="167"/>
        <v>0</v>
      </c>
      <c r="BK254" s="775">
        <f t="shared" si="159"/>
        <v>0</v>
      </c>
      <c r="BL254" s="775">
        <f t="shared" si="198"/>
        <v>0</v>
      </c>
      <c r="BM254" s="775">
        <f t="shared" si="199"/>
        <v>0</v>
      </c>
    </row>
    <row r="255" spans="1:65">
      <c r="A255" s="11">
        <f t="shared" si="152"/>
        <v>1920</v>
      </c>
      <c r="B255" s="773">
        <v>243</v>
      </c>
      <c r="C255" s="774">
        <f t="shared" si="168"/>
        <v>7366</v>
      </c>
      <c r="D255" s="775">
        <f t="shared" si="169"/>
        <v>0</v>
      </c>
      <c r="E255" s="775">
        <f t="shared" si="160"/>
        <v>0</v>
      </c>
      <c r="F255" s="775">
        <f t="shared" si="150"/>
        <v>0</v>
      </c>
      <c r="G255" s="775">
        <f t="shared" si="170"/>
        <v>0</v>
      </c>
      <c r="H255" s="775">
        <f t="shared" si="171"/>
        <v>0</v>
      </c>
      <c r="I255" s="775">
        <f t="shared" si="151"/>
        <v>0</v>
      </c>
      <c r="K255" s="773">
        <v>243</v>
      </c>
      <c r="L255" s="774">
        <f t="shared" si="172"/>
        <v>7366</v>
      </c>
      <c r="M255" s="775">
        <f t="shared" si="173"/>
        <v>0</v>
      </c>
      <c r="N255" s="775">
        <f t="shared" si="161"/>
        <v>0</v>
      </c>
      <c r="O255" s="775">
        <f t="shared" si="153"/>
        <v>0</v>
      </c>
      <c r="P255" s="775">
        <f t="shared" si="174"/>
        <v>0</v>
      </c>
      <c r="Q255" s="775">
        <f t="shared" si="175"/>
        <v>0</v>
      </c>
      <c r="S255" s="773">
        <v>243</v>
      </c>
      <c r="T255" s="774">
        <f t="shared" si="176"/>
        <v>7366</v>
      </c>
      <c r="U255" s="775">
        <f t="shared" si="177"/>
        <v>0</v>
      </c>
      <c r="V255" s="775">
        <f t="shared" si="162"/>
        <v>0</v>
      </c>
      <c r="W255" s="775">
        <f t="shared" si="154"/>
        <v>0</v>
      </c>
      <c r="X255" s="775">
        <f t="shared" si="178"/>
        <v>0</v>
      </c>
      <c r="Y255" s="775">
        <f t="shared" si="179"/>
        <v>0</v>
      </c>
      <c r="AA255" s="773">
        <v>243</v>
      </c>
      <c r="AB255" s="774">
        <f t="shared" si="180"/>
        <v>7366</v>
      </c>
      <c r="AC255" s="775">
        <f t="shared" si="181"/>
        <v>0</v>
      </c>
      <c r="AD255" s="775">
        <f t="shared" si="163"/>
        <v>0</v>
      </c>
      <c r="AE255" s="775">
        <f t="shared" si="155"/>
        <v>0</v>
      </c>
      <c r="AF255" s="775">
        <f t="shared" si="182"/>
        <v>0</v>
      </c>
      <c r="AG255" s="775">
        <f t="shared" si="183"/>
        <v>0</v>
      </c>
      <c r="AI255" s="773">
        <v>243</v>
      </c>
      <c r="AJ255" s="774">
        <f t="shared" si="184"/>
        <v>7366</v>
      </c>
      <c r="AK255" s="775">
        <f t="shared" si="185"/>
        <v>0</v>
      </c>
      <c r="AL255" s="775">
        <f t="shared" si="164"/>
        <v>0</v>
      </c>
      <c r="AM255" s="775">
        <f t="shared" si="156"/>
        <v>0</v>
      </c>
      <c r="AN255" s="775">
        <f t="shared" si="186"/>
        <v>0</v>
      </c>
      <c r="AO255" s="775">
        <f t="shared" si="187"/>
        <v>0</v>
      </c>
      <c r="AQ255" s="773">
        <v>243</v>
      </c>
      <c r="AR255" s="774">
        <f t="shared" si="188"/>
        <v>7366</v>
      </c>
      <c r="AS255" s="775">
        <f t="shared" si="189"/>
        <v>0</v>
      </c>
      <c r="AT255" s="775">
        <f t="shared" si="165"/>
        <v>0</v>
      </c>
      <c r="AU255" s="775">
        <f t="shared" si="157"/>
        <v>0</v>
      </c>
      <c r="AV255" s="775">
        <f t="shared" si="190"/>
        <v>0</v>
      </c>
      <c r="AW255" s="775">
        <f t="shared" si="191"/>
        <v>0</v>
      </c>
      <c r="AY255" s="773">
        <v>243</v>
      </c>
      <c r="AZ255" s="774">
        <f t="shared" si="192"/>
        <v>7366</v>
      </c>
      <c r="BA255" s="775">
        <f t="shared" si="193"/>
        <v>0</v>
      </c>
      <c r="BB255" s="775">
        <f t="shared" si="166"/>
        <v>0</v>
      </c>
      <c r="BC255" s="775">
        <f t="shared" si="158"/>
        <v>0</v>
      </c>
      <c r="BD255" s="775">
        <f t="shared" si="194"/>
        <v>0</v>
      </c>
      <c r="BE255" s="775">
        <f t="shared" si="195"/>
        <v>0</v>
      </c>
      <c r="BG255" s="773">
        <v>243</v>
      </c>
      <c r="BH255" s="774">
        <f t="shared" si="196"/>
        <v>7366</v>
      </c>
      <c r="BI255" s="775">
        <f t="shared" si="197"/>
        <v>0</v>
      </c>
      <c r="BJ255" s="775">
        <f t="shared" si="167"/>
        <v>0</v>
      </c>
      <c r="BK255" s="775">
        <f t="shared" si="159"/>
        <v>0</v>
      </c>
      <c r="BL255" s="775">
        <f t="shared" si="198"/>
        <v>0</v>
      </c>
      <c r="BM255" s="775">
        <f t="shared" si="199"/>
        <v>0</v>
      </c>
    </row>
    <row r="256" spans="1:65">
      <c r="A256" s="11">
        <f t="shared" si="152"/>
        <v>1920</v>
      </c>
      <c r="B256" s="773">
        <v>244</v>
      </c>
      <c r="C256" s="774">
        <f t="shared" si="168"/>
        <v>7397</v>
      </c>
      <c r="D256" s="775">
        <f t="shared" si="169"/>
        <v>0</v>
      </c>
      <c r="E256" s="775">
        <f t="shared" si="160"/>
        <v>0</v>
      </c>
      <c r="F256" s="775">
        <f t="shared" si="150"/>
        <v>0</v>
      </c>
      <c r="G256" s="775">
        <f t="shared" si="170"/>
        <v>0</v>
      </c>
      <c r="H256" s="775">
        <f t="shared" si="171"/>
        <v>0</v>
      </c>
      <c r="I256" s="775">
        <f t="shared" si="151"/>
        <v>0</v>
      </c>
      <c r="K256" s="773">
        <v>244</v>
      </c>
      <c r="L256" s="774">
        <f t="shared" si="172"/>
        <v>7397</v>
      </c>
      <c r="M256" s="775">
        <f t="shared" si="173"/>
        <v>0</v>
      </c>
      <c r="N256" s="775">
        <f t="shared" si="161"/>
        <v>0</v>
      </c>
      <c r="O256" s="775">
        <f t="shared" si="153"/>
        <v>0</v>
      </c>
      <c r="P256" s="775">
        <f t="shared" si="174"/>
        <v>0</v>
      </c>
      <c r="Q256" s="775">
        <f t="shared" si="175"/>
        <v>0</v>
      </c>
      <c r="S256" s="773">
        <v>244</v>
      </c>
      <c r="T256" s="774">
        <f t="shared" si="176"/>
        <v>7397</v>
      </c>
      <c r="U256" s="775">
        <f t="shared" si="177"/>
        <v>0</v>
      </c>
      <c r="V256" s="775">
        <f t="shared" si="162"/>
        <v>0</v>
      </c>
      <c r="W256" s="775">
        <f t="shared" si="154"/>
        <v>0</v>
      </c>
      <c r="X256" s="775">
        <f t="shared" si="178"/>
        <v>0</v>
      </c>
      <c r="Y256" s="775">
        <f t="shared" si="179"/>
        <v>0</v>
      </c>
      <c r="AA256" s="773">
        <v>244</v>
      </c>
      <c r="AB256" s="774">
        <f t="shared" si="180"/>
        <v>7397</v>
      </c>
      <c r="AC256" s="775">
        <f t="shared" si="181"/>
        <v>0</v>
      </c>
      <c r="AD256" s="775">
        <f t="shared" si="163"/>
        <v>0</v>
      </c>
      <c r="AE256" s="775">
        <f t="shared" si="155"/>
        <v>0</v>
      </c>
      <c r="AF256" s="775">
        <f t="shared" si="182"/>
        <v>0</v>
      </c>
      <c r="AG256" s="775">
        <f t="shared" si="183"/>
        <v>0</v>
      </c>
      <c r="AI256" s="773">
        <v>244</v>
      </c>
      <c r="AJ256" s="774">
        <f t="shared" si="184"/>
        <v>7397</v>
      </c>
      <c r="AK256" s="775">
        <f t="shared" si="185"/>
        <v>0</v>
      </c>
      <c r="AL256" s="775">
        <f t="shared" si="164"/>
        <v>0</v>
      </c>
      <c r="AM256" s="775">
        <f t="shared" si="156"/>
        <v>0</v>
      </c>
      <c r="AN256" s="775">
        <f t="shared" si="186"/>
        <v>0</v>
      </c>
      <c r="AO256" s="775">
        <f t="shared" si="187"/>
        <v>0</v>
      </c>
      <c r="AQ256" s="773">
        <v>244</v>
      </c>
      <c r="AR256" s="774">
        <f t="shared" si="188"/>
        <v>7397</v>
      </c>
      <c r="AS256" s="775">
        <f t="shared" si="189"/>
        <v>0</v>
      </c>
      <c r="AT256" s="775">
        <f t="shared" si="165"/>
        <v>0</v>
      </c>
      <c r="AU256" s="775">
        <f t="shared" si="157"/>
        <v>0</v>
      </c>
      <c r="AV256" s="775">
        <f t="shared" si="190"/>
        <v>0</v>
      </c>
      <c r="AW256" s="775">
        <f t="shared" si="191"/>
        <v>0</v>
      </c>
      <c r="AY256" s="773">
        <v>244</v>
      </c>
      <c r="AZ256" s="774">
        <f t="shared" si="192"/>
        <v>7397</v>
      </c>
      <c r="BA256" s="775">
        <f t="shared" si="193"/>
        <v>0</v>
      </c>
      <c r="BB256" s="775">
        <f t="shared" si="166"/>
        <v>0</v>
      </c>
      <c r="BC256" s="775">
        <f t="shared" si="158"/>
        <v>0</v>
      </c>
      <c r="BD256" s="775">
        <f t="shared" si="194"/>
        <v>0</v>
      </c>
      <c r="BE256" s="775">
        <f t="shared" si="195"/>
        <v>0</v>
      </c>
      <c r="BG256" s="773">
        <v>244</v>
      </c>
      <c r="BH256" s="774">
        <f t="shared" si="196"/>
        <v>7397</v>
      </c>
      <c r="BI256" s="775">
        <f t="shared" si="197"/>
        <v>0</v>
      </c>
      <c r="BJ256" s="775">
        <f t="shared" si="167"/>
        <v>0</v>
      </c>
      <c r="BK256" s="775">
        <f t="shared" si="159"/>
        <v>0</v>
      </c>
      <c r="BL256" s="775">
        <f t="shared" si="198"/>
        <v>0</v>
      </c>
      <c r="BM256" s="775">
        <f t="shared" si="199"/>
        <v>0</v>
      </c>
    </row>
    <row r="257" spans="1:65">
      <c r="A257" s="11">
        <f t="shared" si="152"/>
        <v>1920</v>
      </c>
      <c r="B257" s="773">
        <v>245</v>
      </c>
      <c r="C257" s="774">
        <f t="shared" si="168"/>
        <v>7427</v>
      </c>
      <c r="D257" s="775">
        <f t="shared" si="169"/>
        <v>0</v>
      </c>
      <c r="E257" s="775">
        <f t="shared" si="160"/>
        <v>0</v>
      </c>
      <c r="F257" s="775">
        <f t="shared" si="150"/>
        <v>0</v>
      </c>
      <c r="G257" s="775">
        <f t="shared" si="170"/>
        <v>0</v>
      </c>
      <c r="H257" s="775">
        <f t="shared" si="171"/>
        <v>0</v>
      </c>
      <c r="I257" s="775">
        <f t="shared" si="151"/>
        <v>0</v>
      </c>
      <c r="K257" s="773">
        <v>245</v>
      </c>
      <c r="L257" s="774">
        <f t="shared" si="172"/>
        <v>7427</v>
      </c>
      <c r="M257" s="775">
        <f t="shared" si="173"/>
        <v>0</v>
      </c>
      <c r="N257" s="775">
        <f t="shared" si="161"/>
        <v>0</v>
      </c>
      <c r="O257" s="775">
        <f t="shared" si="153"/>
        <v>0</v>
      </c>
      <c r="P257" s="775">
        <f t="shared" si="174"/>
        <v>0</v>
      </c>
      <c r="Q257" s="775">
        <f t="shared" si="175"/>
        <v>0</v>
      </c>
      <c r="S257" s="773">
        <v>245</v>
      </c>
      <c r="T257" s="774">
        <f t="shared" si="176"/>
        <v>7427</v>
      </c>
      <c r="U257" s="775">
        <f t="shared" si="177"/>
        <v>0</v>
      </c>
      <c r="V257" s="775">
        <f t="shared" si="162"/>
        <v>0</v>
      </c>
      <c r="W257" s="775">
        <f t="shared" si="154"/>
        <v>0</v>
      </c>
      <c r="X257" s="775">
        <f t="shared" si="178"/>
        <v>0</v>
      </c>
      <c r="Y257" s="775">
        <f t="shared" si="179"/>
        <v>0</v>
      </c>
      <c r="AA257" s="773">
        <v>245</v>
      </c>
      <c r="AB257" s="774">
        <f t="shared" si="180"/>
        <v>7427</v>
      </c>
      <c r="AC257" s="775">
        <f t="shared" si="181"/>
        <v>0</v>
      </c>
      <c r="AD257" s="775">
        <f t="shared" si="163"/>
        <v>0</v>
      </c>
      <c r="AE257" s="775">
        <f t="shared" si="155"/>
        <v>0</v>
      </c>
      <c r="AF257" s="775">
        <f t="shared" si="182"/>
        <v>0</v>
      </c>
      <c r="AG257" s="775">
        <f t="shared" si="183"/>
        <v>0</v>
      </c>
      <c r="AI257" s="773">
        <v>245</v>
      </c>
      <c r="AJ257" s="774">
        <f t="shared" si="184"/>
        <v>7427</v>
      </c>
      <c r="AK257" s="775">
        <f t="shared" si="185"/>
        <v>0</v>
      </c>
      <c r="AL257" s="775">
        <f t="shared" si="164"/>
        <v>0</v>
      </c>
      <c r="AM257" s="775">
        <f t="shared" si="156"/>
        <v>0</v>
      </c>
      <c r="AN257" s="775">
        <f t="shared" si="186"/>
        <v>0</v>
      </c>
      <c r="AO257" s="775">
        <f t="shared" si="187"/>
        <v>0</v>
      </c>
      <c r="AQ257" s="773">
        <v>245</v>
      </c>
      <c r="AR257" s="774">
        <f t="shared" si="188"/>
        <v>7427</v>
      </c>
      <c r="AS257" s="775">
        <f t="shared" si="189"/>
        <v>0</v>
      </c>
      <c r="AT257" s="775">
        <f t="shared" si="165"/>
        <v>0</v>
      </c>
      <c r="AU257" s="775">
        <f t="shared" si="157"/>
        <v>0</v>
      </c>
      <c r="AV257" s="775">
        <f t="shared" si="190"/>
        <v>0</v>
      </c>
      <c r="AW257" s="775">
        <f t="shared" si="191"/>
        <v>0</v>
      </c>
      <c r="AY257" s="773">
        <v>245</v>
      </c>
      <c r="AZ257" s="774">
        <f t="shared" si="192"/>
        <v>7427</v>
      </c>
      <c r="BA257" s="775">
        <f t="shared" si="193"/>
        <v>0</v>
      </c>
      <c r="BB257" s="775">
        <f t="shared" si="166"/>
        <v>0</v>
      </c>
      <c r="BC257" s="775">
        <f t="shared" si="158"/>
        <v>0</v>
      </c>
      <c r="BD257" s="775">
        <f t="shared" si="194"/>
        <v>0</v>
      </c>
      <c r="BE257" s="775">
        <f t="shared" si="195"/>
        <v>0</v>
      </c>
      <c r="BG257" s="773">
        <v>245</v>
      </c>
      <c r="BH257" s="774">
        <f t="shared" si="196"/>
        <v>7427</v>
      </c>
      <c r="BI257" s="775">
        <f t="shared" si="197"/>
        <v>0</v>
      </c>
      <c r="BJ257" s="775">
        <f t="shared" si="167"/>
        <v>0</v>
      </c>
      <c r="BK257" s="775">
        <f t="shared" si="159"/>
        <v>0</v>
      </c>
      <c r="BL257" s="775">
        <f t="shared" si="198"/>
        <v>0</v>
      </c>
      <c r="BM257" s="775">
        <f t="shared" si="199"/>
        <v>0</v>
      </c>
    </row>
    <row r="258" spans="1:65">
      <c r="A258" s="11">
        <f t="shared" si="152"/>
        <v>1920</v>
      </c>
      <c r="B258" s="773">
        <v>246</v>
      </c>
      <c r="C258" s="774">
        <f t="shared" si="168"/>
        <v>7458</v>
      </c>
      <c r="D258" s="775">
        <f t="shared" si="169"/>
        <v>0</v>
      </c>
      <c r="E258" s="775">
        <f t="shared" si="160"/>
        <v>0</v>
      </c>
      <c r="F258" s="775">
        <f t="shared" si="150"/>
        <v>0</v>
      </c>
      <c r="G258" s="775">
        <f t="shared" si="170"/>
        <v>0</v>
      </c>
      <c r="H258" s="775">
        <f t="shared" si="171"/>
        <v>0</v>
      </c>
      <c r="I258" s="775">
        <f t="shared" si="151"/>
        <v>0</v>
      </c>
      <c r="K258" s="773">
        <v>246</v>
      </c>
      <c r="L258" s="774">
        <f t="shared" si="172"/>
        <v>7458</v>
      </c>
      <c r="M258" s="775">
        <f t="shared" si="173"/>
        <v>0</v>
      </c>
      <c r="N258" s="775">
        <f t="shared" si="161"/>
        <v>0</v>
      </c>
      <c r="O258" s="775">
        <f t="shared" si="153"/>
        <v>0</v>
      </c>
      <c r="P258" s="775">
        <f t="shared" si="174"/>
        <v>0</v>
      </c>
      <c r="Q258" s="775">
        <f t="shared" si="175"/>
        <v>0</v>
      </c>
      <c r="S258" s="773">
        <v>246</v>
      </c>
      <c r="T258" s="774">
        <f t="shared" si="176"/>
        <v>7458</v>
      </c>
      <c r="U258" s="775">
        <f t="shared" si="177"/>
        <v>0</v>
      </c>
      <c r="V258" s="775">
        <f t="shared" si="162"/>
        <v>0</v>
      </c>
      <c r="W258" s="775">
        <f t="shared" si="154"/>
        <v>0</v>
      </c>
      <c r="X258" s="775">
        <f t="shared" si="178"/>
        <v>0</v>
      </c>
      <c r="Y258" s="775">
        <f t="shared" si="179"/>
        <v>0</v>
      </c>
      <c r="AA258" s="773">
        <v>246</v>
      </c>
      <c r="AB258" s="774">
        <f t="shared" si="180"/>
        <v>7458</v>
      </c>
      <c r="AC258" s="775">
        <f t="shared" si="181"/>
        <v>0</v>
      </c>
      <c r="AD258" s="775">
        <f t="shared" si="163"/>
        <v>0</v>
      </c>
      <c r="AE258" s="775">
        <f t="shared" si="155"/>
        <v>0</v>
      </c>
      <c r="AF258" s="775">
        <f t="shared" si="182"/>
        <v>0</v>
      </c>
      <c r="AG258" s="775">
        <f t="shared" si="183"/>
        <v>0</v>
      </c>
      <c r="AI258" s="773">
        <v>246</v>
      </c>
      <c r="AJ258" s="774">
        <f t="shared" si="184"/>
        <v>7458</v>
      </c>
      <c r="AK258" s="775">
        <f t="shared" si="185"/>
        <v>0</v>
      </c>
      <c r="AL258" s="775">
        <f t="shared" si="164"/>
        <v>0</v>
      </c>
      <c r="AM258" s="775">
        <f t="shared" si="156"/>
        <v>0</v>
      </c>
      <c r="AN258" s="775">
        <f t="shared" si="186"/>
        <v>0</v>
      </c>
      <c r="AO258" s="775">
        <f t="shared" si="187"/>
        <v>0</v>
      </c>
      <c r="AQ258" s="773">
        <v>246</v>
      </c>
      <c r="AR258" s="774">
        <f t="shared" si="188"/>
        <v>7458</v>
      </c>
      <c r="AS258" s="775">
        <f t="shared" si="189"/>
        <v>0</v>
      </c>
      <c r="AT258" s="775">
        <f t="shared" si="165"/>
        <v>0</v>
      </c>
      <c r="AU258" s="775">
        <f t="shared" si="157"/>
        <v>0</v>
      </c>
      <c r="AV258" s="775">
        <f t="shared" si="190"/>
        <v>0</v>
      </c>
      <c r="AW258" s="775">
        <f t="shared" si="191"/>
        <v>0</v>
      </c>
      <c r="AY258" s="773">
        <v>246</v>
      </c>
      <c r="AZ258" s="774">
        <f t="shared" si="192"/>
        <v>7458</v>
      </c>
      <c r="BA258" s="775">
        <f t="shared" si="193"/>
        <v>0</v>
      </c>
      <c r="BB258" s="775">
        <f t="shared" si="166"/>
        <v>0</v>
      </c>
      <c r="BC258" s="775">
        <f t="shared" si="158"/>
        <v>0</v>
      </c>
      <c r="BD258" s="775">
        <f t="shared" si="194"/>
        <v>0</v>
      </c>
      <c r="BE258" s="775">
        <f t="shared" si="195"/>
        <v>0</v>
      </c>
      <c r="BG258" s="773">
        <v>246</v>
      </c>
      <c r="BH258" s="774">
        <f t="shared" si="196"/>
        <v>7458</v>
      </c>
      <c r="BI258" s="775">
        <f t="shared" si="197"/>
        <v>0</v>
      </c>
      <c r="BJ258" s="775">
        <f t="shared" si="167"/>
        <v>0</v>
      </c>
      <c r="BK258" s="775">
        <f t="shared" si="159"/>
        <v>0</v>
      </c>
      <c r="BL258" s="775">
        <f t="shared" si="198"/>
        <v>0</v>
      </c>
      <c r="BM258" s="775">
        <f t="shared" si="199"/>
        <v>0</v>
      </c>
    </row>
    <row r="259" spans="1:65">
      <c r="A259" s="11">
        <f t="shared" si="152"/>
        <v>1920</v>
      </c>
      <c r="B259" s="773">
        <v>247</v>
      </c>
      <c r="C259" s="774">
        <f t="shared" si="168"/>
        <v>7488</v>
      </c>
      <c r="D259" s="775">
        <f t="shared" si="169"/>
        <v>0</v>
      </c>
      <c r="E259" s="775">
        <f t="shared" si="160"/>
        <v>0</v>
      </c>
      <c r="F259" s="775">
        <f t="shared" si="150"/>
        <v>0</v>
      </c>
      <c r="G259" s="775">
        <f t="shared" si="170"/>
        <v>0</v>
      </c>
      <c r="H259" s="775">
        <f t="shared" si="171"/>
        <v>0</v>
      </c>
      <c r="I259" s="775">
        <f t="shared" si="151"/>
        <v>0</v>
      </c>
      <c r="K259" s="773">
        <v>247</v>
      </c>
      <c r="L259" s="774">
        <f t="shared" si="172"/>
        <v>7488</v>
      </c>
      <c r="M259" s="775">
        <f t="shared" si="173"/>
        <v>0</v>
      </c>
      <c r="N259" s="775">
        <f t="shared" si="161"/>
        <v>0</v>
      </c>
      <c r="O259" s="775">
        <f t="shared" si="153"/>
        <v>0</v>
      </c>
      <c r="P259" s="775">
        <f t="shared" si="174"/>
        <v>0</v>
      </c>
      <c r="Q259" s="775">
        <f t="shared" si="175"/>
        <v>0</v>
      </c>
      <c r="S259" s="773">
        <v>247</v>
      </c>
      <c r="T259" s="774">
        <f t="shared" si="176"/>
        <v>7488</v>
      </c>
      <c r="U259" s="775">
        <f t="shared" si="177"/>
        <v>0</v>
      </c>
      <c r="V259" s="775">
        <f t="shared" si="162"/>
        <v>0</v>
      </c>
      <c r="W259" s="775">
        <f t="shared" si="154"/>
        <v>0</v>
      </c>
      <c r="X259" s="775">
        <f t="shared" si="178"/>
        <v>0</v>
      </c>
      <c r="Y259" s="775">
        <f t="shared" si="179"/>
        <v>0</v>
      </c>
      <c r="AA259" s="773">
        <v>247</v>
      </c>
      <c r="AB259" s="774">
        <f t="shared" si="180"/>
        <v>7488</v>
      </c>
      <c r="AC259" s="775">
        <f t="shared" si="181"/>
        <v>0</v>
      </c>
      <c r="AD259" s="775">
        <f t="shared" si="163"/>
        <v>0</v>
      </c>
      <c r="AE259" s="775">
        <f t="shared" si="155"/>
        <v>0</v>
      </c>
      <c r="AF259" s="775">
        <f t="shared" si="182"/>
        <v>0</v>
      </c>
      <c r="AG259" s="775">
        <f t="shared" si="183"/>
        <v>0</v>
      </c>
      <c r="AI259" s="773">
        <v>247</v>
      </c>
      <c r="AJ259" s="774">
        <f t="shared" si="184"/>
        <v>7488</v>
      </c>
      <c r="AK259" s="775">
        <f t="shared" si="185"/>
        <v>0</v>
      </c>
      <c r="AL259" s="775">
        <f t="shared" si="164"/>
        <v>0</v>
      </c>
      <c r="AM259" s="775">
        <f t="shared" si="156"/>
        <v>0</v>
      </c>
      <c r="AN259" s="775">
        <f t="shared" si="186"/>
        <v>0</v>
      </c>
      <c r="AO259" s="775">
        <f t="shared" si="187"/>
        <v>0</v>
      </c>
      <c r="AQ259" s="773">
        <v>247</v>
      </c>
      <c r="AR259" s="774">
        <f t="shared" si="188"/>
        <v>7488</v>
      </c>
      <c r="AS259" s="775">
        <f t="shared" si="189"/>
        <v>0</v>
      </c>
      <c r="AT259" s="775">
        <f t="shared" si="165"/>
        <v>0</v>
      </c>
      <c r="AU259" s="775">
        <f t="shared" si="157"/>
        <v>0</v>
      </c>
      <c r="AV259" s="775">
        <f t="shared" si="190"/>
        <v>0</v>
      </c>
      <c r="AW259" s="775">
        <f t="shared" si="191"/>
        <v>0</v>
      </c>
      <c r="AY259" s="773">
        <v>247</v>
      </c>
      <c r="AZ259" s="774">
        <f t="shared" si="192"/>
        <v>7488</v>
      </c>
      <c r="BA259" s="775">
        <f t="shared" si="193"/>
        <v>0</v>
      </c>
      <c r="BB259" s="775">
        <f t="shared" si="166"/>
        <v>0</v>
      </c>
      <c r="BC259" s="775">
        <f t="shared" si="158"/>
        <v>0</v>
      </c>
      <c r="BD259" s="775">
        <f t="shared" si="194"/>
        <v>0</v>
      </c>
      <c r="BE259" s="775">
        <f t="shared" si="195"/>
        <v>0</v>
      </c>
      <c r="BG259" s="773">
        <v>247</v>
      </c>
      <c r="BH259" s="774">
        <f t="shared" si="196"/>
        <v>7488</v>
      </c>
      <c r="BI259" s="775">
        <f t="shared" si="197"/>
        <v>0</v>
      </c>
      <c r="BJ259" s="775">
        <f t="shared" si="167"/>
        <v>0</v>
      </c>
      <c r="BK259" s="775">
        <f t="shared" si="159"/>
        <v>0</v>
      </c>
      <c r="BL259" s="775">
        <f t="shared" si="198"/>
        <v>0</v>
      </c>
      <c r="BM259" s="775">
        <f t="shared" si="199"/>
        <v>0</v>
      </c>
    </row>
    <row r="260" spans="1:65">
      <c r="A260" s="11">
        <f t="shared" si="152"/>
        <v>1920</v>
      </c>
      <c r="B260" s="773">
        <v>248</v>
      </c>
      <c r="C260" s="774">
        <f t="shared" si="168"/>
        <v>7519</v>
      </c>
      <c r="D260" s="775">
        <f t="shared" si="169"/>
        <v>0</v>
      </c>
      <c r="E260" s="775">
        <f t="shared" si="160"/>
        <v>0</v>
      </c>
      <c r="F260" s="775">
        <f t="shared" si="150"/>
        <v>0</v>
      </c>
      <c r="G260" s="775">
        <f t="shared" si="170"/>
        <v>0</v>
      </c>
      <c r="H260" s="775">
        <f t="shared" si="171"/>
        <v>0</v>
      </c>
      <c r="I260" s="775">
        <f t="shared" si="151"/>
        <v>0</v>
      </c>
      <c r="K260" s="773">
        <v>248</v>
      </c>
      <c r="L260" s="774">
        <f t="shared" si="172"/>
        <v>7519</v>
      </c>
      <c r="M260" s="775">
        <f t="shared" si="173"/>
        <v>0</v>
      </c>
      <c r="N260" s="775">
        <f t="shared" si="161"/>
        <v>0</v>
      </c>
      <c r="O260" s="775">
        <f t="shared" si="153"/>
        <v>0</v>
      </c>
      <c r="P260" s="775">
        <f t="shared" si="174"/>
        <v>0</v>
      </c>
      <c r="Q260" s="775">
        <f t="shared" si="175"/>
        <v>0</v>
      </c>
      <c r="S260" s="773">
        <v>248</v>
      </c>
      <c r="T260" s="774">
        <f t="shared" si="176"/>
        <v>7519</v>
      </c>
      <c r="U260" s="775">
        <f t="shared" si="177"/>
        <v>0</v>
      </c>
      <c r="V260" s="775">
        <f t="shared" si="162"/>
        <v>0</v>
      </c>
      <c r="W260" s="775">
        <f t="shared" si="154"/>
        <v>0</v>
      </c>
      <c r="X260" s="775">
        <f t="shared" si="178"/>
        <v>0</v>
      </c>
      <c r="Y260" s="775">
        <f t="shared" si="179"/>
        <v>0</v>
      </c>
      <c r="AA260" s="773">
        <v>248</v>
      </c>
      <c r="AB260" s="774">
        <f t="shared" si="180"/>
        <v>7519</v>
      </c>
      <c r="AC260" s="775">
        <f t="shared" si="181"/>
        <v>0</v>
      </c>
      <c r="AD260" s="775">
        <f t="shared" si="163"/>
        <v>0</v>
      </c>
      <c r="AE260" s="775">
        <f t="shared" si="155"/>
        <v>0</v>
      </c>
      <c r="AF260" s="775">
        <f t="shared" si="182"/>
        <v>0</v>
      </c>
      <c r="AG260" s="775">
        <f t="shared" si="183"/>
        <v>0</v>
      </c>
      <c r="AI260" s="773">
        <v>248</v>
      </c>
      <c r="AJ260" s="774">
        <f t="shared" si="184"/>
        <v>7519</v>
      </c>
      <c r="AK260" s="775">
        <f t="shared" si="185"/>
        <v>0</v>
      </c>
      <c r="AL260" s="775">
        <f t="shared" si="164"/>
        <v>0</v>
      </c>
      <c r="AM260" s="775">
        <f t="shared" si="156"/>
        <v>0</v>
      </c>
      <c r="AN260" s="775">
        <f t="shared" si="186"/>
        <v>0</v>
      </c>
      <c r="AO260" s="775">
        <f t="shared" si="187"/>
        <v>0</v>
      </c>
      <c r="AQ260" s="773">
        <v>248</v>
      </c>
      <c r="AR260" s="774">
        <f t="shared" si="188"/>
        <v>7519</v>
      </c>
      <c r="AS260" s="775">
        <f t="shared" si="189"/>
        <v>0</v>
      </c>
      <c r="AT260" s="775">
        <f t="shared" si="165"/>
        <v>0</v>
      </c>
      <c r="AU260" s="775">
        <f t="shared" si="157"/>
        <v>0</v>
      </c>
      <c r="AV260" s="775">
        <f t="shared" si="190"/>
        <v>0</v>
      </c>
      <c r="AW260" s="775">
        <f t="shared" si="191"/>
        <v>0</v>
      </c>
      <c r="AY260" s="773">
        <v>248</v>
      </c>
      <c r="AZ260" s="774">
        <f t="shared" si="192"/>
        <v>7519</v>
      </c>
      <c r="BA260" s="775">
        <f t="shared" si="193"/>
        <v>0</v>
      </c>
      <c r="BB260" s="775">
        <f t="shared" si="166"/>
        <v>0</v>
      </c>
      <c r="BC260" s="775">
        <f t="shared" si="158"/>
        <v>0</v>
      </c>
      <c r="BD260" s="775">
        <f t="shared" si="194"/>
        <v>0</v>
      </c>
      <c r="BE260" s="775">
        <f t="shared" si="195"/>
        <v>0</v>
      </c>
      <c r="BG260" s="773">
        <v>248</v>
      </c>
      <c r="BH260" s="774">
        <f t="shared" si="196"/>
        <v>7519</v>
      </c>
      <c r="BI260" s="775">
        <f t="shared" si="197"/>
        <v>0</v>
      </c>
      <c r="BJ260" s="775">
        <f t="shared" si="167"/>
        <v>0</v>
      </c>
      <c r="BK260" s="775">
        <f t="shared" si="159"/>
        <v>0</v>
      </c>
      <c r="BL260" s="775">
        <f t="shared" si="198"/>
        <v>0</v>
      </c>
      <c r="BM260" s="775">
        <f t="shared" si="199"/>
        <v>0</v>
      </c>
    </row>
    <row r="261" spans="1:65">
      <c r="A261" s="11">
        <f t="shared" si="152"/>
        <v>1920</v>
      </c>
      <c r="B261" s="773">
        <v>249</v>
      </c>
      <c r="C261" s="774">
        <f t="shared" si="168"/>
        <v>7550</v>
      </c>
      <c r="D261" s="775">
        <f t="shared" si="169"/>
        <v>0</v>
      </c>
      <c r="E261" s="775">
        <f t="shared" si="160"/>
        <v>0</v>
      </c>
      <c r="F261" s="775">
        <f t="shared" si="150"/>
        <v>0</v>
      </c>
      <c r="G261" s="775">
        <f t="shared" si="170"/>
        <v>0</v>
      </c>
      <c r="H261" s="775">
        <f t="shared" si="171"/>
        <v>0</v>
      </c>
      <c r="I261" s="775">
        <f t="shared" si="151"/>
        <v>0</v>
      </c>
      <c r="K261" s="773">
        <v>249</v>
      </c>
      <c r="L261" s="774">
        <f t="shared" si="172"/>
        <v>7550</v>
      </c>
      <c r="M261" s="775">
        <f t="shared" si="173"/>
        <v>0</v>
      </c>
      <c r="N261" s="775">
        <f t="shared" si="161"/>
        <v>0</v>
      </c>
      <c r="O261" s="775">
        <f t="shared" si="153"/>
        <v>0</v>
      </c>
      <c r="P261" s="775">
        <f t="shared" si="174"/>
        <v>0</v>
      </c>
      <c r="Q261" s="775">
        <f t="shared" si="175"/>
        <v>0</v>
      </c>
      <c r="S261" s="773">
        <v>249</v>
      </c>
      <c r="T261" s="774">
        <f t="shared" si="176"/>
        <v>7550</v>
      </c>
      <c r="U261" s="775">
        <f t="shared" si="177"/>
        <v>0</v>
      </c>
      <c r="V261" s="775">
        <f t="shared" si="162"/>
        <v>0</v>
      </c>
      <c r="W261" s="775">
        <f t="shared" si="154"/>
        <v>0</v>
      </c>
      <c r="X261" s="775">
        <f t="shared" si="178"/>
        <v>0</v>
      </c>
      <c r="Y261" s="775">
        <f t="shared" si="179"/>
        <v>0</v>
      </c>
      <c r="AA261" s="773">
        <v>249</v>
      </c>
      <c r="AB261" s="774">
        <f t="shared" si="180"/>
        <v>7550</v>
      </c>
      <c r="AC261" s="775">
        <f t="shared" si="181"/>
        <v>0</v>
      </c>
      <c r="AD261" s="775">
        <f t="shared" si="163"/>
        <v>0</v>
      </c>
      <c r="AE261" s="775">
        <f t="shared" si="155"/>
        <v>0</v>
      </c>
      <c r="AF261" s="775">
        <f t="shared" si="182"/>
        <v>0</v>
      </c>
      <c r="AG261" s="775">
        <f t="shared" si="183"/>
        <v>0</v>
      </c>
      <c r="AI261" s="773">
        <v>249</v>
      </c>
      <c r="AJ261" s="774">
        <f t="shared" si="184"/>
        <v>7550</v>
      </c>
      <c r="AK261" s="775">
        <f t="shared" si="185"/>
        <v>0</v>
      </c>
      <c r="AL261" s="775">
        <f t="shared" si="164"/>
        <v>0</v>
      </c>
      <c r="AM261" s="775">
        <f t="shared" si="156"/>
        <v>0</v>
      </c>
      <c r="AN261" s="775">
        <f t="shared" si="186"/>
        <v>0</v>
      </c>
      <c r="AO261" s="775">
        <f t="shared" si="187"/>
        <v>0</v>
      </c>
      <c r="AQ261" s="773">
        <v>249</v>
      </c>
      <c r="AR261" s="774">
        <f t="shared" si="188"/>
        <v>7550</v>
      </c>
      <c r="AS261" s="775">
        <f t="shared" si="189"/>
        <v>0</v>
      </c>
      <c r="AT261" s="775">
        <f t="shared" si="165"/>
        <v>0</v>
      </c>
      <c r="AU261" s="775">
        <f t="shared" si="157"/>
        <v>0</v>
      </c>
      <c r="AV261" s="775">
        <f t="shared" si="190"/>
        <v>0</v>
      </c>
      <c r="AW261" s="775">
        <f t="shared" si="191"/>
        <v>0</v>
      </c>
      <c r="AY261" s="773">
        <v>249</v>
      </c>
      <c r="AZ261" s="774">
        <f t="shared" si="192"/>
        <v>7550</v>
      </c>
      <c r="BA261" s="775">
        <f t="shared" si="193"/>
        <v>0</v>
      </c>
      <c r="BB261" s="775">
        <f t="shared" si="166"/>
        <v>0</v>
      </c>
      <c r="BC261" s="775">
        <f t="shared" si="158"/>
        <v>0</v>
      </c>
      <c r="BD261" s="775">
        <f t="shared" si="194"/>
        <v>0</v>
      </c>
      <c r="BE261" s="775">
        <f t="shared" si="195"/>
        <v>0</v>
      </c>
      <c r="BG261" s="773">
        <v>249</v>
      </c>
      <c r="BH261" s="774">
        <f t="shared" si="196"/>
        <v>7550</v>
      </c>
      <c r="BI261" s="775">
        <f t="shared" si="197"/>
        <v>0</v>
      </c>
      <c r="BJ261" s="775">
        <f t="shared" si="167"/>
        <v>0</v>
      </c>
      <c r="BK261" s="775">
        <f t="shared" si="159"/>
        <v>0</v>
      </c>
      <c r="BL261" s="775">
        <f t="shared" si="198"/>
        <v>0</v>
      </c>
      <c r="BM261" s="775">
        <f t="shared" si="199"/>
        <v>0</v>
      </c>
    </row>
    <row r="262" spans="1:65">
      <c r="A262" s="11">
        <f t="shared" si="152"/>
        <v>1920</v>
      </c>
      <c r="B262" s="773">
        <v>250</v>
      </c>
      <c r="C262" s="774">
        <f t="shared" si="168"/>
        <v>7580</v>
      </c>
      <c r="D262" s="775">
        <f t="shared" si="169"/>
        <v>0</v>
      </c>
      <c r="E262" s="775">
        <f t="shared" si="160"/>
        <v>0</v>
      </c>
      <c r="F262" s="775">
        <f t="shared" si="150"/>
        <v>0</v>
      </c>
      <c r="G262" s="775">
        <f t="shared" si="170"/>
        <v>0</v>
      </c>
      <c r="H262" s="775">
        <f t="shared" si="171"/>
        <v>0</v>
      </c>
      <c r="I262" s="775">
        <f t="shared" si="151"/>
        <v>0</v>
      </c>
      <c r="K262" s="773">
        <v>250</v>
      </c>
      <c r="L262" s="774">
        <f t="shared" si="172"/>
        <v>7580</v>
      </c>
      <c r="M262" s="775">
        <f t="shared" si="173"/>
        <v>0</v>
      </c>
      <c r="N262" s="775">
        <f t="shared" si="161"/>
        <v>0</v>
      </c>
      <c r="O262" s="775">
        <f t="shared" si="153"/>
        <v>0</v>
      </c>
      <c r="P262" s="775">
        <f t="shared" si="174"/>
        <v>0</v>
      </c>
      <c r="Q262" s="775">
        <f t="shared" si="175"/>
        <v>0</v>
      </c>
      <c r="S262" s="773">
        <v>250</v>
      </c>
      <c r="T262" s="774">
        <f t="shared" si="176"/>
        <v>7580</v>
      </c>
      <c r="U262" s="775">
        <f t="shared" si="177"/>
        <v>0</v>
      </c>
      <c r="V262" s="775">
        <f t="shared" si="162"/>
        <v>0</v>
      </c>
      <c r="W262" s="775">
        <f t="shared" si="154"/>
        <v>0</v>
      </c>
      <c r="X262" s="775">
        <f t="shared" si="178"/>
        <v>0</v>
      </c>
      <c r="Y262" s="775">
        <f t="shared" si="179"/>
        <v>0</v>
      </c>
      <c r="AA262" s="773">
        <v>250</v>
      </c>
      <c r="AB262" s="774">
        <f t="shared" si="180"/>
        <v>7580</v>
      </c>
      <c r="AC262" s="775">
        <f t="shared" si="181"/>
        <v>0</v>
      </c>
      <c r="AD262" s="775">
        <f t="shared" si="163"/>
        <v>0</v>
      </c>
      <c r="AE262" s="775">
        <f t="shared" si="155"/>
        <v>0</v>
      </c>
      <c r="AF262" s="775">
        <f t="shared" si="182"/>
        <v>0</v>
      </c>
      <c r="AG262" s="775">
        <f t="shared" si="183"/>
        <v>0</v>
      </c>
      <c r="AI262" s="773">
        <v>250</v>
      </c>
      <c r="AJ262" s="774">
        <f t="shared" si="184"/>
        <v>7580</v>
      </c>
      <c r="AK262" s="775">
        <f t="shared" si="185"/>
        <v>0</v>
      </c>
      <c r="AL262" s="775">
        <f t="shared" si="164"/>
        <v>0</v>
      </c>
      <c r="AM262" s="775">
        <f t="shared" si="156"/>
        <v>0</v>
      </c>
      <c r="AN262" s="775">
        <f t="shared" si="186"/>
        <v>0</v>
      </c>
      <c r="AO262" s="775">
        <f t="shared" si="187"/>
        <v>0</v>
      </c>
      <c r="AQ262" s="773">
        <v>250</v>
      </c>
      <c r="AR262" s="774">
        <f t="shared" si="188"/>
        <v>7580</v>
      </c>
      <c r="AS262" s="775">
        <f t="shared" si="189"/>
        <v>0</v>
      </c>
      <c r="AT262" s="775">
        <f t="shared" si="165"/>
        <v>0</v>
      </c>
      <c r="AU262" s="775">
        <f t="shared" si="157"/>
        <v>0</v>
      </c>
      <c r="AV262" s="775">
        <f t="shared" si="190"/>
        <v>0</v>
      </c>
      <c r="AW262" s="775">
        <f t="shared" si="191"/>
        <v>0</v>
      </c>
      <c r="AY262" s="773">
        <v>250</v>
      </c>
      <c r="AZ262" s="774">
        <f t="shared" si="192"/>
        <v>7580</v>
      </c>
      <c r="BA262" s="775">
        <f t="shared" si="193"/>
        <v>0</v>
      </c>
      <c r="BB262" s="775">
        <f t="shared" si="166"/>
        <v>0</v>
      </c>
      <c r="BC262" s="775">
        <f t="shared" si="158"/>
        <v>0</v>
      </c>
      <c r="BD262" s="775">
        <f t="shared" si="194"/>
        <v>0</v>
      </c>
      <c r="BE262" s="775">
        <f t="shared" si="195"/>
        <v>0</v>
      </c>
      <c r="BG262" s="773">
        <v>250</v>
      </c>
      <c r="BH262" s="774">
        <f t="shared" si="196"/>
        <v>7580</v>
      </c>
      <c r="BI262" s="775">
        <f t="shared" si="197"/>
        <v>0</v>
      </c>
      <c r="BJ262" s="775">
        <f t="shared" si="167"/>
        <v>0</v>
      </c>
      <c r="BK262" s="775">
        <f t="shared" si="159"/>
        <v>0</v>
      </c>
      <c r="BL262" s="775">
        <f t="shared" si="198"/>
        <v>0</v>
      </c>
      <c r="BM262" s="775">
        <f t="shared" si="199"/>
        <v>0</v>
      </c>
    </row>
    <row r="263" spans="1:65">
      <c r="A263" s="11">
        <f t="shared" si="152"/>
        <v>1920</v>
      </c>
      <c r="B263" s="773">
        <v>251</v>
      </c>
      <c r="C263" s="774">
        <f t="shared" si="168"/>
        <v>7611</v>
      </c>
      <c r="D263" s="775">
        <f t="shared" si="169"/>
        <v>0</v>
      </c>
      <c r="E263" s="775">
        <f t="shared" si="160"/>
        <v>0</v>
      </c>
      <c r="F263" s="775">
        <f t="shared" si="150"/>
        <v>0</v>
      </c>
      <c r="G263" s="775">
        <f t="shared" si="170"/>
        <v>0</v>
      </c>
      <c r="H263" s="775">
        <f t="shared" si="171"/>
        <v>0</v>
      </c>
      <c r="I263" s="775">
        <f t="shared" si="151"/>
        <v>0</v>
      </c>
      <c r="K263" s="773">
        <v>251</v>
      </c>
      <c r="L263" s="774">
        <f t="shared" si="172"/>
        <v>7611</v>
      </c>
      <c r="M263" s="775">
        <f t="shared" si="173"/>
        <v>0</v>
      </c>
      <c r="N263" s="775">
        <f t="shared" si="161"/>
        <v>0</v>
      </c>
      <c r="O263" s="775">
        <f t="shared" si="153"/>
        <v>0</v>
      </c>
      <c r="P263" s="775">
        <f t="shared" si="174"/>
        <v>0</v>
      </c>
      <c r="Q263" s="775">
        <f t="shared" si="175"/>
        <v>0</v>
      </c>
      <c r="S263" s="773">
        <v>251</v>
      </c>
      <c r="T263" s="774">
        <f t="shared" si="176"/>
        <v>7611</v>
      </c>
      <c r="U263" s="775">
        <f t="shared" si="177"/>
        <v>0</v>
      </c>
      <c r="V263" s="775">
        <f t="shared" si="162"/>
        <v>0</v>
      </c>
      <c r="W263" s="775">
        <f t="shared" si="154"/>
        <v>0</v>
      </c>
      <c r="X263" s="775">
        <f t="shared" si="178"/>
        <v>0</v>
      </c>
      <c r="Y263" s="775">
        <f t="shared" si="179"/>
        <v>0</v>
      </c>
      <c r="AA263" s="773">
        <v>251</v>
      </c>
      <c r="AB263" s="774">
        <f t="shared" si="180"/>
        <v>7611</v>
      </c>
      <c r="AC263" s="775">
        <f t="shared" si="181"/>
        <v>0</v>
      </c>
      <c r="AD263" s="775">
        <f t="shared" si="163"/>
        <v>0</v>
      </c>
      <c r="AE263" s="775">
        <f t="shared" si="155"/>
        <v>0</v>
      </c>
      <c r="AF263" s="775">
        <f t="shared" si="182"/>
        <v>0</v>
      </c>
      <c r="AG263" s="775">
        <f t="shared" si="183"/>
        <v>0</v>
      </c>
      <c r="AI263" s="773">
        <v>251</v>
      </c>
      <c r="AJ263" s="774">
        <f t="shared" si="184"/>
        <v>7611</v>
      </c>
      <c r="AK263" s="775">
        <f t="shared" si="185"/>
        <v>0</v>
      </c>
      <c r="AL263" s="775">
        <f t="shared" si="164"/>
        <v>0</v>
      </c>
      <c r="AM263" s="775">
        <f t="shared" si="156"/>
        <v>0</v>
      </c>
      <c r="AN263" s="775">
        <f t="shared" si="186"/>
        <v>0</v>
      </c>
      <c r="AO263" s="775">
        <f t="shared" si="187"/>
        <v>0</v>
      </c>
      <c r="AQ263" s="773">
        <v>251</v>
      </c>
      <c r="AR263" s="774">
        <f t="shared" si="188"/>
        <v>7611</v>
      </c>
      <c r="AS263" s="775">
        <f t="shared" si="189"/>
        <v>0</v>
      </c>
      <c r="AT263" s="775">
        <f t="shared" si="165"/>
        <v>0</v>
      </c>
      <c r="AU263" s="775">
        <f t="shared" si="157"/>
        <v>0</v>
      </c>
      <c r="AV263" s="775">
        <f t="shared" si="190"/>
        <v>0</v>
      </c>
      <c r="AW263" s="775">
        <f t="shared" si="191"/>
        <v>0</v>
      </c>
      <c r="AY263" s="773">
        <v>251</v>
      </c>
      <c r="AZ263" s="774">
        <f t="shared" si="192"/>
        <v>7611</v>
      </c>
      <c r="BA263" s="775">
        <f t="shared" si="193"/>
        <v>0</v>
      </c>
      <c r="BB263" s="775">
        <f t="shared" si="166"/>
        <v>0</v>
      </c>
      <c r="BC263" s="775">
        <f t="shared" si="158"/>
        <v>0</v>
      </c>
      <c r="BD263" s="775">
        <f t="shared" si="194"/>
        <v>0</v>
      </c>
      <c r="BE263" s="775">
        <f t="shared" si="195"/>
        <v>0</v>
      </c>
      <c r="BG263" s="773">
        <v>251</v>
      </c>
      <c r="BH263" s="774">
        <f t="shared" si="196"/>
        <v>7611</v>
      </c>
      <c r="BI263" s="775">
        <f t="shared" si="197"/>
        <v>0</v>
      </c>
      <c r="BJ263" s="775">
        <f t="shared" si="167"/>
        <v>0</v>
      </c>
      <c r="BK263" s="775">
        <f t="shared" si="159"/>
        <v>0</v>
      </c>
      <c r="BL263" s="775">
        <f t="shared" si="198"/>
        <v>0</v>
      </c>
      <c r="BM263" s="775">
        <f t="shared" si="199"/>
        <v>0</v>
      </c>
    </row>
    <row r="264" spans="1:65">
      <c r="A264" s="11">
        <f t="shared" si="152"/>
        <v>1920</v>
      </c>
      <c r="B264" s="773">
        <v>252</v>
      </c>
      <c r="C264" s="774">
        <f t="shared" si="168"/>
        <v>7641</v>
      </c>
      <c r="D264" s="775">
        <f t="shared" si="169"/>
        <v>0</v>
      </c>
      <c r="E264" s="775">
        <f t="shared" si="160"/>
        <v>0</v>
      </c>
      <c r="F264" s="775">
        <f t="shared" si="150"/>
        <v>0</v>
      </c>
      <c r="G264" s="775">
        <f t="shared" si="170"/>
        <v>0</v>
      </c>
      <c r="H264" s="775">
        <f t="shared" si="171"/>
        <v>0</v>
      </c>
      <c r="I264" s="775">
        <f t="shared" si="151"/>
        <v>0</v>
      </c>
      <c r="K264" s="773">
        <v>252</v>
      </c>
      <c r="L264" s="774">
        <f t="shared" si="172"/>
        <v>7641</v>
      </c>
      <c r="M264" s="775">
        <f t="shared" si="173"/>
        <v>0</v>
      </c>
      <c r="N264" s="775">
        <f t="shared" si="161"/>
        <v>0</v>
      </c>
      <c r="O264" s="775">
        <f t="shared" si="153"/>
        <v>0</v>
      </c>
      <c r="P264" s="775">
        <f t="shared" si="174"/>
        <v>0</v>
      </c>
      <c r="Q264" s="775">
        <f t="shared" si="175"/>
        <v>0</v>
      </c>
      <c r="S264" s="773">
        <v>252</v>
      </c>
      <c r="T264" s="774">
        <f t="shared" si="176"/>
        <v>7641</v>
      </c>
      <c r="U264" s="775">
        <f t="shared" si="177"/>
        <v>0</v>
      </c>
      <c r="V264" s="775">
        <f t="shared" si="162"/>
        <v>0</v>
      </c>
      <c r="W264" s="775">
        <f t="shared" si="154"/>
        <v>0</v>
      </c>
      <c r="X264" s="775">
        <f t="shared" si="178"/>
        <v>0</v>
      </c>
      <c r="Y264" s="775">
        <f t="shared" si="179"/>
        <v>0</v>
      </c>
      <c r="AA264" s="773">
        <v>252</v>
      </c>
      <c r="AB264" s="774">
        <f t="shared" si="180"/>
        <v>7641</v>
      </c>
      <c r="AC264" s="775">
        <f t="shared" si="181"/>
        <v>0</v>
      </c>
      <c r="AD264" s="775">
        <f t="shared" si="163"/>
        <v>0</v>
      </c>
      <c r="AE264" s="775">
        <f t="shared" si="155"/>
        <v>0</v>
      </c>
      <c r="AF264" s="775">
        <f t="shared" si="182"/>
        <v>0</v>
      </c>
      <c r="AG264" s="775">
        <f t="shared" si="183"/>
        <v>0</v>
      </c>
      <c r="AI264" s="773">
        <v>252</v>
      </c>
      <c r="AJ264" s="774">
        <f t="shared" si="184"/>
        <v>7641</v>
      </c>
      <c r="AK264" s="775">
        <f t="shared" si="185"/>
        <v>0</v>
      </c>
      <c r="AL264" s="775">
        <f t="shared" si="164"/>
        <v>0</v>
      </c>
      <c r="AM264" s="775">
        <f t="shared" si="156"/>
        <v>0</v>
      </c>
      <c r="AN264" s="775">
        <f t="shared" si="186"/>
        <v>0</v>
      </c>
      <c r="AO264" s="775">
        <f t="shared" si="187"/>
        <v>0</v>
      </c>
      <c r="AQ264" s="773">
        <v>252</v>
      </c>
      <c r="AR264" s="774">
        <f t="shared" si="188"/>
        <v>7641</v>
      </c>
      <c r="AS264" s="775">
        <f t="shared" si="189"/>
        <v>0</v>
      </c>
      <c r="AT264" s="775">
        <f t="shared" si="165"/>
        <v>0</v>
      </c>
      <c r="AU264" s="775">
        <f t="shared" si="157"/>
        <v>0</v>
      </c>
      <c r="AV264" s="775">
        <f t="shared" si="190"/>
        <v>0</v>
      </c>
      <c r="AW264" s="775">
        <f t="shared" si="191"/>
        <v>0</v>
      </c>
      <c r="AY264" s="773">
        <v>252</v>
      </c>
      <c r="AZ264" s="774">
        <f t="shared" si="192"/>
        <v>7641</v>
      </c>
      <c r="BA264" s="775">
        <f t="shared" si="193"/>
        <v>0</v>
      </c>
      <c r="BB264" s="775">
        <f t="shared" si="166"/>
        <v>0</v>
      </c>
      <c r="BC264" s="775">
        <f t="shared" si="158"/>
        <v>0</v>
      </c>
      <c r="BD264" s="775">
        <f t="shared" si="194"/>
        <v>0</v>
      </c>
      <c r="BE264" s="775">
        <f t="shared" si="195"/>
        <v>0</v>
      </c>
      <c r="BG264" s="773">
        <v>252</v>
      </c>
      <c r="BH264" s="774">
        <f t="shared" si="196"/>
        <v>7641</v>
      </c>
      <c r="BI264" s="775">
        <f t="shared" si="197"/>
        <v>0</v>
      </c>
      <c r="BJ264" s="775">
        <f t="shared" si="167"/>
        <v>0</v>
      </c>
      <c r="BK264" s="775">
        <f t="shared" si="159"/>
        <v>0</v>
      </c>
      <c r="BL264" s="775">
        <f t="shared" si="198"/>
        <v>0</v>
      </c>
      <c r="BM264" s="775">
        <f t="shared" si="199"/>
        <v>0</v>
      </c>
    </row>
    <row r="265" spans="1:65">
      <c r="A265" s="11">
        <f t="shared" si="152"/>
        <v>1921</v>
      </c>
      <c r="B265" s="773">
        <v>253</v>
      </c>
      <c r="C265" s="774">
        <f t="shared" si="168"/>
        <v>7672</v>
      </c>
      <c r="D265" s="775">
        <f t="shared" si="169"/>
        <v>0</v>
      </c>
      <c r="E265" s="775">
        <f t="shared" si="160"/>
        <v>0</v>
      </c>
      <c r="F265" s="775">
        <f t="shared" si="150"/>
        <v>0</v>
      </c>
      <c r="G265" s="775">
        <f t="shared" si="170"/>
        <v>0</v>
      </c>
      <c r="H265" s="775">
        <f t="shared" si="171"/>
        <v>0</v>
      </c>
      <c r="I265" s="775">
        <f t="shared" si="151"/>
        <v>0</v>
      </c>
      <c r="K265" s="773">
        <v>253</v>
      </c>
      <c r="L265" s="774">
        <f t="shared" si="172"/>
        <v>7672</v>
      </c>
      <c r="M265" s="775">
        <f t="shared" si="173"/>
        <v>0</v>
      </c>
      <c r="N265" s="775">
        <f t="shared" si="161"/>
        <v>0</v>
      </c>
      <c r="O265" s="775">
        <f t="shared" si="153"/>
        <v>0</v>
      </c>
      <c r="P265" s="775">
        <f t="shared" si="174"/>
        <v>0</v>
      </c>
      <c r="Q265" s="775">
        <f t="shared" si="175"/>
        <v>0</v>
      </c>
      <c r="S265" s="773">
        <v>253</v>
      </c>
      <c r="T265" s="774">
        <f t="shared" si="176"/>
        <v>7672</v>
      </c>
      <c r="U265" s="775">
        <f t="shared" si="177"/>
        <v>0</v>
      </c>
      <c r="V265" s="775">
        <f t="shared" si="162"/>
        <v>0</v>
      </c>
      <c r="W265" s="775">
        <f t="shared" si="154"/>
        <v>0</v>
      </c>
      <c r="X265" s="775">
        <f t="shared" si="178"/>
        <v>0</v>
      </c>
      <c r="Y265" s="775">
        <f t="shared" si="179"/>
        <v>0</v>
      </c>
      <c r="AA265" s="773">
        <v>253</v>
      </c>
      <c r="AB265" s="774">
        <f t="shared" si="180"/>
        <v>7672</v>
      </c>
      <c r="AC265" s="775">
        <f t="shared" si="181"/>
        <v>0</v>
      </c>
      <c r="AD265" s="775">
        <f t="shared" si="163"/>
        <v>0</v>
      </c>
      <c r="AE265" s="775">
        <f t="shared" si="155"/>
        <v>0</v>
      </c>
      <c r="AF265" s="775">
        <f t="shared" si="182"/>
        <v>0</v>
      </c>
      <c r="AG265" s="775">
        <f t="shared" si="183"/>
        <v>0</v>
      </c>
      <c r="AI265" s="773">
        <v>253</v>
      </c>
      <c r="AJ265" s="774">
        <f t="shared" si="184"/>
        <v>7672</v>
      </c>
      <c r="AK265" s="775">
        <f t="shared" si="185"/>
        <v>0</v>
      </c>
      <c r="AL265" s="775">
        <f t="shared" si="164"/>
        <v>0</v>
      </c>
      <c r="AM265" s="775">
        <f t="shared" si="156"/>
        <v>0</v>
      </c>
      <c r="AN265" s="775">
        <f t="shared" si="186"/>
        <v>0</v>
      </c>
      <c r="AO265" s="775">
        <f t="shared" si="187"/>
        <v>0</v>
      </c>
      <c r="AQ265" s="773">
        <v>253</v>
      </c>
      <c r="AR265" s="774">
        <f t="shared" si="188"/>
        <v>7672</v>
      </c>
      <c r="AS265" s="775">
        <f t="shared" si="189"/>
        <v>0</v>
      </c>
      <c r="AT265" s="775">
        <f t="shared" si="165"/>
        <v>0</v>
      </c>
      <c r="AU265" s="775">
        <f t="shared" si="157"/>
        <v>0</v>
      </c>
      <c r="AV265" s="775">
        <f t="shared" si="190"/>
        <v>0</v>
      </c>
      <c r="AW265" s="775">
        <f t="shared" si="191"/>
        <v>0</v>
      </c>
      <c r="AY265" s="773">
        <v>253</v>
      </c>
      <c r="AZ265" s="774">
        <f t="shared" si="192"/>
        <v>7672</v>
      </c>
      <c r="BA265" s="775">
        <f t="shared" si="193"/>
        <v>0</v>
      </c>
      <c r="BB265" s="775">
        <f t="shared" si="166"/>
        <v>0</v>
      </c>
      <c r="BC265" s="775">
        <f t="shared" si="158"/>
        <v>0</v>
      </c>
      <c r="BD265" s="775">
        <f t="shared" si="194"/>
        <v>0</v>
      </c>
      <c r="BE265" s="775">
        <f t="shared" si="195"/>
        <v>0</v>
      </c>
      <c r="BG265" s="773">
        <v>253</v>
      </c>
      <c r="BH265" s="774">
        <f t="shared" si="196"/>
        <v>7672</v>
      </c>
      <c r="BI265" s="775">
        <f t="shared" si="197"/>
        <v>0</v>
      </c>
      <c r="BJ265" s="775">
        <f t="shared" si="167"/>
        <v>0</v>
      </c>
      <c r="BK265" s="775">
        <f t="shared" si="159"/>
        <v>0</v>
      </c>
      <c r="BL265" s="775">
        <f t="shared" si="198"/>
        <v>0</v>
      </c>
      <c r="BM265" s="775">
        <f t="shared" si="199"/>
        <v>0</v>
      </c>
    </row>
    <row r="266" spans="1:65">
      <c r="A266" s="11">
        <f t="shared" si="152"/>
        <v>1921</v>
      </c>
      <c r="B266" s="773">
        <v>254</v>
      </c>
      <c r="C266" s="774">
        <f t="shared" si="168"/>
        <v>7703</v>
      </c>
      <c r="D266" s="775">
        <f t="shared" si="169"/>
        <v>0</v>
      </c>
      <c r="E266" s="775">
        <f t="shared" si="160"/>
        <v>0</v>
      </c>
      <c r="F266" s="775">
        <f t="shared" si="150"/>
        <v>0</v>
      </c>
      <c r="G266" s="775">
        <f t="shared" si="170"/>
        <v>0</v>
      </c>
      <c r="H266" s="775">
        <f t="shared" si="171"/>
        <v>0</v>
      </c>
      <c r="I266" s="775">
        <f t="shared" si="151"/>
        <v>0</v>
      </c>
      <c r="K266" s="773">
        <v>254</v>
      </c>
      <c r="L266" s="774">
        <f t="shared" si="172"/>
        <v>7703</v>
      </c>
      <c r="M266" s="775">
        <f t="shared" si="173"/>
        <v>0</v>
      </c>
      <c r="N266" s="775">
        <f t="shared" si="161"/>
        <v>0</v>
      </c>
      <c r="O266" s="775">
        <f t="shared" si="153"/>
        <v>0</v>
      </c>
      <c r="P266" s="775">
        <f t="shared" si="174"/>
        <v>0</v>
      </c>
      <c r="Q266" s="775">
        <f t="shared" si="175"/>
        <v>0</v>
      </c>
      <c r="S266" s="773">
        <v>254</v>
      </c>
      <c r="T266" s="774">
        <f t="shared" si="176"/>
        <v>7703</v>
      </c>
      <c r="U266" s="775">
        <f t="shared" si="177"/>
        <v>0</v>
      </c>
      <c r="V266" s="775">
        <f t="shared" si="162"/>
        <v>0</v>
      </c>
      <c r="W266" s="775">
        <f t="shared" si="154"/>
        <v>0</v>
      </c>
      <c r="X266" s="775">
        <f t="shared" si="178"/>
        <v>0</v>
      </c>
      <c r="Y266" s="775">
        <f t="shared" si="179"/>
        <v>0</v>
      </c>
      <c r="AA266" s="773">
        <v>254</v>
      </c>
      <c r="AB266" s="774">
        <f t="shared" si="180"/>
        <v>7703</v>
      </c>
      <c r="AC266" s="775">
        <f t="shared" si="181"/>
        <v>0</v>
      </c>
      <c r="AD266" s="775">
        <f t="shared" si="163"/>
        <v>0</v>
      </c>
      <c r="AE266" s="775">
        <f t="shared" si="155"/>
        <v>0</v>
      </c>
      <c r="AF266" s="775">
        <f t="shared" si="182"/>
        <v>0</v>
      </c>
      <c r="AG266" s="775">
        <f t="shared" si="183"/>
        <v>0</v>
      </c>
      <c r="AI266" s="773">
        <v>254</v>
      </c>
      <c r="AJ266" s="774">
        <f t="shared" si="184"/>
        <v>7703</v>
      </c>
      <c r="AK266" s="775">
        <f t="shared" si="185"/>
        <v>0</v>
      </c>
      <c r="AL266" s="775">
        <f t="shared" si="164"/>
        <v>0</v>
      </c>
      <c r="AM266" s="775">
        <f t="shared" si="156"/>
        <v>0</v>
      </c>
      <c r="AN266" s="775">
        <f t="shared" si="186"/>
        <v>0</v>
      </c>
      <c r="AO266" s="775">
        <f t="shared" si="187"/>
        <v>0</v>
      </c>
      <c r="AQ266" s="773">
        <v>254</v>
      </c>
      <c r="AR266" s="774">
        <f t="shared" si="188"/>
        <v>7703</v>
      </c>
      <c r="AS266" s="775">
        <f t="shared" si="189"/>
        <v>0</v>
      </c>
      <c r="AT266" s="775">
        <f t="shared" si="165"/>
        <v>0</v>
      </c>
      <c r="AU266" s="775">
        <f t="shared" si="157"/>
        <v>0</v>
      </c>
      <c r="AV266" s="775">
        <f t="shared" si="190"/>
        <v>0</v>
      </c>
      <c r="AW266" s="775">
        <f t="shared" si="191"/>
        <v>0</v>
      </c>
      <c r="AY266" s="773">
        <v>254</v>
      </c>
      <c r="AZ266" s="774">
        <f t="shared" si="192"/>
        <v>7703</v>
      </c>
      <c r="BA266" s="775">
        <f t="shared" si="193"/>
        <v>0</v>
      </c>
      <c r="BB266" s="775">
        <f t="shared" si="166"/>
        <v>0</v>
      </c>
      <c r="BC266" s="775">
        <f t="shared" si="158"/>
        <v>0</v>
      </c>
      <c r="BD266" s="775">
        <f t="shared" si="194"/>
        <v>0</v>
      </c>
      <c r="BE266" s="775">
        <f t="shared" si="195"/>
        <v>0</v>
      </c>
      <c r="BG266" s="773">
        <v>254</v>
      </c>
      <c r="BH266" s="774">
        <f t="shared" si="196"/>
        <v>7703</v>
      </c>
      <c r="BI266" s="775">
        <f t="shared" si="197"/>
        <v>0</v>
      </c>
      <c r="BJ266" s="775">
        <f t="shared" si="167"/>
        <v>0</v>
      </c>
      <c r="BK266" s="775">
        <f t="shared" si="159"/>
        <v>0</v>
      </c>
      <c r="BL266" s="775">
        <f t="shared" si="198"/>
        <v>0</v>
      </c>
      <c r="BM266" s="775">
        <f t="shared" si="199"/>
        <v>0</v>
      </c>
    </row>
    <row r="267" spans="1:65">
      <c r="A267" s="11">
        <f t="shared" si="152"/>
        <v>1921</v>
      </c>
      <c r="B267" s="773">
        <v>255</v>
      </c>
      <c r="C267" s="774">
        <f t="shared" si="168"/>
        <v>7731</v>
      </c>
      <c r="D267" s="775">
        <f t="shared" si="169"/>
        <v>0</v>
      </c>
      <c r="E267" s="775">
        <f t="shared" si="160"/>
        <v>0</v>
      </c>
      <c r="F267" s="775">
        <f t="shared" si="150"/>
        <v>0</v>
      </c>
      <c r="G267" s="775">
        <f t="shared" si="170"/>
        <v>0</v>
      </c>
      <c r="H267" s="775">
        <f t="shared" si="171"/>
        <v>0</v>
      </c>
      <c r="I267" s="775">
        <f t="shared" si="151"/>
        <v>0</v>
      </c>
      <c r="K267" s="773">
        <v>255</v>
      </c>
      <c r="L267" s="774">
        <f t="shared" si="172"/>
        <v>7731</v>
      </c>
      <c r="M267" s="775">
        <f t="shared" si="173"/>
        <v>0</v>
      </c>
      <c r="N267" s="775">
        <f t="shared" si="161"/>
        <v>0</v>
      </c>
      <c r="O267" s="775">
        <f t="shared" si="153"/>
        <v>0</v>
      </c>
      <c r="P267" s="775">
        <f t="shared" si="174"/>
        <v>0</v>
      </c>
      <c r="Q267" s="775">
        <f t="shared" si="175"/>
        <v>0</v>
      </c>
      <c r="S267" s="773">
        <v>255</v>
      </c>
      <c r="T267" s="774">
        <f t="shared" si="176"/>
        <v>7731</v>
      </c>
      <c r="U267" s="775">
        <f t="shared" si="177"/>
        <v>0</v>
      </c>
      <c r="V267" s="775">
        <f t="shared" si="162"/>
        <v>0</v>
      </c>
      <c r="W267" s="775">
        <f t="shared" si="154"/>
        <v>0</v>
      </c>
      <c r="X267" s="775">
        <f t="shared" si="178"/>
        <v>0</v>
      </c>
      <c r="Y267" s="775">
        <f t="shared" si="179"/>
        <v>0</v>
      </c>
      <c r="AA267" s="773">
        <v>255</v>
      </c>
      <c r="AB267" s="774">
        <f t="shared" si="180"/>
        <v>7731</v>
      </c>
      <c r="AC267" s="775">
        <f t="shared" si="181"/>
        <v>0</v>
      </c>
      <c r="AD267" s="775">
        <f t="shared" si="163"/>
        <v>0</v>
      </c>
      <c r="AE267" s="775">
        <f t="shared" si="155"/>
        <v>0</v>
      </c>
      <c r="AF267" s="775">
        <f t="shared" si="182"/>
        <v>0</v>
      </c>
      <c r="AG267" s="775">
        <f t="shared" si="183"/>
        <v>0</v>
      </c>
      <c r="AI267" s="773">
        <v>255</v>
      </c>
      <c r="AJ267" s="774">
        <f t="shared" si="184"/>
        <v>7731</v>
      </c>
      <c r="AK267" s="775">
        <f t="shared" si="185"/>
        <v>0</v>
      </c>
      <c r="AL267" s="775">
        <f t="shared" si="164"/>
        <v>0</v>
      </c>
      <c r="AM267" s="775">
        <f t="shared" si="156"/>
        <v>0</v>
      </c>
      <c r="AN267" s="775">
        <f t="shared" si="186"/>
        <v>0</v>
      </c>
      <c r="AO267" s="775">
        <f t="shared" si="187"/>
        <v>0</v>
      </c>
      <c r="AQ267" s="773">
        <v>255</v>
      </c>
      <c r="AR267" s="774">
        <f t="shared" si="188"/>
        <v>7731</v>
      </c>
      <c r="AS267" s="775">
        <f t="shared" si="189"/>
        <v>0</v>
      </c>
      <c r="AT267" s="775">
        <f t="shared" si="165"/>
        <v>0</v>
      </c>
      <c r="AU267" s="775">
        <f t="shared" si="157"/>
        <v>0</v>
      </c>
      <c r="AV267" s="775">
        <f t="shared" si="190"/>
        <v>0</v>
      </c>
      <c r="AW267" s="775">
        <f t="shared" si="191"/>
        <v>0</v>
      </c>
      <c r="AY267" s="773">
        <v>255</v>
      </c>
      <c r="AZ267" s="774">
        <f t="shared" si="192"/>
        <v>7731</v>
      </c>
      <c r="BA267" s="775">
        <f t="shared" si="193"/>
        <v>0</v>
      </c>
      <c r="BB267" s="775">
        <f t="shared" si="166"/>
        <v>0</v>
      </c>
      <c r="BC267" s="775">
        <f t="shared" si="158"/>
        <v>0</v>
      </c>
      <c r="BD267" s="775">
        <f t="shared" si="194"/>
        <v>0</v>
      </c>
      <c r="BE267" s="775">
        <f t="shared" si="195"/>
        <v>0</v>
      </c>
      <c r="BG267" s="773">
        <v>255</v>
      </c>
      <c r="BH267" s="774">
        <f t="shared" si="196"/>
        <v>7731</v>
      </c>
      <c r="BI267" s="775">
        <f t="shared" si="197"/>
        <v>0</v>
      </c>
      <c r="BJ267" s="775">
        <f t="shared" si="167"/>
        <v>0</v>
      </c>
      <c r="BK267" s="775">
        <f t="shared" si="159"/>
        <v>0</v>
      </c>
      <c r="BL267" s="775">
        <f t="shared" si="198"/>
        <v>0</v>
      </c>
      <c r="BM267" s="775">
        <f t="shared" si="199"/>
        <v>0</v>
      </c>
    </row>
    <row r="268" spans="1:65">
      <c r="A268" s="11">
        <f t="shared" si="152"/>
        <v>1921</v>
      </c>
      <c r="B268" s="773">
        <v>256</v>
      </c>
      <c r="C268" s="774">
        <f t="shared" si="168"/>
        <v>7762</v>
      </c>
      <c r="D268" s="775">
        <f t="shared" si="169"/>
        <v>0</v>
      </c>
      <c r="E268" s="775">
        <f t="shared" si="160"/>
        <v>0</v>
      </c>
      <c r="F268" s="775">
        <f t="shared" si="150"/>
        <v>0</v>
      </c>
      <c r="G268" s="775">
        <f t="shared" si="170"/>
        <v>0</v>
      </c>
      <c r="H268" s="775">
        <f t="shared" si="171"/>
        <v>0</v>
      </c>
      <c r="I268" s="775">
        <f t="shared" si="151"/>
        <v>0</v>
      </c>
      <c r="K268" s="773">
        <v>256</v>
      </c>
      <c r="L268" s="774">
        <f t="shared" si="172"/>
        <v>7762</v>
      </c>
      <c r="M268" s="775">
        <f t="shared" si="173"/>
        <v>0</v>
      </c>
      <c r="N268" s="775">
        <f t="shared" si="161"/>
        <v>0</v>
      </c>
      <c r="O268" s="775">
        <f t="shared" si="153"/>
        <v>0</v>
      </c>
      <c r="P268" s="775">
        <f t="shared" si="174"/>
        <v>0</v>
      </c>
      <c r="Q268" s="775">
        <f t="shared" si="175"/>
        <v>0</v>
      </c>
      <c r="S268" s="773">
        <v>256</v>
      </c>
      <c r="T268" s="774">
        <f t="shared" si="176"/>
        <v>7762</v>
      </c>
      <c r="U268" s="775">
        <f t="shared" si="177"/>
        <v>0</v>
      </c>
      <c r="V268" s="775">
        <f t="shared" si="162"/>
        <v>0</v>
      </c>
      <c r="W268" s="775">
        <f t="shared" si="154"/>
        <v>0</v>
      </c>
      <c r="X268" s="775">
        <f t="shared" si="178"/>
        <v>0</v>
      </c>
      <c r="Y268" s="775">
        <f t="shared" si="179"/>
        <v>0</v>
      </c>
      <c r="AA268" s="773">
        <v>256</v>
      </c>
      <c r="AB268" s="774">
        <f t="shared" si="180"/>
        <v>7762</v>
      </c>
      <c r="AC268" s="775">
        <f t="shared" si="181"/>
        <v>0</v>
      </c>
      <c r="AD268" s="775">
        <f t="shared" si="163"/>
        <v>0</v>
      </c>
      <c r="AE268" s="775">
        <f t="shared" si="155"/>
        <v>0</v>
      </c>
      <c r="AF268" s="775">
        <f t="shared" si="182"/>
        <v>0</v>
      </c>
      <c r="AG268" s="775">
        <f t="shared" si="183"/>
        <v>0</v>
      </c>
      <c r="AI268" s="773">
        <v>256</v>
      </c>
      <c r="AJ268" s="774">
        <f t="shared" si="184"/>
        <v>7762</v>
      </c>
      <c r="AK268" s="775">
        <f t="shared" si="185"/>
        <v>0</v>
      </c>
      <c r="AL268" s="775">
        <f t="shared" si="164"/>
        <v>0</v>
      </c>
      <c r="AM268" s="775">
        <f t="shared" si="156"/>
        <v>0</v>
      </c>
      <c r="AN268" s="775">
        <f t="shared" si="186"/>
        <v>0</v>
      </c>
      <c r="AO268" s="775">
        <f t="shared" si="187"/>
        <v>0</v>
      </c>
      <c r="AQ268" s="773">
        <v>256</v>
      </c>
      <c r="AR268" s="774">
        <f t="shared" si="188"/>
        <v>7762</v>
      </c>
      <c r="AS268" s="775">
        <f t="shared" si="189"/>
        <v>0</v>
      </c>
      <c r="AT268" s="775">
        <f t="shared" si="165"/>
        <v>0</v>
      </c>
      <c r="AU268" s="775">
        <f t="shared" si="157"/>
        <v>0</v>
      </c>
      <c r="AV268" s="775">
        <f t="shared" si="190"/>
        <v>0</v>
      </c>
      <c r="AW268" s="775">
        <f t="shared" si="191"/>
        <v>0</v>
      </c>
      <c r="AY268" s="773">
        <v>256</v>
      </c>
      <c r="AZ268" s="774">
        <f t="shared" si="192"/>
        <v>7762</v>
      </c>
      <c r="BA268" s="775">
        <f t="shared" si="193"/>
        <v>0</v>
      </c>
      <c r="BB268" s="775">
        <f t="shared" si="166"/>
        <v>0</v>
      </c>
      <c r="BC268" s="775">
        <f t="shared" si="158"/>
        <v>0</v>
      </c>
      <c r="BD268" s="775">
        <f t="shared" si="194"/>
        <v>0</v>
      </c>
      <c r="BE268" s="775">
        <f t="shared" si="195"/>
        <v>0</v>
      </c>
      <c r="BG268" s="773">
        <v>256</v>
      </c>
      <c r="BH268" s="774">
        <f t="shared" si="196"/>
        <v>7762</v>
      </c>
      <c r="BI268" s="775">
        <f t="shared" si="197"/>
        <v>0</v>
      </c>
      <c r="BJ268" s="775">
        <f t="shared" si="167"/>
        <v>0</v>
      </c>
      <c r="BK268" s="775">
        <f t="shared" si="159"/>
        <v>0</v>
      </c>
      <c r="BL268" s="775">
        <f t="shared" si="198"/>
        <v>0</v>
      </c>
      <c r="BM268" s="775">
        <f t="shared" si="199"/>
        <v>0</v>
      </c>
    </row>
    <row r="269" spans="1:65">
      <c r="A269" s="11">
        <f t="shared" si="152"/>
        <v>1921</v>
      </c>
      <c r="B269" s="773">
        <v>257</v>
      </c>
      <c r="C269" s="774">
        <f t="shared" si="168"/>
        <v>7792</v>
      </c>
      <c r="D269" s="775">
        <f t="shared" si="169"/>
        <v>0</v>
      </c>
      <c r="E269" s="775">
        <f t="shared" si="160"/>
        <v>0</v>
      </c>
      <c r="F269" s="775">
        <f t="shared" ref="F269:F332" si="200">D269*$E$7/12</f>
        <v>0</v>
      </c>
      <c r="G269" s="775">
        <f t="shared" si="170"/>
        <v>0</v>
      </c>
      <c r="H269" s="775">
        <f t="shared" si="171"/>
        <v>0</v>
      </c>
      <c r="I269" s="775">
        <f t="shared" ref="I269:I332" si="201">D269*rng01_MortgageInsurangePremium/12</f>
        <v>0</v>
      </c>
      <c r="K269" s="773">
        <v>257</v>
      </c>
      <c r="L269" s="774">
        <f t="shared" si="172"/>
        <v>7792</v>
      </c>
      <c r="M269" s="775">
        <f t="shared" si="173"/>
        <v>0</v>
      </c>
      <c r="N269" s="775">
        <f t="shared" si="161"/>
        <v>0</v>
      </c>
      <c r="O269" s="775">
        <f t="shared" si="153"/>
        <v>0</v>
      </c>
      <c r="P269" s="775">
        <f t="shared" si="174"/>
        <v>0</v>
      </c>
      <c r="Q269" s="775">
        <f t="shared" si="175"/>
        <v>0</v>
      </c>
      <c r="S269" s="773">
        <v>257</v>
      </c>
      <c r="T269" s="774">
        <f t="shared" si="176"/>
        <v>7792</v>
      </c>
      <c r="U269" s="775">
        <f t="shared" si="177"/>
        <v>0</v>
      </c>
      <c r="V269" s="775">
        <f t="shared" si="162"/>
        <v>0</v>
      </c>
      <c r="W269" s="775">
        <f t="shared" si="154"/>
        <v>0</v>
      </c>
      <c r="X269" s="775">
        <f t="shared" si="178"/>
        <v>0</v>
      </c>
      <c r="Y269" s="775">
        <f t="shared" si="179"/>
        <v>0</v>
      </c>
      <c r="AA269" s="773">
        <v>257</v>
      </c>
      <c r="AB269" s="774">
        <f t="shared" si="180"/>
        <v>7792</v>
      </c>
      <c r="AC269" s="775">
        <f t="shared" si="181"/>
        <v>0</v>
      </c>
      <c r="AD269" s="775">
        <f t="shared" si="163"/>
        <v>0</v>
      </c>
      <c r="AE269" s="775">
        <f t="shared" si="155"/>
        <v>0</v>
      </c>
      <c r="AF269" s="775">
        <f t="shared" si="182"/>
        <v>0</v>
      </c>
      <c r="AG269" s="775">
        <f t="shared" si="183"/>
        <v>0</v>
      </c>
      <c r="AI269" s="773">
        <v>257</v>
      </c>
      <c r="AJ269" s="774">
        <f t="shared" si="184"/>
        <v>7792</v>
      </c>
      <c r="AK269" s="775">
        <f t="shared" si="185"/>
        <v>0</v>
      </c>
      <c r="AL269" s="775">
        <f t="shared" si="164"/>
        <v>0</v>
      </c>
      <c r="AM269" s="775">
        <f t="shared" si="156"/>
        <v>0</v>
      </c>
      <c r="AN269" s="775">
        <f t="shared" si="186"/>
        <v>0</v>
      </c>
      <c r="AO269" s="775">
        <f t="shared" si="187"/>
        <v>0</v>
      </c>
      <c r="AQ269" s="773">
        <v>257</v>
      </c>
      <c r="AR269" s="774">
        <f t="shared" si="188"/>
        <v>7792</v>
      </c>
      <c r="AS269" s="775">
        <f t="shared" si="189"/>
        <v>0</v>
      </c>
      <c r="AT269" s="775">
        <f t="shared" si="165"/>
        <v>0</v>
      </c>
      <c r="AU269" s="775">
        <f t="shared" si="157"/>
        <v>0</v>
      </c>
      <c r="AV269" s="775">
        <f t="shared" si="190"/>
        <v>0</v>
      </c>
      <c r="AW269" s="775">
        <f t="shared" si="191"/>
        <v>0</v>
      </c>
      <c r="AY269" s="773">
        <v>257</v>
      </c>
      <c r="AZ269" s="774">
        <f t="shared" si="192"/>
        <v>7792</v>
      </c>
      <c r="BA269" s="775">
        <f t="shared" si="193"/>
        <v>0</v>
      </c>
      <c r="BB269" s="775">
        <f t="shared" si="166"/>
        <v>0</v>
      </c>
      <c r="BC269" s="775">
        <f t="shared" si="158"/>
        <v>0</v>
      </c>
      <c r="BD269" s="775">
        <f t="shared" si="194"/>
        <v>0</v>
      </c>
      <c r="BE269" s="775">
        <f t="shared" si="195"/>
        <v>0</v>
      </c>
      <c r="BG269" s="773">
        <v>257</v>
      </c>
      <c r="BH269" s="774">
        <f t="shared" si="196"/>
        <v>7792</v>
      </c>
      <c r="BI269" s="775">
        <f t="shared" si="197"/>
        <v>0</v>
      </c>
      <c r="BJ269" s="775">
        <f t="shared" si="167"/>
        <v>0</v>
      </c>
      <c r="BK269" s="775">
        <f t="shared" si="159"/>
        <v>0</v>
      </c>
      <c r="BL269" s="775">
        <f t="shared" si="198"/>
        <v>0</v>
      </c>
      <c r="BM269" s="775">
        <f t="shared" si="199"/>
        <v>0</v>
      </c>
    </row>
    <row r="270" spans="1:65">
      <c r="A270" s="11">
        <f t="shared" ref="A270:A333" si="202">YEAR(C270)</f>
        <v>1921</v>
      </c>
      <c r="B270" s="773">
        <v>258</v>
      </c>
      <c r="C270" s="774">
        <f t="shared" si="168"/>
        <v>7823</v>
      </c>
      <c r="D270" s="775">
        <f t="shared" si="169"/>
        <v>0</v>
      </c>
      <c r="E270" s="775">
        <f t="shared" si="160"/>
        <v>0</v>
      </c>
      <c r="F270" s="775">
        <f t="shared" si="200"/>
        <v>0</v>
      </c>
      <c r="G270" s="775">
        <f t="shared" si="170"/>
        <v>0</v>
      </c>
      <c r="H270" s="775">
        <f t="shared" si="171"/>
        <v>0</v>
      </c>
      <c r="I270" s="775">
        <f t="shared" si="201"/>
        <v>0</v>
      </c>
      <c r="K270" s="773">
        <v>258</v>
      </c>
      <c r="L270" s="774">
        <f t="shared" si="172"/>
        <v>7823</v>
      </c>
      <c r="M270" s="775">
        <f t="shared" si="173"/>
        <v>0</v>
      </c>
      <c r="N270" s="775">
        <f t="shared" si="161"/>
        <v>0</v>
      </c>
      <c r="O270" s="775">
        <f t="shared" ref="O270:O333" si="203">M270*$N$7/12</f>
        <v>0</v>
      </c>
      <c r="P270" s="775">
        <f t="shared" si="174"/>
        <v>0</v>
      </c>
      <c r="Q270" s="775">
        <f t="shared" si="175"/>
        <v>0</v>
      </c>
      <c r="S270" s="773">
        <v>258</v>
      </c>
      <c r="T270" s="774">
        <f t="shared" si="176"/>
        <v>7823</v>
      </c>
      <c r="U270" s="775">
        <f t="shared" si="177"/>
        <v>0</v>
      </c>
      <c r="V270" s="775">
        <f t="shared" si="162"/>
        <v>0</v>
      </c>
      <c r="W270" s="775">
        <f t="shared" ref="W270:W333" si="204">U270*V$7/12</f>
        <v>0</v>
      </c>
      <c r="X270" s="775">
        <f t="shared" si="178"/>
        <v>0</v>
      </c>
      <c r="Y270" s="775">
        <f t="shared" si="179"/>
        <v>0</v>
      </c>
      <c r="AA270" s="773">
        <v>258</v>
      </c>
      <c r="AB270" s="774">
        <f t="shared" si="180"/>
        <v>7823</v>
      </c>
      <c r="AC270" s="775">
        <f t="shared" si="181"/>
        <v>0</v>
      </c>
      <c r="AD270" s="775">
        <f t="shared" si="163"/>
        <v>0</v>
      </c>
      <c r="AE270" s="775">
        <f t="shared" ref="AE270:AE333" si="205">AC270*AD$7/12</f>
        <v>0</v>
      </c>
      <c r="AF270" s="775">
        <f t="shared" si="182"/>
        <v>0</v>
      </c>
      <c r="AG270" s="775">
        <f t="shared" si="183"/>
        <v>0</v>
      </c>
      <c r="AI270" s="773">
        <v>258</v>
      </c>
      <c r="AJ270" s="774">
        <f t="shared" si="184"/>
        <v>7823</v>
      </c>
      <c r="AK270" s="775">
        <f t="shared" si="185"/>
        <v>0</v>
      </c>
      <c r="AL270" s="775">
        <f t="shared" si="164"/>
        <v>0</v>
      </c>
      <c r="AM270" s="775">
        <f t="shared" ref="AM270:AM333" si="206">AK270*AL$7/12</f>
        <v>0</v>
      </c>
      <c r="AN270" s="775">
        <f t="shared" si="186"/>
        <v>0</v>
      </c>
      <c r="AO270" s="775">
        <f t="shared" si="187"/>
        <v>0</v>
      </c>
      <c r="AQ270" s="773">
        <v>258</v>
      </c>
      <c r="AR270" s="774">
        <f t="shared" si="188"/>
        <v>7823</v>
      </c>
      <c r="AS270" s="775">
        <f t="shared" si="189"/>
        <v>0</v>
      </c>
      <c r="AT270" s="775">
        <f t="shared" si="165"/>
        <v>0</v>
      </c>
      <c r="AU270" s="775">
        <f t="shared" ref="AU270:AU333" si="207">AS270*AT$7/12</f>
        <v>0</v>
      </c>
      <c r="AV270" s="775">
        <f t="shared" si="190"/>
        <v>0</v>
      </c>
      <c r="AW270" s="775">
        <f t="shared" si="191"/>
        <v>0</v>
      </c>
      <c r="AY270" s="773">
        <v>258</v>
      </c>
      <c r="AZ270" s="774">
        <f t="shared" si="192"/>
        <v>7823</v>
      </c>
      <c r="BA270" s="775">
        <f t="shared" si="193"/>
        <v>0</v>
      </c>
      <c r="BB270" s="775">
        <f t="shared" si="166"/>
        <v>0</v>
      </c>
      <c r="BC270" s="775">
        <f t="shared" ref="BC270:BC333" si="208">BA270*BB$7/12</f>
        <v>0</v>
      </c>
      <c r="BD270" s="775">
        <f t="shared" si="194"/>
        <v>0</v>
      </c>
      <c r="BE270" s="775">
        <f t="shared" si="195"/>
        <v>0</v>
      </c>
      <c r="BG270" s="773">
        <v>258</v>
      </c>
      <c r="BH270" s="774">
        <f t="shared" si="196"/>
        <v>7823</v>
      </c>
      <c r="BI270" s="775">
        <f t="shared" si="197"/>
        <v>0</v>
      </c>
      <c r="BJ270" s="775">
        <f t="shared" si="167"/>
        <v>0</v>
      </c>
      <c r="BK270" s="775">
        <f t="shared" ref="BK270:BK333" si="209">BI270*BJ$7/12</f>
        <v>0</v>
      </c>
      <c r="BL270" s="775">
        <f t="shared" si="198"/>
        <v>0</v>
      </c>
      <c r="BM270" s="775">
        <f t="shared" si="199"/>
        <v>0</v>
      </c>
    </row>
    <row r="271" spans="1:65">
      <c r="A271" s="11">
        <f t="shared" si="202"/>
        <v>1921</v>
      </c>
      <c r="B271" s="773">
        <v>259</v>
      </c>
      <c r="C271" s="774">
        <f t="shared" si="168"/>
        <v>7853</v>
      </c>
      <c r="D271" s="775">
        <f t="shared" si="169"/>
        <v>0</v>
      </c>
      <c r="E271" s="775">
        <f t="shared" ref="E271:E334" si="210">IF(ROUND(D271,0)&gt;0,E270,0)</f>
        <v>0</v>
      </c>
      <c r="F271" s="775">
        <f t="shared" si="200"/>
        <v>0</v>
      </c>
      <c r="G271" s="775">
        <f t="shared" si="170"/>
        <v>0</v>
      </c>
      <c r="H271" s="775">
        <f t="shared" si="171"/>
        <v>0</v>
      </c>
      <c r="I271" s="775">
        <f t="shared" si="201"/>
        <v>0</v>
      </c>
      <c r="K271" s="773">
        <v>259</v>
      </c>
      <c r="L271" s="774">
        <f t="shared" si="172"/>
        <v>7853</v>
      </c>
      <c r="M271" s="775">
        <f t="shared" si="173"/>
        <v>0</v>
      </c>
      <c r="N271" s="775">
        <f t="shared" ref="N271:N334" si="211">IF(ROUND(M271,0)&gt;0,N270,0)</f>
        <v>0</v>
      </c>
      <c r="O271" s="775">
        <f t="shared" si="203"/>
        <v>0</v>
      </c>
      <c r="P271" s="775">
        <f t="shared" si="174"/>
        <v>0</v>
      </c>
      <c r="Q271" s="775">
        <f t="shared" si="175"/>
        <v>0</v>
      </c>
      <c r="S271" s="773">
        <v>259</v>
      </c>
      <c r="T271" s="774">
        <f t="shared" si="176"/>
        <v>7853</v>
      </c>
      <c r="U271" s="775">
        <f t="shared" si="177"/>
        <v>0</v>
      </c>
      <c r="V271" s="775">
        <f t="shared" ref="V271:V334" si="212">IF(ROUND(U271,0)&gt;0,V270,0)</f>
        <v>0</v>
      </c>
      <c r="W271" s="775">
        <f t="shared" si="204"/>
        <v>0</v>
      </c>
      <c r="X271" s="775">
        <f t="shared" si="178"/>
        <v>0</v>
      </c>
      <c r="Y271" s="775">
        <f t="shared" si="179"/>
        <v>0</v>
      </c>
      <c r="AA271" s="773">
        <v>259</v>
      </c>
      <c r="AB271" s="774">
        <f t="shared" si="180"/>
        <v>7853</v>
      </c>
      <c r="AC271" s="775">
        <f t="shared" si="181"/>
        <v>0</v>
      </c>
      <c r="AD271" s="775">
        <f t="shared" ref="AD271:AD334" si="213">IF(ROUND(AC271,0)&gt;0,AD270,0)</f>
        <v>0</v>
      </c>
      <c r="AE271" s="775">
        <f t="shared" si="205"/>
        <v>0</v>
      </c>
      <c r="AF271" s="775">
        <f t="shared" si="182"/>
        <v>0</v>
      </c>
      <c r="AG271" s="775">
        <f t="shared" si="183"/>
        <v>0</v>
      </c>
      <c r="AI271" s="773">
        <v>259</v>
      </c>
      <c r="AJ271" s="774">
        <f t="shared" si="184"/>
        <v>7853</v>
      </c>
      <c r="AK271" s="775">
        <f t="shared" si="185"/>
        <v>0</v>
      </c>
      <c r="AL271" s="775">
        <f t="shared" ref="AL271:AL334" si="214">IF(ROUND(AK271,0)&gt;0,AL270,0)</f>
        <v>0</v>
      </c>
      <c r="AM271" s="775">
        <f t="shared" si="206"/>
        <v>0</v>
      </c>
      <c r="AN271" s="775">
        <f t="shared" si="186"/>
        <v>0</v>
      </c>
      <c r="AO271" s="775">
        <f t="shared" si="187"/>
        <v>0</v>
      </c>
      <c r="AQ271" s="773">
        <v>259</v>
      </c>
      <c r="AR271" s="774">
        <f t="shared" si="188"/>
        <v>7853</v>
      </c>
      <c r="AS271" s="775">
        <f t="shared" si="189"/>
        <v>0</v>
      </c>
      <c r="AT271" s="775">
        <f t="shared" ref="AT271:AT334" si="215">IF(ROUND(AS271,0)&gt;0,AT270,0)</f>
        <v>0</v>
      </c>
      <c r="AU271" s="775">
        <f t="shared" si="207"/>
        <v>0</v>
      </c>
      <c r="AV271" s="775">
        <f t="shared" si="190"/>
        <v>0</v>
      </c>
      <c r="AW271" s="775">
        <f t="shared" si="191"/>
        <v>0</v>
      </c>
      <c r="AY271" s="773">
        <v>259</v>
      </c>
      <c r="AZ271" s="774">
        <f t="shared" si="192"/>
        <v>7853</v>
      </c>
      <c r="BA271" s="775">
        <f t="shared" si="193"/>
        <v>0</v>
      </c>
      <c r="BB271" s="775">
        <f t="shared" ref="BB271:BB334" si="216">IF(ROUND(BA271,0)&gt;0,BB270,0)</f>
        <v>0</v>
      </c>
      <c r="BC271" s="775">
        <f t="shared" si="208"/>
        <v>0</v>
      </c>
      <c r="BD271" s="775">
        <f t="shared" si="194"/>
        <v>0</v>
      </c>
      <c r="BE271" s="775">
        <f t="shared" si="195"/>
        <v>0</v>
      </c>
      <c r="BG271" s="773">
        <v>259</v>
      </c>
      <c r="BH271" s="774">
        <f t="shared" si="196"/>
        <v>7853</v>
      </c>
      <c r="BI271" s="775">
        <f t="shared" si="197"/>
        <v>0</v>
      </c>
      <c r="BJ271" s="775">
        <f t="shared" ref="BJ271:BJ334" si="217">IF(ROUND(BI271,0)&gt;0,BJ270,0)</f>
        <v>0</v>
      </c>
      <c r="BK271" s="775">
        <f t="shared" si="209"/>
        <v>0</v>
      </c>
      <c r="BL271" s="775">
        <f t="shared" si="198"/>
        <v>0</v>
      </c>
      <c r="BM271" s="775">
        <f t="shared" si="199"/>
        <v>0</v>
      </c>
    </row>
    <row r="272" spans="1:65">
      <c r="A272" s="11">
        <f t="shared" si="202"/>
        <v>1921</v>
      </c>
      <c r="B272" s="773">
        <v>260</v>
      </c>
      <c r="C272" s="774">
        <f t="shared" ref="C272:C335" si="218">DATE(IF(MONTH(C271)=12,YEAR(C271)+1,YEAR(C271)),IF(MONTH(C271)=12,1,MONTH(C271)+1),1)</f>
        <v>7884</v>
      </c>
      <c r="D272" s="775">
        <f t="shared" ref="D272:D335" si="219">H271</f>
        <v>0</v>
      </c>
      <c r="E272" s="775">
        <f t="shared" si="210"/>
        <v>0</v>
      </c>
      <c r="F272" s="775">
        <f t="shared" si="200"/>
        <v>0</v>
      </c>
      <c r="G272" s="775">
        <f t="shared" ref="G272:G335" si="220">E272-F272</f>
        <v>0</v>
      </c>
      <c r="H272" s="775">
        <f t="shared" ref="H272:H335" si="221">D272-G272</f>
        <v>0</v>
      </c>
      <c r="I272" s="775">
        <f t="shared" si="201"/>
        <v>0</v>
      </c>
      <c r="K272" s="773">
        <v>260</v>
      </c>
      <c r="L272" s="774">
        <f t="shared" ref="L272:L335" si="222">DATE(IF(MONTH(L271)=12,YEAR(L271)+1,YEAR(L271)),IF(MONTH(L271)=12,1,MONTH(L271)+1),1)</f>
        <v>7884</v>
      </c>
      <c r="M272" s="775">
        <f t="shared" ref="M272:M335" si="223">Q271</f>
        <v>0</v>
      </c>
      <c r="N272" s="775">
        <f t="shared" si="211"/>
        <v>0</v>
      </c>
      <c r="O272" s="775">
        <f t="shared" si="203"/>
        <v>0</v>
      </c>
      <c r="P272" s="775">
        <f t="shared" ref="P272:P335" si="224">N272-O272</f>
        <v>0</v>
      </c>
      <c r="Q272" s="775">
        <f t="shared" ref="Q272:Q335" si="225">M272-P272</f>
        <v>0</v>
      </c>
      <c r="S272" s="773">
        <v>260</v>
      </c>
      <c r="T272" s="774">
        <f t="shared" ref="T272:T335" si="226">DATE(IF(MONTH(T271)=12,YEAR(T271)+1,YEAR(T271)),IF(MONTH(T271)=12,1,MONTH(T271)+1),1)</f>
        <v>7884</v>
      </c>
      <c r="U272" s="775">
        <f t="shared" ref="U272:U335" si="227">Y271</f>
        <v>0</v>
      </c>
      <c r="V272" s="775">
        <f t="shared" si="212"/>
        <v>0</v>
      </c>
      <c r="W272" s="775">
        <f t="shared" si="204"/>
        <v>0</v>
      </c>
      <c r="X272" s="775">
        <f t="shared" ref="X272:X335" si="228">V272-W272</f>
        <v>0</v>
      </c>
      <c r="Y272" s="775">
        <f t="shared" ref="Y272:Y335" si="229">U272-X272</f>
        <v>0</v>
      </c>
      <c r="AA272" s="773">
        <v>260</v>
      </c>
      <c r="AB272" s="774">
        <f t="shared" ref="AB272:AB335" si="230">DATE(IF(MONTH(AB271)=12,YEAR(AB271)+1,YEAR(AB271)),IF(MONTH(AB271)=12,1,MONTH(AB271)+1),1)</f>
        <v>7884</v>
      </c>
      <c r="AC272" s="775">
        <f t="shared" ref="AC272:AC335" si="231">AG271</f>
        <v>0</v>
      </c>
      <c r="AD272" s="775">
        <f t="shared" si="213"/>
        <v>0</v>
      </c>
      <c r="AE272" s="775">
        <f t="shared" si="205"/>
        <v>0</v>
      </c>
      <c r="AF272" s="775">
        <f t="shared" ref="AF272:AF335" si="232">AD272-AE272</f>
        <v>0</v>
      </c>
      <c r="AG272" s="775">
        <f t="shared" ref="AG272:AG335" si="233">AC272-AF272</f>
        <v>0</v>
      </c>
      <c r="AI272" s="773">
        <v>260</v>
      </c>
      <c r="AJ272" s="774">
        <f t="shared" ref="AJ272:AJ335" si="234">DATE(IF(MONTH(AJ271)=12,YEAR(AJ271)+1,YEAR(AJ271)),IF(MONTH(AJ271)=12,1,MONTH(AJ271)+1),1)</f>
        <v>7884</v>
      </c>
      <c r="AK272" s="775">
        <f t="shared" ref="AK272:AK335" si="235">AO271</f>
        <v>0</v>
      </c>
      <c r="AL272" s="775">
        <f t="shared" si="214"/>
        <v>0</v>
      </c>
      <c r="AM272" s="775">
        <f t="shared" si="206"/>
        <v>0</v>
      </c>
      <c r="AN272" s="775">
        <f t="shared" ref="AN272:AN335" si="236">AL272-AM272</f>
        <v>0</v>
      </c>
      <c r="AO272" s="775">
        <f t="shared" ref="AO272:AO335" si="237">AK272-AN272</f>
        <v>0</v>
      </c>
      <c r="AQ272" s="773">
        <v>260</v>
      </c>
      <c r="AR272" s="774">
        <f t="shared" ref="AR272:AR335" si="238">DATE(IF(MONTH(AR271)=12,YEAR(AR271)+1,YEAR(AR271)),IF(MONTH(AR271)=12,1,MONTH(AR271)+1),1)</f>
        <v>7884</v>
      </c>
      <c r="AS272" s="775">
        <f t="shared" ref="AS272:AS335" si="239">AW271</f>
        <v>0</v>
      </c>
      <c r="AT272" s="775">
        <f t="shared" si="215"/>
        <v>0</v>
      </c>
      <c r="AU272" s="775">
        <f t="shared" si="207"/>
        <v>0</v>
      </c>
      <c r="AV272" s="775">
        <f t="shared" ref="AV272:AV335" si="240">AT272-AU272</f>
        <v>0</v>
      </c>
      <c r="AW272" s="775">
        <f t="shared" ref="AW272:AW335" si="241">AS272-AV272</f>
        <v>0</v>
      </c>
      <c r="AY272" s="773">
        <v>260</v>
      </c>
      <c r="AZ272" s="774">
        <f t="shared" ref="AZ272:AZ335" si="242">DATE(IF(MONTH(AZ271)=12,YEAR(AZ271)+1,YEAR(AZ271)),IF(MONTH(AZ271)=12,1,MONTH(AZ271)+1),1)</f>
        <v>7884</v>
      </c>
      <c r="BA272" s="775">
        <f t="shared" ref="BA272:BA335" si="243">BE271</f>
        <v>0</v>
      </c>
      <c r="BB272" s="775">
        <f t="shared" si="216"/>
        <v>0</v>
      </c>
      <c r="BC272" s="775">
        <f t="shared" si="208"/>
        <v>0</v>
      </c>
      <c r="BD272" s="775">
        <f t="shared" ref="BD272:BD335" si="244">BB272-BC272</f>
        <v>0</v>
      </c>
      <c r="BE272" s="775">
        <f t="shared" ref="BE272:BE335" si="245">BA272-BD272</f>
        <v>0</v>
      </c>
      <c r="BG272" s="773">
        <v>260</v>
      </c>
      <c r="BH272" s="774">
        <f t="shared" ref="BH272:BH335" si="246">DATE(IF(MONTH(BH271)=12,YEAR(BH271)+1,YEAR(BH271)),IF(MONTH(BH271)=12,1,MONTH(BH271)+1),1)</f>
        <v>7884</v>
      </c>
      <c r="BI272" s="775">
        <f t="shared" ref="BI272:BI335" si="247">BM271</f>
        <v>0</v>
      </c>
      <c r="BJ272" s="775">
        <f t="shared" si="217"/>
        <v>0</v>
      </c>
      <c r="BK272" s="775">
        <f t="shared" si="209"/>
        <v>0</v>
      </c>
      <c r="BL272" s="775">
        <f t="shared" ref="BL272:BL335" si="248">BJ272-BK272</f>
        <v>0</v>
      </c>
      <c r="BM272" s="775">
        <f t="shared" ref="BM272:BM335" si="249">BI272-BL272</f>
        <v>0</v>
      </c>
    </row>
    <row r="273" spans="1:65">
      <c r="A273" s="11">
        <f t="shared" si="202"/>
        <v>1921</v>
      </c>
      <c r="B273" s="773">
        <v>261</v>
      </c>
      <c r="C273" s="774">
        <f t="shared" si="218"/>
        <v>7915</v>
      </c>
      <c r="D273" s="775">
        <f t="shared" si="219"/>
        <v>0</v>
      </c>
      <c r="E273" s="775">
        <f t="shared" si="210"/>
        <v>0</v>
      </c>
      <c r="F273" s="775">
        <f t="shared" si="200"/>
        <v>0</v>
      </c>
      <c r="G273" s="775">
        <f t="shared" si="220"/>
        <v>0</v>
      </c>
      <c r="H273" s="775">
        <f t="shared" si="221"/>
        <v>0</v>
      </c>
      <c r="I273" s="775">
        <f t="shared" si="201"/>
        <v>0</v>
      </c>
      <c r="K273" s="773">
        <v>261</v>
      </c>
      <c r="L273" s="774">
        <f t="shared" si="222"/>
        <v>7915</v>
      </c>
      <c r="M273" s="775">
        <f t="shared" si="223"/>
        <v>0</v>
      </c>
      <c r="N273" s="775">
        <f t="shared" si="211"/>
        <v>0</v>
      </c>
      <c r="O273" s="775">
        <f t="shared" si="203"/>
        <v>0</v>
      </c>
      <c r="P273" s="775">
        <f t="shared" si="224"/>
        <v>0</v>
      </c>
      <c r="Q273" s="775">
        <f t="shared" si="225"/>
        <v>0</v>
      </c>
      <c r="S273" s="773">
        <v>261</v>
      </c>
      <c r="T273" s="774">
        <f t="shared" si="226"/>
        <v>7915</v>
      </c>
      <c r="U273" s="775">
        <f t="shared" si="227"/>
        <v>0</v>
      </c>
      <c r="V273" s="775">
        <f t="shared" si="212"/>
        <v>0</v>
      </c>
      <c r="W273" s="775">
        <f t="shared" si="204"/>
        <v>0</v>
      </c>
      <c r="X273" s="775">
        <f t="shared" si="228"/>
        <v>0</v>
      </c>
      <c r="Y273" s="775">
        <f t="shared" si="229"/>
        <v>0</v>
      </c>
      <c r="AA273" s="773">
        <v>261</v>
      </c>
      <c r="AB273" s="774">
        <f t="shared" si="230"/>
        <v>7915</v>
      </c>
      <c r="AC273" s="775">
        <f t="shared" si="231"/>
        <v>0</v>
      </c>
      <c r="AD273" s="775">
        <f t="shared" si="213"/>
        <v>0</v>
      </c>
      <c r="AE273" s="775">
        <f t="shared" si="205"/>
        <v>0</v>
      </c>
      <c r="AF273" s="775">
        <f t="shared" si="232"/>
        <v>0</v>
      </c>
      <c r="AG273" s="775">
        <f t="shared" si="233"/>
        <v>0</v>
      </c>
      <c r="AI273" s="773">
        <v>261</v>
      </c>
      <c r="AJ273" s="774">
        <f t="shared" si="234"/>
        <v>7915</v>
      </c>
      <c r="AK273" s="775">
        <f t="shared" si="235"/>
        <v>0</v>
      </c>
      <c r="AL273" s="775">
        <f t="shared" si="214"/>
        <v>0</v>
      </c>
      <c r="AM273" s="775">
        <f t="shared" si="206"/>
        <v>0</v>
      </c>
      <c r="AN273" s="775">
        <f t="shared" si="236"/>
        <v>0</v>
      </c>
      <c r="AO273" s="775">
        <f t="shared" si="237"/>
        <v>0</v>
      </c>
      <c r="AQ273" s="773">
        <v>261</v>
      </c>
      <c r="AR273" s="774">
        <f t="shared" si="238"/>
        <v>7915</v>
      </c>
      <c r="AS273" s="775">
        <f t="shared" si="239"/>
        <v>0</v>
      </c>
      <c r="AT273" s="775">
        <f t="shared" si="215"/>
        <v>0</v>
      </c>
      <c r="AU273" s="775">
        <f t="shared" si="207"/>
        <v>0</v>
      </c>
      <c r="AV273" s="775">
        <f t="shared" si="240"/>
        <v>0</v>
      </c>
      <c r="AW273" s="775">
        <f t="shared" si="241"/>
        <v>0</v>
      </c>
      <c r="AY273" s="773">
        <v>261</v>
      </c>
      <c r="AZ273" s="774">
        <f t="shared" si="242"/>
        <v>7915</v>
      </c>
      <c r="BA273" s="775">
        <f t="shared" si="243"/>
        <v>0</v>
      </c>
      <c r="BB273" s="775">
        <f t="shared" si="216"/>
        <v>0</v>
      </c>
      <c r="BC273" s="775">
        <f t="shared" si="208"/>
        <v>0</v>
      </c>
      <c r="BD273" s="775">
        <f t="shared" si="244"/>
        <v>0</v>
      </c>
      <c r="BE273" s="775">
        <f t="shared" si="245"/>
        <v>0</v>
      </c>
      <c r="BG273" s="773">
        <v>261</v>
      </c>
      <c r="BH273" s="774">
        <f t="shared" si="246"/>
        <v>7915</v>
      </c>
      <c r="BI273" s="775">
        <f t="shared" si="247"/>
        <v>0</v>
      </c>
      <c r="BJ273" s="775">
        <f t="shared" si="217"/>
        <v>0</v>
      </c>
      <c r="BK273" s="775">
        <f t="shared" si="209"/>
        <v>0</v>
      </c>
      <c r="BL273" s="775">
        <f t="shared" si="248"/>
        <v>0</v>
      </c>
      <c r="BM273" s="775">
        <f t="shared" si="249"/>
        <v>0</v>
      </c>
    </row>
    <row r="274" spans="1:65">
      <c r="A274" s="11">
        <f t="shared" si="202"/>
        <v>1921</v>
      </c>
      <c r="B274" s="773">
        <v>262</v>
      </c>
      <c r="C274" s="774">
        <f t="shared" si="218"/>
        <v>7945</v>
      </c>
      <c r="D274" s="775">
        <f t="shared" si="219"/>
        <v>0</v>
      </c>
      <c r="E274" s="775">
        <f t="shared" si="210"/>
        <v>0</v>
      </c>
      <c r="F274" s="775">
        <f t="shared" si="200"/>
        <v>0</v>
      </c>
      <c r="G274" s="775">
        <f t="shared" si="220"/>
        <v>0</v>
      </c>
      <c r="H274" s="775">
        <f t="shared" si="221"/>
        <v>0</v>
      </c>
      <c r="I274" s="775">
        <f t="shared" si="201"/>
        <v>0</v>
      </c>
      <c r="K274" s="773">
        <v>262</v>
      </c>
      <c r="L274" s="774">
        <f t="shared" si="222"/>
        <v>7945</v>
      </c>
      <c r="M274" s="775">
        <f t="shared" si="223"/>
        <v>0</v>
      </c>
      <c r="N274" s="775">
        <f t="shared" si="211"/>
        <v>0</v>
      </c>
      <c r="O274" s="775">
        <f t="shared" si="203"/>
        <v>0</v>
      </c>
      <c r="P274" s="775">
        <f t="shared" si="224"/>
        <v>0</v>
      </c>
      <c r="Q274" s="775">
        <f t="shared" si="225"/>
        <v>0</v>
      </c>
      <c r="S274" s="773">
        <v>262</v>
      </c>
      <c r="T274" s="774">
        <f t="shared" si="226"/>
        <v>7945</v>
      </c>
      <c r="U274" s="775">
        <f t="shared" si="227"/>
        <v>0</v>
      </c>
      <c r="V274" s="775">
        <f t="shared" si="212"/>
        <v>0</v>
      </c>
      <c r="W274" s="775">
        <f t="shared" si="204"/>
        <v>0</v>
      </c>
      <c r="X274" s="775">
        <f t="shared" si="228"/>
        <v>0</v>
      </c>
      <c r="Y274" s="775">
        <f t="shared" si="229"/>
        <v>0</v>
      </c>
      <c r="AA274" s="773">
        <v>262</v>
      </c>
      <c r="AB274" s="774">
        <f t="shared" si="230"/>
        <v>7945</v>
      </c>
      <c r="AC274" s="775">
        <f t="shared" si="231"/>
        <v>0</v>
      </c>
      <c r="AD274" s="775">
        <f t="shared" si="213"/>
        <v>0</v>
      </c>
      <c r="AE274" s="775">
        <f t="shared" si="205"/>
        <v>0</v>
      </c>
      <c r="AF274" s="775">
        <f t="shared" si="232"/>
        <v>0</v>
      </c>
      <c r="AG274" s="775">
        <f t="shared" si="233"/>
        <v>0</v>
      </c>
      <c r="AI274" s="773">
        <v>262</v>
      </c>
      <c r="AJ274" s="774">
        <f t="shared" si="234"/>
        <v>7945</v>
      </c>
      <c r="AK274" s="775">
        <f t="shared" si="235"/>
        <v>0</v>
      </c>
      <c r="AL274" s="775">
        <f t="shared" si="214"/>
        <v>0</v>
      </c>
      <c r="AM274" s="775">
        <f t="shared" si="206"/>
        <v>0</v>
      </c>
      <c r="AN274" s="775">
        <f t="shared" si="236"/>
        <v>0</v>
      </c>
      <c r="AO274" s="775">
        <f t="shared" si="237"/>
        <v>0</v>
      </c>
      <c r="AQ274" s="773">
        <v>262</v>
      </c>
      <c r="AR274" s="774">
        <f t="shared" si="238"/>
        <v>7945</v>
      </c>
      <c r="AS274" s="775">
        <f t="shared" si="239"/>
        <v>0</v>
      </c>
      <c r="AT274" s="775">
        <f t="shared" si="215"/>
        <v>0</v>
      </c>
      <c r="AU274" s="775">
        <f t="shared" si="207"/>
        <v>0</v>
      </c>
      <c r="AV274" s="775">
        <f t="shared" si="240"/>
        <v>0</v>
      </c>
      <c r="AW274" s="775">
        <f t="shared" si="241"/>
        <v>0</v>
      </c>
      <c r="AY274" s="773">
        <v>262</v>
      </c>
      <c r="AZ274" s="774">
        <f t="shared" si="242"/>
        <v>7945</v>
      </c>
      <c r="BA274" s="775">
        <f t="shared" si="243"/>
        <v>0</v>
      </c>
      <c r="BB274" s="775">
        <f t="shared" si="216"/>
        <v>0</v>
      </c>
      <c r="BC274" s="775">
        <f t="shared" si="208"/>
        <v>0</v>
      </c>
      <c r="BD274" s="775">
        <f t="shared" si="244"/>
        <v>0</v>
      </c>
      <c r="BE274" s="775">
        <f t="shared" si="245"/>
        <v>0</v>
      </c>
      <c r="BG274" s="773">
        <v>262</v>
      </c>
      <c r="BH274" s="774">
        <f t="shared" si="246"/>
        <v>7945</v>
      </c>
      <c r="BI274" s="775">
        <f t="shared" si="247"/>
        <v>0</v>
      </c>
      <c r="BJ274" s="775">
        <f t="shared" si="217"/>
        <v>0</v>
      </c>
      <c r="BK274" s="775">
        <f t="shared" si="209"/>
        <v>0</v>
      </c>
      <c r="BL274" s="775">
        <f t="shared" si="248"/>
        <v>0</v>
      </c>
      <c r="BM274" s="775">
        <f t="shared" si="249"/>
        <v>0</v>
      </c>
    </row>
    <row r="275" spans="1:65">
      <c r="A275" s="11">
        <f t="shared" si="202"/>
        <v>1921</v>
      </c>
      <c r="B275" s="773">
        <v>263</v>
      </c>
      <c r="C275" s="774">
        <f t="shared" si="218"/>
        <v>7976</v>
      </c>
      <c r="D275" s="775">
        <f t="shared" si="219"/>
        <v>0</v>
      </c>
      <c r="E275" s="775">
        <f t="shared" si="210"/>
        <v>0</v>
      </c>
      <c r="F275" s="775">
        <f t="shared" si="200"/>
        <v>0</v>
      </c>
      <c r="G275" s="775">
        <f t="shared" si="220"/>
        <v>0</v>
      </c>
      <c r="H275" s="775">
        <f t="shared" si="221"/>
        <v>0</v>
      </c>
      <c r="I275" s="775">
        <f t="shared" si="201"/>
        <v>0</v>
      </c>
      <c r="K275" s="773">
        <v>263</v>
      </c>
      <c r="L275" s="774">
        <f t="shared" si="222"/>
        <v>7976</v>
      </c>
      <c r="M275" s="775">
        <f t="shared" si="223"/>
        <v>0</v>
      </c>
      <c r="N275" s="775">
        <f t="shared" si="211"/>
        <v>0</v>
      </c>
      <c r="O275" s="775">
        <f t="shared" si="203"/>
        <v>0</v>
      </c>
      <c r="P275" s="775">
        <f t="shared" si="224"/>
        <v>0</v>
      </c>
      <c r="Q275" s="775">
        <f t="shared" si="225"/>
        <v>0</v>
      </c>
      <c r="S275" s="773">
        <v>263</v>
      </c>
      <c r="T275" s="774">
        <f t="shared" si="226"/>
        <v>7976</v>
      </c>
      <c r="U275" s="775">
        <f t="shared" si="227"/>
        <v>0</v>
      </c>
      <c r="V275" s="775">
        <f t="shared" si="212"/>
        <v>0</v>
      </c>
      <c r="W275" s="775">
        <f t="shared" si="204"/>
        <v>0</v>
      </c>
      <c r="X275" s="775">
        <f t="shared" si="228"/>
        <v>0</v>
      </c>
      <c r="Y275" s="775">
        <f t="shared" si="229"/>
        <v>0</v>
      </c>
      <c r="AA275" s="773">
        <v>263</v>
      </c>
      <c r="AB275" s="774">
        <f t="shared" si="230"/>
        <v>7976</v>
      </c>
      <c r="AC275" s="775">
        <f t="shared" si="231"/>
        <v>0</v>
      </c>
      <c r="AD275" s="775">
        <f t="shared" si="213"/>
        <v>0</v>
      </c>
      <c r="AE275" s="775">
        <f t="shared" si="205"/>
        <v>0</v>
      </c>
      <c r="AF275" s="775">
        <f t="shared" si="232"/>
        <v>0</v>
      </c>
      <c r="AG275" s="775">
        <f t="shared" si="233"/>
        <v>0</v>
      </c>
      <c r="AI275" s="773">
        <v>263</v>
      </c>
      <c r="AJ275" s="774">
        <f t="shared" si="234"/>
        <v>7976</v>
      </c>
      <c r="AK275" s="775">
        <f t="shared" si="235"/>
        <v>0</v>
      </c>
      <c r="AL275" s="775">
        <f t="shared" si="214"/>
        <v>0</v>
      </c>
      <c r="AM275" s="775">
        <f t="shared" si="206"/>
        <v>0</v>
      </c>
      <c r="AN275" s="775">
        <f t="shared" si="236"/>
        <v>0</v>
      </c>
      <c r="AO275" s="775">
        <f t="shared" si="237"/>
        <v>0</v>
      </c>
      <c r="AQ275" s="773">
        <v>263</v>
      </c>
      <c r="AR275" s="774">
        <f t="shared" si="238"/>
        <v>7976</v>
      </c>
      <c r="AS275" s="775">
        <f t="shared" si="239"/>
        <v>0</v>
      </c>
      <c r="AT275" s="775">
        <f t="shared" si="215"/>
        <v>0</v>
      </c>
      <c r="AU275" s="775">
        <f t="shared" si="207"/>
        <v>0</v>
      </c>
      <c r="AV275" s="775">
        <f t="shared" si="240"/>
        <v>0</v>
      </c>
      <c r="AW275" s="775">
        <f t="shared" si="241"/>
        <v>0</v>
      </c>
      <c r="AY275" s="773">
        <v>263</v>
      </c>
      <c r="AZ275" s="774">
        <f t="shared" si="242"/>
        <v>7976</v>
      </c>
      <c r="BA275" s="775">
        <f t="shared" si="243"/>
        <v>0</v>
      </c>
      <c r="BB275" s="775">
        <f t="shared" si="216"/>
        <v>0</v>
      </c>
      <c r="BC275" s="775">
        <f t="shared" si="208"/>
        <v>0</v>
      </c>
      <c r="BD275" s="775">
        <f t="shared" si="244"/>
        <v>0</v>
      </c>
      <c r="BE275" s="775">
        <f t="shared" si="245"/>
        <v>0</v>
      </c>
      <c r="BG275" s="773">
        <v>263</v>
      </c>
      <c r="BH275" s="774">
        <f t="shared" si="246"/>
        <v>7976</v>
      </c>
      <c r="BI275" s="775">
        <f t="shared" si="247"/>
        <v>0</v>
      </c>
      <c r="BJ275" s="775">
        <f t="shared" si="217"/>
        <v>0</v>
      </c>
      <c r="BK275" s="775">
        <f t="shared" si="209"/>
        <v>0</v>
      </c>
      <c r="BL275" s="775">
        <f t="shared" si="248"/>
        <v>0</v>
      </c>
      <c r="BM275" s="775">
        <f t="shared" si="249"/>
        <v>0</v>
      </c>
    </row>
    <row r="276" spans="1:65">
      <c r="A276" s="11">
        <f t="shared" si="202"/>
        <v>1921</v>
      </c>
      <c r="B276" s="773">
        <v>264</v>
      </c>
      <c r="C276" s="774">
        <f t="shared" si="218"/>
        <v>8006</v>
      </c>
      <c r="D276" s="775">
        <f t="shared" si="219"/>
        <v>0</v>
      </c>
      <c r="E276" s="775">
        <f t="shared" si="210"/>
        <v>0</v>
      </c>
      <c r="F276" s="775">
        <f t="shared" si="200"/>
        <v>0</v>
      </c>
      <c r="G276" s="775">
        <f t="shared" si="220"/>
        <v>0</v>
      </c>
      <c r="H276" s="775">
        <f t="shared" si="221"/>
        <v>0</v>
      </c>
      <c r="I276" s="775">
        <f t="shared" si="201"/>
        <v>0</v>
      </c>
      <c r="K276" s="773">
        <v>264</v>
      </c>
      <c r="L276" s="774">
        <f t="shared" si="222"/>
        <v>8006</v>
      </c>
      <c r="M276" s="775">
        <f t="shared" si="223"/>
        <v>0</v>
      </c>
      <c r="N276" s="775">
        <f t="shared" si="211"/>
        <v>0</v>
      </c>
      <c r="O276" s="775">
        <f t="shared" si="203"/>
        <v>0</v>
      </c>
      <c r="P276" s="775">
        <f t="shared" si="224"/>
        <v>0</v>
      </c>
      <c r="Q276" s="775">
        <f t="shared" si="225"/>
        <v>0</v>
      </c>
      <c r="S276" s="773">
        <v>264</v>
      </c>
      <c r="T276" s="774">
        <f t="shared" si="226"/>
        <v>8006</v>
      </c>
      <c r="U276" s="775">
        <f t="shared" si="227"/>
        <v>0</v>
      </c>
      <c r="V276" s="775">
        <f t="shared" si="212"/>
        <v>0</v>
      </c>
      <c r="W276" s="775">
        <f t="shared" si="204"/>
        <v>0</v>
      </c>
      <c r="X276" s="775">
        <f t="shared" si="228"/>
        <v>0</v>
      </c>
      <c r="Y276" s="775">
        <f t="shared" si="229"/>
        <v>0</v>
      </c>
      <c r="AA276" s="773">
        <v>264</v>
      </c>
      <c r="AB276" s="774">
        <f t="shared" si="230"/>
        <v>8006</v>
      </c>
      <c r="AC276" s="775">
        <f t="shared" si="231"/>
        <v>0</v>
      </c>
      <c r="AD276" s="775">
        <f t="shared" si="213"/>
        <v>0</v>
      </c>
      <c r="AE276" s="775">
        <f t="shared" si="205"/>
        <v>0</v>
      </c>
      <c r="AF276" s="775">
        <f t="shared" si="232"/>
        <v>0</v>
      </c>
      <c r="AG276" s="775">
        <f t="shared" si="233"/>
        <v>0</v>
      </c>
      <c r="AI276" s="773">
        <v>264</v>
      </c>
      <c r="AJ276" s="774">
        <f t="shared" si="234"/>
        <v>8006</v>
      </c>
      <c r="AK276" s="775">
        <f t="shared" si="235"/>
        <v>0</v>
      </c>
      <c r="AL276" s="775">
        <f t="shared" si="214"/>
        <v>0</v>
      </c>
      <c r="AM276" s="775">
        <f t="shared" si="206"/>
        <v>0</v>
      </c>
      <c r="AN276" s="775">
        <f t="shared" si="236"/>
        <v>0</v>
      </c>
      <c r="AO276" s="775">
        <f t="shared" si="237"/>
        <v>0</v>
      </c>
      <c r="AQ276" s="773">
        <v>264</v>
      </c>
      <c r="AR276" s="774">
        <f t="shared" si="238"/>
        <v>8006</v>
      </c>
      <c r="AS276" s="775">
        <f t="shared" si="239"/>
        <v>0</v>
      </c>
      <c r="AT276" s="775">
        <f t="shared" si="215"/>
        <v>0</v>
      </c>
      <c r="AU276" s="775">
        <f t="shared" si="207"/>
        <v>0</v>
      </c>
      <c r="AV276" s="775">
        <f t="shared" si="240"/>
        <v>0</v>
      </c>
      <c r="AW276" s="775">
        <f t="shared" si="241"/>
        <v>0</v>
      </c>
      <c r="AY276" s="773">
        <v>264</v>
      </c>
      <c r="AZ276" s="774">
        <f t="shared" si="242"/>
        <v>8006</v>
      </c>
      <c r="BA276" s="775">
        <f t="shared" si="243"/>
        <v>0</v>
      </c>
      <c r="BB276" s="775">
        <f t="shared" si="216"/>
        <v>0</v>
      </c>
      <c r="BC276" s="775">
        <f t="shared" si="208"/>
        <v>0</v>
      </c>
      <c r="BD276" s="775">
        <f t="shared" si="244"/>
        <v>0</v>
      </c>
      <c r="BE276" s="775">
        <f t="shared" si="245"/>
        <v>0</v>
      </c>
      <c r="BG276" s="773">
        <v>264</v>
      </c>
      <c r="BH276" s="774">
        <f t="shared" si="246"/>
        <v>8006</v>
      </c>
      <c r="BI276" s="775">
        <f t="shared" si="247"/>
        <v>0</v>
      </c>
      <c r="BJ276" s="775">
        <f t="shared" si="217"/>
        <v>0</v>
      </c>
      <c r="BK276" s="775">
        <f t="shared" si="209"/>
        <v>0</v>
      </c>
      <c r="BL276" s="775">
        <f t="shared" si="248"/>
        <v>0</v>
      </c>
      <c r="BM276" s="775">
        <f t="shared" si="249"/>
        <v>0</v>
      </c>
    </row>
    <row r="277" spans="1:65">
      <c r="A277" s="11">
        <f t="shared" si="202"/>
        <v>1922</v>
      </c>
      <c r="B277" s="773">
        <v>265</v>
      </c>
      <c r="C277" s="774">
        <f t="shared" si="218"/>
        <v>8037</v>
      </c>
      <c r="D277" s="775">
        <f t="shared" si="219"/>
        <v>0</v>
      </c>
      <c r="E277" s="775">
        <f t="shared" si="210"/>
        <v>0</v>
      </c>
      <c r="F277" s="775">
        <f t="shared" si="200"/>
        <v>0</v>
      </c>
      <c r="G277" s="775">
        <f t="shared" si="220"/>
        <v>0</v>
      </c>
      <c r="H277" s="775">
        <f t="shared" si="221"/>
        <v>0</v>
      </c>
      <c r="I277" s="775">
        <f t="shared" si="201"/>
        <v>0</v>
      </c>
      <c r="K277" s="773">
        <v>265</v>
      </c>
      <c r="L277" s="774">
        <f t="shared" si="222"/>
        <v>8037</v>
      </c>
      <c r="M277" s="775">
        <f t="shared" si="223"/>
        <v>0</v>
      </c>
      <c r="N277" s="775">
        <f t="shared" si="211"/>
        <v>0</v>
      </c>
      <c r="O277" s="775">
        <f t="shared" si="203"/>
        <v>0</v>
      </c>
      <c r="P277" s="775">
        <f t="shared" si="224"/>
        <v>0</v>
      </c>
      <c r="Q277" s="775">
        <f t="shared" si="225"/>
        <v>0</v>
      </c>
      <c r="S277" s="773">
        <v>265</v>
      </c>
      <c r="T277" s="774">
        <f t="shared" si="226"/>
        <v>8037</v>
      </c>
      <c r="U277" s="775">
        <f t="shared" si="227"/>
        <v>0</v>
      </c>
      <c r="V277" s="775">
        <f t="shared" si="212"/>
        <v>0</v>
      </c>
      <c r="W277" s="775">
        <f t="shared" si="204"/>
        <v>0</v>
      </c>
      <c r="X277" s="775">
        <f t="shared" si="228"/>
        <v>0</v>
      </c>
      <c r="Y277" s="775">
        <f t="shared" si="229"/>
        <v>0</v>
      </c>
      <c r="AA277" s="773">
        <v>265</v>
      </c>
      <c r="AB277" s="774">
        <f t="shared" si="230"/>
        <v>8037</v>
      </c>
      <c r="AC277" s="775">
        <f t="shared" si="231"/>
        <v>0</v>
      </c>
      <c r="AD277" s="775">
        <f t="shared" si="213"/>
        <v>0</v>
      </c>
      <c r="AE277" s="775">
        <f t="shared" si="205"/>
        <v>0</v>
      </c>
      <c r="AF277" s="775">
        <f t="shared" si="232"/>
        <v>0</v>
      </c>
      <c r="AG277" s="775">
        <f t="shared" si="233"/>
        <v>0</v>
      </c>
      <c r="AI277" s="773">
        <v>265</v>
      </c>
      <c r="AJ277" s="774">
        <f t="shared" si="234"/>
        <v>8037</v>
      </c>
      <c r="AK277" s="775">
        <f t="shared" si="235"/>
        <v>0</v>
      </c>
      <c r="AL277" s="775">
        <f t="shared" si="214"/>
        <v>0</v>
      </c>
      <c r="AM277" s="775">
        <f t="shared" si="206"/>
        <v>0</v>
      </c>
      <c r="AN277" s="775">
        <f t="shared" si="236"/>
        <v>0</v>
      </c>
      <c r="AO277" s="775">
        <f t="shared" si="237"/>
        <v>0</v>
      </c>
      <c r="AQ277" s="773">
        <v>265</v>
      </c>
      <c r="AR277" s="774">
        <f t="shared" si="238"/>
        <v>8037</v>
      </c>
      <c r="AS277" s="775">
        <f t="shared" si="239"/>
        <v>0</v>
      </c>
      <c r="AT277" s="775">
        <f t="shared" si="215"/>
        <v>0</v>
      </c>
      <c r="AU277" s="775">
        <f t="shared" si="207"/>
        <v>0</v>
      </c>
      <c r="AV277" s="775">
        <f t="shared" si="240"/>
        <v>0</v>
      </c>
      <c r="AW277" s="775">
        <f t="shared" si="241"/>
        <v>0</v>
      </c>
      <c r="AY277" s="773">
        <v>265</v>
      </c>
      <c r="AZ277" s="774">
        <f t="shared" si="242"/>
        <v>8037</v>
      </c>
      <c r="BA277" s="775">
        <f t="shared" si="243"/>
        <v>0</v>
      </c>
      <c r="BB277" s="775">
        <f t="shared" si="216"/>
        <v>0</v>
      </c>
      <c r="BC277" s="775">
        <f t="shared" si="208"/>
        <v>0</v>
      </c>
      <c r="BD277" s="775">
        <f t="shared" si="244"/>
        <v>0</v>
      </c>
      <c r="BE277" s="775">
        <f t="shared" si="245"/>
        <v>0</v>
      </c>
      <c r="BG277" s="773">
        <v>265</v>
      </c>
      <c r="BH277" s="774">
        <f t="shared" si="246"/>
        <v>8037</v>
      </c>
      <c r="BI277" s="775">
        <f t="shared" si="247"/>
        <v>0</v>
      </c>
      <c r="BJ277" s="775">
        <f t="shared" si="217"/>
        <v>0</v>
      </c>
      <c r="BK277" s="775">
        <f t="shared" si="209"/>
        <v>0</v>
      </c>
      <c r="BL277" s="775">
        <f t="shared" si="248"/>
        <v>0</v>
      </c>
      <c r="BM277" s="775">
        <f t="shared" si="249"/>
        <v>0</v>
      </c>
    </row>
    <row r="278" spans="1:65">
      <c r="A278" s="11">
        <f t="shared" si="202"/>
        <v>1922</v>
      </c>
      <c r="B278" s="773">
        <v>266</v>
      </c>
      <c r="C278" s="774">
        <f t="shared" si="218"/>
        <v>8068</v>
      </c>
      <c r="D278" s="775">
        <f t="shared" si="219"/>
        <v>0</v>
      </c>
      <c r="E278" s="775">
        <f t="shared" si="210"/>
        <v>0</v>
      </c>
      <c r="F278" s="775">
        <f t="shared" si="200"/>
        <v>0</v>
      </c>
      <c r="G278" s="775">
        <f t="shared" si="220"/>
        <v>0</v>
      </c>
      <c r="H278" s="775">
        <f t="shared" si="221"/>
        <v>0</v>
      </c>
      <c r="I278" s="775">
        <f t="shared" si="201"/>
        <v>0</v>
      </c>
      <c r="K278" s="773">
        <v>266</v>
      </c>
      <c r="L278" s="774">
        <f t="shared" si="222"/>
        <v>8068</v>
      </c>
      <c r="M278" s="775">
        <f t="shared" si="223"/>
        <v>0</v>
      </c>
      <c r="N278" s="775">
        <f t="shared" si="211"/>
        <v>0</v>
      </c>
      <c r="O278" s="775">
        <f t="shared" si="203"/>
        <v>0</v>
      </c>
      <c r="P278" s="775">
        <f t="shared" si="224"/>
        <v>0</v>
      </c>
      <c r="Q278" s="775">
        <f t="shared" si="225"/>
        <v>0</v>
      </c>
      <c r="S278" s="773">
        <v>266</v>
      </c>
      <c r="T278" s="774">
        <f t="shared" si="226"/>
        <v>8068</v>
      </c>
      <c r="U278" s="775">
        <f t="shared" si="227"/>
        <v>0</v>
      </c>
      <c r="V278" s="775">
        <f t="shared" si="212"/>
        <v>0</v>
      </c>
      <c r="W278" s="775">
        <f t="shared" si="204"/>
        <v>0</v>
      </c>
      <c r="X278" s="775">
        <f t="shared" si="228"/>
        <v>0</v>
      </c>
      <c r="Y278" s="775">
        <f t="shared" si="229"/>
        <v>0</v>
      </c>
      <c r="AA278" s="773">
        <v>266</v>
      </c>
      <c r="AB278" s="774">
        <f t="shared" si="230"/>
        <v>8068</v>
      </c>
      <c r="AC278" s="775">
        <f t="shared" si="231"/>
        <v>0</v>
      </c>
      <c r="AD278" s="775">
        <f t="shared" si="213"/>
        <v>0</v>
      </c>
      <c r="AE278" s="775">
        <f t="shared" si="205"/>
        <v>0</v>
      </c>
      <c r="AF278" s="775">
        <f t="shared" si="232"/>
        <v>0</v>
      </c>
      <c r="AG278" s="775">
        <f t="shared" si="233"/>
        <v>0</v>
      </c>
      <c r="AI278" s="773">
        <v>266</v>
      </c>
      <c r="AJ278" s="774">
        <f t="shared" si="234"/>
        <v>8068</v>
      </c>
      <c r="AK278" s="775">
        <f t="shared" si="235"/>
        <v>0</v>
      </c>
      <c r="AL278" s="775">
        <f t="shared" si="214"/>
        <v>0</v>
      </c>
      <c r="AM278" s="775">
        <f t="shared" si="206"/>
        <v>0</v>
      </c>
      <c r="AN278" s="775">
        <f t="shared" si="236"/>
        <v>0</v>
      </c>
      <c r="AO278" s="775">
        <f t="shared" si="237"/>
        <v>0</v>
      </c>
      <c r="AQ278" s="773">
        <v>266</v>
      </c>
      <c r="AR278" s="774">
        <f t="shared" si="238"/>
        <v>8068</v>
      </c>
      <c r="AS278" s="775">
        <f t="shared" si="239"/>
        <v>0</v>
      </c>
      <c r="AT278" s="775">
        <f t="shared" si="215"/>
        <v>0</v>
      </c>
      <c r="AU278" s="775">
        <f t="shared" si="207"/>
        <v>0</v>
      </c>
      <c r="AV278" s="775">
        <f t="shared" si="240"/>
        <v>0</v>
      </c>
      <c r="AW278" s="775">
        <f t="shared" si="241"/>
        <v>0</v>
      </c>
      <c r="AY278" s="773">
        <v>266</v>
      </c>
      <c r="AZ278" s="774">
        <f t="shared" si="242"/>
        <v>8068</v>
      </c>
      <c r="BA278" s="775">
        <f t="shared" si="243"/>
        <v>0</v>
      </c>
      <c r="BB278" s="775">
        <f t="shared" si="216"/>
        <v>0</v>
      </c>
      <c r="BC278" s="775">
        <f t="shared" si="208"/>
        <v>0</v>
      </c>
      <c r="BD278" s="775">
        <f t="shared" si="244"/>
        <v>0</v>
      </c>
      <c r="BE278" s="775">
        <f t="shared" si="245"/>
        <v>0</v>
      </c>
      <c r="BG278" s="773">
        <v>266</v>
      </c>
      <c r="BH278" s="774">
        <f t="shared" si="246"/>
        <v>8068</v>
      </c>
      <c r="BI278" s="775">
        <f t="shared" si="247"/>
        <v>0</v>
      </c>
      <c r="BJ278" s="775">
        <f t="shared" si="217"/>
        <v>0</v>
      </c>
      <c r="BK278" s="775">
        <f t="shared" si="209"/>
        <v>0</v>
      </c>
      <c r="BL278" s="775">
        <f t="shared" si="248"/>
        <v>0</v>
      </c>
      <c r="BM278" s="775">
        <f t="shared" si="249"/>
        <v>0</v>
      </c>
    </row>
    <row r="279" spans="1:65">
      <c r="A279" s="11">
        <f t="shared" si="202"/>
        <v>1922</v>
      </c>
      <c r="B279" s="773">
        <v>267</v>
      </c>
      <c r="C279" s="774">
        <f t="shared" si="218"/>
        <v>8096</v>
      </c>
      <c r="D279" s="775">
        <f t="shared" si="219"/>
        <v>0</v>
      </c>
      <c r="E279" s="775">
        <f t="shared" si="210"/>
        <v>0</v>
      </c>
      <c r="F279" s="775">
        <f t="shared" si="200"/>
        <v>0</v>
      </c>
      <c r="G279" s="775">
        <f t="shared" si="220"/>
        <v>0</v>
      </c>
      <c r="H279" s="775">
        <f t="shared" si="221"/>
        <v>0</v>
      </c>
      <c r="I279" s="775">
        <f t="shared" si="201"/>
        <v>0</v>
      </c>
      <c r="K279" s="773">
        <v>267</v>
      </c>
      <c r="L279" s="774">
        <f t="shared" si="222"/>
        <v>8096</v>
      </c>
      <c r="M279" s="775">
        <f t="shared" si="223"/>
        <v>0</v>
      </c>
      <c r="N279" s="775">
        <f t="shared" si="211"/>
        <v>0</v>
      </c>
      <c r="O279" s="775">
        <f t="shared" si="203"/>
        <v>0</v>
      </c>
      <c r="P279" s="775">
        <f t="shared" si="224"/>
        <v>0</v>
      </c>
      <c r="Q279" s="775">
        <f t="shared" si="225"/>
        <v>0</v>
      </c>
      <c r="S279" s="773">
        <v>267</v>
      </c>
      <c r="T279" s="774">
        <f t="shared" si="226"/>
        <v>8096</v>
      </c>
      <c r="U279" s="775">
        <f t="shared" si="227"/>
        <v>0</v>
      </c>
      <c r="V279" s="775">
        <f t="shared" si="212"/>
        <v>0</v>
      </c>
      <c r="W279" s="775">
        <f t="shared" si="204"/>
        <v>0</v>
      </c>
      <c r="X279" s="775">
        <f t="shared" si="228"/>
        <v>0</v>
      </c>
      <c r="Y279" s="775">
        <f t="shared" si="229"/>
        <v>0</v>
      </c>
      <c r="AA279" s="773">
        <v>267</v>
      </c>
      <c r="AB279" s="774">
        <f t="shared" si="230"/>
        <v>8096</v>
      </c>
      <c r="AC279" s="775">
        <f t="shared" si="231"/>
        <v>0</v>
      </c>
      <c r="AD279" s="775">
        <f t="shared" si="213"/>
        <v>0</v>
      </c>
      <c r="AE279" s="775">
        <f t="shared" si="205"/>
        <v>0</v>
      </c>
      <c r="AF279" s="775">
        <f t="shared" si="232"/>
        <v>0</v>
      </c>
      <c r="AG279" s="775">
        <f t="shared" si="233"/>
        <v>0</v>
      </c>
      <c r="AI279" s="773">
        <v>267</v>
      </c>
      <c r="AJ279" s="774">
        <f t="shared" si="234"/>
        <v>8096</v>
      </c>
      <c r="AK279" s="775">
        <f t="shared" si="235"/>
        <v>0</v>
      </c>
      <c r="AL279" s="775">
        <f t="shared" si="214"/>
        <v>0</v>
      </c>
      <c r="AM279" s="775">
        <f t="shared" si="206"/>
        <v>0</v>
      </c>
      <c r="AN279" s="775">
        <f t="shared" si="236"/>
        <v>0</v>
      </c>
      <c r="AO279" s="775">
        <f t="shared" si="237"/>
        <v>0</v>
      </c>
      <c r="AQ279" s="773">
        <v>267</v>
      </c>
      <c r="AR279" s="774">
        <f t="shared" si="238"/>
        <v>8096</v>
      </c>
      <c r="AS279" s="775">
        <f t="shared" si="239"/>
        <v>0</v>
      </c>
      <c r="AT279" s="775">
        <f t="shared" si="215"/>
        <v>0</v>
      </c>
      <c r="AU279" s="775">
        <f t="shared" si="207"/>
        <v>0</v>
      </c>
      <c r="AV279" s="775">
        <f t="shared" si="240"/>
        <v>0</v>
      </c>
      <c r="AW279" s="775">
        <f t="shared" si="241"/>
        <v>0</v>
      </c>
      <c r="AY279" s="773">
        <v>267</v>
      </c>
      <c r="AZ279" s="774">
        <f t="shared" si="242"/>
        <v>8096</v>
      </c>
      <c r="BA279" s="775">
        <f t="shared" si="243"/>
        <v>0</v>
      </c>
      <c r="BB279" s="775">
        <f t="shared" si="216"/>
        <v>0</v>
      </c>
      <c r="BC279" s="775">
        <f t="shared" si="208"/>
        <v>0</v>
      </c>
      <c r="BD279" s="775">
        <f t="shared" si="244"/>
        <v>0</v>
      </c>
      <c r="BE279" s="775">
        <f t="shared" si="245"/>
        <v>0</v>
      </c>
      <c r="BG279" s="773">
        <v>267</v>
      </c>
      <c r="BH279" s="774">
        <f t="shared" si="246"/>
        <v>8096</v>
      </c>
      <c r="BI279" s="775">
        <f t="shared" si="247"/>
        <v>0</v>
      </c>
      <c r="BJ279" s="775">
        <f t="shared" si="217"/>
        <v>0</v>
      </c>
      <c r="BK279" s="775">
        <f t="shared" si="209"/>
        <v>0</v>
      </c>
      <c r="BL279" s="775">
        <f t="shared" si="248"/>
        <v>0</v>
      </c>
      <c r="BM279" s="775">
        <f t="shared" si="249"/>
        <v>0</v>
      </c>
    </row>
    <row r="280" spans="1:65">
      <c r="A280" s="11">
        <f t="shared" si="202"/>
        <v>1922</v>
      </c>
      <c r="B280" s="773">
        <v>268</v>
      </c>
      <c r="C280" s="774">
        <f t="shared" si="218"/>
        <v>8127</v>
      </c>
      <c r="D280" s="775">
        <f t="shared" si="219"/>
        <v>0</v>
      </c>
      <c r="E280" s="775">
        <f t="shared" si="210"/>
        <v>0</v>
      </c>
      <c r="F280" s="775">
        <f t="shared" si="200"/>
        <v>0</v>
      </c>
      <c r="G280" s="775">
        <f t="shared" si="220"/>
        <v>0</v>
      </c>
      <c r="H280" s="775">
        <f t="shared" si="221"/>
        <v>0</v>
      </c>
      <c r="I280" s="775">
        <f t="shared" si="201"/>
        <v>0</v>
      </c>
      <c r="K280" s="773">
        <v>268</v>
      </c>
      <c r="L280" s="774">
        <f t="shared" si="222"/>
        <v>8127</v>
      </c>
      <c r="M280" s="775">
        <f t="shared" si="223"/>
        <v>0</v>
      </c>
      <c r="N280" s="775">
        <f t="shared" si="211"/>
        <v>0</v>
      </c>
      <c r="O280" s="775">
        <f t="shared" si="203"/>
        <v>0</v>
      </c>
      <c r="P280" s="775">
        <f t="shared" si="224"/>
        <v>0</v>
      </c>
      <c r="Q280" s="775">
        <f t="shared" si="225"/>
        <v>0</v>
      </c>
      <c r="S280" s="773">
        <v>268</v>
      </c>
      <c r="T280" s="774">
        <f t="shared" si="226"/>
        <v>8127</v>
      </c>
      <c r="U280" s="775">
        <f t="shared" si="227"/>
        <v>0</v>
      </c>
      <c r="V280" s="775">
        <f t="shared" si="212"/>
        <v>0</v>
      </c>
      <c r="W280" s="775">
        <f t="shared" si="204"/>
        <v>0</v>
      </c>
      <c r="X280" s="775">
        <f t="shared" si="228"/>
        <v>0</v>
      </c>
      <c r="Y280" s="775">
        <f t="shared" si="229"/>
        <v>0</v>
      </c>
      <c r="AA280" s="773">
        <v>268</v>
      </c>
      <c r="AB280" s="774">
        <f t="shared" si="230"/>
        <v>8127</v>
      </c>
      <c r="AC280" s="775">
        <f t="shared" si="231"/>
        <v>0</v>
      </c>
      <c r="AD280" s="775">
        <f t="shared" si="213"/>
        <v>0</v>
      </c>
      <c r="AE280" s="775">
        <f t="shared" si="205"/>
        <v>0</v>
      </c>
      <c r="AF280" s="775">
        <f t="shared" si="232"/>
        <v>0</v>
      </c>
      <c r="AG280" s="775">
        <f t="shared" si="233"/>
        <v>0</v>
      </c>
      <c r="AI280" s="773">
        <v>268</v>
      </c>
      <c r="AJ280" s="774">
        <f t="shared" si="234"/>
        <v>8127</v>
      </c>
      <c r="AK280" s="775">
        <f t="shared" si="235"/>
        <v>0</v>
      </c>
      <c r="AL280" s="775">
        <f t="shared" si="214"/>
        <v>0</v>
      </c>
      <c r="AM280" s="775">
        <f t="shared" si="206"/>
        <v>0</v>
      </c>
      <c r="AN280" s="775">
        <f t="shared" si="236"/>
        <v>0</v>
      </c>
      <c r="AO280" s="775">
        <f t="shared" si="237"/>
        <v>0</v>
      </c>
      <c r="AQ280" s="773">
        <v>268</v>
      </c>
      <c r="AR280" s="774">
        <f t="shared" si="238"/>
        <v>8127</v>
      </c>
      <c r="AS280" s="775">
        <f t="shared" si="239"/>
        <v>0</v>
      </c>
      <c r="AT280" s="775">
        <f t="shared" si="215"/>
        <v>0</v>
      </c>
      <c r="AU280" s="775">
        <f t="shared" si="207"/>
        <v>0</v>
      </c>
      <c r="AV280" s="775">
        <f t="shared" si="240"/>
        <v>0</v>
      </c>
      <c r="AW280" s="775">
        <f t="shared" si="241"/>
        <v>0</v>
      </c>
      <c r="AY280" s="773">
        <v>268</v>
      </c>
      <c r="AZ280" s="774">
        <f t="shared" si="242"/>
        <v>8127</v>
      </c>
      <c r="BA280" s="775">
        <f t="shared" si="243"/>
        <v>0</v>
      </c>
      <c r="BB280" s="775">
        <f t="shared" si="216"/>
        <v>0</v>
      </c>
      <c r="BC280" s="775">
        <f t="shared" si="208"/>
        <v>0</v>
      </c>
      <c r="BD280" s="775">
        <f t="shared" si="244"/>
        <v>0</v>
      </c>
      <c r="BE280" s="775">
        <f t="shared" si="245"/>
        <v>0</v>
      </c>
      <c r="BG280" s="773">
        <v>268</v>
      </c>
      <c r="BH280" s="774">
        <f t="shared" si="246"/>
        <v>8127</v>
      </c>
      <c r="BI280" s="775">
        <f t="shared" si="247"/>
        <v>0</v>
      </c>
      <c r="BJ280" s="775">
        <f t="shared" si="217"/>
        <v>0</v>
      </c>
      <c r="BK280" s="775">
        <f t="shared" si="209"/>
        <v>0</v>
      </c>
      <c r="BL280" s="775">
        <f t="shared" si="248"/>
        <v>0</v>
      </c>
      <c r="BM280" s="775">
        <f t="shared" si="249"/>
        <v>0</v>
      </c>
    </row>
    <row r="281" spans="1:65">
      <c r="A281" s="11">
        <f t="shared" si="202"/>
        <v>1922</v>
      </c>
      <c r="B281" s="773">
        <v>269</v>
      </c>
      <c r="C281" s="774">
        <f t="shared" si="218"/>
        <v>8157</v>
      </c>
      <c r="D281" s="775">
        <f t="shared" si="219"/>
        <v>0</v>
      </c>
      <c r="E281" s="775">
        <f t="shared" si="210"/>
        <v>0</v>
      </c>
      <c r="F281" s="775">
        <f t="shared" si="200"/>
        <v>0</v>
      </c>
      <c r="G281" s="775">
        <f t="shared" si="220"/>
        <v>0</v>
      </c>
      <c r="H281" s="775">
        <f t="shared" si="221"/>
        <v>0</v>
      </c>
      <c r="I281" s="775">
        <f t="shared" si="201"/>
        <v>0</v>
      </c>
      <c r="K281" s="773">
        <v>269</v>
      </c>
      <c r="L281" s="774">
        <f t="shared" si="222"/>
        <v>8157</v>
      </c>
      <c r="M281" s="775">
        <f t="shared" si="223"/>
        <v>0</v>
      </c>
      <c r="N281" s="775">
        <f t="shared" si="211"/>
        <v>0</v>
      </c>
      <c r="O281" s="775">
        <f t="shared" si="203"/>
        <v>0</v>
      </c>
      <c r="P281" s="775">
        <f t="shared" si="224"/>
        <v>0</v>
      </c>
      <c r="Q281" s="775">
        <f t="shared" si="225"/>
        <v>0</v>
      </c>
      <c r="S281" s="773">
        <v>269</v>
      </c>
      <c r="T281" s="774">
        <f t="shared" si="226"/>
        <v>8157</v>
      </c>
      <c r="U281" s="775">
        <f t="shared" si="227"/>
        <v>0</v>
      </c>
      <c r="V281" s="775">
        <f t="shared" si="212"/>
        <v>0</v>
      </c>
      <c r="W281" s="775">
        <f t="shared" si="204"/>
        <v>0</v>
      </c>
      <c r="X281" s="775">
        <f t="shared" si="228"/>
        <v>0</v>
      </c>
      <c r="Y281" s="775">
        <f t="shared" si="229"/>
        <v>0</v>
      </c>
      <c r="AA281" s="773">
        <v>269</v>
      </c>
      <c r="AB281" s="774">
        <f t="shared" si="230"/>
        <v>8157</v>
      </c>
      <c r="AC281" s="775">
        <f t="shared" si="231"/>
        <v>0</v>
      </c>
      <c r="AD281" s="775">
        <f t="shared" si="213"/>
        <v>0</v>
      </c>
      <c r="AE281" s="775">
        <f t="shared" si="205"/>
        <v>0</v>
      </c>
      <c r="AF281" s="775">
        <f t="shared" si="232"/>
        <v>0</v>
      </c>
      <c r="AG281" s="775">
        <f t="shared" si="233"/>
        <v>0</v>
      </c>
      <c r="AI281" s="773">
        <v>269</v>
      </c>
      <c r="AJ281" s="774">
        <f t="shared" si="234"/>
        <v>8157</v>
      </c>
      <c r="AK281" s="775">
        <f t="shared" si="235"/>
        <v>0</v>
      </c>
      <c r="AL281" s="775">
        <f t="shared" si="214"/>
        <v>0</v>
      </c>
      <c r="AM281" s="775">
        <f t="shared" si="206"/>
        <v>0</v>
      </c>
      <c r="AN281" s="775">
        <f t="shared" si="236"/>
        <v>0</v>
      </c>
      <c r="AO281" s="775">
        <f t="shared" si="237"/>
        <v>0</v>
      </c>
      <c r="AQ281" s="773">
        <v>269</v>
      </c>
      <c r="AR281" s="774">
        <f t="shared" si="238"/>
        <v>8157</v>
      </c>
      <c r="AS281" s="775">
        <f t="shared" si="239"/>
        <v>0</v>
      </c>
      <c r="AT281" s="775">
        <f t="shared" si="215"/>
        <v>0</v>
      </c>
      <c r="AU281" s="775">
        <f t="shared" si="207"/>
        <v>0</v>
      </c>
      <c r="AV281" s="775">
        <f t="shared" si="240"/>
        <v>0</v>
      </c>
      <c r="AW281" s="775">
        <f t="shared" si="241"/>
        <v>0</v>
      </c>
      <c r="AY281" s="773">
        <v>269</v>
      </c>
      <c r="AZ281" s="774">
        <f t="shared" si="242"/>
        <v>8157</v>
      </c>
      <c r="BA281" s="775">
        <f t="shared" si="243"/>
        <v>0</v>
      </c>
      <c r="BB281" s="775">
        <f t="shared" si="216"/>
        <v>0</v>
      </c>
      <c r="BC281" s="775">
        <f t="shared" si="208"/>
        <v>0</v>
      </c>
      <c r="BD281" s="775">
        <f t="shared" si="244"/>
        <v>0</v>
      </c>
      <c r="BE281" s="775">
        <f t="shared" si="245"/>
        <v>0</v>
      </c>
      <c r="BG281" s="773">
        <v>269</v>
      </c>
      <c r="BH281" s="774">
        <f t="shared" si="246"/>
        <v>8157</v>
      </c>
      <c r="BI281" s="775">
        <f t="shared" si="247"/>
        <v>0</v>
      </c>
      <c r="BJ281" s="775">
        <f t="shared" si="217"/>
        <v>0</v>
      </c>
      <c r="BK281" s="775">
        <f t="shared" si="209"/>
        <v>0</v>
      </c>
      <c r="BL281" s="775">
        <f t="shared" si="248"/>
        <v>0</v>
      </c>
      <c r="BM281" s="775">
        <f t="shared" si="249"/>
        <v>0</v>
      </c>
    </row>
    <row r="282" spans="1:65">
      <c r="A282" s="11">
        <f t="shared" si="202"/>
        <v>1922</v>
      </c>
      <c r="B282" s="773">
        <v>270</v>
      </c>
      <c r="C282" s="774">
        <f t="shared" si="218"/>
        <v>8188</v>
      </c>
      <c r="D282" s="775">
        <f t="shared" si="219"/>
        <v>0</v>
      </c>
      <c r="E282" s="775">
        <f t="shared" si="210"/>
        <v>0</v>
      </c>
      <c r="F282" s="775">
        <f t="shared" si="200"/>
        <v>0</v>
      </c>
      <c r="G282" s="775">
        <f t="shared" si="220"/>
        <v>0</v>
      </c>
      <c r="H282" s="775">
        <f t="shared" si="221"/>
        <v>0</v>
      </c>
      <c r="I282" s="775">
        <f t="shared" si="201"/>
        <v>0</v>
      </c>
      <c r="K282" s="773">
        <v>270</v>
      </c>
      <c r="L282" s="774">
        <f t="shared" si="222"/>
        <v>8188</v>
      </c>
      <c r="M282" s="775">
        <f t="shared" si="223"/>
        <v>0</v>
      </c>
      <c r="N282" s="775">
        <f t="shared" si="211"/>
        <v>0</v>
      </c>
      <c r="O282" s="775">
        <f t="shared" si="203"/>
        <v>0</v>
      </c>
      <c r="P282" s="775">
        <f t="shared" si="224"/>
        <v>0</v>
      </c>
      <c r="Q282" s="775">
        <f t="shared" si="225"/>
        <v>0</v>
      </c>
      <c r="S282" s="773">
        <v>270</v>
      </c>
      <c r="T282" s="774">
        <f t="shared" si="226"/>
        <v>8188</v>
      </c>
      <c r="U282" s="775">
        <f t="shared" si="227"/>
        <v>0</v>
      </c>
      <c r="V282" s="775">
        <f t="shared" si="212"/>
        <v>0</v>
      </c>
      <c r="W282" s="775">
        <f t="shared" si="204"/>
        <v>0</v>
      </c>
      <c r="X282" s="775">
        <f t="shared" si="228"/>
        <v>0</v>
      </c>
      <c r="Y282" s="775">
        <f t="shared" si="229"/>
        <v>0</v>
      </c>
      <c r="AA282" s="773">
        <v>270</v>
      </c>
      <c r="AB282" s="774">
        <f t="shared" si="230"/>
        <v>8188</v>
      </c>
      <c r="AC282" s="775">
        <f t="shared" si="231"/>
        <v>0</v>
      </c>
      <c r="AD282" s="775">
        <f t="shared" si="213"/>
        <v>0</v>
      </c>
      <c r="AE282" s="775">
        <f t="shared" si="205"/>
        <v>0</v>
      </c>
      <c r="AF282" s="775">
        <f t="shared" si="232"/>
        <v>0</v>
      </c>
      <c r="AG282" s="775">
        <f t="shared" si="233"/>
        <v>0</v>
      </c>
      <c r="AI282" s="773">
        <v>270</v>
      </c>
      <c r="AJ282" s="774">
        <f t="shared" si="234"/>
        <v>8188</v>
      </c>
      <c r="AK282" s="775">
        <f t="shared" si="235"/>
        <v>0</v>
      </c>
      <c r="AL282" s="775">
        <f t="shared" si="214"/>
        <v>0</v>
      </c>
      <c r="AM282" s="775">
        <f t="shared" si="206"/>
        <v>0</v>
      </c>
      <c r="AN282" s="775">
        <f t="shared" si="236"/>
        <v>0</v>
      </c>
      <c r="AO282" s="775">
        <f t="shared" si="237"/>
        <v>0</v>
      </c>
      <c r="AQ282" s="773">
        <v>270</v>
      </c>
      <c r="AR282" s="774">
        <f t="shared" si="238"/>
        <v>8188</v>
      </c>
      <c r="AS282" s="775">
        <f t="shared" si="239"/>
        <v>0</v>
      </c>
      <c r="AT282" s="775">
        <f t="shared" si="215"/>
        <v>0</v>
      </c>
      <c r="AU282" s="775">
        <f t="shared" si="207"/>
        <v>0</v>
      </c>
      <c r="AV282" s="775">
        <f t="shared" si="240"/>
        <v>0</v>
      </c>
      <c r="AW282" s="775">
        <f t="shared" si="241"/>
        <v>0</v>
      </c>
      <c r="AY282" s="773">
        <v>270</v>
      </c>
      <c r="AZ282" s="774">
        <f t="shared" si="242"/>
        <v>8188</v>
      </c>
      <c r="BA282" s="775">
        <f t="shared" si="243"/>
        <v>0</v>
      </c>
      <c r="BB282" s="775">
        <f t="shared" si="216"/>
        <v>0</v>
      </c>
      <c r="BC282" s="775">
        <f t="shared" si="208"/>
        <v>0</v>
      </c>
      <c r="BD282" s="775">
        <f t="shared" si="244"/>
        <v>0</v>
      </c>
      <c r="BE282" s="775">
        <f t="shared" si="245"/>
        <v>0</v>
      </c>
      <c r="BG282" s="773">
        <v>270</v>
      </c>
      <c r="BH282" s="774">
        <f t="shared" si="246"/>
        <v>8188</v>
      </c>
      <c r="BI282" s="775">
        <f t="shared" si="247"/>
        <v>0</v>
      </c>
      <c r="BJ282" s="775">
        <f t="shared" si="217"/>
        <v>0</v>
      </c>
      <c r="BK282" s="775">
        <f t="shared" si="209"/>
        <v>0</v>
      </c>
      <c r="BL282" s="775">
        <f t="shared" si="248"/>
        <v>0</v>
      </c>
      <c r="BM282" s="775">
        <f t="shared" si="249"/>
        <v>0</v>
      </c>
    </row>
    <row r="283" spans="1:65">
      <c r="A283" s="11">
        <f t="shared" si="202"/>
        <v>1922</v>
      </c>
      <c r="B283" s="773">
        <v>271</v>
      </c>
      <c r="C283" s="774">
        <f t="shared" si="218"/>
        <v>8218</v>
      </c>
      <c r="D283" s="775">
        <f t="shared" si="219"/>
        <v>0</v>
      </c>
      <c r="E283" s="775">
        <f t="shared" si="210"/>
        <v>0</v>
      </c>
      <c r="F283" s="775">
        <f t="shared" si="200"/>
        <v>0</v>
      </c>
      <c r="G283" s="775">
        <f t="shared" si="220"/>
        <v>0</v>
      </c>
      <c r="H283" s="775">
        <f t="shared" si="221"/>
        <v>0</v>
      </c>
      <c r="I283" s="775">
        <f t="shared" si="201"/>
        <v>0</v>
      </c>
      <c r="K283" s="773">
        <v>271</v>
      </c>
      <c r="L283" s="774">
        <f t="shared" si="222"/>
        <v>8218</v>
      </c>
      <c r="M283" s="775">
        <f t="shared" si="223"/>
        <v>0</v>
      </c>
      <c r="N283" s="775">
        <f t="shared" si="211"/>
        <v>0</v>
      </c>
      <c r="O283" s="775">
        <f t="shared" si="203"/>
        <v>0</v>
      </c>
      <c r="P283" s="775">
        <f t="shared" si="224"/>
        <v>0</v>
      </c>
      <c r="Q283" s="775">
        <f t="shared" si="225"/>
        <v>0</v>
      </c>
      <c r="S283" s="773">
        <v>271</v>
      </c>
      <c r="T283" s="774">
        <f t="shared" si="226"/>
        <v>8218</v>
      </c>
      <c r="U283" s="775">
        <f t="shared" si="227"/>
        <v>0</v>
      </c>
      <c r="V283" s="775">
        <f t="shared" si="212"/>
        <v>0</v>
      </c>
      <c r="W283" s="775">
        <f t="shared" si="204"/>
        <v>0</v>
      </c>
      <c r="X283" s="775">
        <f t="shared" si="228"/>
        <v>0</v>
      </c>
      <c r="Y283" s="775">
        <f t="shared" si="229"/>
        <v>0</v>
      </c>
      <c r="AA283" s="773">
        <v>271</v>
      </c>
      <c r="AB283" s="774">
        <f t="shared" si="230"/>
        <v>8218</v>
      </c>
      <c r="AC283" s="775">
        <f t="shared" si="231"/>
        <v>0</v>
      </c>
      <c r="AD283" s="775">
        <f t="shared" si="213"/>
        <v>0</v>
      </c>
      <c r="AE283" s="775">
        <f t="shared" si="205"/>
        <v>0</v>
      </c>
      <c r="AF283" s="775">
        <f t="shared" si="232"/>
        <v>0</v>
      </c>
      <c r="AG283" s="775">
        <f t="shared" si="233"/>
        <v>0</v>
      </c>
      <c r="AI283" s="773">
        <v>271</v>
      </c>
      <c r="AJ283" s="774">
        <f t="shared" si="234"/>
        <v>8218</v>
      </c>
      <c r="AK283" s="775">
        <f t="shared" si="235"/>
        <v>0</v>
      </c>
      <c r="AL283" s="775">
        <f t="shared" si="214"/>
        <v>0</v>
      </c>
      <c r="AM283" s="775">
        <f t="shared" si="206"/>
        <v>0</v>
      </c>
      <c r="AN283" s="775">
        <f t="shared" si="236"/>
        <v>0</v>
      </c>
      <c r="AO283" s="775">
        <f t="shared" si="237"/>
        <v>0</v>
      </c>
      <c r="AQ283" s="773">
        <v>271</v>
      </c>
      <c r="AR283" s="774">
        <f t="shared" si="238"/>
        <v>8218</v>
      </c>
      <c r="AS283" s="775">
        <f t="shared" si="239"/>
        <v>0</v>
      </c>
      <c r="AT283" s="775">
        <f t="shared" si="215"/>
        <v>0</v>
      </c>
      <c r="AU283" s="775">
        <f t="shared" si="207"/>
        <v>0</v>
      </c>
      <c r="AV283" s="775">
        <f t="shared" si="240"/>
        <v>0</v>
      </c>
      <c r="AW283" s="775">
        <f t="shared" si="241"/>
        <v>0</v>
      </c>
      <c r="AY283" s="773">
        <v>271</v>
      </c>
      <c r="AZ283" s="774">
        <f t="shared" si="242"/>
        <v>8218</v>
      </c>
      <c r="BA283" s="775">
        <f t="shared" si="243"/>
        <v>0</v>
      </c>
      <c r="BB283" s="775">
        <f t="shared" si="216"/>
        <v>0</v>
      </c>
      <c r="BC283" s="775">
        <f t="shared" si="208"/>
        <v>0</v>
      </c>
      <c r="BD283" s="775">
        <f t="shared" si="244"/>
        <v>0</v>
      </c>
      <c r="BE283" s="775">
        <f t="shared" si="245"/>
        <v>0</v>
      </c>
      <c r="BG283" s="773">
        <v>271</v>
      </c>
      <c r="BH283" s="774">
        <f t="shared" si="246"/>
        <v>8218</v>
      </c>
      <c r="BI283" s="775">
        <f t="shared" si="247"/>
        <v>0</v>
      </c>
      <c r="BJ283" s="775">
        <f t="shared" si="217"/>
        <v>0</v>
      </c>
      <c r="BK283" s="775">
        <f t="shared" si="209"/>
        <v>0</v>
      </c>
      <c r="BL283" s="775">
        <f t="shared" si="248"/>
        <v>0</v>
      </c>
      <c r="BM283" s="775">
        <f t="shared" si="249"/>
        <v>0</v>
      </c>
    </row>
    <row r="284" spans="1:65">
      <c r="A284" s="11">
        <f t="shared" si="202"/>
        <v>1922</v>
      </c>
      <c r="B284" s="773">
        <v>272</v>
      </c>
      <c r="C284" s="774">
        <f t="shared" si="218"/>
        <v>8249</v>
      </c>
      <c r="D284" s="775">
        <f t="shared" si="219"/>
        <v>0</v>
      </c>
      <c r="E284" s="775">
        <f t="shared" si="210"/>
        <v>0</v>
      </c>
      <c r="F284" s="775">
        <f t="shared" si="200"/>
        <v>0</v>
      </c>
      <c r="G284" s="775">
        <f t="shared" si="220"/>
        <v>0</v>
      </c>
      <c r="H284" s="775">
        <f t="shared" si="221"/>
        <v>0</v>
      </c>
      <c r="I284" s="775">
        <f t="shared" si="201"/>
        <v>0</v>
      </c>
      <c r="K284" s="773">
        <v>272</v>
      </c>
      <c r="L284" s="774">
        <f t="shared" si="222"/>
        <v>8249</v>
      </c>
      <c r="M284" s="775">
        <f t="shared" si="223"/>
        <v>0</v>
      </c>
      <c r="N284" s="775">
        <f t="shared" si="211"/>
        <v>0</v>
      </c>
      <c r="O284" s="775">
        <f t="shared" si="203"/>
        <v>0</v>
      </c>
      <c r="P284" s="775">
        <f t="shared" si="224"/>
        <v>0</v>
      </c>
      <c r="Q284" s="775">
        <f t="shared" si="225"/>
        <v>0</v>
      </c>
      <c r="S284" s="773">
        <v>272</v>
      </c>
      <c r="T284" s="774">
        <f t="shared" si="226"/>
        <v>8249</v>
      </c>
      <c r="U284" s="775">
        <f t="shared" si="227"/>
        <v>0</v>
      </c>
      <c r="V284" s="775">
        <f t="shared" si="212"/>
        <v>0</v>
      </c>
      <c r="W284" s="775">
        <f t="shared" si="204"/>
        <v>0</v>
      </c>
      <c r="X284" s="775">
        <f t="shared" si="228"/>
        <v>0</v>
      </c>
      <c r="Y284" s="775">
        <f t="shared" si="229"/>
        <v>0</v>
      </c>
      <c r="AA284" s="773">
        <v>272</v>
      </c>
      <c r="AB284" s="774">
        <f t="shared" si="230"/>
        <v>8249</v>
      </c>
      <c r="AC284" s="775">
        <f t="shared" si="231"/>
        <v>0</v>
      </c>
      <c r="AD284" s="775">
        <f t="shared" si="213"/>
        <v>0</v>
      </c>
      <c r="AE284" s="775">
        <f t="shared" si="205"/>
        <v>0</v>
      </c>
      <c r="AF284" s="775">
        <f t="shared" si="232"/>
        <v>0</v>
      </c>
      <c r="AG284" s="775">
        <f t="shared" si="233"/>
        <v>0</v>
      </c>
      <c r="AI284" s="773">
        <v>272</v>
      </c>
      <c r="AJ284" s="774">
        <f t="shared" si="234"/>
        <v>8249</v>
      </c>
      <c r="AK284" s="775">
        <f t="shared" si="235"/>
        <v>0</v>
      </c>
      <c r="AL284" s="775">
        <f t="shared" si="214"/>
        <v>0</v>
      </c>
      <c r="AM284" s="775">
        <f t="shared" si="206"/>
        <v>0</v>
      </c>
      <c r="AN284" s="775">
        <f t="shared" si="236"/>
        <v>0</v>
      </c>
      <c r="AO284" s="775">
        <f t="shared" si="237"/>
        <v>0</v>
      </c>
      <c r="AQ284" s="773">
        <v>272</v>
      </c>
      <c r="AR284" s="774">
        <f t="shared" si="238"/>
        <v>8249</v>
      </c>
      <c r="AS284" s="775">
        <f t="shared" si="239"/>
        <v>0</v>
      </c>
      <c r="AT284" s="775">
        <f t="shared" si="215"/>
        <v>0</v>
      </c>
      <c r="AU284" s="775">
        <f t="shared" si="207"/>
        <v>0</v>
      </c>
      <c r="AV284" s="775">
        <f t="shared" si="240"/>
        <v>0</v>
      </c>
      <c r="AW284" s="775">
        <f t="shared" si="241"/>
        <v>0</v>
      </c>
      <c r="AY284" s="773">
        <v>272</v>
      </c>
      <c r="AZ284" s="774">
        <f t="shared" si="242"/>
        <v>8249</v>
      </c>
      <c r="BA284" s="775">
        <f t="shared" si="243"/>
        <v>0</v>
      </c>
      <c r="BB284" s="775">
        <f t="shared" si="216"/>
        <v>0</v>
      </c>
      <c r="BC284" s="775">
        <f t="shared" si="208"/>
        <v>0</v>
      </c>
      <c r="BD284" s="775">
        <f t="shared" si="244"/>
        <v>0</v>
      </c>
      <c r="BE284" s="775">
        <f t="shared" si="245"/>
        <v>0</v>
      </c>
      <c r="BG284" s="773">
        <v>272</v>
      </c>
      <c r="BH284" s="774">
        <f t="shared" si="246"/>
        <v>8249</v>
      </c>
      <c r="BI284" s="775">
        <f t="shared" si="247"/>
        <v>0</v>
      </c>
      <c r="BJ284" s="775">
        <f t="shared" si="217"/>
        <v>0</v>
      </c>
      <c r="BK284" s="775">
        <f t="shared" si="209"/>
        <v>0</v>
      </c>
      <c r="BL284" s="775">
        <f t="shared" si="248"/>
        <v>0</v>
      </c>
      <c r="BM284" s="775">
        <f t="shared" si="249"/>
        <v>0</v>
      </c>
    </row>
    <row r="285" spans="1:65">
      <c r="A285" s="11">
        <f t="shared" si="202"/>
        <v>1922</v>
      </c>
      <c r="B285" s="773">
        <v>273</v>
      </c>
      <c r="C285" s="774">
        <f t="shared" si="218"/>
        <v>8280</v>
      </c>
      <c r="D285" s="775">
        <f t="shared" si="219"/>
        <v>0</v>
      </c>
      <c r="E285" s="775">
        <f t="shared" si="210"/>
        <v>0</v>
      </c>
      <c r="F285" s="775">
        <f t="shared" si="200"/>
        <v>0</v>
      </c>
      <c r="G285" s="775">
        <f t="shared" si="220"/>
        <v>0</v>
      </c>
      <c r="H285" s="775">
        <f t="shared" si="221"/>
        <v>0</v>
      </c>
      <c r="I285" s="775">
        <f t="shared" si="201"/>
        <v>0</v>
      </c>
      <c r="K285" s="773">
        <v>273</v>
      </c>
      <c r="L285" s="774">
        <f t="shared" si="222"/>
        <v>8280</v>
      </c>
      <c r="M285" s="775">
        <f t="shared" si="223"/>
        <v>0</v>
      </c>
      <c r="N285" s="775">
        <f t="shared" si="211"/>
        <v>0</v>
      </c>
      <c r="O285" s="775">
        <f t="shared" si="203"/>
        <v>0</v>
      </c>
      <c r="P285" s="775">
        <f t="shared" si="224"/>
        <v>0</v>
      </c>
      <c r="Q285" s="775">
        <f t="shared" si="225"/>
        <v>0</v>
      </c>
      <c r="S285" s="773">
        <v>273</v>
      </c>
      <c r="T285" s="774">
        <f t="shared" si="226"/>
        <v>8280</v>
      </c>
      <c r="U285" s="775">
        <f t="shared" si="227"/>
        <v>0</v>
      </c>
      <c r="V285" s="775">
        <f t="shared" si="212"/>
        <v>0</v>
      </c>
      <c r="W285" s="775">
        <f t="shared" si="204"/>
        <v>0</v>
      </c>
      <c r="X285" s="775">
        <f t="shared" si="228"/>
        <v>0</v>
      </c>
      <c r="Y285" s="775">
        <f t="shared" si="229"/>
        <v>0</v>
      </c>
      <c r="AA285" s="773">
        <v>273</v>
      </c>
      <c r="AB285" s="774">
        <f t="shared" si="230"/>
        <v>8280</v>
      </c>
      <c r="AC285" s="775">
        <f t="shared" si="231"/>
        <v>0</v>
      </c>
      <c r="AD285" s="775">
        <f t="shared" si="213"/>
        <v>0</v>
      </c>
      <c r="AE285" s="775">
        <f t="shared" si="205"/>
        <v>0</v>
      </c>
      <c r="AF285" s="775">
        <f t="shared" si="232"/>
        <v>0</v>
      </c>
      <c r="AG285" s="775">
        <f t="shared" si="233"/>
        <v>0</v>
      </c>
      <c r="AI285" s="773">
        <v>273</v>
      </c>
      <c r="AJ285" s="774">
        <f t="shared" si="234"/>
        <v>8280</v>
      </c>
      <c r="AK285" s="775">
        <f t="shared" si="235"/>
        <v>0</v>
      </c>
      <c r="AL285" s="775">
        <f t="shared" si="214"/>
        <v>0</v>
      </c>
      <c r="AM285" s="775">
        <f t="shared" si="206"/>
        <v>0</v>
      </c>
      <c r="AN285" s="775">
        <f t="shared" si="236"/>
        <v>0</v>
      </c>
      <c r="AO285" s="775">
        <f t="shared" si="237"/>
        <v>0</v>
      </c>
      <c r="AQ285" s="773">
        <v>273</v>
      </c>
      <c r="AR285" s="774">
        <f t="shared" si="238"/>
        <v>8280</v>
      </c>
      <c r="AS285" s="775">
        <f t="shared" si="239"/>
        <v>0</v>
      </c>
      <c r="AT285" s="775">
        <f t="shared" si="215"/>
        <v>0</v>
      </c>
      <c r="AU285" s="775">
        <f t="shared" si="207"/>
        <v>0</v>
      </c>
      <c r="AV285" s="775">
        <f t="shared" si="240"/>
        <v>0</v>
      </c>
      <c r="AW285" s="775">
        <f t="shared" si="241"/>
        <v>0</v>
      </c>
      <c r="AY285" s="773">
        <v>273</v>
      </c>
      <c r="AZ285" s="774">
        <f t="shared" si="242"/>
        <v>8280</v>
      </c>
      <c r="BA285" s="775">
        <f t="shared" si="243"/>
        <v>0</v>
      </c>
      <c r="BB285" s="775">
        <f t="shared" si="216"/>
        <v>0</v>
      </c>
      <c r="BC285" s="775">
        <f t="shared" si="208"/>
        <v>0</v>
      </c>
      <c r="BD285" s="775">
        <f t="shared" si="244"/>
        <v>0</v>
      </c>
      <c r="BE285" s="775">
        <f t="shared" si="245"/>
        <v>0</v>
      </c>
      <c r="BG285" s="773">
        <v>273</v>
      </c>
      <c r="BH285" s="774">
        <f t="shared" si="246"/>
        <v>8280</v>
      </c>
      <c r="BI285" s="775">
        <f t="shared" si="247"/>
        <v>0</v>
      </c>
      <c r="BJ285" s="775">
        <f t="shared" si="217"/>
        <v>0</v>
      </c>
      <c r="BK285" s="775">
        <f t="shared" si="209"/>
        <v>0</v>
      </c>
      <c r="BL285" s="775">
        <f t="shared" si="248"/>
        <v>0</v>
      </c>
      <c r="BM285" s="775">
        <f t="shared" si="249"/>
        <v>0</v>
      </c>
    </row>
    <row r="286" spans="1:65">
      <c r="A286" s="11">
        <f t="shared" si="202"/>
        <v>1922</v>
      </c>
      <c r="B286" s="773">
        <v>274</v>
      </c>
      <c r="C286" s="774">
        <f t="shared" si="218"/>
        <v>8310</v>
      </c>
      <c r="D286" s="775">
        <f t="shared" si="219"/>
        <v>0</v>
      </c>
      <c r="E286" s="775">
        <f t="shared" si="210"/>
        <v>0</v>
      </c>
      <c r="F286" s="775">
        <f t="shared" si="200"/>
        <v>0</v>
      </c>
      <c r="G286" s="775">
        <f t="shared" si="220"/>
        <v>0</v>
      </c>
      <c r="H286" s="775">
        <f t="shared" si="221"/>
        <v>0</v>
      </c>
      <c r="I286" s="775">
        <f t="shared" si="201"/>
        <v>0</v>
      </c>
      <c r="K286" s="773">
        <v>274</v>
      </c>
      <c r="L286" s="774">
        <f t="shared" si="222"/>
        <v>8310</v>
      </c>
      <c r="M286" s="775">
        <f t="shared" si="223"/>
        <v>0</v>
      </c>
      <c r="N286" s="775">
        <f t="shared" si="211"/>
        <v>0</v>
      </c>
      <c r="O286" s="775">
        <f t="shared" si="203"/>
        <v>0</v>
      </c>
      <c r="P286" s="775">
        <f t="shared" si="224"/>
        <v>0</v>
      </c>
      <c r="Q286" s="775">
        <f t="shared" si="225"/>
        <v>0</v>
      </c>
      <c r="S286" s="773">
        <v>274</v>
      </c>
      <c r="T286" s="774">
        <f t="shared" si="226"/>
        <v>8310</v>
      </c>
      <c r="U286" s="775">
        <f t="shared" si="227"/>
        <v>0</v>
      </c>
      <c r="V286" s="775">
        <f t="shared" si="212"/>
        <v>0</v>
      </c>
      <c r="W286" s="775">
        <f t="shared" si="204"/>
        <v>0</v>
      </c>
      <c r="X286" s="775">
        <f t="shared" si="228"/>
        <v>0</v>
      </c>
      <c r="Y286" s="775">
        <f t="shared" si="229"/>
        <v>0</v>
      </c>
      <c r="AA286" s="773">
        <v>274</v>
      </c>
      <c r="AB286" s="774">
        <f t="shared" si="230"/>
        <v>8310</v>
      </c>
      <c r="AC286" s="775">
        <f t="shared" si="231"/>
        <v>0</v>
      </c>
      <c r="AD286" s="775">
        <f t="shared" si="213"/>
        <v>0</v>
      </c>
      <c r="AE286" s="775">
        <f t="shared" si="205"/>
        <v>0</v>
      </c>
      <c r="AF286" s="775">
        <f t="shared" si="232"/>
        <v>0</v>
      </c>
      <c r="AG286" s="775">
        <f t="shared" si="233"/>
        <v>0</v>
      </c>
      <c r="AI286" s="773">
        <v>274</v>
      </c>
      <c r="AJ286" s="774">
        <f t="shared" si="234"/>
        <v>8310</v>
      </c>
      <c r="AK286" s="775">
        <f t="shared" si="235"/>
        <v>0</v>
      </c>
      <c r="AL286" s="775">
        <f t="shared" si="214"/>
        <v>0</v>
      </c>
      <c r="AM286" s="775">
        <f t="shared" si="206"/>
        <v>0</v>
      </c>
      <c r="AN286" s="775">
        <f t="shared" si="236"/>
        <v>0</v>
      </c>
      <c r="AO286" s="775">
        <f t="shared" si="237"/>
        <v>0</v>
      </c>
      <c r="AQ286" s="773">
        <v>274</v>
      </c>
      <c r="AR286" s="774">
        <f t="shared" si="238"/>
        <v>8310</v>
      </c>
      <c r="AS286" s="775">
        <f t="shared" si="239"/>
        <v>0</v>
      </c>
      <c r="AT286" s="775">
        <f t="shared" si="215"/>
        <v>0</v>
      </c>
      <c r="AU286" s="775">
        <f t="shared" si="207"/>
        <v>0</v>
      </c>
      <c r="AV286" s="775">
        <f t="shared" si="240"/>
        <v>0</v>
      </c>
      <c r="AW286" s="775">
        <f t="shared" si="241"/>
        <v>0</v>
      </c>
      <c r="AY286" s="773">
        <v>274</v>
      </c>
      <c r="AZ286" s="774">
        <f t="shared" si="242"/>
        <v>8310</v>
      </c>
      <c r="BA286" s="775">
        <f t="shared" si="243"/>
        <v>0</v>
      </c>
      <c r="BB286" s="775">
        <f t="shared" si="216"/>
        <v>0</v>
      </c>
      <c r="BC286" s="775">
        <f t="shared" si="208"/>
        <v>0</v>
      </c>
      <c r="BD286" s="775">
        <f t="shared" si="244"/>
        <v>0</v>
      </c>
      <c r="BE286" s="775">
        <f t="shared" si="245"/>
        <v>0</v>
      </c>
      <c r="BG286" s="773">
        <v>274</v>
      </c>
      <c r="BH286" s="774">
        <f t="shared" si="246"/>
        <v>8310</v>
      </c>
      <c r="BI286" s="775">
        <f t="shared" si="247"/>
        <v>0</v>
      </c>
      <c r="BJ286" s="775">
        <f t="shared" si="217"/>
        <v>0</v>
      </c>
      <c r="BK286" s="775">
        <f t="shared" si="209"/>
        <v>0</v>
      </c>
      <c r="BL286" s="775">
        <f t="shared" si="248"/>
        <v>0</v>
      </c>
      <c r="BM286" s="775">
        <f t="shared" si="249"/>
        <v>0</v>
      </c>
    </row>
    <row r="287" spans="1:65">
      <c r="A287" s="11">
        <f t="shared" si="202"/>
        <v>1922</v>
      </c>
      <c r="B287" s="773">
        <v>275</v>
      </c>
      <c r="C287" s="774">
        <f t="shared" si="218"/>
        <v>8341</v>
      </c>
      <c r="D287" s="775">
        <f t="shared" si="219"/>
        <v>0</v>
      </c>
      <c r="E287" s="775">
        <f t="shared" si="210"/>
        <v>0</v>
      </c>
      <c r="F287" s="775">
        <f t="shared" si="200"/>
        <v>0</v>
      </c>
      <c r="G287" s="775">
        <f t="shared" si="220"/>
        <v>0</v>
      </c>
      <c r="H287" s="775">
        <f t="shared" si="221"/>
        <v>0</v>
      </c>
      <c r="I287" s="775">
        <f t="shared" si="201"/>
        <v>0</v>
      </c>
      <c r="K287" s="773">
        <v>275</v>
      </c>
      <c r="L287" s="774">
        <f t="shared" si="222"/>
        <v>8341</v>
      </c>
      <c r="M287" s="775">
        <f t="shared" si="223"/>
        <v>0</v>
      </c>
      <c r="N287" s="775">
        <f t="shared" si="211"/>
        <v>0</v>
      </c>
      <c r="O287" s="775">
        <f t="shared" si="203"/>
        <v>0</v>
      </c>
      <c r="P287" s="775">
        <f t="shared" si="224"/>
        <v>0</v>
      </c>
      <c r="Q287" s="775">
        <f t="shared" si="225"/>
        <v>0</v>
      </c>
      <c r="S287" s="773">
        <v>275</v>
      </c>
      <c r="T287" s="774">
        <f t="shared" si="226"/>
        <v>8341</v>
      </c>
      <c r="U287" s="775">
        <f t="shared" si="227"/>
        <v>0</v>
      </c>
      <c r="V287" s="775">
        <f t="shared" si="212"/>
        <v>0</v>
      </c>
      <c r="W287" s="775">
        <f t="shared" si="204"/>
        <v>0</v>
      </c>
      <c r="X287" s="775">
        <f t="shared" si="228"/>
        <v>0</v>
      </c>
      <c r="Y287" s="775">
        <f t="shared" si="229"/>
        <v>0</v>
      </c>
      <c r="AA287" s="773">
        <v>275</v>
      </c>
      <c r="AB287" s="774">
        <f t="shared" si="230"/>
        <v>8341</v>
      </c>
      <c r="AC287" s="775">
        <f t="shared" si="231"/>
        <v>0</v>
      </c>
      <c r="AD287" s="775">
        <f t="shared" si="213"/>
        <v>0</v>
      </c>
      <c r="AE287" s="775">
        <f t="shared" si="205"/>
        <v>0</v>
      </c>
      <c r="AF287" s="775">
        <f t="shared" si="232"/>
        <v>0</v>
      </c>
      <c r="AG287" s="775">
        <f t="shared" si="233"/>
        <v>0</v>
      </c>
      <c r="AI287" s="773">
        <v>275</v>
      </c>
      <c r="AJ287" s="774">
        <f t="shared" si="234"/>
        <v>8341</v>
      </c>
      <c r="AK287" s="775">
        <f t="shared" si="235"/>
        <v>0</v>
      </c>
      <c r="AL287" s="775">
        <f t="shared" si="214"/>
        <v>0</v>
      </c>
      <c r="AM287" s="775">
        <f t="shared" si="206"/>
        <v>0</v>
      </c>
      <c r="AN287" s="775">
        <f t="shared" si="236"/>
        <v>0</v>
      </c>
      <c r="AO287" s="775">
        <f t="shared" si="237"/>
        <v>0</v>
      </c>
      <c r="AQ287" s="773">
        <v>275</v>
      </c>
      <c r="AR287" s="774">
        <f t="shared" si="238"/>
        <v>8341</v>
      </c>
      <c r="AS287" s="775">
        <f t="shared" si="239"/>
        <v>0</v>
      </c>
      <c r="AT287" s="775">
        <f t="shared" si="215"/>
        <v>0</v>
      </c>
      <c r="AU287" s="775">
        <f t="shared" si="207"/>
        <v>0</v>
      </c>
      <c r="AV287" s="775">
        <f t="shared" si="240"/>
        <v>0</v>
      </c>
      <c r="AW287" s="775">
        <f t="shared" si="241"/>
        <v>0</v>
      </c>
      <c r="AY287" s="773">
        <v>275</v>
      </c>
      <c r="AZ287" s="774">
        <f t="shared" si="242"/>
        <v>8341</v>
      </c>
      <c r="BA287" s="775">
        <f t="shared" si="243"/>
        <v>0</v>
      </c>
      <c r="BB287" s="775">
        <f t="shared" si="216"/>
        <v>0</v>
      </c>
      <c r="BC287" s="775">
        <f t="shared" si="208"/>
        <v>0</v>
      </c>
      <c r="BD287" s="775">
        <f t="shared" si="244"/>
        <v>0</v>
      </c>
      <c r="BE287" s="775">
        <f t="shared" si="245"/>
        <v>0</v>
      </c>
      <c r="BG287" s="773">
        <v>275</v>
      </c>
      <c r="BH287" s="774">
        <f t="shared" si="246"/>
        <v>8341</v>
      </c>
      <c r="BI287" s="775">
        <f t="shared" si="247"/>
        <v>0</v>
      </c>
      <c r="BJ287" s="775">
        <f t="shared" si="217"/>
        <v>0</v>
      </c>
      <c r="BK287" s="775">
        <f t="shared" si="209"/>
        <v>0</v>
      </c>
      <c r="BL287" s="775">
        <f t="shared" si="248"/>
        <v>0</v>
      </c>
      <c r="BM287" s="775">
        <f t="shared" si="249"/>
        <v>0</v>
      </c>
    </row>
    <row r="288" spans="1:65">
      <c r="A288" s="11">
        <f t="shared" si="202"/>
        <v>1922</v>
      </c>
      <c r="B288" s="773">
        <v>276</v>
      </c>
      <c r="C288" s="774">
        <f t="shared" si="218"/>
        <v>8371</v>
      </c>
      <c r="D288" s="775">
        <f t="shared" si="219"/>
        <v>0</v>
      </c>
      <c r="E288" s="775">
        <f t="shared" si="210"/>
        <v>0</v>
      </c>
      <c r="F288" s="775">
        <f t="shared" si="200"/>
        <v>0</v>
      </c>
      <c r="G288" s="775">
        <f t="shared" si="220"/>
        <v>0</v>
      </c>
      <c r="H288" s="775">
        <f t="shared" si="221"/>
        <v>0</v>
      </c>
      <c r="I288" s="775">
        <f t="shared" si="201"/>
        <v>0</v>
      </c>
      <c r="K288" s="773">
        <v>276</v>
      </c>
      <c r="L288" s="774">
        <f t="shared" si="222"/>
        <v>8371</v>
      </c>
      <c r="M288" s="775">
        <f t="shared" si="223"/>
        <v>0</v>
      </c>
      <c r="N288" s="775">
        <f t="shared" si="211"/>
        <v>0</v>
      </c>
      <c r="O288" s="775">
        <f t="shared" si="203"/>
        <v>0</v>
      </c>
      <c r="P288" s="775">
        <f t="shared" si="224"/>
        <v>0</v>
      </c>
      <c r="Q288" s="775">
        <f t="shared" si="225"/>
        <v>0</v>
      </c>
      <c r="S288" s="773">
        <v>276</v>
      </c>
      <c r="T288" s="774">
        <f t="shared" si="226"/>
        <v>8371</v>
      </c>
      <c r="U288" s="775">
        <f t="shared" si="227"/>
        <v>0</v>
      </c>
      <c r="V288" s="775">
        <f t="shared" si="212"/>
        <v>0</v>
      </c>
      <c r="W288" s="775">
        <f t="shared" si="204"/>
        <v>0</v>
      </c>
      <c r="X288" s="775">
        <f t="shared" si="228"/>
        <v>0</v>
      </c>
      <c r="Y288" s="775">
        <f t="shared" si="229"/>
        <v>0</v>
      </c>
      <c r="AA288" s="773">
        <v>276</v>
      </c>
      <c r="AB288" s="774">
        <f t="shared" si="230"/>
        <v>8371</v>
      </c>
      <c r="AC288" s="775">
        <f t="shared" si="231"/>
        <v>0</v>
      </c>
      <c r="AD288" s="775">
        <f t="shared" si="213"/>
        <v>0</v>
      </c>
      <c r="AE288" s="775">
        <f t="shared" si="205"/>
        <v>0</v>
      </c>
      <c r="AF288" s="775">
        <f t="shared" si="232"/>
        <v>0</v>
      </c>
      <c r="AG288" s="775">
        <f t="shared" si="233"/>
        <v>0</v>
      </c>
      <c r="AI288" s="773">
        <v>276</v>
      </c>
      <c r="AJ288" s="774">
        <f t="shared" si="234"/>
        <v>8371</v>
      </c>
      <c r="AK288" s="775">
        <f t="shared" si="235"/>
        <v>0</v>
      </c>
      <c r="AL288" s="775">
        <f t="shared" si="214"/>
        <v>0</v>
      </c>
      <c r="AM288" s="775">
        <f t="shared" si="206"/>
        <v>0</v>
      </c>
      <c r="AN288" s="775">
        <f t="shared" si="236"/>
        <v>0</v>
      </c>
      <c r="AO288" s="775">
        <f t="shared" si="237"/>
        <v>0</v>
      </c>
      <c r="AQ288" s="773">
        <v>276</v>
      </c>
      <c r="AR288" s="774">
        <f t="shared" si="238"/>
        <v>8371</v>
      </c>
      <c r="AS288" s="775">
        <f t="shared" si="239"/>
        <v>0</v>
      </c>
      <c r="AT288" s="775">
        <f t="shared" si="215"/>
        <v>0</v>
      </c>
      <c r="AU288" s="775">
        <f t="shared" si="207"/>
        <v>0</v>
      </c>
      <c r="AV288" s="775">
        <f t="shared" si="240"/>
        <v>0</v>
      </c>
      <c r="AW288" s="775">
        <f t="shared" si="241"/>
        <v>0</v>
      </c>
      <c r="AY288" s="773">
        <v>276</v>
      </c>
      <c r="AZ288" s="774">
        <f t="shared" si="242"/>
        <v>8371</v>
      </c>
      <c r="BA288" s="775">
        <f t="shared" si="243"/>
        <v>0</v>
      </c>
      <c r="BB288" s="775">
        <f t="shared" si="216"/>
        <v>0</v>
      </c>
      <c r="BC288" s="775">
        <f t="shared" si="208"/>
        <v>0</v>
      </c>
      <c r="BD288" s="775">
        <f t="shared" si="244"/>
        <v>0</v>
      </c>
      <c r="BE288" s="775">
        <f t="shared" si="245"/>
        <v>0</v>
      </c>
      <c r="BG288" s="773">
        <v>276</v>
      </c>
      <c r="BH288" s="774">
        <f t="shared" si="246"/>
        <v>8371</v>
      </c>
      <c r="BI288" s="775">
        <f t="shared" si="247"/>
        <v>0</v>
      </c>
      <c r="BJ288" s="775">
        <f t="shared" si="217"/>
        <v>0</v>
      </c>
      <c r="BK288" s="775">
        <f t="shared" si="209"/>
        <v>0</v>
      </c>
      <c r="BL288" s="775">
        <f t="shared" si="248"/>
        <v>0</v>
      </c>
      <c r="BM288" s="775">
        <f t="shared" si="249"/>
        <v>0</v>
      </c>
    </row>
    <row r="289" spans="1:65">
      <c r="A289" s="11">
        <f t="shared" si="202"/>
        <v>1923</v>
      </c>
      <c r="B289" s="773">
        <v>277</v>
      </c>
      <c r="C289" s="774">
        <f t="shared" si="218"/>
        <v>8402</v>
      </c>
      <c r="D289" s="775">
        <f t="shared" si="219"/>
        <v>0</v>
      </c>
      <c r="E289" s="775">
        <f t="shared" si="210"/>
        <v>0</v>
      </c>
      <c r="F289" s="775">
        <f t="shared" si="200"/>
        <v>0</v>
      </c>
      <c r="G289" s="775">
        <f t="shared" si="220"/>
        <v>0</v>
      </c>
      <c r="H289" s="775">
        <f t="shared" si="221"/>
        <v>0</v>
      </c>
      <c r="I289" s="775">
        <f t="shared" si="201"/>
        <v>0</v>
      </c>
      <c r="K289" s="773">
        <v>277</v>
      </c>
      <c r="L289" s="774">
        <f t="shared" si="222"/>
        <v>8402</v>
      </c>
      <c r="M289" s="775">
        <f t="shared" si="223"/>
        <v>0</v>
      </c>
      <c r="N289" s="775">
        <f t="shared" si="211"/>
        <v>0</v>
      </c>
      <c r="O289" s="775">
        <f t="shared" si="203"/>
        <v>0</v>
      </c>
      <c r="P289" s="775">
        <f t="shared" si="224"/>
        <v>0</v>
      </c>
      <c r="Q289" s="775">
        <f t="shared" si="225"/>
        <v>0</v>
      </c>
      <c r="S289" s="773">
        <v>277</v>
      </c>
      <c r="T289" s="774">
        <f t="shared" si="226"/>
        <v>8402</v>
      </c>
      <c r="U289" s="775">
        <f t="shared" si="227"/>
        <v>0</v>
      </c>
      <c r="V289" s="775">
        <f t="shared" si="212"/>
        <v>0</v>
      </c>
      <c r="W289" s="775">
        <f t="shared" si="204"/>
        <v>0</v>
      </c>
      <c r="X289" s="775">
        <f t="shared" si="228"/>
        <v>0</v>
      </c>
      <c r="Y289" s="775">
        <f t="shared" si="229"/>
        <v>0</v>
      </c>
      <c r="AA289" s="773">
        <v>277</v>
      </c>
      <c r="AB289" s="774">
        <f t="shared" si="230"/>
        <v>8402</v>
      </c>
      <c r="AC289" s="775">
        <f t="shared" si="231"/>
        <v>0</v>
      </c>
      <c r="AD289" s="775">
        <f t="shared" si="213"/>
        <v>0</v>
      </c>
      <c r="AE289" s="775">
        <f t="shared" si="205"/>
        <v>0</v>
      </c>
      <c r="AF289" s="775">
        <f t="shared" si="232"/>
        <v>0</v>
      </c>
      <c r="AG289" s="775">
        <f t="shared" si="233"/>
        <v>0</v>
      </c>
      <c r="AI289" s="773">
        <v>277</v>
      </c>
      <c r="AJ289" s="774">
        <f t="shared" si="234"/>
        <v>8402</v>
      </c>
      <c r="AK289" s="775">
        <f t="shared" si="235"/>
        <v>0</v>
      </c>
      <c r="AL289" s="775">
        <f t="shared" si="214"/>
        <v>0</v>
      </c>
      <c r="AM289" s="775">
        <f t="shared" si="206"/>
        <v>0</v>
      </c>
      <c r="AN289" s="775">
        <f t="shared" si="236"/>
        <v>0</v>
      </c>
      <c r="AO289" s="775">
        <f t="shared" si="237"/>
        <v>0</v>
      </c>
      <c r="AQ289" s="773">
        <v>277</v>
      </c>
      <c r="AR289" s="774">
        <f t="shared" si="238"/>
        <v>8402</v>
      </c>
      <c r="AS289" s="775">
        <f t="shared" si="239"/>
        <v>0</v>
      </c>
      <c r="AT289" s="775">
        <f t="shared" si="215"/>
        <v>0</v>
      </c>
      <c r="AU289" s="775">
        <f t="shared" si="207"/>
        <v>0</v>
      </c>
      <c r="AV289" s="775">
        <f t="shared" si="240"/>
        <v>0</v>
      </c>
      <c r="AW289" s="775">
        <f t="shared" si="241"/>
        <v>0</v>
      </c>
      <c r="AY289" s="773">
        <v>277</v>
      </c>
      <c r="AZ289" s="774">
        <f t="shared" si="242"/>
        <v>8402</v>
      </c>
      <c r="BA289" s="775">
        <f t="shared" si="243"/>
        <v>0</v>
      </c>
      <c r="BB289" s="775">
        <f t="shared" si="216"/>
        <v>0</v>
      </c>
      <c r="BC289" s="775">
        <f t="shared" si="208"/>
        <v>0</v>
      </c>
      <c r="BD289" s="775">
        <f t="shared" si="244"/>
        <v>0</v>
      </c>
      <c r="BE289" s="775">
        <f t="shared" si="245"/>
        <v>0</v>
      </c>
      <c r="BG289" s="773">
        <v>277</v>
      </c>
      <c r="BH289" s="774">
        <f t="shared" si="246"/>
        <v>8402</v>
      </c>
      <c r="BI289" s="775">
        <f t="shared" si="247"/>
        <v>0</v>
      </c>
      <c r="BJ289" s="775">
        <f t="shared" si="217"/>
        <v>0</v>
      </c>
      <c r="BK289" s="775">
        <f t="shared" si="209"/>
        <v>0</v>
      </c>
      <c r="BL289" s="775">
        <f t="shared" si="248"/>
        <v>0</v>
      </c>
      <c r="BM289" s="775">
        <f t="shared" si="249"/>
        <v>0</v>
      </c>
    </row>
    <row r="290" spans="1:65">
      <c r="A290" s="11">
        <f t="shared" si="202"/>
        <v>1923</v>
      </c>
      <c r="B290" s="773">
        <v>278</v>
      </c>
      <c r="C290" s="774">
        <f t="shared" si="218"/>
        <v>8433</v>
      </c>
      <c r="D290" s="775">
        <f t="shared" si="219"/>
        <v>0</v>
      </c>
      <c r="E290" s="775">
        <f t="shared" si="210"/>
        <v>0</v>
      </c>
      <c r="F290" s="775">
        <f t="shared" si="200"/>
        <v>0</v>
      </c>
      <c r="G290" s="775">
        <f t="shared" si="220"/>
        <v>0</v>
      </c>
      <c r="H290" s="775">
        <f t="shared" si="221"/>
        <v>0</v>
      </c>
      <c r="I290" s="775">
        <f t="shared" si="201"/>
        <v>0</v>
      </c>
      <c r="K290" s="773">
        <v>278</v>
      </c>
      <c r="L290" s="774">
        <f t="shared" si="222"/>
        <v>8433</v>
      </c>
      <c r="M290" s="775">
        <f t="shared" si="223"/>
        <v>0</v>
      </c>
      <c r="N290" s="775">
        <f t="shared" si="211"/>
        <v>0</v>
      </c>
      <c r="O290" s="775">
        <f t="shared" si="203"/>
        <v>0</v>
      </c>
      <c r="P290" s="775">
        <f t="shared" si="224"/>
        <v>0</v>
      </c>
      <c r="Q290" s="775">
        <f t="shared" si="225"/>
        <v>0</v>
      </c>
      <c r="S290" s="773">
        <v>278</v>
      </c>
      <c r="T290" s="774">
        <f t="shared" si="226"/>
        <v>8433</v>
      </c>
      <c r="U290" s="775">
        <f t="shared" si="227"/>
        <v>0</v>
      </c>
      <c r="V290" s="775">
        <f t="shared" si="212"/>
        <v>0</v>
      </c>
      <c r="W290" s="775">
        <f t="shared" si="204"/>
        <v>0</v>
      </c>
      <c r="X290" s="775">
        <f t="shared" si="228"/>
        <v>0</v>
      </c>
      <c r="Y290" s="775">
        <f t="shared" si="229"/>
        <v>0</v>
      </c>
      <c r="AA290" s="773">
        <v>278</v>
      </c>
      <c r="AB290" s="774">
        <f t="shared" si="230"/>
        <v>8433</v>
      </c>
      <c r="AC290" s="775">
        <f t="shared" si="231"/>
        <v>0</v>
      </c>
      <c r="AD290" s="775">
        <f t="shared" si="213"/>
        <v>0</v>
      </c>
      <c r="AE290" s="775">
        <f t="shared" si="205"/>
        <v>0</v>
      </c>
      <c r="AF290" s="775">
        <f t="shared" si="232"/>
        <v>0</v>
      </c>
      <c r="AG290" s="775">
        <f t="shared" si="233"/>
        <v>0</v>
      </c>
      <c r="AI290" s="773">
        <v>278</v>
      </c>
      <c r="AJ290" s="774">
        <f t="shared" si="234"/>
        <v>8433</v>
      </c>
      <c r="AK290" s="775">
        <f t="shared" si="235"/>
        <v>0</v>
      </c>
      <c r="AL290" s="775">
        <f t="shared" si="214"/>
        <v>0</v>
      </c>
      <c r="AM290" s="775">
        <f t="shared" si="206"/>
        <v>0</v>
      </c>
      <c r="AN290" s="775">
        <f t="shared" si="236"/>
        <v>0</v>
      </c>
      <c r="AO290" s="775">
        <f t="shared" si="237"/>
        <v>0</v>
      </c>
      <c r="AQ290" s="773">
        <v>278</v>
      </c>
      <c r="AR290" s="774">
        <f t="shared" si="238"/>
        <v>8433</v>
      </c>
      <c r="AS290" s="775">
        <f t="shared" si="239"/>
        <v>0</v>
      </c>
      <c r="AT290" s="775">
        <f t="shared" si="215"/>
        <v>0</v>
      </c>
      <c r="AU290" s="775">
        <f t="shared" si="207"/>
        <v>0</v>
      </c>
      <c r="AV290" s="775">
        <f t="shared" si="240"/>
        <v>0</v>
      </c>
      <c r="AW290" s="775">
        <f t="shared" si="241"/>
        <v>0</v>
      </c>
      <c r="AY290" s="773">
        <v>278</v>
      </c>
      <c r="AZ290" s="774">
        <f t="shared" si="242"/>
        <v>8433</v>
      </c>
      <c r="BA290" s="775">
        <f t="shared" si="243"/>
        <v>0</v>
      </c>
      <c r="BB290" s="775">
        <f t="shared" si="216"/>
        <v>0</v>
      </c>
      <c r="BC290" s="775">
        <f t="shared" si="208"/>
        <v>0</v>
      </c>
      <c r="BD290" s="775">
        <f t="shared" si="244"/>
        <v>0</v>
      </c>
      <c r="BE290" s="775">
        <f t="shared" si="245"/>
        <v>0</v>
      </c>
      <c r="BG290" s="773">
        <v>278</v>
      </c>
      <c r="BH290" s="774">
        <f t="shared" si="246"/>
        <v>8433</v>
      </c>
      <c r="BI290" s="775">
        <f t="shared" si="247"/>
        <v>0</v>
      </c>
      <c r="BJ290" s="775">
        <f t="shared" si="217"/>
        <v>0</v>
      </c>
      <c r="BK290" s="775">
        <f t="shared" si="209"/>
        <v>0</v>
      </c>
      <c r="BL290" s="775">
        <f t="shared" si="248"/>
        <v>0</v>
      </c>
      <c r="BM290" s="775">
        <f t="shared" si="249"/>
        <v>0</v>
      </c>
    </row>
    <row r="291" spans="1:65">
      <c r="A291" s="11">
        <f t="shared" si="202"/>
        <v>1923</v>
      </c>
      <c r="B291" s="773">
        <v>279</v>
      </c>
      <c r="C291" s="774">
        <f t="shared" si="218"/>
        <v>8461</v>
      </c>
      <c r="D291" s="775">
        <f t="shared" si="219"/>
        <v>0</v>
      </c>
      <c r="E291" s="775">
        <f t="shared" si="210"/>
        <v>0</v>
      </c>
      <c r="F291" s="775">
        <f t="shared" si="200"/>
        <v>0</v>
      </c>
      <c r="G291" s="775">
        <f t="shared" si="220"/>
        <v>0</v>
      </c>
      <c r="H291" s="775">
        <f t="shared" si="221"/>
        <v>0</v>
      </c>
      <c r="I291" s="775">
        <f t="shared" si="201"/>
        <v>0</v>
      </c>
      <c r="K291" s="773">
        <v>279</v>
      </c>
      <c r="L291" s="774">
        <f t="shared" si="222"/>
        <v>8461</v>
      </c>
      <c r="M291" s="775">
        <f t="shared" si="223"/>
        <v>0</v>
      </c>
      <c r="N291" s="775">
        <f t="shared" si="211"/>
        <v>0</v>
      </c>
      <c r="O291" s="775">
        <f t="shared" si="203"/>
        <v>0</v>
      </c>
      <c r="P291" s="775">
        <f t="shared" si="224"/>
        <v>0</v>
      </c>
      <c r="Q291" s="775">
        <f t="shared" si="225"/>
        <v>0</v>
      </c>
      <c r="S291" s="773">
        <v>279</v>
      </c>
      <c r="T291" s="774">
        <f t="shared" si="226"/>
        <v>8461</v>
      </c>
      <c r="U291" s="775">
        <f t="shared" si="227"/>
        <v>0</v>
      </c>
      <c r="V291" s="775">
        <f t="shared" si="212"/>
        <v>0</v>
      </c>
      <c r="W291" s="775">
        <f t="shared" si="204"/>
        <v>0</v>
      </c>
      <c r="X291" s="775">
        <f t="shared" si="228"/>
        <v>0</v>
      </c>
      <c r="Y291" s="775">
        <f t="shared" si="229"/>
        <v>0</v>
      </c>
      <c r="AA291" s="773">
        <v>279</v>
      </c>
      <c r="AB291" s="774">
        <f t="shared" si="230"/>
        <v>8461</v>
      </c>
      <c r="AC291" s="775">
        <f t="shared" si="231"/>
        <v>0</v>
      </c>
      <c r="AD291" s="775">
        <f t="shared" si="213"/>
        <v>0</v>
      </c>
      <c r="AE291" s="775">
        <f t="shared" si="205"/>
        <v>0</v>
      </c>
      <c r="AF291" s="775">
        <f t="shared" si="232"/>
        <v>0</v>
      </c>
      <c r="AG291" s="775">
        <f t="shared" si="233"/>
        <v>0</v>
      </c>
      <c r="AI291" s="773">
        <v>279</v>
      </c>
      <c r="AJ291" s="774">
        <f t="shared" si="234"/>
        <v>8461</v>
      </c>
      <c r="AK291" s="775">
        <f t="shared" si="235"/>
        <v>0</v>
      </c>
      <c r="AL291" s="775">
        <f t="shared" si="214"/>
        <v>0</v>
      </c>
      <c r="AM291" s="775">
        <f t="shared" si="206"/>
        <v>0</v>
      </c>
      <c r="AN291" s="775">
        <f t="shared" si="236"/>
        <v>0</v>
      </c>
      <c r="AO291" s="775">
        <f t="shared" si="237"/>
        <v>0</v>
      </c>
      <c r="AQ291" s="773">
        <v>279</v>
      </c>
      <c r="AR291" s="774">
        <f t="shared" si="238"/>
        <v>8461</v>
      </c>
      <c r="AS291" s="775">
        <f t="shared" si="239"/>
        <v>0</v>
      </c>
      <c r="AT291" s="775">
        <f t="shared" si="215"/>
        <v>0</v>
      </c>
      <c r="AU291" s="775">
        <f t="shared" si="207"/>
        <v>0</v>
      </c>
      <c r="AV291" s="775">
        <f t="shared" si="240"/>
        <v>0</v>
      </c>
      <c r="AW291" s="775">
        <f t="shared" si="241"/>
        <v>0</v>
      </c>
      <c r="AY291" s="773">
        <v>279</v>
      </c>
      <c r="AZ291" s="774">
        <f t="shared" si="242"/>
        <v>8461</v>
      </c>
      <c r="BA291" s="775">
        <f t="shared" si="243"/>
        <v>0</v>
      </c>
      <c r="BB291" s="775">
        <f t="shared" si="216"/>
        <v>0</v>
      </c>
      <c r="BC291" s="775">
        <f t="shared" si="208"/>
        <v>0</v>
      </c>
      <c r="BD291" s="775">
        <f t="shared" si="244"/>
        <v>0</v>
      </c>
      <c r="BE291" s="775">
        <f t="shared" si="245"/>
        <v>0</v>
      </c>
      <c r="BG291" s="773">
        <v>279</v>
      </c>
      <c r="BH291" s="774">
        <f t="shared" si="246"/>
        <v>8461</v>
      </c>
      <c r="BI291" s="775">
        <f t="shared" si="247"/>
        <v>0</v>
      </c>
      <c r="BJ291" s="775">
        <f t="shared" si="217"/>
        <v>0</v>
      </c>
      <c r="BK291" s="775">
        <f t="shared" si="209"/>
        <v>0</v>
      </c>
      <c r="BL291" s="775">
        <f t="shared" si="248"/>
        <v>0</v>
      </c>
      <c r="BM291" s="775">
        <f t="shared" si="249"/>
        <v>0</v>
      </c>
    </row>
    <row r="292" spans="1:65">
      <c r="A292" s="11">
        <f t="shared" si="202"/>
        <v>1923</v>
      </c>
      <c r="B292" s="773">
        <v>280</v>
      </c>
      <c r="C292" s="774">
        <f t="shared" si="218"/>
        <v>8492</v>
      </c>
      <c r="D292" s="775">
        <f t="shared" si="219"/>
        <v>0</v>
      </c>
      <c r="E292" s="775">
        <f t="shared" si="210"/>
        <v>0</v>
      </c>
      <c r="F292" s="775">
        <f t="shared" si="200"/>
        <v>0</v>
      </c>
      <c r="G292" s="775">
        <f t="shared" si="220"/>
        <v>0</v>
      </c>
      <c r="H292" s="775">
        <f t="shared" si="221"/>
        <v>0</v>
      </c>
      <c r="I292" s="775">
        <f t="shared" si="201"/>
        <v>0</v>
      </c>
      <c r="K292" s="773">
        <v>280</v>
      </c>
      <c r="L292" s="774">
        <f t="shared" si="222"/>
        <v>8492</v>
      </c>
      <c r="M292" s="775">
        <f t="shared" si="223"/>
        <v>0</v>
      </c>
      <c r="N292" s="775">
        <f t="shared" si="211"/>
        <v>0</v>
      </c>
      <c r="O292" s="775">
        <f t="shared" si="203"/>
        <v>0</v>
      </c>
      <c r="P292" s="775">
        <f t="shared" si="224"/>
        <v>0</v>
      </c>
      <c r="Q292" s="775">
        <f t="shared" si="225"/>
        <v>0</v>
      </c>
      <c r="S292" s="773">
        <v>280</v>
      </c>
      <c r="T292" s="774">
        <f t="shared" si="226"/>
        <v>8492</v>
      </c>
      <c r="U292" s="775">
        <f t="shared" si="227"/>
        <v>0</v>
      </c>
      <c r="V292" s="775">
        <f t="shared" si="212"/>
        <v>0</v>
      </c>
      <c r="W292" s="775">
        <f t="shared" si="204"/>
        <v>0</v>
      </c>
      <c r="X292" s="775">
        <f t="shared" si="228"/>
        <v>0</v>
      </c>
      <c r="Y292" s="775">
        <f t="shared" si="229"/>
        <v>0</v>
      </c>
      <c r="AA292" s="773">
        <v>280</v>
      </c>
      <c r="AB292" s="774">
        <f t="shared" si="230"/>
        <v>8492</v>
      </c>
      <c r="AC292" s="775">
        <f t="shared" si="231"/>
        <v>0</v>
      </c>
      <c r="AD292" s="775">
        <f t="shared" si="213"/>
        <v>0</v>
      </c>
      <c r="AE292" s="775">
        <f t="shared" si="205"/>
        <v>0</v>
      </c>
      <c r="AF292" s="775">
        <f t="shared" si="232"/>
        <v>0</v>
      </c>
      <c r="AG292" s="775">
        <f t="shared" si="233"/>
        <v>0</v>
      </c>
      <c r="AI292" s="773">
        <v>280</v>
      </c>
      <c r="AJ292" s="774">
        <f t="shared" si="234"/>
        <v>8492</v>
      </c>
      <c r="AK292" s="775">
        <f t="shared" si="235"/>
        <v>0</v>
      </c>
      <c r="AL292" s="775">
        <f t="shared" si="214"/>
        <v>0</v>
      </c>
      <c r="AM292" s="775">
        <f t="shared" si="206"/>
        <v>0</v>
      </c>
      <c r="AN292" s="775">
        <f t="shared" si="236"/>
        <v>0</v>
      </c>
      <c r="AO292" s="775">
        <f t="shared" si="237"/>
        <v>0</v>
      </c>
      <c r="AQ292" s="773">
        <v>280</v>
      </c>
      <c r="AR292" s="774">
        <f t="shared" si="238"/>
        <v>8492</v>
      </c>
      <c r="AS292" s="775">
        <f t="shared" si="239"/>
        <v>0</v>
      </c>
      <c r="AT292" s="775">
        <f t="shared" si="215"/>
        <v>0</v>
      </c>
      <c r="AU292" s="775">
        <f t="shared" si="207"/>
        <v>0</v>
      </c>
      <c r="AV292" s="775">
        <f t="shared" si="240"/>
        <v>0</v>
      </c>
      <c r="AW292" s="775">
        <f t="shared" si="241"/>
        <v>0</v>
      </c>
      <c r="AY292" s="773">
        <v>280</v>
      </c>
      <c r="AZ292" s="774">
        <f t="shared" si="242"/>
        <v>8492</v>
      </c>
      <c r="BA292" s="775">
        <f t="shared" si="243"/>
        <v>0</v>
      </c>
      <c r="BB292" s="775">
        <f t="shared" si="216"/>
        <v>0</v>
      </c>
      <c r="BC292" s="775">
        <f t="shared" si="208"/>
        <v>0</v>
      </c>
      <c r="BD292" s="775">
        <f t="shared" si="244"/>
        <v>0</v>
      </c>
      <c r="BE292" s="775">
        <f t="shared" si="245"/>
        <v>0</v>
      </c>
      <c r="BG292" s="773">
        <v>280</v>
      </c>
      <c r="BH292" s="774">
        <f t="shared" si="246"/>
        <v>8492</v>
      </c>
      <c r="BI292" s="775">
        <f t="shared" si="247"/>
        <v>0</v>
      </c>
      <c r="BJ292" s="775">
        <f t="shared" si="217"/>
        <v>0</v>
      </c>
      <c r="BK292" s="775">
        <f t="shared" si="209"/>
        <v>0</v>
      </c>
      <c r="BL292" s="775">
        <f t="shared" si="248"/>
        <v>0</v>
      </c>
      <c r="BM292" s="775">
        <f t="shared" si="249"/>
        <v>0</v>
      </c>
    </row>
    <row r="293" spans="1:65">
      <c r="A293" s="11">
        <f t="shared" si="202"/>
        <v>1923</v>
      </c>
      <c r="B293" s="773">
        <v>281</v>
      </c>
      <c r="C293" s="774">
        <f t="shared" si="218"/>
        <v>8522</v>
      </c>
      <c r="D293" s="775">
        <f t="shared" si="219"/>
        <v>0</v>
      </c>
      <c r="E293" s="775">
        <f t="shared" si="210"/>
        <v>0</v>
      </c>
      <c r="F293" s="775">
        <f t="shared" si="200"/>
        <v>0</v>
      </c>
      <c r="G293" s="775">
        <f t="shared" si="220"/>
        <v>0</v>
      </c>
      <c r="H293" s="775">
        <f t="shared" si="221"/>
        <v>0</v>
      </c>
      <c r="I293" s="775">
        <f t="shared" si="201"/>
        <v>0</v>
      </c>
      <c r="K293" s="773">
        <v>281</v>
      </c>
      <c r="L293" s="774">
        <f t="shared" si="222"/>
        <v>8522</v>
      </c>
      <c r="M293" s="775">
        <f t="shared" si="223"/>
        <v>0</v>
      </c>
      <c r="N293" s="775">
        <f t="shared" si="211"/>
        <v>0</v>
      </c>
      <c r="O293" s="775">
        <f t="shared" si="203"/>
        <v>0</v>
      </c>
      <c r="P293" s="775">
        <f t="shared" si="224"/>
        <v>0</v>
      </c>
      <c r="Q293" s="775">
        <f t="shared" si="225"/>
        <v>0</v>
      </c>
      <c r="S293" s="773">
        <v>281</v>
      </c>
      <c r="T293" s="774">
        <f t="shared" si="226"/>
        <v>8522</v>
      </c>
      <c r="U293" s="775">
        <f t="shared" si="227"/>
        <v>0</v>
      </c>
      <c r="V293" s="775">
        <f t="shared" si="212"/>
        <v>0</v>
      </c>
      <c r="W293" s="775">
        <f t="shared" si="204"/>
        <v>0</v>
      </c>
      <c r="X293" s="775">
        <f t="shared" si="228"/>
        <v>0</v>
      </c>
      <c r="Y293" s="775">
        <f t="shared" si="229"/>
        <v>0</v>
      </c>
      <c r="AA293" s="773">
        <v>281</v>
      </c>
      <c r="AB293" s="774">
        <f t="shared" si="230"/>
        <v>8522</v>
      </c>
      <c r="AC293" s="775">
        <f t="shared" si="231"/>
        <v>0</v>
      </c>
      <c r="AD293" s="775">
        <f t="shared" si="213"/>
        <v>0</v>
      </c>
      <c r="AE293" s="775">
        <f t="shared" si="205"/>
        <v>0</v>
      </c>
      <c r="AF293" s="775">
        <f t="shared" si="232"/>
        <v>0</v>
      </c>
      <c r="AG293" s="775">
        <f t="shared" si="233"/>
        <v>0</v>
      </c>
      <c r="AI293" s="773">
        <v>281</v>
      </c>
      <c r="AJ293" s="774">
        <f t="shared" si="234"/>
        <v>8522</v>
      </c>
      <c r="AK293" s="775">
        <f t="shared" si="235"/>
        <v>0</v>
      </c>
      <c r="AL293" s="775">
        <f t="shared" si="214"/>
        <v>0</v>
      </c>
      <c r="AM293" s="775">
        <f t="shared" si="206"/>
        <v>0</v>
      </c>
      <c r="AN293" s="775">
        <f t="shared" si="236"/>
        <v>0</v>
      </c>
      <c r="AO293" s="775">
        <f t="shared" si="237"/>
        <v>0</v>
      </c>
      <c r="AQ293" s="773">
        <v>281</v>
      </c>
      <c r="AR293" s="774">
        <f t="shared" si="238"/>
        <v>8522</v>
      </c>
      <c r="AS293" s="775">
        <f t="shared" si="239"/>
        <v>0</v>
      </c>
      <c r="AT293" s="775">
        <f t="shared" si="215"/>
        <v>0</v>
      </c>
      <c r="AU293" s="775">
        <f t="shared" si="207"/>
        <v>0</v>
      </c>
      <c r="AV293" s="775">
        <f t="shared" si="240"/>
        <v>0</v>
      </c>
      <c r="AW293" s="775">
        <f t="shared" si="241"/>
        <v>0</v>
      </c>
      <c r="AY293" s="773">
        <v>281</v>
      </c>
      <c r="AZ293" s="774">
        <f t="shared" si="242"/>
        <v>8522</v>
      </c>
      <c r="BA293" s="775">
        <f t="shared" si="243"/>
        <v>0</v>
      </c>
      <c r="BB293" s="775">
        <f t="shared" si="216"/>
        <v>0</v>
      </c>
      <c r="BC293" s="775">
        <f t="shared" si="208"/>
        <v>0</v>
      </c>
      <c r="BD293" s="775">
        <f t="shared" si="244"/>
        <v>0</v>
      </c>
      <c r="BE293" s="775">
        <f t="shared" si="245"/>
        <v>0</v>
      </c>
      <c r="BG293" s="773">
        <v>281</v>
      </c>
      <c r="BH293" s="774">
        <f t="shared" si="246"/>
        <v>8522</v>
      </c>
      <c r="BI293" s="775">
        <f t="shared" si="247"/>
        <v>0</v>
      </c>
      <c r="BJ293" s="775">
        <f t="shared" si="217"/>
        <v>0</v>
      </c>
      <c r="BK293" s="775">
        <f t="shared" si="209"/>
        <v>0</v>
      </c>
      <c r="BL293" s="775">
        <f t="shared" si="248"/>
        <v>0</v>
      </c>
      <c r="BM293" s="775">
        <f t="shared" si="249"/>
        <v>0</v>
      </c>
    </row>
    <row r="294" spans="1:65">
      <c r="A294" s="11">
        <f t="shared" si="202"/>
        <v>1923</v>
      </c>
      <c r="B294" s="773">
        <v>282</v>
      </c>
      <c r="C294" s="774">
        <f t="shared" si="218"/>
        <v>8553</v>
      </c>
      <c r="D294" s="775">
        <f t="shared" si="219"/>
        <v>0</v>
      </c>
      <c r="E294" s="775">
        <f t="shared" si="210"/>
        <v>0</v>
      </c>
      <c r="F294" s="775">
        <f t="shared" si="200"/>
        <v>0</v>
      </c>
      <c r="G294" s="775">
        <f t="shared" si="220"/>
        <v>0</v>
      </c>
      <c r="H294" s="775">
        <f t="shared" si="221"/>
        <v>0</v>
      </c>
      <c r="I294" s="775">
        <f t="shared" si="201"/>
        <v>0</v>
      </c>
      <c r="K294" s="773">
        <v>282</v>
      </c>
      <c r="L294" s="774">
        <f t="shared" si="222"/>
        <v>8553</v>
      </c>
      <c r="M294" s="775">
        <f t="shared" si="223"/>
        <v>0</v>
      </c>
      <c r="N294" s="775">
        <f t="shared" si="211"/>
        <v>0</v>
      </c>
      <c r="O294" s="775">
        <f t="shared" si="203"/>
        <v>0</v>
      </c>
      <c r="P294" s="775">
        <f t="shared" si="224"/>
        <v>0</v>
      </c>
      <c r="Q294" s="775">
        <f t="shared" si="225"/>
        <v>0</v>
      </c>
      <c r="S294" s="773">
        <v>282</v>
      </c>
      <c r="T294" s="774">
        <f t="shared" si="226"/>
        <v>8553</v>
      </c>
      <c r="U294" s="775">
        <f t="shared" si="227"/>
        <v>0</v>
      </c>
      <c r="V294" s="775">
        <f t="shared" si="212"/>
        <v>0</v>
      </c>
      <c r="W294" s="775">
        <f t="shared" si="204"/>
        <v>0</v>
      </c>
      <c r="X294" s="775">
        <f t="shared" si="228"/>
        <v>0</v>
      </c>
      <c r="Y294" s="775">
        <f t="shared" si="229"/>
        <v>0</v>
      </c>
      <c r="AA294" s="773">
        <v>282</v>
      </c>
      <c r="AB294" s="774">
        <f t="shared" si="230"/>
        <v>8553</v>
      </c>
      <c r="AC294" s="775">
        <f t="shared" si="231"/>
        <v>0</v>
      </c>
      <c r="AD294" s="775">
        <f t="shared" si="213"/>
        <v>0</v>
      </c>
      <c r="AE294" s="775">
        <f t="shared" si="205"/>
        <v>0</v>
      </c>
      <c r="AF294" s="775">
        <f t="shared" si="232"/>
        <v>0</v>
      </c>
      <c r="AG294" s="775">
        <f t="shared" si="233"/>
        <v>0</v>
      </c>
      <c r="AI294" s="773">
        <v>282</v>
      </c>
      <c r="AJ294" s="774">
        <f t="shared" si="234"/>
        <v>8553</v>
      </c>
      <c r="AK294" s="775">
        <f t="shared" si="235"/>
        <v>0</v>
      </c>
      <c r="AL294" s="775">
        <f t="shared" si="214"/>
        <v>0</v>
      </c>
      <c r="AM294" s="775">
        <f t="shared" si="206"/>
        <v>0</v>
      </c>
      <c r="AN294" s="775">
        <f t="shared" si="236"/>
        <v>0</v>
      </c>
      <c r="AO294" s="775">
        <f t="shared" si="237"/>
        <v>0</v>
      </c>
      <c r="AQ294" s="773">
        <v>282</v>
      </c>
      <c r="AR294" s="774">
        <f t="shared" si="238"/>
        <v>8553</v>
      </c>
      <c r="AS294" s="775">
        <f t="shared" si="239"/>
        <v>0</v>
      </c>
      <c r="AT294" s="775">
        <f t="shared" si="215"/>
        <v>0</v>
      </c>
      <c r="AU294" s="775">
        <f t="shared" si="207"/>
        <v>0</v>
      </c>
      <c r="AV294" s="775">
        <f t="shared" si="240"/>
        <v>0</v>
      </c>
      <c r="AW294" s="775">
        <f t="shared" si="241"/>
        <v>0</v>
      </c>
      <c r="AY294" s="773">
        <v>282</v>
      </c>
      <c r="AZ294" s="774">
        <f t="shared" si="242"/>
        <v>8553</v>
      </c>
      <c r="BA294" s="775">
        <f t="shared" si="243"/>
        <v>0</v>
      </c>
      <c r="BB294" s="775">
        <f t="shared" si="216"/>
        <v>0</v>
      </c>
      <c r="BC294" s="775">
        <f t="shared" si="208"/>
        <v>0</v>
      </c>
      <c r="BD294" s="775">
        <f t="shared" si="244"/>
        <v>0</v>
      </c>
      <c r="BE294" s="775">
        <f t="shared" si="245"/>
        <v>0</v>
      </c>
      <c r="BG294" s="773">
        <v>282</v>
      </c>
      <c r="BH294" s="774">
        <f t="shared" si="246"/>
        <v>8553</v>
      </c>
      <c r="BI294" s="775">
        <f t="shared" si="247"/>
        <v>0</v>
      </c>
      <c r="BJ294" s="775">
        <f t="shared" si="217"/>
        <v>0</v>
      </c>
      <c r="BK294" s="775">
        <f t="shared" si="209"/>
        <v>0</v>
      </c>
      <c r="BL294" s="775">
        <f t="shared" si="248"/>
        <v>0</v>
      </c>
      <c r="BM294" s="775">
        <f t="shared" si="249"/>
        <v>0</v>
      </c>
    </row>
    <row r="295" spans="1:65">
      <c r="A295" s="11">
        <f t="shared" si="202"/>
        <v>1923</v>
      </c>
      <c r="B295" s="773">
        <v>283</v>
      </c>
      <c r="C295" s="774">
        <f t="shared" si="218"/>
        <v>8583</v>
      </c>
      <c r="D295" s="775">
        <f t="shared" si="219"/>
        <v>0</v>
      </c>
      <c r="E295" s="775">
        <f t="shared" si="210"/>
        <v>0</v>
      </c>
      <c r="F295" s="775">
        <f t="shared" si="200"/>
        <v>0</v>
      </c>
      <c r="G295" s="775">
        <f t="shared" si="220"/>
        <v>0</v>
      </c>
      <c r="H295" s="775">
        <f t="shared" si="221"/>
        <v>0</v>
      </c>
      <c r="I295" s="775">
        <f t="shared" si="201"/>
        <v>0</v>
      </c>
      <c r="K295" s="773">
        <v>283</v>
      </c>
      <c r="L295" s="774">
        <f t="shared" si="222"/>
        <v>8583</v>
      </c>
      <c r="M295" s="775">
        <f t="shared" si="223"/>
        <v>0</v>
      </c>
      <c r="N295" s="775">
        <f t="shared" si="211"/>
        <v>0</v>
      </c>
      <c r="O295" s="775">
        <f t="shared" si="203"/>
        <v>0</v>
      </c>
      <c r="P295" s="775">
        <f t="shared" si="224"/>
        <v>0</v>
      </c>
      <c r="Q295" s="775">
        <f t="shared" si="225"/>
        <v>0</v>
      </c>
      <c r="S295" s="773">
        <v>283</v>
      </c>
      <c r="T295" s="774">
        <f t="shared" si="226"/>
        <v>8583</v>
      </c>
      <c r="U295" s="775">
        <f t="shared" si="227"/>
        <v>0</v>
      </c>
      <c r="V295" s="775">
        <f t="shared" si="212"/>
        <v>0</v>
      </c>
      <c r="W295" s="775">
        <f t="shared" si="204"/>
        <v>0</v>
      </c>
      <c r="X295" s="775">
        <f t="shared" si="228"/>
        <v>0</v>
      </c>
      <c r="Y295" s="775">
        <f t="shared" si="229"/>
        <v>0</v>
      </c>
      <c r="AA295" s="773">
        <v>283</v>
      </c>
      <c r="AB295" s="774">
        <f t="shared" si="230"/>
        <v>8583</v>
      </c>
      <c r="AC295" s="775">
        <f t="shared" si="231"/>
        <v>0</v>
      </c>
      <c r="AD295" s="775">
        <f t="shared" si="213"/>
        <v>0</v>
      </c>
      <c r="AE295" s="775">
        <f t="shared" si="205"/>
        <v>0</v>
      </c>
      <c r="AF295" s="775">
        <f t="shared" si="232"/>
        <v>0</v>
      </c>
      <c r="AG295" s="775">
        <f t="shared" si="233"/>
        <v>0</v>
      </c>
      <c r="AI295" s="773">
        <v>283</v>
      </c>
      <c r="AJ295" s="774">
        <f t="shared" si="234"/>
        <v>8583</v>
      </c>
      <c r="AK295" s="775">
        <f t="shared" si="235"/>
        <v>0</v>
      </c>
      <c r="AL295" s="775">
        <f t="shared" si="214"/>
        <v>0</v>
      </c>
      <c r="AM295" s="775">
        <f t="shared" si="206"/>
        <v>0</v>
      </c>
      <c r="AN295" s="775">
        <f t="shared" si="236"/>
        <v>0</v>
      </c>
      <c r="AO295" s="775">
        <f t="shared" si="237"/>
        <v>0</v>
      </c>
      <c r="AQ295" s="773">
        <v>283</v>
      </c>
      <c r="AR295" s="774">
        <f t="shared" si="238"/>
        <v>8583</v>
      </c>
      <c r="AS295" s="775">
        <f t="shared" si="239"/>
        <v>0</v>
      </c>
      <c r="AT295" s="775">
        <f t="shared" si="215"/>
        <v>0</v>
      </c>
      <c r="AU295" s="775">
        <f t="shared" si="207"/>
        <v>0</v>
      </c>
      <c r="AV295" s="775">
        <f t="shared" si="240"/>
        <v>0</v>
      </c>
      <c r="AW295" s="775">
        <f t="shared" si="241"/>
        <v>0</v>
      </c>
      <c r="AY295" s="773">
        <v>283</v>
      </c>
      <c r="AZ295" s="774">
        <f t="shared" si="242"/>
        <v>8583</v>
      </c>
      <c r="BA295" s="775">
        <f t="shared" si="243"/>
        <v>0</v>
      </c>
      <c r="BB295" s="775">
        <f t="shared" si="216"/>
        <v>0</v>
      </c>
      <c r="BC295" s="775">
        <f t="shared" si="208"/>
        <v>0</v>
      </c>
      <c r="BD295" s="775">
        <f t="shared" si="244"/>
        <v>0</v>
      </c>
      <c r="BE295" s="775">
        <f t="shared" si="245"/>
        <v>0</v>
      </c>
      <c r="BG295" s="773">
        <v>283</v>
      </c>
      <c r="BH295" s="774">
        <f t="shared" si="246"/>
        <v>8583</v>
      </c>
      <c r="BI295" s="775">
        <f t="shared" si="247"/>
        <v>0</v>
      </c>
      <c r="BJ295" s="775">
        <f t="shared" si="217"/>
        <v>0</v>
      </c>
      <c r="BK295" s="775">
        <f t="shared" si="209"/>
        <v>0</v>
      </c>
      <c r="BL295" s="775">
        <f t="shared" si="248"/>
        <v>0</v>
      </c>
      <c r="BM295" s="775">
        <f t="shared" si="249"/>
        <v>0</v>
      </c>
    </row>
    <row r="296" spans="1:65">
      <c r="A296" s="11">
        <f t="shared" si="202"/>
        <v>1923</v>
      </c>
      <c r="B296" s="773">
        <v>284</v>
      </c>
      <c r="C296" s="774">
        <f t="shared" si="218"/>
        <v>8614</v>
      </c>
      <c r="D296" s="775">
        <f t="shared" si="219"/>
        <v>0</v>
      </c>
      <c r="E296" s="775">
        <f t="shared" si="210"/>
        <v>0</v>
      </c>
      <c r="F296" s="775">
        <f t="shared" si="200"/>
        <v>0</v>
      </c>
      <c r="G296" s="775">
        <f t="shared" si="220"/>
        <v>0</v>
      </c>
      <c r="H296" s="775">
        <f t="shared" si="221"/>
        <v>0</v>
      </c>
      <c r="I296" s="775">
        <f t="shared" si="201"/>
        <v>0</v>
      </c>
      <c r="K296" s="773">
        <v>284</v>
      </c>
      <c r="L296" s="774">
        <f t="shared" si="222"/>
        <v>8614</v>
      </c>
      <c r="M296" s="775">
        <f t="shared" si="223"/>
        <v>0</v>
      </c>
      <c r="N296" s="775">
        <f t="shared" si="211"/>
        <v>0</v>
      </c>
      <c r="O296" s="775">
        <f t="shared" si="203"/>
        <v>0</v>
      </c>
      <c r="P296" s="775">
        <f t="shared" si="224"/>
        <v>0</v>
      </c>
      <c r="Q296" s="775">
        <f t="shared" si="225"/>
        <v>0</v>
      </c>
      <c r="S296" s="773">
        <v>284</v>
      </c>
      <c r="T296" s="774">
        <f t="shared" si="226"/>
        <v>8614</v>
      </c>
      <c r="U296" s="775">
        <f t="shared" si="227"/>
        <v>0</v>
      </c>
      <c r="V296" s="775">
        <f t="shared" si="212"/>
        <v>0</v>
      </c>
      <c r="W296" s="775">
        <f t="shared" si="204"/>
        <v>0</v>
      </c>
      <c r="X296" s="775">
        <f t="shared" si="228"/>
        <v>0</v>
      </c>
      <c r="Y296" s="775">
        <f t="shared" si="229"/>
        <v>0</v>
      </c>
      <c r="AA296" s="773">
        <v>284</v>
      </c>
      <c r="AB296" s="774">
        <f t="shared" si="230"/>
        <v>8614</v>
      </c>
      <c r="AC296" s="775">
        <f t="shared" si="231"/>
        <v>0</v>
      </c>
      <c r="AD296" s="775">
        <f t="shared" si="213"/>
        <v>0</v>
      </c>
      <c r="AE296" s="775">
        <f t="shared" si="205"/>
        <v>0</v>
      </c>
      <c r="AF296" s="775">
        <f t="shared" si="232"/>
        <v>0</v>
      </c>
      <c r="AG296" s="775">
        <f t="shared" si="233"/>
        <v>0</v>
      </c>
      <c r="AI296" s="773">
        <v>284</v>
      </c>
      <c r="AJ296" s="774">
        <f t="shared" si="234"/>
        <v>8614</v>
      </c>
      <c r="AK296" s="775">
        <f t="shared" si="235"/>
        <v>0</v>
      </c>
      <c r="AL296" s="775">
        <f t="shared" si="214"/>
        <v>0</v>
      </c>
      <c r="AM296" s="775">
        <f t="shared" si="206"/>
        <v>0</v>
      </c>
      <c r="AN296" s="775">
        <f t="shared" si="236"/>
        <v>0</v>
      </c>
      <c r="AO296" s="775">
        <f t="shared" si="237"/>
        <v>0</v>
      </c>
      <c r="AQ296" s="773">
        <v>284</v>
      </c>
      <c r="AR296" s="774">
        <f t="shared" si="238"/>
        <v>8614</v>
      </c>
      <c r="AS296" s="775">
        <f t="shared" si="239"/>
        <v>0</v>
      </c>
      <c r="AT296" s="775">
        <f t="shared" si="215"/>
        <v>0</v>
      </c>
      <c r="AU296" s="775">
        <f t="shared" si="207"/>
        <v>0</v>
      </c>
      <c r="AV296" s="775">
        <f t="shared" si="240"/>
        <v>0</v>
      </c>
      <c r="AW296" s="775">
        <f t="shared" si="241"/>
        <v>0</v>
      </c>
      <c r="AY296" s="773">
        <v>284</v>
      </c>
      <c r="AZ296" s="774">
        <f t="shared" si="242"/>
        <v>8614</v>
      </c>
      <c r="BA296" s="775">
        <f t="shared" si="243"/>
        <v>0</v>
      </c>
      <c r="BB296" s="775">
        <f t="shared" si="216"/>
        <v>0</v>
      </c>
      <c r="BC296" s="775">
        <f t="shared" si="208"/>
        <v>0</v>
      </c>
      <c r="BD296" s="775">
        <f t="shared" si="244"/>
        <v>0</v>
      </c>
      <c r="BE296" s="775">
        <f t="shared" si="245"/>
        <v>0</v>
      </c>
      <c r="BG296" s="773">
        <v>284</v>
      </c>
      <c r="BH296" s="774">
        <f t="shared" si="246"/>
        <v>8614</v>
      </c>
      <c r="BI296" s="775">
        <f t="shared" si="247"/>
        <v>0</v>
      </c>
      <c r="BJ296" s="775">
        <f t="shared" si="217"/>
        <v>0</v>
      </c>
      <c r="BK296" s="775">
        <f t="shared" si="209"/>
        <v>0</v>
      </c>
      <c r="BL296" s="775">
        <f t="shared" si="248"/>
        <v>0</v>
      </c>
      <c r="BM296" s="775">
        <f t="shared" si="249"/>
        <v>0</v>
      </c>
    </row>
    <row r="297" spans="1:65">
      <c r="A297" s="11">
        <f t="shared" si="202"/>
        <v>1923</v>
      </c>
      <c r="B297" s="773">
        <v>285</v>
      </c>
      <c r="C297" s="774">
        <f t="shared" si="218"/>
        <v>8645</v>
      </c>
      <c r="D297" s="775">
        <f t="shared" si="219"/>
        <v>0</v>
      </c>
      <c r="E297" s="775">
        <f t="shared" si="210"/>
        <v>0</v>
      </c>
      <c r="F297" s="775">
        <f t="shared" si="200"/>
        <v>0</v>
      </c>
      <c r="G297" s="775">
        <f t="shared" si="220"/>
        <v>0</v>
      </c>
      <c r="H297" s="775">
        <f t="shared" si="221"/>
        <v>0</v>
      </c>
      <c r="I297" s="775">
        <f t="shared" si="201"/>
        <v>0</v>
      </c>
      <c r="K297" s="773">
        <v>285</v>
      </c>
      <c r="L297" s="774">
        <f t="shared" si="222"/>
        <v>8645</v>
      </c>
      <c r="M297" s="775">
        <f t="shared" si="223"/>
        <v>0</v>
      </c>
      <c r="N297" s="775">
        <f t="shared" si="211"/>
        <v>0</v>
      </c>
      <c r="O297" s="775">
        <f t="shared" si="203"/>
        <v>0</v>
      </c>
      <c r="P297" s="775">
        <f t="shared" si="224"/>
        <v>0</v>
      </c>
      <c r="Q297" s="775">
        <f t="shared" si="225"/>
        <v>0</v>
      </c>
      <c r="S297" s="773">
        <v>285</v>
      </c>
      <c r="T297" s="774">
        <f t="shared" si="226"/>
        <v>8645</v>
      </c>
      <c r="U297" s="775">
        <f t="shared" si="227"/>
        <v>0</v>
      </c>
      <c r="V297" s="775">
        <f t="shared" si="212"/>
        <v>0</v>
      </c>
      <c r="W297" s="775">
        <f t="shared" si="204"/>
        <v>0</v>
      </c>
      <c r="X297" s="775">
        <f t="shared" si="228"/>
        <v>0</v>
      </c>
      <c r="Y297" s="775">
        <f t="shared" si="229"/>
        <v>0</v>
      </c>
      <c r="AA297" s="773">
        <v>285</v>
      </c>
      <c r="AB297" s="774">
        <f t="shared" si="230"/>
        <v>8645</v>
      </c>
      <c r="AC297" s="775">
        <f t="shared" si="231"/>
        <v>0</v>
      </c>
      <c r="AD297" s="775">
        <f t="shared" si="213"/>
        <v>0</v>
      </c>
      <c r="AE297" s="775">
        <f t="shared" si="205"/>
        <v>0</v>
      </c>
      <c r="AF297" s="775">
        <f t="shared" si="232"/>
        <v>0</v>
      </c>
      <c r="AG297" s="775">
        <f t="shared" si="233"/>
        <v>0</v>
      </c>
      <c r="AI297" s="773">
        <v>285</v>
      </c>
      <c r="AJ297" s="774">
        <f t="shared" si="234"/>
        <v>8645</v>
      </c>
      <c r="AK297" s="775">
        <f t="shared" si="235"/>
        <v>0</v>
      </c>
      <c r="AL297" s="775">
        <f t="shared" si="214"/>
        <v>0</v>
      </c>
      <c r="AM297" s="775">
        <f t="shared" si="206"/>
        <v>0</v>
      </c>
      <c r="AN297" s="775">
        <f t="shared" si="236"/>
        <v>0</v>
      </c>
      <c r="AO297" s="775">
        <f t="shared" si="237"/>
        <v>0</v>
      </c>
      <c r="AQ297" s="773">
        <v>285</v>
      </c>
      <c r="AR297" s="774">
        <f t="shared" si="238"/>
        <v>8645</v>
      </c>
      <c r="AS297" s="775">
        <f t="shared" si="239"/>
        <v>0</v>
      </c>
      <c r="AT297" s="775">
        <f t="shared" si="215"/>
        <v>0</v>
      </c>
      <c r="AU297" s="775">
        <f t="shared" si="207"/>
        <v>0</v>
      </c>
      <c r="AV297" s="775">
        <f t="shared" si="240"/>
        <v>0</v>
      </c>
      <c r="AW297" s="775">
        <f t="shared" si="241"/>
        <v>0</v>
      </c>
      <c r="AY297" s="773">
        <v>285</v>
      </c>
      <c r="AZ297" s="774">
        <f t="shared" si="242"/>
        <v>8645</v>
      </c>
      <c r="BA297" s="775">
        <f t="shared" si="243"/>
        <v>0</v>
      </c>
      <c r="BB297" s="775">
        <f t="shared" si="216"/>
        <v>0</v>
      </c>
      <c r="BC297" s="775">
        <f t="shared" si="208"/>
        <v>0</v>
      </c>
      <c r="BD297" s="775">
        <f t="shared" si="244"/>
        <v>0</v>
      </c>
      <c r="BE297" s="775">
        <f t="shared" si="245"/>
        <v>0</v>
      </c>
      <c r="BG297" s="773">
        <v>285</v>
      </c>
      <c r="BH297" s="774">
        <f t="shared" si="246"/>
        <v>8645</v>
      </c>
      <c r="BI297" s="775">
        <f t="shared" si="247"/>
        <v>0</v>
      </c>
      <c r="BJ297" s="775">
        <f t="shared" si="217"/>
        <v>0</v>
      </c>
      <c r="BK297" s="775">
        <f t="shared" si="209"/>
        <v>0</v>
      </c>
      <c r="BL297" s="775">
        <f t="shared" si="248"/>
        <v>0</v>
      </c>
      <c r="BM297" s="775">
        <f t="shared" si="249"/>
        <v>0</v>
      </c>
    </row>
    <row r="298" spans="1:65">
      <c r="A298" s="11">
        <f t="shared" si="202"/>
        <v>1923</v>
      </c>
      <c r="B298" s="773">
        <v>286</v>
      </c>
      <c r="C298" s="774">
        <f t="shared" si="218"/>
        <v>8675</v>
      </c>
      <c r="D298" s="775">
        <f t="shared" si="219"/>
        <v>0</v>
      </c>
      <c r="E298" s="775">
        <f t="shared" si="210"/>
        <v>0</v>
      </c>
      <c r="F298" s="775">
        <f t="shared" si="200"/>
        <v>0</v>
      </c>
      <c r="G298" s="775">
        <f t="shared" si="220"/>
        <v>0</v>
      </c>
      <c r="H298" s="775">
        <f t="shared" si="221"/>
        <v>0</v>
      </c>
      <c r="I298" s="775">
        <f t="shared" si="201"/>
        <v>0</v>
      </c>
      <c r="K298" s="773">
        <v>286</v>
      </c>
      <c r="L298" s="774">
        <f t="shared" si="222"/>
        <v>8675</v>
      </c>
      <c r="M298" s="775">
        <f t="shared" si="223"/>
        <v>0</v>
      </c>
      <c r="N298" s="775">
        <f t="shared" si="211"/>
        <v>0</v>
      </c>
      <c r="O298" s="775">
        <f t="shared" si="203"/>
        <v>0</v>
      </c>
      <c r="P298" s="775">
        <f t="shared" si="224"/>
        <v>0</v>
      </c>
      <c r="Q298" s="775">
        <f t="shared" si="225"/>
        <v>0</v>
      </c>
      <c r="S298" s="773">
        <v>286</v>
      </c>
      <c r="T298" s="774">
        <f t="shared" si="226"/>
        <v>8675</v>
      </c>
      <c r="U298" s="775">
        <f t="shared" si="227"/>
        <v>0</v>
      </c>
      <c r="V298" s="775">
        <f t="shared" si="212"/>
        <v>0</v>
      </c>
      <c r="W298" s="775">
        <f t="shared" si="204"/>
        <v>0</v>
      </c>
      <c r="X298" s="775">
        <f t="shared" si="228"/>
        <v>0</v>
      </c>
      <c r="Y298" s="775">
        <f t="shared" si="229"/>
        <v>0</v>
      </c>
      <c r="AA298" s="773">
        <v>286</v>
      </c>
      <c r="AB298" s="774">
        <f t="shared" si="230"/>
        <v>8675</v>
      </c>
      <c r="AC298" s="775">
        <f t="shared" si="231"/>
        <v>0</v>
      </c>
      <c r="AD298" s="775">
        <f t="shared" si="213"/>
        <v>0</v>
      </c>
      <c r="AE298" s="775">
        <f t="shared" si="205"/>
        <v>0</v>
      </c>
      <c r="AF298" s="775">
        <f t="shared" si="232"/>
        <v>0</v>
      </c>
      <c r="AG298" s="775">
        <f t="shared" si="233"/>
        <v>0</v>
      </c>
      <c r="AI298" s="773">
        <v>286</v>
      </c>
      <c r="AJ298" s="774">
        <f t="shared" si="234"/>
        <v>8675</v>
      </c>
      <c r="AK298" s="775">
        <f t="shared" si="235"/>
        <v>0</v>
      </c>
      <c r="AL298" s="775">
        <f t="shared" si="214"/>
        <v>0</v>
      </c>
      <c r="AM298" s="775">
        <f t="shared" si="206"/>
        <v>0</v>
      </c>
      <c r="AN298" s="775">
        <f t="shared" si="236"/>
        <v>0</v>
      </c>
      <c r="AO298" s="775">
        <f t="shared" si="237"/>
        <v>0</v>
      </c>
      <c r="AQ298" s="773">
        <v>286</v>
      </c>
      <c r="AR298" s="774">
        <f t="shared" si="238"/>
        <v>8675</v>
      </c>
      <c r="AS298" s="775">
        <f t="shared" si="239"/>
        <v>0</v>
      </c>
      <c r="AT298" s="775">
        <f t="shared" si="215"/>
        <v>0</v>
      </c>
      <c r="AU298" s="775">
        <f t="shared" si="207"/>
        <v>0</v>
      </c>
      <c r="AV298" s="775">
        <f t="shared" si="240"/>
        <v>0</v>
      </c>
      <c r="AW298" s="775">
        <f t="shared" si="241"/>
        <v>0</v>
      </c>
      <c r="AY298" s="773">
        <v>286</v>
      </c>
      <c r="AZ298" s="774">
        <f t="shared" si="242"/>
        <v>8675</v>
      </c>
      <c r="BA298" s="775">
        <f t="shared" si="243"/>
        <v>0</v>
      </c>
      <c r="BB298" s="775">
        <f t="shared" si="216"/>
        <v>0</v>
      </c>
      <c r="BC298" s="775">
        <f t="shared" si="208"/>
        <v>0</v>
      </c>
      <c r="BD298" s="775">
        <f t="shared" si="244"/>
        <v>0</v>
      </c>
      <c r="BE298" s="775">
        <f t="shared" si="245"/>
        <v>0</v>
      </c>
      <c r="BG298" s="773">
        <v>286</v>
      </c>
      <c r="BH298" s="774">
        <f t="shared" si="246"/>
        <v>8675</v>
      </c>
      <c r="BI298" s="775">
        <f t="shared" si="247"/>
        <v>0</v>
      </c>
      <c r="BJ298" s="775">
        <f t="shared" si="217"/>
        <v>0</v>
      </c>
      <c r="BK298" s="775">
        <f t="shared" si="209"/>
        <v>0</v>
      </c>
      <c r="BL298" s="775">
        <f t="shared" si="248"/>
        <v>0</v>
      </c>
      <c r="BM298" s="775">
        <f t="shared" si="249"/>
        <v>0</v>
      </c>
    </row>
    <row r="299" spans="1:65">
      <c r="A299" s="11">
        <f t="shared" si="202"/>
        <v>1923</v>
      </c>
      <c r="B299" s="773">
        <v>287</v>
      </c>
      <c r="C299" s="774">
        <f t="shared" si="218"/>
        <v>8706</v>
      </c>
      <c r="D299" s="775">
        <f t="shared" si="219"/>
        <v>0</v>
      </c>
      <c r="E299" s="775">
        <f t="shared" si="210"/>
        <v>0</v>
      </c>
      <c r="F299" s="775">
        <f t="shared" si="200"/>
        <v>0</v>
      </c>
      <c r="G299" s="775">
        <f t="shared" si="220"/>
        <v>0</v>
      </c>
      <c r="H299" s="775">
        <f t="shared" si="221"/>
        <v>0</v>
      </c>
      <c r="I299" s="775">
        <f t="shared" si="201"/>
        <v>0</v>
      </c>
      <c r="K299" s="773">
        <v>287</v>
      </c>
      <c r="L299" s="774">
        <f t="shared" si="222"/>
        <v>8706</v>
      </c>
      <c r="M299" s="775">
        <f t="shared" si="223"/>
        <v>0</v>
      </c>
      <c r="N299" s="775">
        <f t="shared" si="211"/>
        <v>0</v>
      </c>
      <c r="O299" s="775">
        <f t="shared" si="203"/>
        <v>0</v>
      </c>
      <c r="P299" s="775">
        <f t="shared" si="224"/>
        <v>0</v>
      </c>
      <c r="Q299" s="775">
        <f t="shared" si="225"/>
        <v>0</v>
      </c>
      <c r="S299" s="773">
        <v>287</v>
      </c>
      <c r="T299" s="774">
        <f t="shared" si="226"/>
        <v>8706</v>
      </c>
      <c r="U299" s="775">
        <f t="shared" si="227"/>
        <v>0</v>
      </c>
      <c r="V299" s="775">
        <f t="shared" si="212"/>
        <v>0</v>
      </c>
      <c r="W299" s="775">
        <f t="shared" si="204"/>
        <v>0</v>
      </c>
      <c r="X299" s="775">
        <f t="shared" si="228"/>
        <v>0</v>
      </c>
      <c r="Y299" s="775">
        <f t="shared" si="229"/>
        <v>0</v>
      </c>
      <c r="AA299" s="773">
        <v>287</v>
      </c>
      <c r="AB299" s="774">
        <f t="shared" si="230"/>
        <v>8706</v>
      </c>
      <c r="AC299" s="775">
        <f t="shared" si="231"/>
        <v>0</v>
      </c>
      <c r="AD299" s="775">
        <f t="shared" si="213"/>
        <v>0</v>
      </c>
      <c r="AE299" s="775">
        <f t="shared" si="205"/>
        <v>0</v>
      </c>
      <c r="AF299" s="775">
        <f t="shared" si="232"/>
        <v>0</v>
      </c>
      <c r="AG299" s="775">
        <f t="shared" si="233"/>
        <v>0</v>
      </c>
      <c r="AI299" s="773">
        <v>287</v>
      </c>
      <c r="AJ299" s="774">
        <f t="shared" si="234"/>
        <v>8706</v>
      </c>
      <c r="AK299" s="775">
        <f t="shared" si="235"/>
        <v>0</v>
      </c>
      <c r="AL299" s="775">
        <f t="shared" si="214"/>
        <v>0</v>
      </c>
      <c r="AM299" s="775">
        <f t="shared" si="206"/>
        <v>0</v>
      </c>
      <c r="AN299" s="775">
        <f t="shared" si="236"/>
        <v>0</v>
      </c>
      <c r="AO299" s="775">
        <f t="shared" si="237"/>
        <v>0</v>
      </c>
      <c r="AQ299" s="773">
        <v>287</v>
      </c>
      <c r="AR299" s="774">
        <f t="shared" si="238"/>
        <v>8706</v>
      </c>
      <c r="AS299" s="775">
        <f t="shared" si="239"/>
        <v>0</v>
      </c>
      <c r="AT299" s="775">
        <f t="shared" si="215"/>
        <v>0</v>
      </c>
      <c r="AU299" s="775">
        <f t="shared" si="207"/>
        <v>0</v>
      </c>
      <c r="AV299" s="775">
        <f t="shared" si="240"/>
        <v>0</v>
      </c>
      <c r="AW299" s="775">
        <f t="shared" si="241"/>
        <v>0</v>
      </c>
      <c r="AY299" s="773">
        <v>287</v>
      </c>
      <c r="AZ299" s="774">
        <f t="shared" si="242"/>
        <v>8706</v>
      </c>
      <c r="BA299" s="775">
        <f t="shared" si="243"/>
        <v>0</v>
      </c>
      <c r="BB299" s="775">
        <f t="shared" si="216"/>
        <v>0</v>
      </c>
      <c r="BC299" s="775">
        <f t="shared" si="208"/>
        <v>0</v>
      </c>
      <c r="BD299" s="775">
        <f t="shared" si="244"/>
        <v>0</v>
      </c>
      <c r="BE299" s="775">
        <f t="shared" si="245"/>
        <v>0</v>
      </c>
      <c r="BG299" s="773">
        <v>287</v>
      </c>
      <c r="BH299" s="774">
        <f t="shared" si="246"/>
        <v>8706</v>
      </c>
      <c r="BI299" s="775">
        <f t="shared" si="247"/>
        <v>0</v>
      </c>
      <c r="BJ299" s="775">
        <f t="shared" si="217"/>
        <v>0</v>
      </c>
      <c r="BK299" s="775">
        <f t="shared" si="209"/>
        <v>0</v>
      </c>
      <c r="BL299" s="775">
        <f t="shared" si="248"/>
        <v>0</v>
      </c>
      <c r="BM299" s="775">
        <f t="shared" si="249"/>
        <v>0</v>
      </c>
    </row>
    <row r="300" spans="1:65">
      <c r="A300" s="11">
        <f t="shared" si="202"/>
        <v>1923</v>
      </c>
      <c r="B300" s="773">
        <v>288</v>
      </c>
      <c r="C300" s="774">
        <f t="shared" si="218"/>
        <v>8736</v>
      </c>
      <c r="D300" s="775">
        <f t="shared" si="219"/>
        <v>0</v>
      </c>
      <c r="E300" s="775">
        <f t="shared" si="210"/>
        <v>0</v>
      </c>
      <c r="F300" s="775">
        <f t="shared" si="200"/>
        <v>0</v>
      </c>
      <c r="G300" s="775">
        <f t="shared" si="220"/>
        <v>0</v>
      </c>
      <c r="H300" s="775">
        <f t="shared" si="221"/>
        <v>0</v>
      </c>
      <c r="I300" s="775">
        <f t="shared" si="201"/>
        <v>0</v>
      </c>
      <c r="K300" s="773">
        <v>288</v>
      </c>
      <c r="L300" s="774">
        <f t="shared" si="222"/>
        <v>8736</v>
      </c>
      <c r="M300" s="775">
        <f t="shared" si="223"/>
        <v>0</v>
      </c>
      <c r="N300" s="775">
        <f t="shared" si="211"/>
        <v>0</v>
      </c>
      <c r="O300" s="775">
        <f t="shared" si="203"/>
        <v>0</v>
      </c>
      <c r="P300" s="775">
        <f t="shared" si="224"/>
        <v>0</v>
      </c>
      <c r="Q300" s="775">
        <f t="shared" si="225"/>
        <v>0</v>
      </c>
      <c r="S300" s="773">
        <v>288</v>
      </c>
      <c r="T300" s="774">
        <f t="shared" si="226"/>
        <v>8736</v>
      </c>
      <c r="U300" s="775">
        <f t="shared" si="227"/>
        <v>0</v>
      </c>
      <c r="V300" s="775">
        <f t="shared" si="212"/>
        <v>0</v>
      </c>
      <c r="W300" s="775">
        <f t="shared" si="204"/>
        <v>0</v>
      </c>
      <c r="X300" s="775">
        <f t="shared" si="228"/>
        <v>0</v>
      </c>
      <c r="Y300" s="775">
        <f t="shared" si="229"/>
        <v>0</v>
      </c>
      <c r="AA300" s="773">
        <v>288</v>
      </c>
      <c r="AB300" s="774">
        <f t="shared" si="230"/>
        <v>8736</v>
      </c>
      <c r="AC300" s="775">
        <f t="shared" si="231"/>
        <v>0</v>
      </c>
      <c r="AD300" s="775">
        <f t="shared" si="213"/>
        <v>0</v>
      </c>
      <c r="AE300" s="775">
        <f t="shared" si="205"/>
        <v>0</v>
      </c>
      <c r="AF300" s="775">
        <f t="shared" si="232"/>
        <v>0</v>
      </c>
      <c r="AG300" s="775">
        <f t="shared" si="233"/>
        <v>0</v>
      </c>
      <c r="AI300" s="773">
        <v>288</v>
      </c>
      <c r="AJ300" s="774">
        <f t="shared" si="234"/>
        <v>8736</v>
      </c>
      <c r="AK300" s="775">
        <f t="shared" si="235"/>
        <v>0</v>
      </c>
      <c r="AL300" s="775">
        <f t="shared" si="214"/>
        <v>0</v>
      </c>
      <c r="AM300" s="775">
        <f t="shared" si="206"/>
        <v>0</v>
      </c>
      <c r="AN300" s="775">
        <f t="shared" si="236"/>
        <v>0</v>
      </c>
      <c r="AO300" s="775">
        <f t="shared" si="237"/>
        <v>0</v>
      </c>
      <c r="AQ300" s="773">
        <v>288</v>
      </c>
      <c r="AR300" s="774">
        <f t="shared" si="238"/>
        <v>8736</v>
      </c>
      <c r="AS300" s="775">
        <f t="shared" si="239"/>
        <v>0</v>
      </c>
      <c r="AT300" s="775">
        <f t="shared" si="215"/>
        <v>0</v>
      </c>
      <c r="AU300" s="775">
        <f t="shared" si="207"/>
        <v>0</v>
      </c>
      <c r="AV300" s="775">
        <f t="shared" si="240"/>
        <v>0</v>
      </c>
      <c r="AW300" s="775">
        <f t="shared" si="241"/>
        <v>0</v>
      </c>
      <c r="AY300" s="773">
        <v>288</v>
      </c>
      <c r="AZ300" s="774">
        <f t="shared" si="242"/>
        <v>8736</v>
      </c>
      <c r="BA300" s="775">
        <f t="shared" si="243"/>
        <v>0</v>
      </c>
      <c r="BB300" s="775">
        <f t="shared" si="216"/>
        <v>0</v>
      </c>
      <c r="BC300" s="775">
        <f t="shared" si="208"/>
        <v>0</v>
      </c>
      <c r="BD300" s="775">
        <f t="shared" si="244"/>
        <v>0</v>
      </c>
      <c r="BE300" s="775">
        <f t="shared" si="245"/>
        <v>0</v>
      </c>
      <c r="BG300" s="773">
        <v>288</v>
      </c>
      <c r="BH300" s="774">
        <f t="shared" si="246"/>
        <v>8736</v>
      </c>
      <c r="BI300" s="775">
        <f t="shared" si="247"/>
        <v>0</v>
      </c>
      <c r="BJ300" s="775">
        <f t="shared" si="217"/>
        <v>0</v>
      </c>
      <c r="BK300" s="775">
        <f t="shared" si="209"/>
        <v>0</v>
      </c>
      <c r="BL300" s="775">
        <f t="shared" si="248"/>
        <v>0</v>
      </c>
      <c r="BM300" s="775">
        <f t="shared" si="249"/>
        <v>0</v>
      </c>
    </row>
    <row r="301" spans="1:65">
      <c r="A301" s="11">
        <f t="shared" si="202"/>
        <v>1924</v>
      </c>
      <c r="B301" s="773">
        <v>289</v>
      </c>
      <c r="C301" s="774">
        <f t="shared" si="218"/>
        <v>8767</v>
      </c>
      <c r="D301" s="775">
        <f t="shared" si="219"/>
        <v>0</v>
      </c>
      <c r="E301" s="775">
        <f t="shared" si="210"/>
        <v>0</v>
      </c>
      <c r="F301" s="775">
        <f t="shared" si="200"/>
        <v>0</v>
      </c>
      <c r="G301" s="775">
        <f t="shared" si="220"/>
        <v>0</v>
      </c>
      <c r="H301" s="775">
        <f t="shared" si="221"/>
        <v>0</v>
      </c>
      <c r="I301" s="775">
        <f t="shared" si="201"/>
        <v>0</v>
      </c>
      <c r="K301" s="773">
        <v>289</v>
      </c>
      <c r="L301" s="774">
        <f t="shared" si="222"/>
        <v>8767</v>
      </c>
      <c r="M301" s="775">
        <f t="shared" si="223"/>
        <v>0</v>
      </c>
      <c r="N301" s="775">
        <f t="shared" si="211"/>
        <v>0</v>
      </c>
      <c r="O301" s="775">
        <f t="shared" si="203"/>
        <v>0</v>
      </c>
      <c r="P301" s="775">
        <f t="shared" si="224"/>
        <v>0</v>
      </c>
      <c r="Q301" s="775">
        <f t="shared" si="225"/>
        <v>0</v>
      </c>
      <c r="S301" s="773">
        <v>289</v>
      </c>
      <c r="T301" s="774">
        <f t="shared" si="226"/>
        <v>8767</v>
      </c>
      <c r="U301" s="775">
        <f t="shared" si="227"/>
        <v>0</v>
      </c>
      <c r="V301" s="775">
        <f t="shared" si="212"/>
        <v>0</v>
      </c>
      <c r="W301" s="775">
        <f t="shared" si="204"/>
        <v>0</v>
      </c>
      <c r="X301" s="775">
        <f t="shared" si="228"/>
        <v>0</v>
      </c>
      <c r="Y301" s="775">
        <f t="shared" si="229"/>
        <v>0</v>
      </c>
      <c r="AA301" s="773">
        <v>289</v>
      </c>
      <c r="AB301" s="774">
        <f t="shared" si="230"/>
        <v>8767</v>
      </c>
      <c r="AC301" s="775">
        <f t="shared" si="231"/>
        <v>0</v>
      </c>
      <c r="AD301" s="775">
        <f t="shared" si="213"/>
        <v>0</v>
      </c>
      <c r="AE301" s="775">
        <f t="shared" si="205"/>
        <v>0</v>
      </c>
      <c r="AF301" s="775">
        <f t="shared" si="232"/>
        <v>0</v>
      </c>
      <c r="AG301" s="775">
        <f t="shared" si="233"/>
        <v>0</v>
      </c>
      <c r="AI301" s="773">
        <v>289</v>
      </c>
      <c r="AJ301" s="774">
        <f t="shared" si="234"/>
        <v>8767</v>
      </c>
      <c r="AK301" s="775">
        <f t="shared" si="235"/>
        <v>0</v>
      </c>
      <c r="AL301" s="775">
        <f t="shared" si="214"/>
        <v>0</v>
      </c>
      <c r="AM301" s="775">
        <f t="shared" si="206"/>
        <v>0</v>
      </c>
      <c r="AN301" s="775">
        <f t="shared" si="236"/>
        <v>0</v>
      </c>
      <c r="AO301" s="775">
        <f t="shared" si="237"/>
        <v>0</v>
      </c>
      <c r="AQ301" s="773">
        <v>289</v>
      </c>
      <c r="AR301" s="774">
        <f t="shared" si="238"/>
        <v>8767</v>
      </c>
      <c r="AS301" s="775">
        <f t="shared" si="239"/>
        <v>0</v>
      </c>
      <c r="AT301" s="775">
        <f t="shared" si="215"/>
        <v>0</v>
      </c>
      <c r="AU301" s="775">
        <f t="shared" si="207"/>
        <v>0</v>
      </c>
      <c r="AV301" s="775">
        <f t="shared" si="240"/>
        <v>0</v>
      </c>
      <c r="AW301" s="775">
        <f t="shared" si="241"/>
        <v>0</v>
      </c>
      <c r="AY301" s="773">
        <v>289</v>
      </c>
      <c r="AZ301" s="774">
        <f t="shared" si="242"/>
        <v>8767</v>
      </c>
      <c r="BA301" s="775">
        <f t="shared" si="243"/>
        <v>0</v>
      </c>
      <c r="BB301" s="775">
        <f t="shared" si="216"/>
        <v>0</v>
      </c>
      <c r="BC301" s="775">
        <f t="shared" si="208"/>
        <v>0</v>
      </c>
      <c r="BD301" s="775">
        <f t="shared" si="244"/>
        <v>0</v>
      </c>
      <c r="BE301" s="775">
        <f t="shared" si="245"/>
        <v>0</v>
      </c>
      <c r="BG301" s="773">
        <v>289</v>
      </c>
      <c r="BH301" s="774">
        <f t="shared" si="246"/>
        <v>8767</v>
      </c>
      <c r="BI301" s="775">
        <f t="shared" si="247"/>
        <v>0</v>
      </c>
      <c r="BJ301" s="775">
        <f t="shared" si="217"/>
        <v>0</v>
      </c>
      <c r="BK301" s="775">
        <f t="shared" si="209"/>
        <v>0</v>
      </c>
      <c r="BL301" s="775">
        <f t="shared" si="248"/>
        <v>0</v>
      </c>
      <c r="BM301" s="775">
        <f t="shared" si="249"/>
        <v>0</v>
      </c>
    </row>
    <row r="302" spans="1:65">
      <c r="A302" s="11">
        <f t="shared" si="202"/>
        <v>1924</v>
      </c>
      <c r="B302" s="773">
        <v>290</v>
      </c>
      <c r="C302" s="774">
        <f t="shared" si="218"/>
        <v>8798</v>
      </c>
      <c r="D302" s="775">
        <f t="shared" si="219"/>
        <v>0</v>
      </c>
      <c r="E302" s="775">
        <f t="shared" si="210"/>
        <v>0</v>
      </c>
      <c r="F302" s="775">
        <f t="shared" si="200"/>
        <v>0</v>
      </c>
      <c r="G302" s="775">
        <f t="shared" si="220"/>
        <v>0</v>
      </c>
      <c r="H302" s="775">
        <f t="shared" si="221"/>
        <v>0</v>
      </c>
      <c r="I302" s="775">
        <f t="shared" si="201"/>
        <v>0</v>
      </c>
      <c r="K302" s="773">
        <v>290</v>
      </c>
      <c r="L302" s="774">
        <f t="shared" si="222"/>
        <v>8798</v>
      </c>
      <c r="M302" s="775">
        <f t="shared" si="223"/>
        <v>0</v>
      </c>
      <c r="N302" s="775">
        <f t="shared" si="211"/>
        <v>0</v>
      </c>
      <c r="O302" s="775">
        <f t="shared" si="203"/>
        <v>0</v>
      </c>
      <c r="P302" s="775">
        <f t="shared" si="224"/>
        <v>0</v>
      </c>
      <c r="Q302" s="775">
        <f t="shared" si="225"/>
        <v>0</v>
      </c>
      <c r="S302" s="773">
        <v>290</v>
      </c>
      <c r="T302" s="774">
        <f t="shared" si="226"/>
        <v>8798</v>
      </c>
      <c r="U302" s="775">
        <f t="shared" si="227"/>
        <v>0</v>
      </c>
      <c r="V302" s="775">
        <f t="shared" si="212"/>
        <v>0</v>
      </c>
      <c r="W302" s="775">
        <f t="shared" si="204"/>
        <v>0</v>
      </c>
      <c r="X302" s="775">
        <f t="shared" si="228"/>
        <v>0</v>
      </c>
      <c r="Y302" s="775">
        <f t="shared" si="229"/>
        <v>0</v>
      </c>
      <c r="AA302" s="773">
        <v>290</v>
      </c>
      <c r="AB302" s="774">
        <f t="shared" si="230"/>
        <v>8798</v>
      </c>
      <c r="AC302" s="775">
        <f t="shared" si="231"/>
        <v>0</v>
      </c>
      <c r="AD302" s="775">
        <f t="shared" si="213"/>
        <v>0</v>
      </c>
      <c r="AE302" s="775">
        <f t="shared" si="205"/>
        <v>0</v>
      </c>
      <c r="AF302" s="775">
        <f t="shared" si="232"/>
        <v>0</v>
      </c>
      <c r="AG302" s="775">
        <f t="shared" si="233"/>
        <v>0</v>
      </c>
      <c r="AI302" s="773">
        <v>290</v>
      </c>
      <c r="AJ302" s="774">
        <f t="shared" si="234"/>
        <v>8798</v>
      </c>
      <c r="AK302" s="775">
        <f t="shared" si="235"/>
        <v>0</v>
      </c>
      <c r="AL302" s="775">
        <f t="shared" si="214"/>
        <v>0</v>
      </c>
      <c r="AM302" s="775">
        <f t="shared" si="206"/>
        <v>0</v>
      </c>
      <c r="AN302" s="775">
        <f t="shared" si="236"/>
        <v>0</v>
      </c>
      <c r="AO302" s="775">
        <f t="shared" si="237"/>
        <v>0</v>
      </c>
      <c r="AQ302" s="773">
        <v>290</v>
      </c>
      <c r="AR302" s="774">
        <f t="shared" si="238"/>
        <v>8798</v>
      </c>
      <c r="AS302" s="775">
        <f t="shared" si="239"/>
        <v>0</v>
      </c>
      <c r="AT302" s="775">
        <f t="shared" si="215"/>
        <v>0</v>
      </c>
      <c r="AU302" s="775">
        <f t="shared" si="207"/>
        <v>0</v>
      </c>
      <c r="AV302" s="775">
        <f t="shared" si="240"/>
        <v>0</v>
      </c>
      <c r="AW302" s="775">
        <f t="shared" si="241"/>
        <v>0</v>
      </c>
      <c r="AY302" s="773">
        <v>290</v>
      </c>
      <c r="AZ302" s="774">
        <f t="shared" si="242"/>
        <v>8798</v>
      </c>
      <c r="BA302" s="775">
        <f t="shared" si="243"/>
        <v>0</v>
      </c>
      <c r="BB302" s="775">
        <f t="shared" si="216"/>
        <v>0</v>
      </c>
      <c r="BC302" s="775">
        <f t="shared" si="208"/>
        <v>0</v>
      </c>
      <c r="BD302" s="775">
        <f t="shared" si="244"/>
        <v>0</v>
      </c>
      <c r="BE302" s="775">
        <f t="shared" si="245"/>
        <v>0</v>
      </c>
      <c r="BG302" s="773">
        <v>290</v>
      </c>
      <c r="BH302" s="774">
        <f t="shared" si="246"/>
        <v>8798</v>
      </c>
      <c r="BI302" s="775">
        <f t="shared" si="247"/>
        <v>0</v>
      </c>
      <c r="BJ302" s="775">
        <f t="shared" si="217"/>
        <v>0</v>
      </c>
      <c r="BK302" s="775">
        <f t="shared" si="209"/>
        <v>0</v>
      </c>
      <c r="BL302" s="775">
        <f t="shared" si="248"/>
        <v>0</v>
      </c>
      <c r="BM302" s="775">
        <f t="shared" si="249"/>
        <v>0</v>
      </c>
    </row>
    <row r="303" spans="1:65">
      <c r="A303" s="11">
        <f t="shared" si="202"/>
        <v>1924</v>
      </c>
      <c r="B303" s="773">
        <v>291</v>
      </c>
      <c r="C303" s="774">
        <f t="shared" si="218"/>
        <v>8827</v>
      </c>
      <c r="D303" s="775">
        <f t="shared" si="219"/>
        <v>0</v>
      </c>
      <c r="E303" s="775">
        <f t="shared" si="210"/>
        <v>0</v>
      </c>
      <c r="F303" s="775">
        <f t="shared" si="200"/>
        <v>0</v>
      </c>
      <c r="G303" s="775">
        <f t="shared" si="220"/>
        <v>0</v>
      </c>
      <c r="H303" s="775">
        <f t="shared" si="221"/>
        <v>0</v>
      </c>
      <c r="I303" s="775">
        <f t="shared" si="201"/>
        <v>0</v>
      </c>
      <c r="K303" s="773">
        <v>291</v>
      </c>
      <c r="L303" s="774">
        <f t="shared" si="222"/>
        <v>8827</v>
      </c>
      <c r="M303" s="775">
        <f t="shared" si="223"/>
        <v>0</v>
      </c>
      <c r="N303" s="775">
        <f t="shared" si="211"/>
        <v>0</v>
      </c>
      <c r="O303" s="775">
        <f t="shared" si="203"/>
        <v>0</v>
      </c>
      <c r="P303" s="775">
        <f t="shared" si="224"/>
        <v>0</v>
      </c>
      <c r="Q303" s="775">
        <f t="shared" si="225"/>
        <v>0</v>
      </c>
      <c r="S303" s="773">
        <v>291</v>
      </c>
      <c r="T303" s="774">
        <f t="shared" si="226"/>
        <v>8827</v>
      </c>
      <c r="U303" s="775">
        <f t="shared" si="227"/>
        <v>0</v>
      </c>
      <c r="V303" s="775">
        <f t="shared" si="212"/>
        <v>0</v>
      </c>
      <c r="W303" s="775">
        <f t="shared" si="204"/>
        <v>0</v>
      </c>
      <c r="X303" s="775">
        <f t="shared" si="228"/>
        <v>0</v>
      </c>
      <c r="Y303" s="775">
        <f t="shared" si="229"/>
        <v>0</v>
      </c>
      <c r="AA303" s="773">
        <v>291</v>
      </c>
      <c r="AB303" s="774">
        <f t="shared" si="230"/>
        <v>8827</v>
      </c>
      <c r="AC303" s="775">
        <f t="shared" si="231"/>
        <v>0</v>
      </c>
      <c r="AD303" s="775">
        <f t="shared" si="213"/>
        <v>0</v>
      </c>
      <c r="AE303" s="775">
        <f t="shared" si="205"/>
        <v>0</v>
      </c>
      <c r="AF303" s="775">
        <f t="shared" si="232"/>
        <v>0</v>
      </c>
      <c r="AG303" s="775">
        <f t="shared" si="233"/>
        <v>0</v>
      </c>
      <c r="AI303" s="773">
        <v>291</v>
      </c>
      <c r="AJ303" s="774">
        <f t="shared" si="234"/>
        <v>8827</v>
      </c>
      <c r="AK303" s="775">
        <f t="shared" si="235"/>
        <v>0</v>
      </c>
      <c r="AL303" s="775">
        <f t="shared" si="214"/>
        <v>0</v>
      </c>
      <c r="AM303" s="775">
        <f t="shared" si="206"/>
        <v>0</v>
      </c>
      <c r="AN303" s="775">
        <f t="shared" si="236"/>
        <v>0</v>
      </c>
      <c r="AO303" s="775">
        <f t="shared" si="237"/>
        <v>0</v>
      </c>
      <c r="AQ303" s="773">
        <v>291</v>
      </c>
      <c r="AR303" s="774">
        <f t="shared" si="238"/>
        <v>8827</v>
      </c>
      <c r="AS303" s="775">
        <f t="shared" si="239"/>
        <v>0</v>
      </c>
      <c r="AT303" s="775">
        <f t="shared" si="215"/>
        <v>0</v>
      </c>
      <c r="AU303" s="775">
        <f t="shared" si="207"/>
        <v>0</v>
      </c>
      <c r="AV303" s="775">
        <f t="shared" si="240"/>
        <v>0</v>
      </c>
      <c r="AW303" s="775">
        <f t="shared" si="241"/>
        <v>0</v>
      </c>
      <c r="AY303" s="773">
        <v>291</v>
      </c>
      <c r="AZ303" s="774">
        <f t="shared" si="242"/>
        <v>8827</v>
      </c>
      <c r="BA303" s="775">
        <f t="shared" si="243"/>
        <v>0</v>
      </c>
      <c r="BB303" s="775">
        <f t="shared" si="216"/>
        <v>0</v>
      </c>
      <c r="BC303" s="775">
        <f t="shared" si="208"/>
        <v>0</v>
      </c>
      <c r="BD303" s="775">
        <f t="shared" si="244"/>
        <v>0</v>
      </c>
      <c r="BE303" s="775">
        <f t="shared" si="245"/>
        <v>0</v>
      </c>
      <c r="BG303" s="773">
        <v>291</v>
      </c>
      <c r="BH303" s="774">
        <f t="shared" si="246"/>
        <v>8827</v>
      </c>
      <c r="BI303" s="775">
        <f t="shared" si="247"/>
        <v>0</v>
      </c>
      <c r="BJ303" s="775">
        <f t="shared" si="217"/>
        <v>0</v>
      </c>
      <c r="BK303" s="775">
        <f t="shared" si="209"/>
        <v>0</v>
      </c>
      <c r="BL303" s="775">
        <f t="shared" si="248"/>
        <v>0</v>
      </c>
      <c r="BM303" s="775">
        <f t="shared" si="249"/>
        <v>0</v>
      </c>
    </row>
    <row r="304" spans="1:65">
      <c r="A304" s="11">
        <f t="shared" si="202"/>
        <v>1924</v>
      </c>
      <c r="B304" s="773">
        <v>292</v>
      </c>
      <c r="C304" s="774">
        <f t="shared" si="218"/>
        <v>8858</v>
      </c>
      <c r="D304" s="775">
        <f t="shared" si="219"/>
        <v>0</v>
      </c>
      <c r="E304" s="775">
        <f t="shared" si="210"/>
        <v>0</v>
      </c>
      <c r="F304" s="775">
        <f t="shared" si="200"/>
        <v>0</v>
      </c>
      <c r="G304" s="775">
        <f t="shared" si="220"/>
        <v>0</v>
      </c>
      <c r="H304" s="775">
        <f t="shared" si="221"/>
        <v>0</v>
      </c>
      <c r="I304" s="775">
        <f t="shared" si="201"/>
        <v>0</v>
      </c>
      <c r="K304" s="773">
        <v>292</v>
      </c>
      <c r="L304" s="774">
        <f t="shared" si="222"/>
        <v>8858</v>
      </c>
      <c r="M304" s="775">
        <f t="shared" si="223"/>
        <v>0</v>
      </c>
      <c r="N304" s="775">
        <f t="shared" si="211"/>
        <v>0</v>
      </c>
      <c r="O304" s="775">
        <f t="shared" si="203"/>
        <v>0</v>
      </c>
      <c r="P304" s="775">
        <f t="shared" si="224"/>
        <v>0</v>
      </c>
      <c r="Q304" s="775">
        <f t="shared" si="225"/>
        <v>0</v>
      </c>
      <c r="S304" s="773">
        <v>292</v>
      </c>
      <c r="T304" s="774">
        <f t="shared" si="226"/>
        <v>8858</v>
      </c>
      <c r="U304" s="775">
        <f t="shared" si="227"/>
        <v>0</v>
      </c>
      <c r="V304" s="775">
        <f t="shared" si="212"/>
        <v>0</v>
      </c>
      <c r="W304" s="775">
        <f t="shared" si="204"/>
        <v>0</v>
      </c>
      <c r="X304" s="775">
        <f t="shared" si="228"/>
        <v>0</v>
      </c>
      <c r="Y304" s="775">
        <f t="shared" si="229"/>
        <v>0</v>
      </c>
      <c r="AA304" s="773">
        <v>292</v>
      </c>
      <c r="AB304" s="774">
        <f t="shared" si="230"/>
        <v>8858</v>
      </c>
      <c r="AC304" s="775">
        <f t="shared" si="231"/>
        <v>0</v>
      </c>
      <c r="AD304" s="775">
        <f t="shared" si="213"/>
        <v>0</v>
      </c>
      <c r="AE304" s="775">
        <f t="shared" si="205"/>
        <v>0</v>
      </c>
      <c r="AF304" s="775">
        <f t="shared" si="232"/>
        <v>0</v>
      </c>
      <c r="AG304" s="775">
        <f t="shared" si="233"/>
        <v>0</v>
      </c>
      <c r="AI304" s="773">
        <v>292</v>
      </c>
      <c r="AJ304" s="774">
        <f t="shared" si="234"/>
        <v>8858</v>
      </c>
      <c r="AK304" s="775">
        <f t="shared" si="235"/>
        <v>0</v>
      </c>
      <c r="AL304" s="775">
        <f t="shared" si="214"/>
        <v>0</v>
      </c>
      <c r="AM304" s="775">
        <f t="shared" si="206"/>
        <v>0</v>
      </c>
      <c r="AN304" s="775">
        <f t="shared" si="236"/>
        <v>0</v>
      </c>
      <c r="AO304" s="775">
        <f t="shared" si="237"/>
        <v>0</v>
      </c>
      <c r="AQ304" s="773">
        <v>292</v>
      </c>
      <c r="AR304" s="774">
        <f t="shared" si="238"/>
        <v>8858</v>
      </c>
      <c r="AS304" s="775">
        <f t="shared" si="239"/>
        <v>0</v>
      </c>
      <c r="AT304" s="775">
        <f t="shared" si="215"/>
        <v>0</v>
      </c>
      <c r="AU304" s="775">
        <f t="shared" si="207"/>
        <v>0</v>
      </c>
      <c r="AV304" s="775">
        <f t="shared" si="240"/>
        <v>0</v>
      </c>
      <c r="AW304" s="775">
        <f t="shared" si="241"/>
        <v>0</v>
      </c>
      <c r="AY304" s="773">
        <v>292</v>
      </c>
      <c r="AZ304" s="774">
        <f t="shared" si="242"/>
        <v>8858</v>
      </c>
      <c r="BA304" s="775">
        <f t="shared" si="243"/>
        <v>0</v>
      </c>
      <c r="BB304" s="775">
        <f t="shared" si="216"/>
        <v>0</v>
      </c>
      <c r="BC304" s="775">
        <f t="shared" si="208"/>
        <v>0</v>
      </c>
      <c r="BD304" s="775">
        <f t="shared" si="244"/>
        <v>0</v>
      </c>
      <c r="BE304" s="775">
        <f t="shared" si="245"/>
        <v>0</v>
      </c>
      <c r="BG304" s="773">
        <v>292</v>
      </c>
      <c r="BH304" s="774">
        <f t="shared" si="246"/>
        <v>8858</v>
      </c>
      <c r="BI304" s="775">
        <f t="shared" si="247"/>
        <v>0</v>
      </c>
      <c r="BJ304" s="775">
        <f t="shared" si="217"/>
        <v>0</v>
      </c>
      <c r="BK304" s="775">
        <f t="shared" si="209"/>
        <v>0</v>
      </c>
      <c r="BL304" s="775">
        <f t="shared" si="248"/>
        <v>0</v>
      </c>
      <c r="BM304" s="775">
        <f t="shared" si="249"/>
        <v>0</v>
      </c>
    </row>
    <row r="305" spans="1:65">
      <c r="A305" s="11">
        <f t="shared" si="202"/>
        <v>1924</v>
      </c>
      <c r="B305" s="773">
        <v>293</v>
      </c>
      <c r="C305" s="774">
        <f t="shared" si="218"/>
        <v>8888</v>
      </c>
      <c r="D305" s="775">
        <f t="shared" si="219"/>
        <v>0</v>
      </c>
      <c r="E305" s="775">
        <f t="shared" si="210"/>
        <v>0</v>
      </c>
      <c r="F305" s="775">
        <f t="shared" si="200"/>
        <v>0</v>
      </c>
      <c r="G305" s="775">
        <f t="shared" si="220"/>
        <v>0</v>
      </c>
      <c r="H305" s="775">
        <f t="shared" si="221"/>
        <v>0</v>
      </c>
      <c r="I305" s="775">
        <f t="shared" si="201"/>
        <v>0</v>
      </c>
      <c r="K305" s="773">
        <v>293</v>
      </c>
      <c r="L305" s="774">
        <f t="shared" si="222"/>
        <v>8888</v>
      </c>
      <c r="M305" s="775">
        <f t="shared" si="223"/>
        <v>0</v>
      </c>
      <c r="N305" s="775">
        <f t="shared" si="211"/>
        <v>0</v>
      </c>
      <c r="O305" s="775">
        <f t="shared" si="203"/>
        <v>0</v>
      </c>
      <c r="P305" s="775">
        <f t="shared" si="224"/>
        <v>0</v>
      </c>
      <c r="Q305" s="775">
        <f t="shared" si="225"/>
        <v>0</v>
      </c>
      <c r="S305" s="773">
        <v>293</v>
      </c>
      <c r="T305" s="774">
        <f t="shared" si="226"/>
        <v>8888</v>
      </c>
      <c r="U305" s="775">
        <f t="shared" si="227"/>
        <v>0</v>
      </c>
      <c r="V305" s="775">
        <f t="shared" si="212"/>
        <v>0</v>
      </c>
      <c r="W305" s="775">
        <f t="shared" si="204"/>
        <v>0</v>
      </c>
      <c r="X305" s="775">
        <f t="shared" si="228"/>
        <v>0</v>
      </c>
      <c r="Y305" s="775">
        <f t="shared" si="229"/>
        <v>0</v>
      </c>
      <c r="AA305" s="773">
        <v>293</v>
      </c>
      <c r="AB305" s="774">
        <f t="shared" si="230"/>
        <v>8888</v>
      </c>
      <c r="AC305" s="775">
        <f t="shared" si="231"/>
        <v>0</v>
      </c>
      <c r="AD305" s="775">
        <f t="shared" si="213"/>
        <v>0</v>
      </c>
      <c r="AE305" s="775">
        <f t="shared" si="205"/>
        <v>0</v>
      </c>
      <c r="AF305" s="775">
        <f t="shared" si="232"/>
        <v>0</v>
      </c>
      <c r="AG305" s="775">
        <f t="shared" si="233"/>
        <v>0</v>
      </c>
      <c r="AI305" s="773">
        <v>293</v>
      </c>
      <c r="AJ305" s="774">
        <f t="shared" si="234"/>
        <v>8888</v>
      </c>
      <c r="AK305" s="775">
        <f t="shared" si="235"/>
        <v>0</v>
      </c>
      <c r="AL305" s="775">
        <f t="shared" si="214"/>
        <v>0</v>
      </c>
      <c r="AM305" s="775">
        <f t="shared" si="206"/>
        <v>0</v>
      </c>
      <c r="AN305" s="775">
        <f t="shared" si="236"/>
        <v>0</v>
      </c>
      <c r="AO305" s="775">
        <f t="shared" si="237"/>
        <v>0</v>
      </c>
      <c r="AQ305" s="773">
        <v>293</v>
      </c>
      <c r="AR305" s="774">
        <f t="shared" si="238"/>
        <v>8888</v>
      </c>
      <c r="AS305" s="775">
        <f t="shared" si="239"/>
        <v>0</v>
      </c>
      <c r="AT305" s="775">
        <f t="shared" si="215"/>
        <v>0</v>
      </c>
      <c r="AU305" s="775">
        <f t="shared" si="207"/>
        <v>0</v>
      </c>
      <c r="AV305" s="775">
        <f t="shared" si="240"/>
        <v>0</v>
      </c>
      <c r="AW305" s="775">
        <f t="shared" si="241"/>
        <v>0</v>
      </c>
      <c r="AY305" s="773">
        <v>293</v>
      </c>
      <c r="AZ305" s="774">
        <f t="shared" si="242"/>
        <v>8888</v>
      </c>
      <c r="BA305" s="775">
        <f t="shared" si="243"/>
        <v>0</v>
      </c>
      <c r="BB305" s="775">
        <f t="shared" si="216"/>
        <v>0</v>
      </c>
      <c r="BC305" s="775">
        <f t="shared" si="208"/>
        <v>0</v>
      </c>
      <c r="BD305" s="775">
        <f t="shared" si="244"/>
        <v>0</v>
      </c>
      <c r="BE305" s="775">
        <f t="shared" si="245"/>
        <v>0</v>
      </c>
      <c r="BG305" s="773">
        <v>293</v>
      </c>
      <c r="BH305" s="774">
        <f t="shared" si="246"/>
        <v>8888</v>
      </c>
      <c r="BI305" s="775">
        <f t="shared" si="247"/>
        <v>0</v>
      </c>
      <c r="BJ305" s="775">
        <f t="shared" si="217"/>
        <v>0</v>
      </c>
      <c r="BK305" s="775">
        <f t="shared" si="209"/>
        <v>0</v>
      </c>
      <c r="BL305" s="775">
        <f t="shared" si="248"/>
        <v>0</v>
      </c>
      <c r="BM305" s="775">
        <f t="shared" si="249"/>
        <v>0</v>
      </c>
    </row>
    <row r="306" spans="1:65">
      <c r="A306" s="11">
        <f t="shared" si="202"/>
        <v>1924</v>
      </c>
      <c r="B306" s="773">
        <v>294</v>
      </c>
      <c r="C306" s="774">
        <f t="shared" si="218"/>
        <v>8919</v>
      </c>
      <c r="D306" s="775">
        <f t="shared" si="219"/>
        <v>0</v>
      </c>
      <c r="E306" s="775">
        <f t="shared" si="210"/>
        <v>0</v>
      </c>
      <c r="F306" s="775">
        <f t="shared" si="200"/>
        <v>0</v>
      </c>
      <c r="G306" s="775">
        <f t="shared" si="220"/>
        <v>0</v>
      </c>
      <c r="H306" s="775">
        <f t="shared" si="221"/>
        <v>0</v>
      </c>
      <c r="I306" s="775">
        <f t="shared" si="201"/>
        <v>0</v>
      </c>
      <c r="K306" s="773">
        <v>294</v>
      </c>
      <c r="L306" s="774">
        <f t="shared" si="222"/>
        <v>8919</v>
      </c>
      <c r="M306" s="775">
        <f t="shared" si="223"/>
        <v>0</v>
      </c>
      <c r="N306" s="775">
        <f t="shared" si="211"/>
        <v>0</v>
      </c>
      <c r="O306" s="775">
        <f t="shared" si="203"/>
        <v>0</v>
      </c>
      <c r="P306" s="775">
        <f t="shared" si="224"/>
        <v>0</v>
      </c>
      <c r="Q306" s="775">
        <f t="shared" si="225"/>
        <v>0</v>
      </c>
      <c r="S306" s="773">
        <v>294</v>
      </c>
      <c r="T306" s="774">
        <f t="shared" si="226"/>
        <v>8919</v>
      </c>
      <c r="U306" s="775">
        <f t="shared" si="227"/>
        <v>0</v>
      </c>
      <c r="V306" s="775">
        <f t="shared" si="212"/>
        <v>0</v>
      </c>
      <c r="W306" s="775">
        <f t="shared" si="204"/>
        <v>0</v>
      </c>
      <c r="X306" s="775">
        <f t="shared" si="228"/>
        <v>0</v>
      </c>
      <c r="Y306" s="775">
        <f t="shared" si="229"/>
        <v>0</v>
      </c>
      <c r="AA306" s="773">
        <v>294</v>
      </c>
      <c r="AB306" s="774">
        <f t="shared" si="230"/>
        <v>8919</v>
      </c>
      <c r="AC306" s="775">
        <f t="shared" si="231"/>
        <v>0</v>
      </c>
      <c r="AD306" s="775">
        <f t="shared" si="213"/>
        <v>0</v>
      </c>
      <c r="AE306" s="775">
        <f t="shared" si="205"/>
        <v>0</v>
      </c>
      <c r="AF306" s="775">
        <f t="shared" si="232"/>
        <v>0</v>
      </c>
      <c r="AG306" s="775">
        <f t="shared" si="233"/>
        <v>0</v>
      </c>
      <c r="AI306" s="773">
        <v>294</v>
      </c>
      <c r="AJ306" s="774">
        <f t="shared" si="234"/>
        <v>8919</v>
      </c>
      <c r="AK306" s="775">
        <f t="shared" si="235"/>
        <v>0</v>
      </c>
      <c r="AL306" s="775">
        <f t="shared" si="214"/>
        <v>0</v>
      </c>
      <c r="AM306" s="775">
        <f t="shared" si="206"/>
        <v>0</v>
      </c>
      <c r="AN306" s="775">
        <f t="shared" si="236"/>
        <v>0</v>
      </c>
      <c r="AO306" s="775">
        <f t="shared" si="237"/>
        <v>0</v>
      </c>
      <c r="AQ306" s="773">
        <v>294</v>
      </c>
      <c r="AR306" s="774">
        <f t="shared" si="238"/>
        <v>8919</v>
      </c>
      <c r="AS306" s="775">
        <f t="shared" si="239"/>
        <v>0</v>
      </c>
      <c r="AT306" s="775">
        <f t="shared" si="215"/>
        <v>0</v>
      </c>
      <c r="AU306" s="775">
        <f t="shared" si="207"/>
        <v>0</v>
      </c>
      <c r="AV306" s="775">
        <f t="shared" si="240"/>
        <v>0</v>
      </c>
      <c r="AW306" s="775">
        <f t="shared" si="241"/>
        <v>0</v>
      </c>
      <c r="AY306" s="773">
        <v>294</v>
      </c>
      <c r="AZ306" s="774">
        <f t="shared" si="242"/>
        <v>8919</v>
      </c>
      <c r="BA306" s="775">
        <f t="shared" si="243"/>
        <v>0</v>
      </c>
      <c r="BB306" s="775">
        <f t="shared" si="216"/>
        <v>0</v>
      </c>
      <c r="BC306" s="775">
        <f t="shared" si="208"/>
        <v>0</v>
      </c>
      <c r="BD306" s="775">
        <f t="shared" si="244"/>
        <v>0</v>
      </c>
      <c r="BE306" s="775">
        <f t="shared" si="245"/>
        <v>0</v>
      </c>
      <c r="BG306" s="773">
        <v>294</v>
      </c>
      <c r="BH306" s="774">
        <f t="shared" si="246"/>
        <v>8919</v>
      </c>
      <c r="BI306" s="775">
        <f t="shared" si="247"/>
        <v>0</v>
      </c>
      <c r="BJ306" s="775">
        <f t="shared" si="217"/>
        <v>0</v>
      </c>
      <c r="BK306" s="775">
        <f t="shared" si="209"/>
        <v>0</v>
      </c>
      <c r="BL306" s="775">
        <f t="shared" si="248"/>
        <v>0</v>
      </c>
      <c r="BM306" s="775">
        <f t="shared" si="249"/>
        <v>0</v>
      </c>
    </row>
    <row r="307" spans="1:65">
      <c r="A307" s="11">
        <f t="shared" si="202"/>
        <v>1924</v>
      </c>
      <c r="B307" s="773">
        <v>295</v>
      </c>
      <c r="C307" s="774">
        <f t="shared" si="218"/>
        <v>8949</v>
      </c>
      <c r="D307" s="775">
        <f t="shared" si="219"/>
        <v>0</v>
      </c>
      <c r="E307" s="775">
        <f t="shared" si="210"/>
        <v>0</v>
      </c>
      <c r="F307" s="775">
        <f t="shared" si="200"/>
        <v>0</v>
      </c>
      <c r="G307" s="775">
        <f t="shared" si="220"/>
        <v>0</v>
      </c>
      <c r="H307" s="775">
        <f t="shared" si="221"/>
        <v>0</v>
      </c>
      <c r="I307" s="775">
        <f t="shared" si="201"/>
        <v>0</v>
      </c>
      <c r="K307" s="773">
        <v>295</v>
      </c>
      <c r="L307" s="774">
        <f t="shared" si="222"/>
        <v>8949</v>
      </c>
      <c r="M307" s="775">
        <f t="shared" si="223"/>
        <v>0</v>
      </c>
      <c r="N307" s="775">
        <f t="shared" si="211"/>
        <v>0</v>
      </c>
      <c r="O307" s="775">
        <f t="shared" si="203"/>
        <v>0</v>
      </c>
      <c r="P307" s="775">
        <f t="shared" si="224"/>
        <v>0</v>
      </c>
      <c r="Q307" s="775">
        <f t="shared" si="225"/>
        <v>0</v>
      </c>
      <c r="S307" s="773">
        <v>295</v>
      </c>
      <c r="T307" s="774">
        <f t="shared" si="226"/>
        <v>8949</v>
      </c>
      <c r="U307" s="775">
        <f t="shared" si="227"/>
        <v>0</v>
      </c>
      <c r="V307" s="775">
        <f t="shared" si="212"/>
        <v>0</v>
      </c>
      <c r="W307" s="775">
        <f t="shared" si="204"/>
        <v>0</v>
      </c>
      <c r="X307" s="775">
        <f t="shared" si="228"/>
        <v>0</v>
      </c>
      <c r="Y307" s="775">
        <f t="shared" si="229"/>
        <v>0</v>
      </c>
      <c r="AA307" s="773">
        <v>295</v>
      </c>
      <c r="AB307" s="774">
        <f t="shared" si="230"/>
        <v>8949</v>
      </c>
      <c r="AC307" s="775">
        <f t="shared" si="231"/>
        <v>0</v>
      </c>
      <c r="AD307" s="775">
        <f t="shared" si="213"/>
        <v>0</v>
      </c>
      <c r="AE307" s="775">
        <f t="shared" si="205"/>
        <v>0</v>
      </c>
      <c r="AF307" s="775">
        <f t="shared" si="232"/>
        <v>0</v>
      </c>
      <c r="AG307" s="775">
        <f t="shared" si="233"/>
        <v>0</v>
      </c>
      <c r="AI307" s="773">
        <v>295</v>
      </c>
      <c r="AJ307" s="774">
        <f t="shared" si="234"/>
        <v>8949</v>
      </c>
      <c r="AK307" s="775">
        <f t="shared" si="235"/>
        <v>0</v>
      </c>
      <c r="AL307" s="775">
        <f t="shared" si="214"/>
        <v>0</v>
      </c>
      <c r="AM307" s="775">
        <f t="shared" si="206"/>
        <v>0</v>
      </c>
      <c r="AN307" s="775">
        <f t="shared" si="236"/>
        <v>0</v>
      </c>
      <c r="AO307" s="775">
        <f t="shared" si="237"/>
        <v>0</v>
      </c>
      <c r="AQ307" s="773">
        <v>295</v>
      </c>
      <c r="AR307" s="774">
        <f t="shared" si="238"/>
        <v>8949</v>
      </c>
      <c r="AS307" s="775">
        <f t="shared" si="239"/>
        <v>0</v>
      </c>
      <c r="AT307" s="775">
        <f t="shared" si="215"/>
        <v>0</v>
      </c>
      <c r="AU307" s="775">
        <f t="shared" si="207"/>
        <v>0</v>
      </c>
      <c r="AV307" s="775">
        <f t="shared" si="240"/>
        <v>0</v>
      </c>
      <c r="AW307" s="775">
        <f t="shared" si="241"/>
        <v>0</v>
      </c>
      <c r="AY307" s="773">
        <v>295</v>
      </c>
      <c r="AZ307" s="774">
        <f t="shared" si="242"/>
        <v>8949</v>
      </c>
      <c r="BA307" s="775">
        <f t="shared" si="243"/>
        <v>0</v>
      </c>
      <c r="BB307" s="775">
        <f t="shared" si="216"/>
        <v>0</v>
      </c>
      <c r="BC307" s="775">
        <f t="shared" si="208"/>
        <v>0</v>
      </c>
      <c r="BD307" s="775">
        <f t="shared" si="244"/>
        <v>0</v>
      </c>
      <c r="BE307" s="775">
        <f t="shared" si="245"/>
        <v>0</v>
      </c>
      <c r="BG307" s="773">
        <v>295</v>
      </c>
      <c r="BH307" s="774">
        <f t="shared" si="246"/>
        <v>8949</v>
      </c>
      <c r="BI307" s="775">
        <f t="shared" si="247"/>
        <v>0</v>
      </c>
      <c r="BJ307" s="775">
        <f t="shared" si="217"/>
        <v>0</v>
      </c>
      <c r="BK307" s="775">
        <f t="shared" si="209"/>
        <v>0</v>
      </c>
      <c r="BL307" s="775">
        <f t="shared" si="248"/>
        <v>0</v>
      </c>
      <c r="BM307" s="775">
        <f t="shared" si="249"/>
        <v>0</v>
      </c>
    </row>
    <row r="308" spans="1:65">
      <c r="A308" s="11">
        <f t="shared" si="202"/>
        <v>1924</v>
      </c>
      <c r="B308" s="773">
        <v>296</v>
      </c>
      <c r="C308" s="774">
        <f t="shared" si="218"/>
        <v>8980</v>
      </c>
      <c r="D308" s="775">
        <f t="shared" si="219"/>
        <v>0</v>
      </c>
      <c r="E308" s="775">
        <f t="shared" si="210"/>
        <v>0</v>
      </c>
      <c r="F308" s="775">
        <f t="shared" si="200"/>
        <v>0</v>
      </c>
      <c r="G308" s="775">
        <f t="shared" si="220"/>
        <v>0</v>
      </c>
      <c r="H308" s="775">
        <f t="shared" si="221"/>
        <v>0</v>
      </c>
      <c r="I308" s="775">
        <f t="shared" si="201"/>
        <v>0</v>
      </c>
      <c r="K308" s="773">
        <v>296</v>
      </c>
      <c r="L308" s="774">
        <f t="shared" si="222"/>
        <v>8980</v>
      </c>
      <c r="M308" s="775">
        <f t="shared" si="223"/>
        <v>0</v>
      </c>
      <c r="N308" s="775">
        <f t="shared" si="211"/>
        <v>0</v>
      </c>
      <c r="O308" s="775">
        <f t="shared" si="203"/>
        <v>0</v>
      </c>
      <c r="P308" s="775">
        <f t="shared" si="224"/>
        <v>0</v>
      </c>
      <c r="Q308" s="775">
        <f t="shared" si="225"/>
        <v>0</v>
      </c>
      <c r="S308" s="773">
        <v>296</v>
      </c>
      <c r="T308" s="774">
        <f t="shared" si="226"/>
        <v>8980</v>
      </c>
      <c r="U308" s="775">
        <f t="shared" si="227"/>
        <v>0</v>
      </c>
      <c r="V308" s="775">
        <f t="shared" si="212"/>
        <v>0</v>
      </c>
      <c r="W308" s="775">
        <f t="shared" si="204"/>
        <v>0</v>
      </c>
      <c r="X308" s="775">
        <f t="shared" si="228"/>
        <v>0</v>
      </c>
      <c r="Y308" s="775">
        <f t="shared" si="229"/>
        <v>0</v>
      </c>
      <c r="AA308" s="773">
        <v>296</v>
      </c>
      <c r="AB308" s="774">
        <f t="shared" si="230"/>
        <v>8980</v>
      </c>
      <c r="AC308" s="775">
        <f t="shared" si="231"/>
        <v>0</v>
      </c>
      <c r="AD308" s="775">
        <f t="shared" si="213"/>
        <v>0</v>
      </c>
      <c r="AE308" s="775">
        <f t="shared" si="205"/>
        <v>0</v>
      </c>
      <c r="AF308" s="775">
        <f t="shared" si="232"/>
        <v>0</v>
      </c>
      <c r="AG308" s="775">
        <f t="shared" si="233"/>
        <v>0</v>
      </c>
      <c r="AI308" s="773">
        <v>296</v>
      </c>
      <c r="AJ308" s="774">
        <f t="shared" si="234"/>
        <v>8980</v>
      </c>
      <c r="AK308" s="775">
        <f t="shared" si="235"/>
        <v>0</v>
      </c>
      <c r="AL308" s="775">
        <f t="shared" si="214"/>
        <v>0</v>
      </c>
      <c r="AM308" s="775">
        <f t="shared" si="206"/>
        <v>0</v>
      </c>
      <c r="AN308" s="775">
        <f t="shared" si="236"/>
        <v>0</v>
      </c>
      <c r="AO308" s="775">
        <f t="shared" si="237"/>
        <v>0</v>
      </c>
      <c r="AQ308" s="773">
        <v>296</v>
      </c>
      <c r="AR308" s="774">
        <f t="shared" si="238"/>
        <v>8980</v>
      </c>
      <c r="AS308" s="775">
        <f t="shared" si="239"/>
        <v>0</v>
      </c>
      <c r="AT308" s="775">
        <f t="shared" si="215"/>
        <v>0</v>
      </c>
      <c r="AU308" s="775">
        <f t="shared" si="207"/>
        <v>0</v>
      </c>
      <c r="AV308" s="775">
        <f t="shared" si="240"/>
        <v>0</v>
      </c>
      <c r="AW308" s="775">
        <f t="shared" si="241"/>
        <v>0</v>
      </c>
      <c r="AY308" s="773">
        <v>296</v>
      </c>
      <c r="AZ308" s="774">
        <f t="shared" si="242"/>
        <v>8980</v>
      </c>
      <c r="BA308" s="775">
        <f t="shared" si="243"/>
        <v>0</v>
      </c>
      <c r="BB308" s="775">
        <f t="shared" si="216"/>
        <v>0</v>
      </c>
      <c r="BC308" s="775">
        <f t="shared" si="208"/>
        <v>0</v>
      </c>
      <c r="BD308" s="775">
        <f t="shared" si="244"/>
        <v>0</v>
      </c>
      <c r="BE308" s="775">
        <f t="shared" si="245"/>
        <v>0</v>
      </c>
      <c r="BG308" s="773">
        <v>296</v>
      </c>
      <c r="BH308" s="774">
        <f t="shared" si="246"/>
        <v>8980</v>
      </c>
      <c r="BI308" s="775">
        <f t="shared" si="247"/>
        <v>0</v>
      </c>
      <c r="BJ308" s="775">
        <f t="shared" si="217"/>
        <v>0</v>
      </c>
      <c r="BK308" s="775">
        <f t="shared" si="209"/>
        <v>0</v>
      </c>
      <c r="BL308" s="775">
        <f t="shared" si="248"/>
        <v>0</v>
      </c>
      <c r="BM308" s="775">
        <f t="shared" si="249"/>
        <v>0</v>
      </c>
    </row>
    <row r="309" spans="1:65">
      <c r="A309" s="11">
        <f t="shared" si="202"/>
        <v>1924</v>
      </c>
      <c r="B309" s="773">
        <v>297</v>
      </c>
      <c r="C309" s="774">
        <f t="shared" si="218"/>
        <v>9011</v>
      </c>
      <c r="D309" s="775">
        <f t="shared" si="219"/>
        <v>0</v>
      </c>
      <c r="E309" s="775">
        <f t="shared" si="210"/>
        <v>0</v>
      </c>
      <c r="F309" s="775">
        <f t="shared" si="200"/>
        <v>0</v>
      </c>
      <c r="G309" s="775">
        <f t="shared" si="220"/>
        <v>0</v>
      </c>
      <c r="H309" s="775">
        <f t="shared" si="221"/>
        <v>0</v>
      </c>
      <c r="I309" s="775">
        <f t="shared" si="201"/>
        <v>0</v>
      </c>
      <c r="K309" s="773">
        <v>297</v>
      </c>
      <c r="L309" s="774">
        <f t="shared" si="222"/>
        <v>9011</v>
      </c>
      <c r="M309" s="775">
        <f t="shared" si="223"/>
        <v>0</v>
      </c>
      <c r="N309" s="775">
        <f t="shared" si="211"/>
        <v>0</v>
      </c>
      <c r="O309" s="775">
        <f t="shared" si="203"/>
        <v>0</v>
      </c>
      <c r="P309" s="775">
        <f t="shared" si="224"/>
        <v>0</v>
      </c>
      <c r="Q309" s="775">
        <f t="shared" si="225"/>
        <v>0</v>
      </c>
      <c r="S309" s="773">
        <v>297</v>
      </c>
      <c r="T309" s="774">
        <f t="shared" si="226"/>
        <v>9011</v>
      </c>
      <c r="U309" s="775">
        <f t="shared" si="227"/>
        <v>0</v>
      </c>
      <c r="V309" s="775">
        <f t="shared" si="212"/>
        <v>0</v>
      </c>
      <c r="W309" s="775">
        <f t="shared" si="204"/>
        <v>0</v>
      </c>
      <c r="X309" s="775">
        <f t="shared" si="228"/>
        <v>0</v>
      </c>
      <c r="Y309" s="775">
        <f t="shared" si="229"/>
        <v>0</v>
      </c>
      <c r="AA309" s="773">
        <v>297</v>
      </c>
      <c r="AB309" s="774">
        <f t="shared" si="230"/>
        <v>9011</v>
      </c>
      <c r="AC309" s="775">
        <f t="shared" si="231"/>
        <v>0</v>
      </c>
      <c r="AD309" s="775">
        <f t="shared" si="213"/>
        <v>0</v>
      </c>
      <c r="AE309" s="775">
        <f t="shared" si="205"/>
        <v>0</v>
      </c>
      <c r="AF309" s="775">
        <f t="shared" si="232"/>
        <v>0</v>
      </c>
      <c r="AG309" s="775">
        <f t="shared" si="233"/>
        <v>0</v>
      </c>
      <c r="AI309" s="773">
        <v>297</v>
      </c>
      <c r="AJ309" s="774">
        <f t="shared" si="234"/>
        <v>9011</v>
      </c>
      <c r="AK309" s="775">
        <f t="shared" si="235"/>
        <v>0</v>
      </c>
      <c r="AL309" s="775">
        <f t="shared" si="214"/>
        <v>0</v>
      </c>
      <c r="AM309" s="775">
        <f t="shared" si="206"/>
        <v>0</v>
      </c>
      <c r="AN309" s="775">
        <f t="shared" si="236"/>
        <v>0</v>
      </c>
      <c r="AO309" s="775">
        <f t="shared" si="237"/>
        <v>0</v>
      </c>
      <c r="AQ309" s="773">
        <v>297</v>
      </c>
      <c r="AR309" s="774">
        <f t="shared" si="238"/>
        <v>9011</v>
      </c>
      <c r="AS309" s="775">
        <f t="shared" si="239"/>
        <v>0</v>
      </c>
      <c r="AT309" s="775">
        <f t="shared" si="215"/>
        <v>0</v>
      </c>
      <c r="AU309" s="775">
        <f t="shared" si="207"/>
        <v>0</v>
      </c>
      <c r="AV309" s="775">
        <f t="shared" si="240"/>
        <v>0</v>
      </c>
      <c r="AW309" s="775">
        <f t="shared" si="241"/>
        <v>0</v>
      </c>
      <c r="AY309" s="773">
        <v>297</v>
      </c>
      <c r="AZ309" s="774">
        <f t="shared" si="242"/>
        <v>9011</v>
      </c>
      <c r="BA309" s="775">
        <f t="shared" si="243"/>
        <v>0</v>
      </c>
      <c r="BB309" s="775">
        <f t="shared" si="216"/>
        <v>0</v>
      </c>
      <c r="BC309" s="775">
        <f t="shared" si="208"/>
        <v>0</v>
      </c>
      <c r="BD309" s="775">
        <f t="shared" si="244"/>
        <v>0</v>
      </c>
      <c r="BE309" s="775">
        <f t="shared" si="245"/>
        <v>0</v>
      </c>
      <c r="BG309" s="773">
        <v>297</v>
      </c>
      <c r="BH309" s="774">
        <f t="shared" si="246"/>
        <v>9011</v>
      </c>
      <c r="BI309" s="775">
        <f t="shared" si="247"/>
        <v>0</v>
      </c>
      <c r="BJ309" s="775">
        <f t="shared" si="217"/>
        <v>0</v>
      </c>
      <c r="BK309" s="775">
        <f t="shared" si="209"/>
        <v>0</v>
      </c>
      <c r="BL309" s="775">
        <f t="shared" si="248"/>
        <v>0</v>
      </c>
      <c r="BM309" s="775">
        <f t="shared" si="249"/>
        <v>0</v>
      </c>
    </row>
    <row r="310" spans="1:65">
      <c r="A310" s="11">
        <f t="shared" si="202"/>
        <v>1924</v>
      </c>
      <c r="B310" s="773">
        <v>298</v>
      </c>
      <c r="C310" s="774">
        <f t="shared" si="218"/>
        <v>9041</v>
      </c>
      <c r="D310" s="775">
        <f t="shared" si="219"/>
        <v>0</v>
      </c>
      <c r="E310" s="775">
        <f t="shared" si="210"/>
        <v>0</v>
      </c>
      <c r="F310" s="775">
        <f t="shared" si="200"/>
        <v>0</v>
      </c>
      <c r="G310" s="775">
        <f t="shared" si="220"/>
        <v>0</v>
      </c>
      <c r="H310" s="775">
        <f t="shared" si="221"/>
        <v>0</v>
      </c>
      <c r="I310" s="775">
        <f t="shared" si="201"/>
        <v>0</v>
      </c>
      <c r="K310" s="773">
        <v>298</v>
      </c>
      <c r="L310" s="774">
        <f t="shared" si="222"/>
        <v>9041</v>
      </c>
      <c r="M310" s="775">
        <f t="shared" si="223"/>
        <v>0</v>
      </c>
      <c r="N310" s="775">
        <f t="shared" si="211"/>
        <v>0</v>
      </c>
      <c r="O310" s="775">
        <f t="shared" si="203"/>
        <v>0</v>
      </c>
      <c r="P310" s="775">
        <f t="shared" si="224"/>
        <v>0</v>
      </c>
      <c r="Q310" s="775">
        <f t="shared" si="225"/>
        <v>0</v>
      </c>
      <c r="S310" s="773">
        <v>298</v>
      </c>
      <c r="T310" s="774">
        <f t="shared" si="226"/>
        <v>9041</v>
      </c>
      <c r="U310" s="775">
        <f t="shared" si="227"/>
        <v>0</v>
      </c>
      <c r="V310" s="775">
        <f t="shared" si="212"/>
        <v>0</v>
      </c>
      <c r="W310" s="775">
        <f t="shared" si="204"/>
        <v>0</v>
      </c>
      <c r="X310" s="775">
        <f t="shared" si="228"/>
        <v>0</v>
      </c>
      <c r="Y310" s="775">
        <f t="shared" si="229"/>
        <v>0</v>
      </c>
      <c r="AA310" s="773">
        <v>298</v>
      </c>
      <c r="AB310" s="774">
        <f t="shared" si="230"/>
        <v>9041</v>
      </c>
      <c r="AC310" s="775">
        <f t="shared" si="231"/>
        <v>0</v>
      </c>
      <c r="AD310" s="775">
        <f t="shared" si="213"/>
        <v>0</v>
      </c>
      <c r="AE310" s="775">
        <f t="shared" si="205"/>
        <v>0</v>
      </c>
      <c r="AF310" s="775">
        <f t="shared" si="232"/>
        <v>0</v>
      </c>
      <c r="AG310" s="775">
        <f t="shared" si="233"/>
        <v>0</v>
      </c>
      <c r="AI310" s="773">
        <v>298</v>
      </c>
      <c r="AJ310" s="774">
        <f t="shared" si="234"/>
        <v>9041</v>
      </c>
      <c r="AK310" s="775">
        <f t="shared" si="235"/>
        <v>0</v>
      </c>
      <c r="AL310" s="775">
        <f t="shared" si="214"/>
        <v>0</v>
      </c>
      <c r="AM310" s="775">
        <f t="shared" si="206"/>
        <v>0</v>
      </c>
      <c r="AN310" s="775">
        <f t="shared" si="236"/>
        <v>0</v>
      </c>
      <c r="AO310" s="775">
        <f t="shared" si="237"/>
        <v>0</v>
      </c>
      <c r="AQ310" s="773">
        <v>298</v>
      </c>
      <c r="AR310" s="774">
        <f t="shared" si="238"/>
        <v>9041</v>
      </c>
      <c r="AS310" s="775">
        <f t="shared" si="239"/>
        <v>0</v>
      </c>
      <c r="AT310" s="775">
        <f t="shared" si="215"/>
        <v>0</v>
      </c>
      <c r="AU310" s="775">
        <f t="shared" si="207"/>
        <v>0</v>
      </c>
      <c r="AV310" s="775">
        <f t="shared" si="240"/>
        <v>0</v>
      </c>
      <c r="AW310" s="775">
        <f t="shared" si="241"/>
        <v>0</v>
      </c>
      <c r="AY310" s="773">
        <v>298</v>
      </c>
      <c r="AZ310" s="774">
        <f t="shared" si="242"/>
        <v>9041</v>
      </c>
      <c r="BA310" s="775">
        <f t="shared" si="243"/>
        <v>0</v>
      </c>
      <c r="BB310" s="775">
        <f t="shared" si="216"/>
        <v>0</v>
      </c>
      <c r="BC310" s="775">
        <f t="shared" si="208"/>
        <v>0</v>
      </c>
      <c r="BD310" s="775">
        <f t="shared" si="244"/>
        <v>0</v>
      </c>
      <c r="BE310" s="775">
        <f t="shared" si="245"/>
        <v>0</v>
      </c>
      <c r="BG310" s="773">
        <v>298</v>
      </c>
      <c r="BH310" s="774">
        <f t="shared" si="246"/>
        <v>9041</v>
      </c>
      <c r="BI310" s="775">
        <f t="shared" si="247"/>
        <v>0</v>
      </c>
      <c r="BJ310" s="775">
        <f t="shared" si="217"/>
        <v>0</v>
      </c>
      <c r="BK310" s="775">
        <f t="shared" si="209"/>
        <v>0</v>
      </c>
      <c r="BL310" s="775">
        <f t="shared" si="248"/>
        <v>0</v>
      </c>
      <c r="BM310" s="775">
        <f t="shared" si="249"/>
        <v>0</v>
      </c>
    </row>
    <row r="311" spans="1:65">
      <c r="A311" s="11">
        <f t="shared" si="202"/>
        <v>1924</v>
      </c>
      <c r="B311" s="773">
        <v>299</v>
      </c>
      <c r="C311" s="774">
        <f t="shared" si="218"/>
        <v>9072</v>
      </c>
      <c r="D311" s="775">
        <f t="shared" si="219"/>
        <v>0</v>
      </c>
      <c r="E311" s="775">
        <f t="shared" si="210"/>
        <v>0</v>
      </c>
      <c r="F311" s="775">
        <f t="shared" si="200"/>
        <v>0</v>
      </c>
      <c r="G311" s="775">
        <f t="shared" si="220"/>
        <v>0</v>
      </c>
      <c r="H311" s="775">
        <f t="shared" si="221"/>
        <v>0</v>
      </c>
      <c r="I311" s="775">
        <f t="shared" si="201"/>
        <v>0</v>
      </c>
      <c r="K311" s="773">
        <v>299</v>
      </c>
      <c r="L311" s="774">
        <f t="shared" si="222"/>
        <v>9072</v>
      </c>
      <c r="M311" s="775">
        <f t="shared" si="223"/>
        <v>0</v>
      </c>
      <c r="N311" s="775">
        <f t="shared" si="211"/>
        <v>0</v>
      </c>
      <c r="O311" s="775">
        <f t="shared" si="203"/>
        <v>0</v>
      </c>
      <c r="P311" s="775">
        <f t="shared" si="224"/>
        <v>0</v>
      </c>
      <c r="Q311" s="775">
        <f t="shared" si="225"/>
        <v>0</v>
      </c>
      <c r="S311" s="773">
        <v>299</v>
      </c>
      <c r="T311" s="774">
        <f t="shared" si="226"/>
        <v>9072</v>
      </c>
      <c r="U311" s="775">
        <f t="shared" si="227"/>
        <v>0</v>
      </c>
      <c r="V311" s="775">
        <f t="shared" si="212"/>
        <v>0</v>
      </c>
      <c r="W311" s="775">
        <f t="shared" si="204"/>
        <v>0</v>
      </c>
      <c r="X311" s="775">
        <f t="shared" si="228"/>
        <v>0</v>
      </c>
      <c r="Y311" s="775">
        <f t="shared" si="229"/>
        <v>0</v>
      </c>
      <c r="AA311" s="773">
        <v>299</v>
      </c>
      <c r="AB311" s="774">
        <f t="shared" si="230"/>
        <v>9072</v>
      </c>
      <c r="AC311" s="775">
        <f t="shared" si="231"/>
        <v>0</v>
      </c>
      <c r="AD311" s="775">
        <f t="shared" si="213"/>
        <v>0</v>
      </c>
      <c r="AE311" s="775">
        <f t="shared" si="205"/>
        <v>0</v>
      </c>
      <c r="AF311" s="775">
        <f t="shared" si="232"/>
        <v>0</v>
      </c>
      <c r="AG311" s="775">
        <f t="shared" si="233"/>
        <v>0</v>
      </c>
      <c r="AI311" s="773">
        <v>299</v>
      </c>
      <c r="AJ311" s="774">
        <f t="shared" si="234"/>
        <v>9072</v>
      </c>
      <c r="AK311" s="775">
        <f t="shared" si="235"/>
        <v>0</v>
      </c>
      <c r="AL311" s="775">
        <f t="shared" si="214"/>
        <v>0</v>
      </c>
      <c r="AM311" s="775">
        <f t="shared" si="206"/>
        <v>0</v>
      </c>
      <c r="AN311" s="775">
        <f t="shared" si="236"/>
        <v>0</v>
      </c>
      <c r="AO311" s="775">
        <f t="shared" si="237"/>
        <v>0</v>
      </c>
      <c r="AQ311" s="773">
        <v>299</v>
      </c>
      <c r="AR311" s="774">
        <f t="shared" si="238"/>
        <v>9072</v>
      </c>
      <c r="AS311" s="775">
        <f t="shared" si="239"/>
        <v>0</v>
      </c>
      <c r="AT311" s="775">
        <f t="shared" si="215"/>
        <v>0</v>
      </c>
      <c r="AU311" s="775">
        <f t="shared" si="207"/>
        <v>0</v>
      </c>
      <c r="AV311" s="775">
        <f t="shared" si="240"/>
        <v>0</v>
      </c>
      <c r="AW311" s="775">
        <f t="shared" si="241"/>
        <v>0</v>
      </c>
      <c r="AY311" s="773">
        <v>299</v>
      </c>
      <c r="AZ311" s="774">
        <f t="shared" si="242"/>
        <v>9072</v>
      </c>
      <c r="BA311" s="775">
        <f t="shared" si="243"/>
        <v>0</v>
      </c>
      <c r="BB311" s="775">
        <f t="shared" si="216"/>
        <v>0</v>
      </c>
      <c r="BC311" s="775">
        <f t="shared" si="208"/>
        <v>0</v>
      </c>
      <c r="BD311" s="775">
        <f t="shared" si="244"/>
        <v>0</v>
      </c>
      <c r="BE311" s="775">
        <f t="shared" si="245"/>
        <v>0</v>
      </c>
      <c r="BG311" s="773">
        <v>299</v>
      </c>
      <c r="BH311" s="774">
        <f t="shared" si="246"/>
        <v>9072</v>
      </c>
      <c r="BI311" s="775">
        <f t="shared" si="247"/>
        <v>0</v>
      </c>
      <c r="BJ311" s="775">
        <f t="shared" si="217"/>
        <v>0</v>
      </c>
      <c r="BK311" s="775">
        <f t="shared" si="209"/>
        <v>0</v>
      </c>
      <c r="BL311" s="775">
        <f t="shared" si="248"/>
        <v>0</v>
      </c>
      <c r="BM311" s="775">
        <f t="shared" si="249"/>
        <v>0</v>
      </c>
    </row>
    <row r="312" spans="1:65">
      <c r="A312" s="11">
        <f t="shared" si="202"/>
        <v>1924</v>
      </c>
      <c r="B312" s="773">
        <v>300</v>
      </c>
      <c r="C312" s="774">
        <f t="shared" si="218"/>
        <v>9102</v>
      </c>
      <c r="D312" s="775">
        <f t="shared" si="219"/>
        <v>0</v>
      </c>
      <c r="E312" s="775">
        <f t="shared" si="210"/>
        <v>0</v>
      </c>
      <c r="F312" s="775">
        <f t="shared" si="200"/>
        <v>0</v>
      </c>
      <c r="G312" s="775">
        <f t="shared" si="220"/>
        <v>0</v>
      </c>
      <c r="H312" s="775">
        <f t="shared" si="221"/>
        <v>0</v>
      </c>
      <c r="I312" s="775">
        <f t="shared" si="201"/>
        <v>0</v>
      </c>
      <c r="K312" s="773">
        <v>300</v>
      </c>
      <c r="L312" s="774">
        <f t="shared" si="222"/>
        <v>9102</v>
      </c>
      <c r="M312" s="775">
        <f t="shared" si="223"/>
        <v>0</v>
      </c>
      <c r="N312" s="775">
        <f t="shared" si="211"/>
        <v>0</v>
      </c>
      <c r="O312" s="775">
        <f t="shared" si="203"/>
        <v>0</v>
      </c>
      <c r="P312" s="775">
        <f t="shared" si="224"/>
        <v>0</v>
      </c>
      <c r="Q312" s="775">
        <f t="shared" si="225"/>
        <v>0</v>
      </c>
      <c r="S312" s="773">
        <v>300</v>
      </c>
      <c r="T312" s="774">
        <f t="shared" si="226"/>
        <v>9102</v>
      </c>
      <c r="U312" s="775">
        <f t="shared" si="227"/>
        <v>0</v>
      </c>
      <c r="V312" s="775">
        <f t="shared" si="212"/>
        <v>0</v>
      </c>
      <c r="W312" s="775">
        <f t="shared" si="204"/>
        <v>0</v>
      </c>
      <c r="X312" s="775">
        <f t="shared" si="228"/>
        <v>0</v>
      </c>
      <c r="Y312" s="775">
        <f t="shared" si="229"/>
        <v>0</v>
      </c>
      <c r="AA312" s="773">
        <v>300</v>
      </c>
      <c r="AB312" s="774">
        <f t="shared" si="230"/>
        <v>9102</v>
      </c>
      <c r="AC312" s="775">
        <f t="shared" si="231"/>
        <v>0</v>
      </c>
      <c r="AD312" s="775">
        <f t="shared" si="213"/>
        <v>0</v>
      </c>
      <c r="AE312" s="775">
        <f t="shared" si="205"/>
        <v>0</v>
      </c>
      <c r="AF312" s="775">
        <f t="shared" si="232"/>
        <v>0</v>
      </c>
      <c r="AG312" s="775">
        <f t="shared" si="233"/>
        <v>0</v>
      </c>
      <c r="AI312" s="773">
        <v>300</v>
      </c>
      <c r="AJ312" s="774">
        <f t="shared" si="234"/>
        <v>9102</v>
      </c>
      <c r="AK312" s="775">
        <f t="shared" si="235"/>
        <v>0</v>
      </c>
      <c r="AL312" s="775">
        <f t="shared" si="214"/>
        <v>0</v>
      </c>
      <c r="AM312" s="775">
        <f t="shared" si="206"/>
        <v>0</v>
      </c>
      <c r="AN312" s="775">
        <f t="shared" si="236"/>
        <v>0</v>
      </c>
      <c r="AO312" s="775">
        <f t="shared" si="237"/>
        <v>0</v>
      </c>
      <c r="AQ312" s="773">
        <v>300</v>
      </c>
      <c r="AR312" s="774">
        <f t="shared" si="238"/>
        <v>9102</v>
      </c>
      <c r="AS312" s="775">
        <f t="shared" si="239"/>
        <v>0</v>
      </c>
      <c r="AT312" s="775">
        <f t="shared" si="215"/>
        <v>0</v>
      </c>
      <c r="AU312" s="775">
        <f t="shared" si="207"/>
        <v>0</v>
      </c>
      <c r="AV312" s="775">
        <f t="shared" si="240"/>
        <v>0</v>
      </c>
      <c r="AW312" s="775">
        <f t="shared" si="241"/>
        <v>0</v>
      </c>
      <c r="AY312" s="773">
        <v>300</v>
      </c>
      <c r="AZ312" s="774">
        <f t="shared" si="242"/>
        <v>9102</v>
      </c>
      <c r="BA312" s="775">
        <f t="shared" si="243"/>
        <v>0</v>
      </c>
      <c r="BB312" s="775">
        <f t="shared" si="216"/>
        <v>0</v>
      </c>
      <c r="BC312" s="775">
        <f t="shared" si="208"/>
        <v>0</v>
      </c>
      <c r="BD312" s="775">
        <f t="shared" si="244"/>
        <v>0</v>
      </c>
      <c r="BE312" s="775">
        <f t="shared" si="245"/>
        <v>0</v>
      </c>
      <c r="BG312" s="773">
        <v>300</v>
      </c>
      <c r="BH312" s="774">
        <f t="shared" si="246"/>
        <v>9102</v>
      </c>
      <c r="BI312" s="775">
        <f t="shared" si="247"/>
        <v>0</v>
      </c>
      <c r="BJ312" s="775">
        <f t="shared" si="217"/>
        <v>0</v>
      </c>
      <c r="BK312" s="775">
        <f t="shared" si="209"/>
        <v>0</v>
      </c>
      <c r="BL312" s="775">
        <f t="shared" si="248"/>
        <v>0</v>
      </c>
      <c r="BM312" s="775">
        <f t="shared" si="249"/>
        <v>0</v>
      </c>
    </row>
    <row r="313" spans="1:65">
      <c r="A313" s="11">
        <f t="shared" si="202"/>
        <v>1925</v>
      </c>
      <c r="B313" s="773">
        <v>301</v>
      </c>
      <c r="C313" s="774">
        <f t="shared" si="218"/>
        <v>9133</v>
      </c>
      <c r="D313" s="775">
        <f t="shared" si="219"/>
        <v>0</v>
      </c>
      <c r="E313" s="775">
        <f t="shared" si="210"/>
        <v>0</v>
      </c>
      <c r="F313" s="775">
        <f t="shared" si="200"/>
        <v>0</v>
      </c>
      <c r="G313" s="775">
        <f t="shared" si="220"/>
        <v>0</v>
      </c>
      <c r="H313" s="775">
        <f t="shared" si="221"/>
        <v>0</v>
      </c>
      <c r="I313" s="775">
        <f t="shared" si="201"/>
        <v>0</v>
      </c>
      <c r="K313" s="773">
        <v>301</v>
      </c>
      <c r="L313" s="774">
        <f t="shared" si="222"/>
        <v>9133</v>
      </c>
      <c r="M313" s="775">
        <f t="shared" si="223"/>
        <v>0</v>
      </c>
      <c r="N313" s="775">
        <f t="shared" si="211"/>
        <v>0</v>
      </c>
      <c r="O313" s="775">
        <f t="shared" si="203"/>
        <v>0</v>
      </c>
      <c r="P313" s="775">
        <f t="shared" si="224"/>
        <v>0</v>
      </c>
      <c r="Q313" s="775">
        <f t="shared" si="225"/>
        <v>0</v>
      </c>
      <c r="S313" s="773">
        <v>301</v>
      </c>
      <c r="T313" s="774">
        <f t="shared" si="226"/>
        <v>9133</v>
      </c>
      <c r="U313" s="775">
        <f t="shared" si="227"/>
        <v>0</v>
      </c>
      <c r="V313" s="775">
        <f t="shared" si="212"/>
        <v>0</v>
      </c>
      <c r="W313" s="775">
        <f t="shared" si="204"/>
        <v>0</v>
      </c>
      <c r="X313" s="775">
        <f t="shared" si="228"/>
        <v>0</v>
      </c>
      <c r="Y313" s="775">
        <f t="shared" si="229"/>
        <v>0</v>
      </c>
      <c r="AA313" s="773">
        <v>301</v>
      </c>
      <c r="AB313" s="774">
        <f t="shared" si="230"/>
        <v>9133</v>
      </c>
      <c r="AC313" s="775">
        <f t="shared" si="231"/>
        <v>0</v>
      </c>
      <c r="AD313" s="775">
        <f t="shared" si="213"/>
        <v>0</v>
      </c>
      <c r="AE313" s="775">
        <f t="shared" si="205"/>
        <v>0</v>
      </c>
      <c r="AF313" s="775">
        <f t="shared" si="232"/>
        <v>0</v>
      </c>
      <c r="AG313" s="775">
        <f t="shared" si="233"/>
        <v>0</v>
      </c>
      <c r="AI313" s="773">
        <v>301</v>
      </c>
      <c r="AJ313" s="774">
        <f t="shared" si="234"/>
        <v>9133</v>
      </c>
      <c r="AK313" s="775">
        <f t="shared" si="235"/>
        <v>0</v>
      </c>
      <c r="AL313" s="775">
        <f t="shared" si="214"/>
        <v>0</v>
      </c>
      <c r="AM313" s="775">
        <f t="shared" si="206"/>
        <v>0</v>
      </c>
      <c r="AN313" s="775">
        <f t="shared" si="236"/>
        <v>0</v>
      </c>
      <c r="AO313" s="775">
        <f t="shared" si="237"/>
        <v>0</v>
      </c>
      <c r="AQ313" s="773">
        <v>301</v>
      </c>
      <c r="AR313" s="774">
        <f t="shared" si="238"/>
        <v>9133</v>
      </c>
      <c r="AS313" s="775">
        <f t="shared" si="239"/>
        <v>0</v>
      </c>
      <c r="AT313" s="775">
        <f t="shared" si="215"/>
        <v>0</v>
      </c>
      <c r="AU313" s="775">
        <f t="shared" si="207"/>
        <v>0</v>
      </c>
      <c r="AV313" s="775">
        <f t="shared" si="240"/>
        <v>0</v>
      </c>
      <c r="AW313" s="775">
        <f t="shared" si="241"/>
        <v>0</v>
      </c>
      <c r="AY313" s="773">
        <v>301</v>
      </c>
      <c r="AZ313" s="774">
        <f t="shared" si="242"/>
        <v>9133</v>
      </c>
      <c r="BA313" s="775">
        <f t="shared" si="243"/>
        <v>0</v>
      </c>
      <c r="BB313" s="775">
        <f t="shared" si="216"/>
        <v>0</v>
      </c>
      <c r="BC313" s="775">
        <f t="shared" si="208"/>
        <v>0</v>
      </c>
      <c r="BD313" s="775">
        <f t="shared" si="244"/>
        <v>0</v>
      </c>
      <c r="BE313" s="775">
        <f t="shared" si="245"/>
        <v>0</v>
      </c>
      <c r="BG313" s="773">
        <v>301</v>
      </c>
      <c r="BH313" s="774">
        <f t="shared" si="246"/>
        <v>9133</v>
      </c>
      <c r="BI313" s="775">
        <f t="shared" si="247"/>
        <v>0</v>
      </c>
      <c r="BJ313" s="775">
        <f t="shared" si="217"/>
        <v>0</v>
      </c>
      <c r="BK313" s="775">
        <f t="shared" si="209"/>
        <v>0</v>
      </c>
      <c r="BL313" s="775">
        <f t="shared" si="248"/>
        <v>0</v>
      </c>
      <c r="BM313" s="775">
        <f t="shared" si="249"/>
        <v>0</v>
      </c>
    </row>
    <row r="314" spans="1:65">
      <c r="A314" s="11">
        <f t="shared" si="202"/>
        <v>1925</v>
      </c>
      <c r="B314" s="773">
        <v>302</v>
      </c>
      <c r="C314" s="774">
        <f t="shared" si="218"/>
        <v>9164</v>
      </c>
      <c r="D314" s="775">
        <f t="shared" si="219"/>
        <v>0</v>
      </c>
      <c r="E314" s="775">
        <f t="shared" si="210"/>
        <v>0</v>
      </c>
      <c r="F314" s="775">
        <f t="shared" si="200"/>
        <v>0</v>
      </c>
      <c r="G314" s="775">
        <f t="shared" si="220"/>
        <v>0</v>
      </c>
      <c r="H314" s="775">
        <f t="shared" si="221"/>
        <v>0</v>
      </c>
      <c r="I314" s="775">
        <f t="shared" si="201"/>
        <v>0</v>
      </c>
      <c r="K314" s="773">
        <v>302</v>
      </c>
      <c r="L314" s="774">
        <f t="shared" si="222"/>
        <v>9164</v>
      </c>
      <c r="M314" s="775">
        <f t="shared" si="223"/>
        <v>0</v>
      </c>
      <c r="N314" s="775">
        <f t="shared" si="211"/>
        <v>0</v>
      </c>
      <c r="O314" s="775">
        <f t="shared" si="203"/>
        <v>0</v>
      </c>
      <c r="P314" s="775">
        <f t="shared" si="224"/>
        <v>0</v>
      </c>
      <c r="Q314" s="775">
        <f t="shared" si="225"/>
        <v>0</v>
      </c>
      <c r="S314" s="773">
        <v>302</v>
      </c>
      <c r="T314" s="774">
        <f t="shared" si="226"/>
        <v>9164</v>
      </c>
      <c r="U314" s="775">
        <f t="shared" si="227"/>
        <v>0</v>
      </c>
      <c r="V314" s="775">
        <f t="shared" si="212"/>
        <v>0</v>
      </c>
      <c r="W314" s="775">
        <f t="shared" si="204"/>
        <v>0</v>
      </c>
      <c r="X314" s="775">
        <f t="shared" si="228"/>
        <v>0</v>
      </c>
      <c r="Y314" s="775">
        <f t="shared" si="229"/>
        <v>0</v>
      </c>
      <c r="AA314" s="773">
        <v>302</v>
      </c>
      <c r="AB314" s="774">
        <f t="shared" si="230"/>
        <v>9164</v>
      </c>
      <c r="AC314" s="775">
        <f t="shared" si="231"/>
        <v>0</v>
      </c>
      <c r="AD314" s="775">
        <f t="shared" si="213"/>
        <v>0</v>
      </c>
      <c r="AE314" s="775">
        <f t="shared" si="205"/>
        <v>0</v>
      </c>
      <c r="AF314" s="775">
        <f t="shared" si="232"/>
        <v>0</v>
      </c>
      <c r="AG314" s="775">
        <f t="shared" si="233"/>
        <v>0</v>
      </c>
      <c r="AI314" s="773">
        <v>302</v>
      </c>
      <c r="AJ314" s="774">
        <f t="shared" si="234"/>
        <v>9164</v>
      </c>
      <c r="AK314" s="775">
        <f t="shared" si="235"/>
        <v>0</v>
      </c>
      <c r="AL314" s="775">
        <f t="shared" si="214"/>
        <v>0</v>
      </c>
      <c r="AM314" s="775">
        <f t="shared" si="206"/>
        <v>0</v>
      </c>
      <c r="AN314" s="775">
        <f t="shared" si="236"/>
        <v>0</v>
      </c>
      <c r="AO314" s="775">
        <f t="shared" si="237"/>
        <v>0</v>
      </c>
      <c r="AQ314" s="773">
        <v>302</v>
      </c>
      <c r="AR314" s="774">
        <f t="shared" si="238"/>
        <v>9164</v>
      </c>
      <c r="AS314" s="775">
        <f t="shared" si="239"/>
        <v>0</v>
      </c>
      <c r="AT314" s="775">
        <f t="shared" si="215"/>
        <v>0</v>
      </c>
      <c r="AU314" s="775">
        <f t="shared" si="207"/>
        <v>0</v>
      </c>
      <c r="AV314" s="775">
        <f t="shared" si="240"/>
        <v>0</v>
      </c>
      <c r="AW314" s="775">
        <f t="shared" si="241"/>
        <v>0</v>
      </c>
      <c r="AY314" s="773">
        <v>302</v>
      </c>
      <c r="AZ314" s="774">
        <f t="shared" si="242"/>
        <v>9164</v>
      </c>
      <c r="BA314" s="775">
        <f t="shared" si="243"/>
        <v>0</v>
      </c>
      <c r="BB314" s="775">
        <f t="shared" si="216"/>
        <v>0</v>
      </c>
      <c r="BC314" s="775">
        <f t="shared" si="208"/>
        <v>0</v>
      </c>
      <c r="BD314" s="775">
        <f t="shared" si="244"/>
        <v>0</v>
      </c>
      <c r="BE314" s="775">
        <f t="shared" si="245"/>
        <v>0</v>
      </c>
      <c r="BG314" s="773">
        <v>302</v>
      </c>
      <c r="BH314" s="774">
        <f t="shared" si="246"/>
        <v>9164</v>
      </c>
      <c r="BI314" s="775">
        <f t="shared" si="247"/>
        <v>0</v>
      </c>
      <c r="BJ314" s="775">
        <f t="shared" si="217"/>
        <v>0</v>
      </c>
      <c r="BK314" s="775">
        <f t="shared" si="209"/>
        <v>0</v>
      </c>
      <c r="BL314" s="775">
        <f t="shared" si="248"/>
        <v>0</v>
      </c>
      <c r="BM314" s="775">
        <f t="shared" si="249"/>
        <v>0</v>
      </c>
    </row>
    <row r="315" spans="1:65">
      <c r="A315" s="11">
        <f t="shared" si="202"/>
        <v>1925</v>
      </c>
      <c r="B315" s="773">
        <v>303</v>
      </c>
      <c r="C315" s="774">
        <f t="shared" si="218"/>
        <v>9192</v>
      </c>
      <c r="D315" s="775">
        <f t="shared" si="219"/>
        <v>0</v>
      </c>
      <c r="E315" s="775">
        <f t="shared" si="210"/>
        <v>0</v>
      </c>
      <c r="F315" s="775">
        <f t="shared" si="200"/>
        <v>0</v>
      </c>
      <c r="G315" s="775">
        <f t="shared" si="220"/>
        <v>0</v>
      </c>
      <c r="H315" s="775">
        <f t="shared" si="221"/>
        <v>0</v>
      </c>
      <c r="I315" s="775">
        <f t="shared" si="201"/>
        <v>0</v>
      </c>
      <c r="K315" s="773">
        <v>303</v>
      </c>
      <c r="L315" s="774">
        <f t="shared" si="222"/>
        <v>9192</v>
      </c>
      <c r="M315" s="775">
        <f t="shared" si="223"/>
        <v>0</v>
      </c>
      <c r="N315" s="775">
        <f t="shared" si="211"/>
        <v>0</v>
      </c>
      <c r="O315" s="775">
        <f t="shared" si="203"/>
        <v>0</v>
      </c>
      <c r="P315" s="775">
        <f t="shared" si="224"/>
        <v>0</v>
      </c>
      <c r="Q315" s="775">
        <f t="shared" si="225"/>
        <v>0</v>
      </c>
      <c r="S315" s="773">
        <v>303</v>
      </c>
      <c r="T315" s="774">
        <f t="shared" si="226"/>
        <v>9192</v>
      </c>
      <c r="U315" s="775">
        <f t="shared" si="227"/>
        <v>0</v>
      </c>
      <c r="V315" s="775">
        <f t="shared" si="212"/>
        <v>0</v>
      </c>
      <c r="W315" s="775">
        <f t="shared" si="204"/>
        <v>0</v>
      </c>
      <c r="X315" s="775">
        <f t="shared" si="228"/>
        <v>0</v>
      </c>
      <c r="Y315" s="775">
        <f t="shared" si="229"/>
        <v>0</v>
      </c>
      <c r="AA315" s="773">
        <v>303</v>
      </c>
      <c r="AB315" s="774">
        <f t="shared" si="230"/>
        <v>9192</v>
      </c>
      <c r="AC315" s="775">
        <f t="shared" si="231"/>
        <v>0</v>
      </c>
      <c r="AD315" s="775">
        <f t="shared" si="213"/>
        <v>0</v>
      </c>
      <c r="AE315" s="775">
        <f t="shared" si="205"/>
        <v>0</v>
      </c>
      <c r="AF315" s="775">
        <f t="shared" si="232"/>
        <v>0</v>
      </c>
      <c r="AG315" s="775">
        <f t="shared" si="233"/>
        <v>0</v>
      </c>
      <c r="AI315" s="773">
        <v>303</v>
      </c>
      <c r="AJ315" s="774">
        <f t="shared" si="234"/>
        <v>9192</v>
      </c>
      <c r="AK315" s="775">
        <f t="shared" si="235"/>
        <v>0</v>
      </c>
      <c r="AL315" s="775">
        <f t="shared" si="214"/>
        <v>0</v>
      </c>
      <c r="AM315" s="775">
        <f t="shared" si="206"/>
        <v>0</v>
      </c>
      <c r="AN315" s="775">
        <f t="shared" si="236"/>
        <v>0</v>
      </c>
      <c r="AO315" s="775">
        <f t="shared" si="237"/>
        <v>0</v>
      </c>
      <c r="AQ315" s="773">
        <v>303</v>
      </c>
      <c r="AR315" s="774">
        <f t="shared" si="238"/>
        <v>9192</v>
      </c>
      <c r="AS315" s="775">
        <f t="shared" si="239"/>
        <v>0</v>
      </c>
      <c r="AT315" s="775">
        <f t="shared" si="215"/>
        <v>0</v>
      </c>
      <c r="AU315" s="775">
        <f t="shared" si="207"/>
        <v>0</v>
      </c>
      <c r="AV315" s="775">
        <f t="shared" si="240"/>
        <v>0</v>
      </c>
      <c r="AW315" s="775">
        <f t="shared" si="241"/>
        <v>0</v>
      </c>
      <c r="AY315" s="773">
        <v>303</v>
      </c>
      <c r="AZ315" s="774">
        <f t="shared" si="242"/>
        <v>9192</v>
      </c>
      <c r="BA315" s="775">
        <f t="shared" si="243"/>
        <v>0</v>
      </c>
      <c r="BB315" s="775">
        <f t="shared" si="216"/>
        <v>0</v>
      </c>
      <c r="BC315" s="775">
        <f t="shared" si="208"/>
        <v>0</v>
      </c>
      <c r="BD315" s="775">
        <f t="shared" si="244"/>
        <v>0</v>
      </c>
      <c r="BE315" s="775">
        <f t="shared" si="245"/>
        <v>0</v>
      </c>
      <c r="BG315" s="773">
        <v>303</v>
      </c>
      <c r="BH315" s="774">
        <f t="shared" si="246"/>
        <v>9192</v>
      </c>
      <c r="BI315" s="775">
        <f t="shared" si="247"/>
        <v>0</v>
      </c>
      <c r="BJ315" s="775">
        <f t="shared" si="217"/>
        <v>0</v>
      </c>
      <c r="BK315" s="775">
        <f t="shared" si="209"/>
        <v>0</v>
      </c>
      <c r="BL315" s="775">
        <f t="shared" si="248"/>
        <v>0</v>
      </c>
      <c r="BM315" s="775">
        <f t="shared" si="249"/>
        <v>0</v>
      </c>
    </row>
    <row r="316" spans="1:65">
      <c r="A316" s="11">
        <f t="shared" si="202"/>
        <v>1925</v>
      </c>
      <c r="B316" s="773">
        <v>304</v>
      </c>
      <c r="C316" s="774">
        <f t="shared" si="218"/>
        <v>9223</v>
      </c>
      <c r="D316" s="775">
        <f t="shared" si="219"/>
        <v>0</v>
      </c>
      <c r="E316" s="775">
        <f t="shared" si="210"/>
        <v>0</v>
      </c>
      <c r="F316" s="775">
        <f t="shared" si="200"/>
        <v>0</v>
      </c>
      <c r="G316" s="775">
        <f t="shared" si="220"/>
        <v>0</v>
      </c>
      <c r="H316" s="775">
        <f t="shared" si="221"/>
        <v>0</v>
      </c>
      <c r="I316" s="775">
        <f t="shared" si="201"/>
        <v>0</v>
      </c>
      <c r="K316" s="773">
        <v>304</v>
      </c>
      <c r="L316" s="774">
        <f t="shared" si="222"/>
        <v>9223</v>
      </c>
      <c r="M316" s="775">
        <f t="shared" si="223"/>
        <v>0</v>
      </c>
      <c r="N316" s="775">
        <f t="shared" si="211"/>
        <v>0</v>
      </c>
      <c r="O316" s="775">
        <f t="shared" si="203"/>
        <v>0</v>
      </c>
      <c r="P316" s="775">
        <f t="shared" si="224"/>
        <v>0</v>
      </c>
      <c r="Q316" s="775">
        <f t="shared" si="225"/>
        <v>0</v>
      </c>
      <c r="S316" s="773">
        <v>304</v>
      </c>
      <c r="T316" s="774">
        <f t="shared" si="226"/>
        <v>9223</v>
      </c>
      <c r="U316" s="775">
        <f t="shared" si="227"/>
        <v>0</v>
      </c>
      <c r="V316" s="775">
        <f t="shared" si="212"/>
        <v>0</v>
      </c>
      <c r="W316" s="775">
        <f t="shared" si="204"/>
        <v>0</v>
      </c>
      <c r="X316" s="775">
        <f t="shared" si="228"/>
        <v>0</v>
      </c>
      <c r="Y316" s="775">
        <f t="shared" si="229"/>
        <v>0</v>
      </c>
      <c r="AA316" s="773">
        <v>304</v>
      </c>
      <c r="AB316" s="774">
        <f t="shared" si="230"/>
        <v>9223</v>
      </c>
      <c r="AC316" s="775">
        <f t="shared" si="231"/>
        <v>0</v>
      </c>
      <c r="AD316" s="775">
        <f t="shared" si="213"/>
        <v>0</v>
      </c>
      <c r="AE316" s="775">
        <f t="shared" si="205"/>
        <v>0</v>
      </c>
      <c r="AF316" s="775">
        <f t="shared" si="232"/>
        <v>0</v>
      </c>
      <c r="AG316" s="775">
        <f t="shared" si="233"/>
        <v>0</v>
      </c>
      <c r="AI316" s="773">
        <v>304</v>
      </c>
      <c r="AJ316" s="774">
        <f t="shared" si="234"/>
        <v>9223</v>
      </c>
      <c r="AK316" s="775">
        <f t="shared" si="235"/>
        <v>0</v>
      </c>
      <c r="AL316" s="775">
        <f t="shared" si="214"/>
        <v>0</v>
      </c>
      <c r="AM316" s="775">
        <f t="shared" si="206"/>
        <v>0</v>
      </c>
      <c r="AN316" s="775">
        <f t="shared" si="236"/>
        <v>0</v>
      </c>
      <c r="AO316" s="775">
        <f t="shared" si="237"/>
        <v>0</v>
      </c>
      <c r="AQ316" s="773">
        <v>304</v>
      </c>
      <c r="AR316" s="774">
        <f t="shared" si="238"/>
        <v>9223</v>
      </c>
      <c r="AS316" s="775">
        <f t="shared" si="239"/>
        <v>0</v>
      </c>
      <c r="AT316" s="775">
        <f t="shared" si="215"/>
        <v>0</v>
      </c>
      <c r="AU316" s="775">
        <f t="shared" si="207"/>
        <v>0</v>
      </c>
      <c r="AV316" s="775">
        <f t="shared" si="240"/>
        <v>0</v>
      </c>
      <c r="AW316" s="775">
        <f t="shared" si="241"/>
        <v>0</v>
      </c>
      <c r="AY316" s="773">
        <v>304</v>
      </c>
      <c r="AZ316" s="774">
        <f t="shared" si="242"/>
        <v>9223</v>
      </c>
      <c r="BA316" s="775">
        <f t="shared" si="243"/>
        <v>0</v>
      </c>
      <c r="BB316" s="775">
        <f t="shared" si="216"/>
        <v>0</v>
      </c>
      <c r="BC316" s="775">
        <f t="shared" si="208"/>
        <v>0</v>
      </c>
      <c r="BD316" s="775">
        <f t="shared" si="244"/>
        <v>0</v>
      </c>
      <c r="BE316" s="775">
        <f t="shared" si="245"/>
        <v>0</v>
      </c>
      <c r="BG316" s="773">
        <v>304</v>
      </c>
      <c r="BH316" s="774">
        <f t="shared" si="246"/>
        <v>9223</v>
      </c>
      <c r="BI316" s="775">
        <f t="shared" si="247"/>
        <v>0</v>
      </c>
      <c r="BJ316" s="775">
        <f t="shared" si="217"/>
        <v>0</v>
      </c>
      <c r="BK316" s="775">
        <f t="shared" si="209"/>
        <v>0</v>
      </c>
      <c r="BL316" s="775">
        <f t="shared" si="248"/>
        <v>0</v>
      </c>
      <c r="BM316" s="775">
        <f t="shared" si="249"/>
        <v>0</v>
      </c>
    </row>
    <row r="317" spans="1:65">
      <c r="A317" s="11">
        <f t="shared" si="202"/>
        <v>1925</v>
      </c>
      <c r="B317" s="773">
        <v>305</v>
      </c>
      <c r="C317" s="774">
        <f t="shared" si="218"/>
        <v>9253</v>
      </c>
      <c r="D317" s="775">
        <f t="shared" si="219"/>
        <v>0</v>
      </c>
      <c r="E317" s="775">
        <f t="shared" si="210"/>
        <v>0</v>
      </c>
      <c r="F317" s="775">
        <f t="shared" si="200"/>
        <v>0</v>
      </c>
      <c r="G317" s="775">
        <f t="shared" si="220"/>
        <v>0</v>
      </c>
      <c r="H317" s="775">
        <f t="shared" si="221"/>
        <v>0</v>
      </c>
      <c r="I317" s="775">
        <f t="shared" si="201"/>
        <v>0</v>
      </c>
      <c r="K317" s="773">
        <v>305</v>
      </c>
      <c r="L317" s="774">
        <f t="shared" si="222"/>
        <v>9253</v>
      </c>
      <c r="M317" s="775">
        <f t="shared" si="223"/>
        <v>0</v>
      </c>
      <c r="N317" s="775">
        <f t="shared" si="211"/>
        <v>0</v>
      </c>
      <c r="O317" s="775">
        <f t="shared" si="203"/>
        <v>0</v>
      </c>
      <c r="P317" s="775">
        <f t="shared" si="224"/>
        <v>0</v>
      </c>
      <c r="Q317" s="775">
        <f t="shared" si="225"/>
        <v>0</v>
      </c>
      <c r="S317" s="773">
        <v>305</v>
      </c>
      <c r="T317" s="774">
        <f t="shared" si="226"/>
        <v>9253</v>
      </c>
      <c r="U317" s="775">
        <f t="shared" si="227"/>
        <v>0</v>
      </c>
      <c r="V317" s="775">
        <f t="shared" si="212"/>
        <v>0</v>
      </c>
      <c r="W317" s="775">
        <f t="shared" si="204"/>
        <v>0</v>
      </c>
      <c r="X317" s="775">
        <f t="shared" si="228"/>
        <v>0</v>
      </c>
      <c r="Y317" s="775">
        <f t="shared" si="229"/>
        <v>0</v>
      </c>
      <c r="AA317" s="773">
        <v>305</v>
      </c>
      <c r="AB317" s="774">
        <f t="shared" si="230"/>
        <v>9253</v>
      </c>
      <c r="AC317" s="775">
        <f t="shared" si="231"/>
        <v>0</v>
      </c>
      <c r="AD317" s="775">
        <f t="shared" si="213"/>
        <v>0</v>
      </c>
      <c r="AE317" s="775">
        <f t="shared" si="205"/>
        <v>0</v>
      </c>
      <c r="AF317" s="775">
        <f t="shared" si="232"/>
        <v>0</v>
      </c>
      <c r="AG317" s="775">
        <f t="shared" si="233"/>
        <v>0</v>
      </c>
      <c r="AI317" s="773">
        <v>305</v>
      </c>
      <c r="AJ317" s="774">
        <f t="shared" si="234"/>
        <v>9253</v>
      </c>
      <c r="AK317" s="775">
        <f t="shared" si="235"/>
        <v>0</v>
      </c>
      <c r="AL317" s="775">
        <f t="shared" si="214"/>
        <v>0</v>
      </c>
      <c r="AM317" s="775">
        <f t="shared" si="206"/>
        <v>0</v>
      </c>
      <c r="AN317" s="775">
        <f t="shared" si="236"/>
        <v>0</v>
      </c>
      <c r="AO317" s="775">
        <f t="shared" si="237"/>
        <v>0</v>
      </c>
      <c r="AQ317" s="773">
        <v>305</v>
      </c>
      <c r="AR317" s="774">
        <f t="shared" si="238"/>
        <v>9253</v>
      </c>
      <c r="AS317" s="775">
        <f t="shared" si="239"/>
        <v>0</v>
      </c>
      <c r="AT317" s="775">
        <f t="shared" si="215"/>
        <v>0</v>
      </c>
      <c r="AU317" s="775">
        <f t="shared" si="207"/>
        <v>0</v>
      </c>
      <c r="AV317" s="775">
        <f t="shared" si="240"/>
        <v>0</v>
      </c>
      <c r="AW317" s="775">
        <f t="shared" si="241"/>
        <v>0</v>
      </c>
      <c r="AY317" s="773">
        <v>305</v>
      </c>
      <c r="AZ317" s="774">
        <f t="shared" si="242"/>
        <v>9253</v>
      </c>
      <c r="BA317" s="775">
        <f t="shared" si="243"/>
        <v>0</v>
      </c>
      <c r="BB317" s="775">
        <f t="shared" si="216"/>
        <v>0</v>
      </c>
      <c r="BC317" s="775">
        <f t="shared" si="208"/>
        <v>0</v>
      </c>
      <c r="BD317" s="775">
        <f t="shared" si="244"/>
        <v>0</v>
      </c>
      <c r="BE317" s="775">
        <f t="shared" si="245"/>
        <v>0</v>
      </c>
      <c r="BG317" s="773">
        <v>305</v>
      </c>
      <c r="BH317" s="774">
        <f t="shared" si="246"/>
        <v>9253</v>
      </c>
      <c r="BI317" s="775">
        <f t="shared" si="247"/>
        <v>0</v>
      </c>
      <c r="BJ317" s="775">
        <f t="shared" si="217"/>
        <v>0</v>
      </c>
      <c r="BK317" s="775">
        <f t="shared" si="209"/>
        <v>0</v>
      </c>
      <c r="BL317" s="775">
        <f t="shared" si="248"/>
        <v>0</v>
      </c>
      <c r="BM317" s="775">
        <f t="shared" si="249"/>
        <v>0</v>
      </c>
    </row>
    <row r="318" spans="1:65">
      <c r="A318" s="11">
        <f t="shared" si="202"/>
        <v>1925</v>
      </c>
      <c r="B318" s="773">
        <v>306</v>
      </c>
      <c r="C318" s="774">
        <f t="shared" si="218"/>
        <v>9284</v>
      </c>
      <c r="D318" s="775">
        <f t="shared" si="219"/>
        <v>0</v>
      </c>
      <c r="E318" s="775">
        <f t="shared" si="210"/>
        <v>0</v>
      </c>
      <c r="F318" s="775">
        <f t="shared" si="200"/>
        <v>0</v>
      </c>
      <c r="G318" s="775">
        <f t="shared" si="220"/>
        <v>0</v>
      </c>
      <c r="H318" s="775">
        <f t="shared" si="221"/>
        <v>0</v>
      </c>
      <c r="I318" s="775">
        <f t="shared" si="201"/>
        <v>0</v>
      </c>
      <c r="K318" s="773">
        <v>306</v>
      </c>
      <c r="L318" s="774">
        <f t="shared" si="222"/>
        <v>9284</v>
      </c>
      <c r="M318" s="775">
        <f t="shared" si="223"/>
        <v>0</v>
      </c>
      <c r="N318" s="775">
        <f t="shared" si="211"/>
        <v>0</v>
      </c>
      <c r="O318" s="775">
        <f t="shared" si="203"/>
        <v>0</v>
      </c>
      <c r="P318" s="775">
        <f t="shared" si="224"/>
        <v>0</v>
      </c>
      <c r="Q318" s="775">
        <f t="shared" si="225"/>
        <v>0</v>
      </c>
      <c r="S318" s="773">
        <v>306</v>
      </c>
      <c r="T318" s="774">
        <f t="shared" si="226"/>
        <v>9284</v>
      </c>
      <c r="U318" s="775">
        <f t="shared" si="227"/>
        <v>0</v>
      </c>
      <c r="V318" s="775">
        <f t="shared" si="212"/>
        <v>0</v>
      </c>
      <c r="W318" s="775">
        <f t="shared" si="204"/>
        <v>0</v>
      </c>
      <c r="X318" s="775">
        <f t="shared" si="228"/>
        <v>0</v>
      </c>
      <c r="Y318" s="775">
        <f t="shared" si="229"/>
        <v>0</v>
      </c>
      <c r="AA318" s="773">
        <v>306</v>
      </c>
      <c r="AB318" s="774">
        <f t="shared" si="230"/>
        <v>9284</v>
      </c>
      <c r="AC318" s="775">
        <f t="shared" si="231"/>
        <v>0</v>
      </c>
      <c r="AD318" s="775">
        <f t="shared" si="213"/>
        <v>0</v>
      </c>
      <c r="AE318" s="775">
        <f t="shared" si="205"/>
        <v>0</v>
      </c>
      <c r="AF318" s="775">
        <f t="shared" si="232"/>
        <v>0</v>
      </c>
      <c r="AG318" s="775">
        <f t="shared" si="233"/>
        <v>0</v>
      </c>
      <c r="AI318" s="773">
        <v>306</v>
      </c>
      <c r="AJ318" s="774">
        <f t="shared" si="234"/>
        <v>9284</v>
      </c>
      <c r="AK318" s="775">
        <f t="shared" si="235"/>
        <v>0</v>
      </c>
      <c r="AL318" s="775">
        <f t="shared" si="214"/>
        <v>0</v>
      </c>
      <c r="AM318" s="775">
        <f t="shared" si="206"/>
        <v>0</v>
      </c>
      <c r="AN318" s="775">
        <f t="shared" si="236"/>
        <v>0</v>
      </c>
      <c r="AO318" s="775">
        <f t="shared" si="237"/>
        <v>0</v>
      </c>
      <c r="AQ318" s="773">
        <v>306</v>
      </c>
      <c r="AR318" s="774">
        <f t="shared" si="238"/>
        <v>9284</v>
      </c>
      <c r="AS318" s="775">
        <f t="shared" si="239"/>
        <v>0</v>
      </c>
      <c r="AT318" s="775">
        <f t="shared" si="215"/>
        <v>0</v>
      </c>
      <c r="AU318" s="775">
        <f t="shared" si="207"/>
        <v>0</v>
      </c>
      <c r="AV318" s="775">
        <f t="shared" si="240"/>
        <v>0</v>
      </c>
      <c r="AW318" s="775">
        <f t="shared" si="241"/>
        <v>0</v>
      </c>
      <c r="AY318" s="773">
        <v>306</v>
      </c>
      <c r="AZ318" s="774">
        <f t="shared" si="242"/>
        <v>9284</v>
      </c>
      <c r="BA318" s="775">
        <f t="shared" si="243"/>
        <v>0</v>
      </c>
      <c r="BB318" s="775">
        <f t="shared" si="216"/>
        <v>0</v>
      </c>
      <c r="BC318" s="775">
        <f t="shared" si="208"/>
        <v>0</v>
      </c>
      <c r="BD318" s="775">
        <f t="shared" si="244"/>
        <v>0</v>
      </c>
      <c r="BE318" s="775">
        <f t="shared" si="245"/>
        <v>0</v>
      </c>
      <c r="BG318" s="773">
        <v>306</v>
      </c>
      <c r="BH318" s="774">
        <f t="shared" si="246"/>
        <v>9284</v>
      </c>
      <c r="BI318" s="775">
        <f t="shared" si="247"/>
        <v>0</v>
      </c>
      <c r="BJ318" s="775">
        <f t="shared" si="217"/>
        <v>0</v>
      </c>
      <c r="BK318" s="775">
        <f t="shared" si="209"/>
        <v>0</v>
      </c>
      <c r="BL318" s="775">
        <f t="shared" si="248"/>
        <v>0</v>
      </c>
      <c r="BM318" s="775">
        <f t="shared" si="249"/>
        <v>0</v>
      </c>
    </row>
    <row r="319" spans="1:65">
      <c r="A319" s="11">
        <f t="shared" si="202"/>
        <v>1925</v>
      </c>
      <c r="B319" s="773">
        <v>307</v>
      </c>
      <c r="C319" s="774">
        <f t="shared" si="218"/>
        <v>9314</v>
      </c>
      <c r="D319" s="775">
        <f t="shared" si="219"/>
        <v>0</v>
      </c>
      <c r="E319" s="775">
        <f t="shared" si="210"/>
        <v>0</v>
      </c>
      <c r="F319" s="775">
        <f t="shared" si="200"/>
        <v>0</v>
      </c>
      <c r="G319" s="775">
        <f t="shared" si="220"/>
        <v>0</v>
      </c>
      <c r="H319" s="775">
        <f t="shared" si="221"/>
        <v>0</v>
      </c>
      <c r="I319" s="775">
        <f t="shared" si="201"/>
        <v>0</v>
      </c>
      <c r="K319" s="773">
        <v>307</v>
      </c>
      <c r="L319" s="774">
        <f t="shared" si="222"/>
        <v>9314</v>
      </c>
      <c r="M319" s="775">
        <f t="shared" si="223"/>
        <v>0</v>
      </c>
      <c r="N319" s="775">
        <f t="shared" si="211"/>
        <v>0</v>
      </c>
      <c r="O319" s="775">
        <f t="shared" si="203"/>
        <v>0</v>
      </c>
      <c r="P319" s="775">
        <f t="shared" si="224"/>
        <v>0</v>
      </c>
      <c r="Q319" s="775">
        <f t="shared" si="225"/>
        <v>0</v>
      </c>
      <c r="S319" s="773">
        <v>307</v>
      </c>
      <c r="T319" s="774">
        <f t="shared" si="226"/>
        <v>9314</v>
      </c>
      <c r="U319" s="775">
        <f t="shared" si="227"/>
        <v>0</v>
      </c>
      <c r="V319" s="775">
        <f t="shared" si="212"/>
        <v>0</v>
      </c>
      <c r="W319" s="775">
        <f t="shared" si="204"/>
        <v>0</v>
      </c>
      <c r="X319" s="775">
        <f t="shared" si="228"/>
        <v>0</v>
      </c>
      <c r="Y319" s="775">
        <f t="shared" si="229"/>
        <v>0</v>
      </c>
      <c r="AA319" s="773">
        <v>307</v>
      </c>
      <c r="AB319" s="774">
        <f t="shared" si="230"/>
        <v>9314</v>
      </c>
      <c r="AC319" s="775">
        <f t="shared" si="231"/>
        <v>0</v>
      </c>
      <c r="AD319" s="775">
        <f t="shared" si="213"/>
        <v>0</v>
      </c>
      <c r="AE319" s="775">
        <f t="shared" si="205"/>
        <v>0</v>
      </c>
      <c r="AF319" s="775">
        <f t="shared" si="232"/>
        <v>0</v>
      </c>
      <c r="AG319" s="775">
        <f t="shared" si="233"/>
        <v>0</v>
      </c>
      <c r="AI319" s="773">
        <v>307</v>
      </c>
      <c r="AJ319" s="774">
        <f t="shared" si="234"/>
        <v>9314</v>
      </c>
      <c r="AK319" s="775">
        <f t="shared" si="235"/>
        <v>0</v>
      </c>
      <c r="AL319" s="775">
        <f t="shared" si="214"/>
        <v>0</v>
      </c>
      <c r="AM319" s="775">
        <f t="shared" si="206"/>
        <v>0</v>
      </c>
      <c r="AN319" s="775">
        <f t="shared" si="236"/>
        <v>0</v>
      </c>
      <c r="AO319" s="775">
        <f t="shared" si="237"/>
        <v>0</v>
      </c>
      <c r="AQ319" s="773">
        <v>307</v>
      </c>
      <c r="AR319" s="774">
        <f t="shared" si="238"/>
        <v>9314</v>
      </c>
      <c r="AS319" s="775">
        <f t="shared" si="239"/>
        <v>0</v>
      </c>
      <c r="AT319" s="775">
        <f t="shared" si="215"/>
        <v>0</v>
      </c>
      <c r="AU319" s="775">
        <f t="shared" si="207"/>
        <v>0</v>
      </c>
      <c r="AV319" s="775">
        <f t="shared" si="240"/>
        <v>0</v>
      </c>
      <c r="AW319" s="775">
        <f t="shared" si="241"/>
        <v>0</v>
      </c>
      <c r="AY319" s="773">
        <v>307</v>
      </c>
      <c r="AZ319" s="774">
        <f t="shared" si="242"/>
        <v>9314</v>
      </c>
      <c r="BA319" s="775">
        <f t="shared" si="243"/>
        <v>0</v>
      </c>
      <c r="BB319" s="775">
        <f t="shared" si="216"/>
        <v>0</v>
      </c>
      <c r="BC319" s="775">
        <f t="shared" si="208"/>
        <v>0</v>
      </c>
      <c r="BD319" s="775">
        <f t="shared" si="244"/>
        <v>0</v>
      </c>
      <c r="BE319" s="775">
        <f t="shared" si="245"/>
        <v>0</v>
      </c>
      <c r="BG319" s="773">
        <v>307</v>
      </c>
      <c r="BH319" s="774">
        <f t="shared" si="246"/>
        <v>9314</v>
      </c>
      <c r="BI319" s="775">
        <f t="shared" si="247"/>
        <v>0</v>
      </c>
      <c r="BJ319" s="775">
        <f t="shared" si="217"/>
        <v>0</v>
      </c>
      <c r="BK319" s="775">
        <f t="shared" si="209"/>
        <v>0</v>
      </c>
      <c r="BL319" s="775">
        <f t="shared" si="248"/>
        <v>0</v>
      </c>
      <c r="BM319" s="775">
        <f t="shared" si="249"/>
        <v>0</v>
      </c>
    </row>
    <row r="320" spans="1:65">
      <c r="A320" s="11">
        <f t="shared" si="202"/>
        <v>1925</v>
      </c>
      <c r="B320" s="773">
        <v>308</v>
      </c>
      <c r="C320" s="774">
        <f t="shared" si="218"/>
        <v>9345</v>
      </c>
      <c r="D320" s="775">
        <f t="shared" si="219"/>
        <v>0</v>
      </c>
      <c r="E320" s="775">
        <f t="shared" si="210"/>
        <v>0</v>
      </c>
      <c r="F320" s="775">
        <f t="shared" si="200"/>
        <v>0</v>
      </c>
      <c r="G320" s="775">
        <f t="shared" si="220"/>
        <v>0</v>
      </c>
      <c r="H320" s="775">
        <f t="shared" si="221"/>
        <v>0</v>
      </c>
      <c r="I320" s="775">
        <f t="shared" si="201"/>
        <v>0</v>
      </c>
      <c r="K320" s="773">
        <v>308</v>
      </c>
      <c r="L320" s="774">
        <f t="shared" si="222"/>
        <v>9345</v>
      </c>
      <c r="M320" s="775">
        <f t="shared" si="223"/>
        <v>0</v>
      </c>
      <c r="N320" s="775">
        <f t="shared" si="211"/>
        <v>0</v>
      </c>
      <c r="O320" s="775">
        <f t="shared" si="203"/>
        <v>0</v>
      </c>
      <c r="P320" s="775">
        <f t="shared" si="224"/>
        <v>0</v>
      </c>
      <c r="Q320" s="775">
        <f t="shared" si="225"/>
        <v>0</v>
      </c>
      <c r="S320" s="773">
        <v>308</v>
      </c>
      <c r="T320" s="774">
        <f t="shared" si="226"/>
        <v>9345</v>
      </c>
      <c r="U320" s="775">
        <f t="shared" si="227"/>
        <v>0</v>
      </c>
      <c r="V320" s="775">
        <f t="shared" si="212"/>
        <v>0</v>
      </c>
      <c r="W320" s="775">
        <f t="shared" si="204"/>
        <v>0</v>
      </c>
      <c r="X320" s="775">
        <f t="shared" si="228"/>
        <v>0</v>
      </c>
      <c r="Y320" s="775">
        <f t="shared" si="229"/>
        <v>0</v>
      </c>
      <c r="AA320" s="773">
        <v>308</v>
      </c>
      <c r="AB320" s="774">
        <f t="shared" si="230"/>
        <v>9345</v>
      </c>
      <c r="AC320" s="775">
        <f t="shared" si="231"/>
        <v>0</v>
      </c>
      <c r="AD320" s="775">
        <f t="shared" si="213"/>
        <v>0</v>
      </c>
      <c r="AE320" s="775">
        <f t="shared" si="205"/>
        <v>0</v>
      </c>
      <c r="AF320" s="775">
        <f t="shared" si="232"/>
        <v>0</v>
      </c>
      <c r="AG320" s="775">
        <f t="shared" si="233"/>
        <v>0</v>
      </c>
      <c r="AI320" s="773">
        <v>308</v>
      </c>
      <c r="AJ320" s="774">
        <f t="shared" si="234"/>
        <v>9345</v>
      </c>
      <c r="AK320" s="775">
        <f t="shared" si="235"/>
        <v>0</v>
      </c>
      <c r="AL320" s="775">
        <f t="shared" si="214"/>
        <v>0</v>
      </c>
      <c r="AM320" s="775">
        <f t="shared" si="206"/>
        <v>0</v>
      </c>
      <c r="AN320" s="775">
        <f t="shared" si="236"/>
        <v>0</v>
      </c>
      <c r="AO320" s="775">
        <f t="shared" si="237"/>
        <v>0</v>
      </c>
      <c r="AQ320" s="773">
        <v>308</v>
      </c>
      <c r="AR320" s="774">
        <f t="shared" si="238"/>
        <v>9345</v>
      </c>
      <c r="AS320" s="775">
        <f t="shared" si="239"/>
        <v>0</v>
      </c>
      <c r="AT320" s="775">
        <f t="shared" si="215"/>
        <v>0</v>
      </c>
      <c r="AU320" s="775">
        <f t="shared" si="207"/>
        <v>0</v>
      </c>
      <c r="AV320" s="775">
        <f t="shared" si="240"/>
        <v>0</v>
      </c>
      <c r="AW320" s="775">
        <f t="shared" si="241"/>
        <v>0</v>
      </c>
      <c r="AY320" s="773">
        <v>308</v>
      </c>
      <c r="AZ320" s="774">
        <f t="shared" si="242"/>
        <v>9345</v>
      </c>
      <c r="BA320" s="775">
        <f t="shared" si="243"/>
        <v>0</v>
      </c>
      <c r="BB320" s="775">
        <f t="shared" si="216"/>
        <v>0</v>
      </c>
      <c r="BC320" s="775">
        <f t="shared" si="208"/>
        <v>0</v>
      </c>
      <c r="BD320" s="775">
        <f t="shared" si="244"/>
        <v>0</v>
      </c>
      <c r="BE320" s="775">
        <f t="shared" si="245"/>
        <v>0</v>
      </c>
      <c r="BG320" s="773">
        <v>308</v>
      </c>
      <c r="BH320" s="774">
        <f t="shared" si="246"/>
        <v>9345</v>
      </c>
      <c r="BI320" s="775">
        <f t="shared" si="247"/>
        <v>0</v>
      </c>
      <c r="BJ320" s="775">
        <f t="shared" si="217"/>
        <v>0</v>
      </c>
      <c r="BK320" s="775">
        <f t="shared" si="209"/>
        <v>0</v>
      </c>
      <c r="BL320" s="775">
        <f t="shared" si="248"/>
        <v>0</v>
      </c>
      <c r="BM320" s="775">
        <f t="shared" si="249"/>
        <v>0</v>
      </c>
    </row>
    <row r="321" spans="1:65">
      <c r="A321" s="11">
        <f t="shared" si="202"/>
        <v>1925</v>
      </c>
      <c r="B321" s="773">
        <v>309</v>
      </c>
      <c r="C321" s="774">
        <f t="shared" si="218"/>
        <v>9376</v>
      </c>
      <c r="D321" s="775">
        <f t="shared" si="219"/>
        <v>0</v>
      </c>
      <c r="E321" s="775">
        <f t="shared" si="210"/>
        <v>0</v>
      </c>
      <c r="F321" s="775">
        <f t="shared" si="200"/>
        <v>0</v>
      </c>
      <c r="G321" s="775">
        <f t="shared" si="220"/>
        <v>0</v>
      </c>
      <c r="H321" s="775">
        <f t="shared" si="221"/>
        <v>0</v>
      </c>
      <c r="I321" s="775">
        <f t="shared" si="201"/>
        <v>0</v>
      </c>
      <c r="K321" s="773">
        <v>309</v>
      </c>
      <c r="L321" s="774">
        <f t="shared" si="222"/>
        <v>9376</v>
      </c>
      <c r="M321" s="775">
        <f t="shared" si="223"/>
        <v>0</v>
      </c>
      <c r="N321" s="775">
        <f t="shared" si="211"/>
        <v>0</v>
      </c>
      <c r="O321" s="775">
        <f t="shared" si="203"/>
        <v>0</v>
      </c>
      <c r="P321" s="775">
        <f t="shared" si="224"/>
        <v>0</v>
      </c>
      <c r="Q321" s="775">
        <f t="shared" si="225"/>
        <v>0</v>
      </c>
      <c r="S321" s="773">
        <v>309</v>
      </c>
      <c r="T321" s="774">
        <f t="shared" si="226"/>
        <v>9376</v>
      </c>
      <c r="U321" s="775">
        <f t="shared" si="227"/>
        <v>0</v>
      </c>
      <c r="V321" s="775">
        <f t="shared" si="212"/>
        <v>0</v>
      </c>
      <c r="W321" s="775">
        <f t="shared" si="204"/>
        <v>0</v>
      </c>
      <c r="X321" s="775">
        <f t="shared" si="228"/>
        <v>0</v>
      </c>
      <c r="Y321" s="775">
        <f t="shared" si="229"/>
        <v>0</v>
      </c>
      <c r="AA321" s="773">
        <v>309</v>
      </c>
      <c r="AB321" s="774">
        <f t="shared" si="230"/>
        <v>9376</v>
      </c>
      <c r="AC321" s="775">
        <f t="shared" si="231"/>
        <v>0</v>
      </c>
      <c r="AD321" s="775">
        <f t="shared" si="213"/>
        <v>0</v>
      </c>
      <c r="AE321" s="775">
        <f t="shared" si="205"/>
        <v>0</v>
      </c>
      <c r="AF321" s="775">
        <f t="shared" si="232"/>
        <v>0</v>
      </c>
      <c r="AG321" s="775">
        <f t="shared" si="233"/>
        <v>0</v>
      </c>
      <c r="AI321" s="773">
        <v>309</v>
      </c>
      <c r="AJ321" s="774">
        <f t="shared" si="234"/>
        <v>9376</v>
      </c>
      <c r="AK321" s="775">
        <f t="shared" si="235"/>
        <v>0</v>
      </c>
      <c r="AL321" s="775">
        <f t="shared" si="214"/>
        <v>0</v>
      </c>
      <c r="AM321" s="775">
        <f t="shared" si="206"/>
        <v>0</v>
      </c>
      <c r="AN321" s="775">
        <f t="shared" si="236"/>
        <v>0</v>
      </c>
      <c r="AO321" s="775">
        <f t="shared" si="237"/>
        <v>0</v>
      </c>
      <c r="AQ321" s="773">
        <v>309</v>
      </c>
      <c r="AR321" s="774">
        <f t="shared" si="238"/>
        <v>9376</v>
      </c>
      <c r="AS321" s="775">
        <f t="shared" si="239"/>
        <v>0</v>
      </c>
      <c r="AT321" s="775">
        <f t="shared" si="215"/>
        <v>0</v>
      </c>
      <c r="AU321" s="775">
        <f t="shared" si="207"/>
        <v>0</v>
      </c>
      <c r="AV321" s="775">
        <f t="shared" si="240"/>
        <v>0</v>
      </c>
      <c r="AW321" s="775">
        <f t="shared" si="241"/>
        <v>0</v>
      </c>
      <c r="AY321" s="773">
        <v>309</v>
      </c>
      <c r="AZ321" s="774">
        <f t="shared" si="242"/>
        <v>9376</v>
      </c>
      <c r="BA321" s="775">
        <f t="shared" si="243"/>
        <v>0</v>
      </c>
      <c r="BB321" s="775">
        <f t="shared" si="216"/>
        <v>0</v>
      </c>
      <c r="BC321" s="775">
        <f t="shared" si="208"/>
        <v>0</v>
      </c>
      <c r="BD321" s="775">
        <f t="shared" si="244"/>
        <v>0</v>
      </c>
      <c r="BE321" s="775">
        <f t="shared" si="245"/>
        <v>0</v>
      </c>
      <c r="BG321" s="773">
        <v>309</v>
      </c>
      <c r="BH321" s="774">
        <f t="shared" si="246"/>
        <v>9376</v>
      </c>
      <c r="BI321" s="775">
        <f t="shared" si="247"/>
        <v>0</v>
      </c>
      <c r="BJ321" s="775">
        <f t="shared" si="217"/>
        <v>0</v>
      </c>
      <c r="BK321" s="775">
        <f t="shared" si="209"/>
        <v>0</v>
      </c>
      <c r="BL321" s="775">
        <f t="shared" si="248"/>
        <v>0</v>
      </c>
      <c r="BM321" s="775">
        <f t="shared" si="249"/>
        <v>0</v>
      </c>
    </row>
    <row r="322" spans="1:65">
      <c r="A322" s="11">
        <f t="shared" si="202"/>
        <v>1925</v>
      </c>
      <c r="B322" s="773">
        <v>310</v>
      </c>
      <c r="C322" s="774">
        <f t="shared" si="218"/>
        <v>9406</v>
      </c>
      <c r="D322" s="775">
        <f t="shared" si="219"/>
        <v>0</v>
      </c>
      <c r="E322" s="775">
        <f t="shared" si="210"/>
        <v>0</v>
      </c>
      <c r="F322" s="775">
        <f t="shared" si="200"/>
        <v>0</v>
      </c>
      <c r="G322" s="775">
        <f t="shared" si="220"/>
        <v>0</v>
      </c>
      <c r="H322" s="775">
        <f t="shared" si="221"/>
        <v>0</v>
      </c>
      <c r="I322" s="775">
        <f t="shared" si="201"/>
        <v>0</v>
      </c>
      <c r="K322" s="773">
        <v>310</v>
      </c>
      <c r="L322" s="774">
        <f t="shared" si="222"/>
        <v>9406</v>
      </c>
      <c r="M322" s="775">
        <f t="shared" si="223"/>
        <v>0</v>
      </c>
      <c r="N322" s="775">
        <f t="shared" si="211"/>
        <v>0</v>
      </c>
      <c r="O322" s="775">
        <f t="shared" si="203"/>
        <v>0</v>
      </c>
      <c r="P322" s="775">
        <f t="shared" si="224"/>
        <v>0</v>
      </c>
      <c r="Q322" s="775">
        <f t="shared" si="225"/>
        <v>0</v>
      </c>
      <c r="S322" s="773">
        <v>310</v>
      </c>
      <c r="T322" s="774">
        <f t="shared" si="226"/>
        <v>9406</v>
      </c>
      <c r="U322" s="775">
        <f t="shared" si="227"/>
        <v>0</v>
      </c>
      <c r="V322" s="775">
        <f t="shared" si="212"/>
        <v>0</v>
      </c>
      <c r="W322" s="775">
        <f t="shared" si="204"/>
        <v>0</v>
      </c>
      <c r="X322" s="775">
        <f t="shared" si="228"/>
        <v>0</v>
      </c>
      <c r="Y322" s="775">
        <f t="shared" si="229"/>
        <v>0</v>
      </c>
      <c r="AA322" s="773">
        <v>310</v>
      </c>
      <c r="AB322" s="774">
        <f t="shared" si="230"/>
        <v>9406</v>
      </c>
      <c r="AC322" s="775">
        <f t="shared" si="231"/>
        <v>0</v>
      </c>
      <c r="AD322" s="775">
        <f t="shared" si="213"/>
        <v>0</v>
      </c>
      <c r="AE322" s="775">
        <f t="shared" si="205"/>
        <v>0</v>
      </c>
      <c r="AF322" s="775">
        <f t="shared" si="232"/>
        <v>0</v>
      </c>
      <c r="AG322" s="775">
        <f t="shared" si="233"/>
        <v>0</v>
      </c>
      <c r="AI322" s="773">
        <v>310</v>
      </c>
      <c r="AJ322" s="774">
        <f t="shared" si="234"/>
        <v>9406</v>
      </c>
      <c r="AK322" s="775">
        <f t="shared" si="235"/>
        <v>0</v>
      </c>
      <c r="AL322" s="775">
        <f t="shared" si="214"/>
        <v>0</v>
      </c>
      <c r="AM322" s="775">
        <f t="shared" si="206"/>
        <v>0</v>
      </c>
      <c r="AN322" s="775">
        <f t="shared" si="236"/>
        <v>0</v>
      </c>
      <c r="AO322" s="775">
        <f t="shared" si="237"/>
        <v>0</v>
      </c>
      <c r="AQ322" s="773">
        <v>310</v>
      </c>
      <c r="AR322" s="774">
        <f t="shared" si="238"/>
        <v>9406</v>
      </c>
      <c r="AS322" s="775">
        <f t="shared" si="239"/>
        <v>0</v>
      </c>
      <c r="AT322" s="775">
        <f t="shared" si="215"/>
        <v>0</v>
      </c>
      <c r="AU322" s="775">
        <f t="shared" si="207"/>
        <v>0</v>
      </c>
      <c r="AV322" s="775">
        <f t="shared" si="240"/>
        <v>0</v>
      </c>
      <c r="AW322" s="775">
        <f t="shared" si="241"/>
        <v>0</v>
      </c>
      <c r="AY322" s="773">
        <v>310</v>
      </c>
      <c r="AZ322" s="774">
        <f t="shared" si="242"/>
        <v>9406</v>
      </c>
      <c r="BA322" s="775">
        <f t="shared" si="243"/>
        <v>0</v>
      </c>
      <c r="BB322" s="775">
        <f t="shared" si="216"/>
        <v>0</v>
      </c>
      <c r="BC322" s="775">
        <f t="shared" si="208"/>
        <v>0</v>
      </c>
      <c r="BD322" s="775">
        <f t="shared" si="244"/>
        <v>0</v>
      </c>
      <c r="BE322" s="775">
        <f t="shared" si="245"/>
        <v>0</v>
      </c>
      <c r="BG322" s="773">
        <v>310</v>
      </c>
      <c r="BH322" s="774">
        <f t="shared" si="246"/>
        <v>9406</v>
      </c>
      <c r="BI322" s="775">
        <f t="shared" si="247"/>
        <v>0</v>
      </c>
      <c r="BJ322" s="775">
        <f t="shared" si="217"/>
        <v>0</v>
      </c>
      <c r="BK322" s="775">
        <f t="shared" si="209"/>
        <v>0</v>
      </c>
      <c r="BL322" s="775">
        <f t="shared" si="248"/>
        <v>0</v>
      </c>
      <c r="BM322" s="775">
        <f t="shared" si="249"/>
        <v>0</v>
      </c>
    </row>
    <row r="323" spans="1:65">
      <c r="A323" s="11">
        <f t="shared" si="202"/>
        <v>1925</v>
      </c>
      <c r="B323" s="773">
        <v>311</v>
      </c>
      <c r="C323" s="774">
        <f t="shared" si="218"/>
        <v>9437</v>
      </c>
      <c r="D323" s="775">
        <f t="shared" si="219"/>
        <v>0</v>
      </c>
      <c r="E323" s="775">
        <f t="shared" si="210"/>
        <v>0</v>
      </c>
      <c r="F323" s="775">
        <f t="shared" si="200"/>
        <v>0</v>
      </c>
      <c r="G323" s="775">
        <f t="shared" si="220"/>
        <v>0</v>
      </c>
      <c r="H323" s="775">
        <f t="shared" si="221"/>
        <v>0</v>
      </c>
      <c r="I323" s="775">
        <f t="shared" si="201"/>
        <v>0</v>
      </c>
      <c r="K323" s="773">
        <v>311</v>
      </c>
      <c r="L323" s="774">
        <f t="shared" si="222"/>
        <v>9437</v>
      </c>
      <c r="M323" s="775">
        <f t="shared" si="223"/>
        <v>0</v>
      </c>
      <c r="N323" s="775">
        <f t="shared" si="211"/>
        <v>0</v>
      </c>
      <c r="O323" s="775">
        <f t="shared" si="203"/>
        <v>0</v>
      </c>
      <c r="P323" s="775">
        <f t="shared" si="224"/>
        <v>0</v>
      </c>
      <c r="Q323" s="775">
        <f t="shared" si="225"/>
        <v>0</v>
      </c>
      <c r="S323" s="773">
        <v>311</v>
      </c>
      <c r="T323" s="774">
        <f t="shared" si="226"/>
        <v>9437</v>
      </c>
      <c r="U323" s="775">
        <f t="shared" si="227"/>
        <v>0</v>
      </c>
      <c r="V323" s="775">
        <f t="shared" si="212"/>
        <v>0</v>
      </c>
      <c r="W323" s="775">
        <f t="shared" si="204"/>
        <v>0</v>
      </c>
      <c r="X323" s="775">
        <f t="shared" si="228"/>
        <v>0</v>
      </c>
      <c r="Y323" s="775">
        <f t="shared" si="229"/>
        <v>0</v>
      </c>
      <c r="AA323" s="773">
        <v>311</v>
      </c>
      <c r="AB323" s="774">
        <f t="shared" si="230"/>
        <v>9437</v>
      </c>
      <c r="AC323" s="775">
        <f t="shared" si="231"/>
        <v>0</v>
      </c>
      <c r="AD323" s="775">
        <f t="shared" si="213"/>
        <v>0</v>
      </c>
      <c r="AE323" s="775">
        <f t="shared" si="205"/>
        <v>0</v>
      </c>
      <c r="AF323" s="775">
        <f t="shared" si="232"/>
        <v>0</v>
      </c>
      <c r="AG323" s="775">
        <f t="shared" si="233"/>
        <v>0</v>
      </c>
      <c r="AI323" s="773">
        <v>311</v>
      </c>
      <c r="AJ323" s="774">
        <f t="shared" si="234"/>
        <v>9437</v>
      </c>
      <c r="AK323" s="775">
        <f t="shared" si="235"/>
        <v>0</v>
      </c>
      <c r="AL323" s="775">
        <f t="shared" si="214"/>
        <v>0</v>
      </c>
      <c r="AM323" s="775">
        <f t="shared" si="206"/>
        <v>0</v>
      </c>
      <c r="AN323" s="775">
        <f t="shared" si="236"/>
        <v>0</v>
      </c>
      <c r="AO323" s="775">
        <f t="shared" si="237"/>
        <v>0</v>
      </c>
      <c r="AQ323" s="773">
        <v>311</v>
      </c>
      <c r="AR323" s="774">
        <f t="shared" si="238"/>
        <v>9437</v>
      </c>
      <c r="AS323" s="775">
        <f t="shared" si="239"/>
        <v>0</v>
      </c>
      <c r="AT323" s="775">
        <f t="shared" si="215"/>
        <v>0</v>
      </c>
      <c r="AU323" s="775">
        <f t="shared" si="207"/>
        <v>0</v>
      </c>
      <c r="AV323" s="775">
        <f t="shared" si="240"/>
        <v>0</v>
      </c>
      <c r="AW323" s="775">
        <f t="shared" si="241"/>
        <v>0</v>
      </c>
      <c r="AY323" s="773">
        <v>311</v>
      </c>
      <c r="AZ323" s="774">
        <f t="shared" si="242"/>
        <v>9437</v>
      </c>
      <c r="BA323" s="775">
        <f t="shared" si="243"/>
        <v>0</v>
      </c>
      <c r="BB323" s="775">
        <f t="shared" si="216"/>
        <v>0</v>
      </c>
      <c r="BC323" s="775">
        <f t="shared" si="208"/>
        <v>0</v>
      </c>
      <c r="BD323" s="775">
        <f t="shared" si="244"/>
        <v>0</v>
      </c>
      <c r="BE323" s="775">
        <f t="shared" si="245"/>
        <v>0</v>
      </c>
      <c r="BG323" s="773">
        <v>311</v>
      </c>
      <c r="BH323" s="774">
        <f t="shared" si="246"/>
        <v>9437</v>
      </c>
      <c r="BI323" s="775">
        <f t="shared" si="247"/>
        <v>0</v>
      </c>
      <c r="BJ323" s="775">
        <f t="shared" si="217"/>
        <v>0</v>
      </c>
      <c r="BK323" s="775">
        <f t="shared" si="209"/>
        <v>0</v>
      </c>
      <c r="BL323" s="775">
        <f t="shared" si="248"/>
        <v>0</v>
      </c>
      <c r="BM323" s="775">
        <f t="shared" si="249"/>
        <v>0</v>
      </c>
    </row>
    <row r="324" spans="1:65">
      <c r="A324" s="11">
        <f t="shared" si="202"/>
        <v>1925</v>
      </c>
      <c r="B324" s="773">
        <v>312</v>
      </c>
      <c r="C324" s="774">
        <f t="shared" si="218"/>
        <v>9467</v>
      </c>
      <c r="D324" s="775">
        <f t="shared" si="219"/>
        <v>0</v>
      </c>
      <c r="E324" s="775">
        <f t="shared" si="210"/>
        <v>0</v>
      </c>
      <c r="F324" s="775">
        <f t="shared" si="200"/>
        <v>0</v>
      </c>
      <c r="G324" s="775">
        <f t="shared" si="220"/>
        <v>0</v>
      </c>
      <c r="H324" s="775">
        <f t="shared" si="221"/>
        <v>0</v>
      </c>
      <c r="I324" s="775">
        <f t="shared" si="201"/>
        <v>0</v>
      </c>
      <c r="K324" s="773">
        <v>312</v>
      </c>
      <c r="L324" s="774">
        <f t="shared" si="222"/>
        <v>9467</v>
      </c>
      <c r="M324" s="775">
        <f t="shared" si="223"/>
        <v>0</v>
      </c>
      <c r="N324" s="775">
        <f t="shared" si="211"/>
        <v>0</v>
      </c>
      <c r="O324" s="775">
        <f t="shared" si="203"/>
        <v>0</v>
      </c>
      <c r="P324" s="775">
        <f t="shared" si="224"/>
        <v>0</v>
      </c>
      <c r="Q324" s="775">
        <f t="shared" si="225"/>
        <v>0</v>
      </c>
      <c r="S324" s="773">
        <v>312</v>
      </c>
      <c r="T324" s="774">
        <f t="shared" si="226"/>
        <v>9467</v>
      </c>
      <c r="U324" s="775">
        <f t="shared" si="227"/>
        <v>0</v>
      </c>
      <c r="V324" s="775">
        <f t="shared" si="212"/>
        <v>0</v>
      </c>
      <c r="W324" s="775">
        <f t="shared" si="204"/>
        <v>0</v>
      </c>
      <c r="X324" s="775">
        <f t="shared" si="228"/>
        <v>0</v>
      </c>
      <c r="Y324" s="775">
        <f t="shared" si="229"/>
        <v>0</v>
      </c>
      <c r="AA324" s="773">
        <v>312</v>
      </c>
      <c r="AB324" s="774">
        <f t="shared" si="230"/>
        <v>9467</v>
      </c>
      <c r="AC324" s="775">
        <f t="shared" si="231"/>
        <v>0</v>
      </c>
      <c r="AD324" s="775">
        <f t="shared" si="213"/>
        <v>0</v>
      </c>
      <c r="AE324" s="775">
        <f t="shared" si="205"/>
        <v>0</v>
      </c>
      <c r="AF324" s="775">
        <f t="shared" si="232"/>
        <v>0</v>
      </c>
      <c r="AG324" s="775">
        <f t="shared" si="233"/>
        <v>0</v>
      </c>
      <c r="AI324" s="773">
        <v>312</v>
      </c>
      <c r="AJ324" s="774">
        <f t="shared" si="234"/>
        <v>9467</v>
      </c>
      <c r="AK324" s="775">
        <f t="shared" si="235"/>
        <v>0</v>
      </c>
      <c r="AL324" s="775">
        <f t="shared" si="214"/>
        <v>0</v>
      </c>
      <c r="AM324" s="775">
        <f t="shared" si="206"/>
        <v>0</v>
      </c>
      <c r="AN324" s="775">
        <f t="shared" si="236"/>
        <v>0</v>
      </c>
      <c r="AO324" s="775">
        <f t="shared" si="237"/>
        <v>0</v>
      </c>
      <c r="AQ324" s="773">
        <v>312</v>
      </c>
      <c r="AR324" s="774">
        <f t="shared" si="238"/>
        <v>9467</v>
      </c>
      <c r="AS324" s="775">
        <f t="shared" si="239"/>
        <v>0</v>
      </c>
      <c r="AT324" s="775">
        <f t="shared" si="215"/>
        <v>0</v>
      </c>
      <c r="AU324" s="775">
        <f t="shared" si="207"/>
        <v>0</v>
      </c>
      <c r="AV324" s="775">
        <f t="shared" si="240"/>
        <v>0</v>
      </c>
      <c r="AW324" s="775">
        <f t="shared" si="241"/>
        <v>0</v>
      </c>
      <c r="AY324" s="773">
        <v>312</v>
      </c>
      <c r="AZ324" s="774">
        <f t="shared" si="242"/>
        <v>9467</v>
      </c>
      <c r="BA324" s="775">
        <f t="shared" si="243"/>
        <v>0</v>
      </c>
      <c r="BB324" s="775">
        <f t="shared" si="216"/>
        <v>0</v>
      </c>
      <c r="BC324" s="775">
        <f t="shared" si="208"/>
        <v>0</v>
      </c>
      <c r="BD324" s="775">
        <f t="shared" si="244"/>
        <v>0</v>
      </c>
      <c r="BE324" s="775">
        <f t="shared" si="245"/>
        <v>0</v>
      </c>
      <c r="BG324" s="773">
        <v>312</v>
      </c>
      <c r="BH324" s="774">
        <f t="shared" si="246"/>
        <v>9467</v>
      </c>
      <c r="BI324" s="775">
        <f t="shared" si="247"/>
        <v>0</v>
      </c>
      <c r="BJ324" s="775">
        <f t="shared" si="217"/>
        <v>0</v>
      </c>
      <c r="BK324" s="775">
        <f t="shared" si="209"/>
        <v>0</v>
      </c>
      <c r="BL324" s="775">
        <f t="shared" si="248"/>
        <v>0</v>
      </c>
      <c r="BM324" s="775">
        <f t="shared" si="249"/>
        <v>0</v>
      </c>
    </row>
    <row r="325" spans="1:65">
      <c r="A325" s="11">
        <f t="shared" si="202"/>
        <v>1926</v>
      </c>
      <c r="B325" s="773">
        <v>313</v>
      </c>
      <c r="C325" s="774">
        <f t="shared" si="218"/>
        <v>9498</v>
      </c>
      <c r="D325" s="775">
        <f t="shared" si="219"/>
        <v>0</v>
      </c>
      <c r="E325" s="775">
        <f t="shared" si="210"/>
        <v>0</v>
      </c>
      <c r="F325" s="775">
        <f t="shared" si="200"/>
        <v>0</v>
      </c>
      <c r="G325" s="775">
        <f t="shared" si="220"/>
        <v>0</v>
      </c>
      <c r="H325" s="775">
        <f t="shared" si="221"/>
        <v>0</v>
      </c>
      <c r="I325" s="775">
        <f t="shared" si="201"/>
        <v>0</v>
      </c>
      <c r="K325" s="773">
        <v>313</v>
      </c>
      <c r="L325" s="774">
        <f t="shared" si="222"/>
        <v>9498</v>
      </c>
      <c r="M325" s="775">
        <f t="shared" si="223"/>
        <v>0</v>
      </c>
      <c r="N325" s="775">
        <f t="shared" si="211"/>
        <v>0</v>
      </c>
      <c r="O325" s="775">
        <f t="shared" si="203"/>
        <v>0</v>
      </c>
      <c r="P325" s="775">
        <f t="shared" si="224"/>
        <v>0</v>
      </c>
      <c r="Q325" s="775">
        <f t="shared" si="225"/>
        <v>0</v>
      </c>
      <c r="S325" s="773">
        <v>313</v>
      </c>
      <c r="T325" s="774">
        <f t="shared" si="226"/>
        <v>9498</v>
      </c>
      <c r="U325" s="775">
        <f t="shared" si="227"/>
        <v>0</v>
      </c>
      <c r="V325" s="775">
        <f t="shared" si="212"/>
        <v>0</v>
      </c>
      <c r="W325" s="775">
        <f t="shared" si="204"/>
        <v>0</v>
      </c>
      <c r="X325" s="775">
        <f t="shared" si="228"/>
        <v>0</v>
      </c>
      <c r="Y325" s="775">
        <f t="shared" si="229"/>
        <v>0</v>
      </c>
      <c r="AA325" s="773">
        <v>313</v>
      </c>
      <c r="AB325" s="774">
        <f t="shared" si="230"/>
        <v>9498</v>
      </c>
      <c r="AC325" s="775">
        <f t="shared" si="231"/>
        <v>0</v>
      </c>
      <c r="AD325" s="775">
        <f t="shared" si="213"/>
        <v>0</v>
      </c>
      <c r="AE325" s="775">
        <f t="shared" si="205"/>
        <v>0</v>
      </c>
      <c r="AF325" s="775">
        <f t="shared" si="232"/>
        <v>0</v>
      </c>
      <c r="AG325" s="775">
        <f t="shared" si="233"/>
        <v>0</v>
      </c>
      <c r="AI325" s="773">
        <v>313</v>
      </c>
      <c r="AJ325" s="774">
        <f t="shared" si="234"/>
        <v>9498</v>
      </c>
      <c r="AK325" s="775">
        <f t="shared" si="235"/>
        <v>0</v>
      </c>
      <c r="AL325" s="775">
        <f t="shared" si="214"/>
        <v>0</v>
      </c>
      <c r="AM325" s="775">
        <f t="shared" si="206"/>
        <v>0</v>
      </c>
      <c r="AN325" s="775">
        <f t="shared" si="236"/>
        <v>0</v>
      </c>
      <c r="AO325" s="775">
        <f t="shared" si="237"/>
        <v>0</v>
      </c>
      <c r="AQ325" s="773">
        <v>313</v>
      </c>
      <c r="AR325" s="774">
        <f t="shared" si="238"/>
        <v>9498</v>
      </c>
      <c r="AS325" s="775">
        <f t="shared" si="239"/>
        <v>0</v>
      </c>
      <c r="AT325" s="775">
        <f t="shared" si="215"/>
        <v>0</v>
      </c>
      <c r="AU325" s="775">
        <f t="shared" si="207"/>
        <v>0</v>
      </c>
      <c r="AV325" s="775">
        <f t="shared" si="240"/>
        <v>0</v>
      </c>
      <c r="AW325" s="775">
        <f t="shared" si="241"/>
        <v>0</v>
      </c>
      <c r="AY325" s="773">
        <v>313</v>
      </c>
      <c r="AZ325" s="774">
        <f t="shared" si="242"/>
        <v>9498</v>
      </c>
      <c r="BA325" s="775">
        <f t="shared" si="243"/>
        <v>0</v>
      </c>
      <c r="BB325" s="775">
        <f t="shared" si="216"/>
        <v>0</v>
      </c>
      <c r="BC325" s="775">
        <f t="shared" si="208"/>
        <v>0</v>
      </c>
      <c r="BD325" s="775">
        <f t="shared" si="244"/>
        <v>0</v>
      </c>
      <c r="BE325" s="775">
        <f t="shared" si="245"/>
        <v>0</v>
      </c>
      <c r="BG325" s="773">
        <v>313</v>
      </c>
      <c r="BH325" s="774">
        <f t="shared" si="246"/>
        <v>9498</v>
      </c>
      <c r="BI325" s="775">
        <f t="shared" si="247"/>
        <v>0</v>
      </c>
      <c r="BJ325" s="775">
        <f t="shared" si="217"/>
        <v>0</v>
      </c>
      <c r="BK325" s="775">
        <f t="shared" si="209"/>
        <v>0</v>
      </c>
      <c r="BL325" s="775">
        <f t="shared" si="248"/>
        <v>0</v>
      </c>
      <c r="BM325" s="775">
        <f t="shared" si="249"/>
        <v>0</v>
      </c>
    </row>
    <row r="326" spans="1:65">
      <c r="A326" s="11">
        <f t="shared" si="202"/>
        <v>1926</v>
      </c>
      <c r="B326" s="773">
        <v>314</v>
      </c>
      <c r="C326" s="774">
        <f t="shared" si="218"/>
        <v>9529</v>
      </c>
      <c r="D326" s="775">
        <f t="shared" si="219"/>
        <v>0</v>
      </c>
      <c r="E326" s="775">
        <f t="shared" si="210"/>
        <v>0</v>
      </c>
      <c r="F326" s="775">
        <f t="shared" si="200"/>
        <v>0</v>
      </c>
      <c r="G326" s="775">
        <f t="shared" si="220"/>
        <v>0</v>
      </c>
      <c r="H326" s="775">
        <f t="shared" si="221"/>
        <v>0</v>
      </c>
      <c r="I326" s="775">
        <f t="shared" si="201"/>
        <v>0</v>
      </c>
      <c r="K326" s="773">
        <v>314</v>
      </c>
      <c r="L326" s="774">
        <f t="shared" si="222"/>
        <v>9529</v>
      </c>
      <c r="M326" s="775">
        <f t="shared" si="223"/>
        <v>0</v>
      </c>
      <c r="N326" s="775">
        <f t="shared" si="211"/>
        <v>0</v>
      </c>
      <c r="O326" s="775">
        <f t="shared" si="203"/>
        <v>0</v>
      </c>
      <c r="P326" s="775">
        <f t="shared" si="224"/>
        <v>0</v>
      </c>
      <c r="Q326" s="775">
        <f t="shared" si="225"/>
        <v>0</v>
      </c>
      <c r="S326" s="773">
        <v>314</v>
      </c>
      <c r="T326" s="774">
        <f t="shared" si="226"/>
        <v>9529</v>
      </c>
      <c r="U326" s="775">
        <f t="shared" si="227"/>
        <v>0</v>
      </c>
      <c r="V326" s="775">
        <f t="shared" si="212"/>
        <v>0</v>
      </c>
      <c r="W326" s="775">
        <f t="shared" si="204"/>
        <v>0</v>
      </c>
      <c r="X326" s="775">
        <f t="shared" si="228"/>
        <v>0</v>
      </c>
      <c r="Y326" s="775">
        <f t="shared" si="229"/>
        <v>0</v>
      </c>
      <c r="AA326" s="773">
        <v>314</v>
      </c>
      <c r="AB326" s="774">
        <f t="shared" si="230"/>
        <v>9529</v>
      </c>
      <c r="AC326" s="775">
        <f t="shared" si="231"/>
        <v>0</v>
      </c>
      <c r="AD326" s="775">
        <f t="shared" si="213"/>
        <v>0</v>
      </c>
      <c r="AE326" s="775">
        <f t="shared" si="205"/>
        <v>0</v>
      </c>
      <c r="AF326" s="775">
        <f t="shared" si="232"/>
        <v>0</v>
      </c>
      <c r="AG326" s="775">
        <f t="shared" si="233"/>
        <v>0</v>
      </c>
      <c r="AI326" s="773">
        <v>314</v>
      </c>
      <c r="AJ326" s="774">
        <f t="shared" si="234"/>
        <v>9529</v>
      </c>
      <c r="AK326" s="775">
        <f t="shared" si="235"/>
        <v>0</v>
      </c>
      <c r="AL326" s="775">
        <f t="shared" si="214"/>
        <v>0</v>
      </c>
      <c r="AM326" s="775">
        <f t="shared" si="206"/>
        <v>0</v>
      </c>
      <c r="AN326" s="775">
        <f t="shared" si="236"/>
        <v>0</v>
      </c>
      <c r="AO326" s="775">
        <f t="shared" si="237"/>
        <v>0</v>
      </c>
      <c r="AQ326" s="773">
        <v>314</v>
      </c>
      <c r="AR326" s="774">
        <f t="shared" si="238"/>
        <v>9529</v>
      </c>
      <c r="AS326" s="775">
        <f t="shared" si="239"/>
        <v>0</v>
      </c>
      <c r="AT326" s="775">
        <f t="shared" si="215"/>
        <v>0</v>
      </c>
      <c r="AU326" s="775">
        <f t="shared" si="207"/>
        <v>0</v>
      </c>
      <c r="AV326" s="775">
        <f t="shared" si="240"/>
        <v>0</v>
      </c>
      <c r="AW326" s="775">
        <f t="shared" si="241"/>
        <v>0</v>
      </c>
      <c r="AY326" s="773">
        <v>314</v>
      </c>
      <c r="AZ326" s="774">
        <f t="shared" si="242"/>
        <v>9529</v>
      </c>
      <c r="BA326" s="775">
        <f t="shared" si="243"/>
        <v>0</v>
      </c>
      <c r="BB326" s="775">
        <f t="shared" si="216"/>
        <v>0</v>
      </c>
      <c r="BC326" s="775">
        <f t="shared" si="208"/>
        <v>0</v>
      </c>
      <c r="BD326" s="775">
        <f t="shared" si="244"/>
        <v>0</v>
      </c>
      <c r="BE326" s="775">
        <f t="shared" si="245"/>
        <v>0</v>
      </c>
      <c r="BG326" s="773">
        <v>314</v>
      </c>
      <c r="BH326" s="774">
        <f t="shared" si="246"/>
        <v>9529</v>
      </c>
      <c r="BI326" s="775">
        <f t="shared" si="247"/>
        <v>0</v>
      </c>
      <c r="BJ326" s="775">
        <f t="shared" si="217"/>
        <v>0</v>
      </c>
      <c r="BK326" s="775">
        <f t="shared" si="209"/>
        <v>0</v>
      </c>
      <c r="BL326" s="775">
        <f t="shared" si="248"/>
        <v>0</v>
      </c>
      <c r="BM326" s="775">
        <f t="shared" si="249"/>
        <v>0</v>
      </c>
    </row>
    <row r="327" spans="1:65">
      <c r="A327" s="11">
        <f t="shared" si="202"/>
        <v>1926</v>
      </c>
      <c r="B327" s="773">
        <v>315</v>
      </c>
      <c r="C327" s="774">
        <f t="shared" si="218"/>
        <v>9557</v>
      </c>
      <c r="D327" s="775">
        <f t="shared" si="219"/>
        <v>0</v>
      </c>
      <c r="E327" s="775">
        <f t="shared" si="210"/>
        <v>0</v>
      </c>
      <c r="F327" s="775">
        <f t="shared" si="200"/>
        <v>0</v>
      </c>
      <c r="G327" s="775">
        <f t="shared" si="220"/>
        <v>0</v>
      </c>
      <c r="H327" s="775">
        <f t="shared" si="221"/>
        <v>0</v>
      </c>
      <c r="I327" s="775">
        <f t="shared" si="201"/>
        <v>0</v>
      </c>
      <c r="K327" s="773">
        <v>315</v>
      </c>
      <c r="L327" s="774">
        <f t="shared" si="222"/>
        <v>9557</v>
      </c>
      <c r="M327" s="775">
        <f t="shared" si="223"/>
        <v>0</v>
      </c>
      <c r="N327" s="775">
        <f t="shared" si="211"/>
        <v>0</v>
      </c>
      <c r="O327" s="775">
        <f t="shared" si="203"/>
        <v>0</v>
      </c>
      <c r="P327" s="775">
        <f t="shared" si="224"/>
        <v>0</v>
      </c>
      <c r="Q327" s="775">
        <f t="shared" si="225"/>
        <v>0</v>
      </c>
      <c r="S327" s="773">
        <v>315</v>
      </c>
      <c r="T327" s="774">
        <f t="shared" si="226"/>
        <v>9557</v>
      </c>
      <c r="U327" s="775">
        <f t="shared" si="227"/>
        <v>0</v>
      </c>
      <c r="V327" s="775">
        <f t="shared" si="212"/>
        <v>0</v>
      </c>
      <c r="W327" s="775">
        <f t="shared" si="204"/>
        <v>0</v>
      </c>
      <c r="X327" s="775">
        <f t="shared" si="228"/>
        <v>0</v>
      </c>
      <c r="Y327" s="775">
        <f t="shared" si="229"/>
        <v>0</v>
      </c>
      <c r="AA327" s="773">
        <v>315</v>
      </c>
      <c r="AB327" s="774">
        <f t="shared" si="230"/>
        <v>9557</v>
      </c>
      <c r="AC327" s="775">
        <f t="shared" si="231"/>
        <v>0</v>
      </c>
      <c r="AD327" s="775">
        <f t="shared" si="213"/>
        <v>0</v>
      </c>
      <c r="AE327" s="775">
        <f t="shared" si="205"/>
        <v>0</v>
      </c>
      <c r="AF327" s="775">
        <f t="shared" si="232"/>
        <v>0</v>
      </c>
      <c r="AG327" s="775">
        <f t="shared" si="233"/>
        <v>0</v>
      </c>
      <c r="AI327" s="773">
        <v>315</v>
      </c>
      <c r="AJ327" s="774">
        <f t="shared" si="234"/>
        <v>9557</v>
      </c>
      <c r="AK327" s="775">
        <f t="shared" si="235"/>
        <v>0</v>
      </c>
      <c r="AL327" s="775">
        <f t="shared" si="214"/>
        <v>0</v>
      </c>
      <c r="AM327" s="775">
        <f t="shared" si="206"/>
        <v>0</v>
      </c>
      <c r="AN327" s="775">
        <f t="shared" si="236"/>
        <v>0</v>
      </c>
      <c r="AO327" s="775">
        <f t="shared" si="237"/>
        <v>0</v>
      </c>
      <c r="AQ327" s="773">
        <v>315</v>
      </c>
      <c r="AR327" s="774">
        <f t="shared" si="238"/>
        <v>9557</v>
      </c>
      <c r="AS327" s="775">
        <f t="shared" si="239"/>
        <v>0</v>
      </c>
      <c r="AT327" s="775">
        <f t="shared" si="215"/>
        <v>0</v>
      </c>
      <c r="AU327" s="775">
        <f t="shared" si="207"/>
        <v>0</v>
      </c>
      <c r="AV327" s="775">
        <f t="shared" si="240"/>
        <v>0</v>
      </c>
      <c r="AW327" s="775">
        <f t="shared" si="241"/>
        <v>0</v>
      </c>
      <c r="AY327" s="773">
        <v>315</v>
      </c>
      <c r="AZ327" s="774">
        <f t="shared" si="242"/>
        <v>9557</v>
      </c>
      <c r="BA327" s="775">
        <f t="shared" si="243"/>
        <v>0</v>
      </c>
      <c r="BB327" s="775">
        <f t="shared" si="216"/>
        <v>0</v>
      </c>
      <c r="BC327" s="775">
        <f t="shared" si="208"/>
        <v>0</v>
      </c>
      <c r="BD327" s="775">
        <f t="shared" si="244"/>
        <v>0</v>
      </c>
      <c r="BE327" s="775">
        <f t="shared" si="245"/>
        <v>0</v>
      </c>
      <c r="BG327" s="773">
        <v>315</v>
      </c>
      <c r="BH327" s="774">
        <f t="shared" si="246"/>
        <v>9557</v>
      </c>
      <c r="BI327" s="775">
        <f t="shared" si="247"/>
        <v>0</v>
      </c>
      <c r="BJ327" s="775">
        <f t="shared" si="217"/>
        <v>0</v>
      </c>
      <c r="BK327" s="775">
        <f t="shared" si="209"/>
        <v>0</v>
      </c>
      <c r="BL327" s="775">
        <f t="shared" si="248"/>
        <v>0</v>
      </c>
      <c r="BM327" s="775">
        <f t="shared" si="249"/>
        <v>0</v>
      </c>
    </row>
    <row r="328" spans="1:65">
      <c r="A328" s="11">
        <f t="shared" si="202"/>
        <v>1926</v>
      </c>
      <c r="B328" s="773">
        <v>316</v>
      </c>
      <c r="C328" s="774">
        <f t="shared" si="218"/>
        <v>9588</v>
      </c>
      <c r="D328" s="775">
        <f t="shared" si="219"/>
        <v>0</v>
      </c>
      <c r="E328" s="775">
        <f t="shared" si="210"/>
        <v>0</v>
      </c>
      <c r="F328" s="775">
        <f t="shared" si="200"/>
        <v>0</v>
      </c>
      <c r="G328" s="775">
        <f t="shared" si="220"/>
        <v>0</v>
      </c>
      <c r="H328" s="775">
        <f t="shared" si="221"/>
        <v>0</v>
      </c>
      <c r="I328" s="775">
        <f t="shared" si="201"/>
        <v>0</v>
      </c>
      <c r="K328" s="773">
        <v>316</v>
      </c>
      <c r="L328" s="774">
        <f t="shared" si="222"/>
        <v>9588</v>
      </c>
      <c r="M328" s="775">
        <f t="shared" si="223"/>
        <v>0</v>
      </c>
      <c r="N328" s="775">
        <f t="shared" si="211"/>
        <v>0</v>
      </c>
      <c r="O328" s="775">
        <f t="shared" si="203"/>
        <v>0</v>
      </c>
      <c r="P328" s="775">
        <f t="shared" si="224"/>
        <v>0</v>
      </c>
      <c r="Q328" s="775">
        <f t="shared" si="225"/>
        <v>0</v>
      </c>
      <c r="S328" s="773">
        <v>316</v>
      </c>
      <c r="T328" s="774">
        <f t="shared" si="226"/>
        <v>9588</v>
      </c>
      <c r="U328" s="775">
        <f t="shared" si="227"/>
        <v>0</v>
      </c>
      <c r="V328" s="775">
        <f t="shared" si="212"/>
        <v>0</v>
      </c>
      <c r="W328" s="775">
        <f t="shared" si="204"/>
        <v>0</v>
      </c>
      <c r="X328" s="775">
        <f t="shared" si="228"/>
        <v>0</v>
      </c>
      <c r="Y328" s="775">
        <f t="shared" si="229"/>
        <v>0</v>
      </c>
      <c r="AA328" s="773">
        <v>316</v>
      </c>
      <c r="AB328" s="774">
        <f t="shared" si="230"/>
        <v>9588</v>
      </c>
      <c r="AC328" s="775">
        <f t="shared" si="231"/>
        <v>0</v>
      </c>
      <c r="AD328" s="775">
        <f t="shared" si="213"/>
        <v>0</v>
      </c>
      <c r="AE328" s="775">
        <f t="shared" si="205"/>
        <v>0</v>
      </c>
      <c r="AF328" s="775">
        <f t="shared" si="232"/>
        <v>0</v>
      </c>
      <c r="AG328" s="775">
        <f t="shared" si="233"/>
        <v>0</v>
      </c>
      <c r="AI328" s="773">
        <v>316</v>
      </c>
      <c r="AJ328" s="774">
        <f t="shared" si="234"/>
        <v>9588</v>
      </c>
      <c r="AK328" s="775">
        <f t="shared" si="235"/>
        <v>0</v>
      </c>
      <c r="AL328" s="775">
        <f t="shared" si="214"/>
        <v>0</v>
      </c>
      <c r="AM328" s="775">
        <f t="shared" si="206"/>
        <v>0</v>
      </c>
      <c r="AN328" s="775">
        <f t="shared" si="236"/>
        <v>0</v>
      </c>
      <c r="AO328" s="775">
        <f t="shared" si="237"/>
        <v>0</v>
      </c>
      <c r="AQ328" s="773">
        <v>316</v>
      </c>
      <c r="AR328" s="774">
        <f t="shared" si="238"/>
        <v>9588</v>
      </c>
      <c r="AS328" s="775">
        <f t="shared" si="239"/>
        <v>0</v>
      </c>
      <c r="AT328" s="775">
        <f t="shared" si="215"/>
        <v>0</v>
      </c>
      <c r="AU328" s="775">
        <f t="shared" si="207"/>
        <v>0</v>
      </c>
      <c r="AV328" s="775">
        <f t="shared" si="240"/>
        <v>0</v>
      </c>
      <c r="AW328" s="775">
        <f t="shared" si="241"/>
        <v>0</v>
      </c>
      <c r="AY328" s="773">
        <v>316</v>
      </c>
      <c r="AZ328" s="774">
        <f t="shared" si="242"/>
        <v>9588</v>
      </c>
      <c r="BA328" s="775">
        <f t="shared" si="243"/>
        <v>0</v>
      </c>
      <c r="BB328" s="775">
        <f t="shared" si="216"/>
        <v>0</v>
      </c>
      <c r="BC328" s="775">
        <f t="shared" si="208"/>
        <v>0</v>
      </c>
      <c r="BD328" s="775">
        <f t="shared" si="244"/>
        <v>0</v>
      </c>
      <c r="BE328" s="775">
        <f t="shared" si="245"/>
        <v>0</v>
      </c>
      <c r="BG328" s="773">
        <v>316</v>
      </c>
      <c r="BH328" s="774">
        <f t="shared" si="246"/>
        <v>9588</v>
      </c>
      <c r="BI328" s="775">
        <f t="shared" si="247"/>
        <v>0</v>
      </c>
      <c r="BJ328" s="775">
        <f t="shared" si="217"/>
        <v>0</v>
      </c>
      <c r="BK328" s="775">
        <f t="shared" si="209"/>
        <v>0</v>
      </c>
      <c r="BL328" s="775">
        <f t="shared" si="248"/>
        <v>0</v>
      </c>
      <c r="BM328" s="775">
        <f t="shared" si="249"/>
        <v>0</v>
      </c>
    </row>
    <row r="329" spans="1:65">
      <c r="A329" s="11">
        <f t="shared" si="202"/>
        <v>1926</v>
      </c>
      <c r="B329" s="773">
        <v>317</v>
      </c>
      <c r="C329" s="774">
        <f t="shared" si="218"/>
        <v>9618</v>
      </c>
      <c r="D329" s="775">
        <f t="shared" si="219"/>
        <v>0</v>
      </c>
      <c r="E329" s="775">
        <f t="shared" si="210"/>
        <v>0</v>
      </c>
      <c r="F329" s="775">
        <f t="shared" si="200"/>
        <v>0</v>
      </c>
      <c r="G329" s="775">
        <f t="shared" si="220"/>
        <v>0</v>
      </c>
      <c r="H329" s="775">
        <f t="shared" si="221"/>
        <v>0</v>
      </c>
      <c r="I329" s="775">
        <f t="shared" si="201"/>
        <v>0</v>
      </c>
      <c r="K329" s="773">
        <v>317</v>
      </c>
      <c r="L329" s="774">
        <f t="shared" si="222"/>
        <v>9618</v>
      </c>
      <c r="M329" s="775">
        <f t="shared" si="223"/>
        <v>0</v>
      </c>
      <c r="N329" s="775">
        <f t="shared" si="211"/>
        <v>0</v>
      </c>
      <c r="O329" s="775">
        <f t="shared" si="203"/>
        <v>0</v>
      </c>
      <c r="P329" s="775">
        <f t="shared" si="224"/>
        <v>0</v>
      </c>
      <c r="Q329" s="775">
        <f t="shared" si="225"/>
        <v>0</v>
      </c>
      <c r="S329" s="773">
        <v>317</v>
      </c>
      <c r="T329" s="774">
        <f t="shared" si="226"/>
        <v>9618</v>
      </c>
      <c r="U329" s="775">
        <f t="shared" si="227"/>
        <v>0</v>
      </c>
      <c r="V329" s="775">
        <f t="shared" si="212"/>
        <v>0</v>
      </c>
      <c r="W329" s="775">
        <f t="shared" si="204"/>
        <v>0</v>
      </c>
      <c r="X329" s="775">
        <f t="shared" si="228"/>
        <v>0</v>
      </c>
      <c r="Y329" s="775">
        <f t="shared" si="229"/>
        <v>0</v>
      </c>
      <c r="AA329" s="773">
        <v>317</v>
      </c>
      <c r="AB329" s="774">
        <f t="shared" si="230"/>
        <v>9618</v>
      </c>
      <c r="AC329" s="775">
        <f t="shared" si="231"/>
        <v>0</v>
      </c>
      <c r="AD329" s="775">
        <f t="shared" si="213"/>
        <v>0</v>
      </c>
      <c r="AE329" s="775">
        <f t="shared" si="205"/>
        <v>0</v>
      </c>
      <c r="AF329" s="775">
        <f t="shared" si="232"/>
        <v>0</v>
      </c>
      <c r="AG329" s="775">
        <f t="shared" si="233"/>
        <v>0</v>
      </c>
      <c r="AI329" s="773">
        <v>317</v>
      </c>
      <c r="AJ329" s="774">
        <f t="shared" si="234"/>
        <v>9618</v>
      </c>
      <c r="AK329" s="775">
        <f t="shared" si="235"/>
        <v>0</v>
      </c>
      <c r="AL329" s="775">
        <f t="shared" si="214"/>
        <v>0</v>
      </c>
      <c r="AM329" s="775">
        <f t="shared" si="206"/>
        <v>0</v>
      </c>
      <c r="AN329" s="775">
        <f t="shared" si="236"/>
        <v>0</v>
      </c>
      <c r="AO329" s="775">
        <f t="shared" si="237"/>
        <v>0</v>
      </c>
      <c r="AQ329" s="773">
        <v>317</v>
      </c>
      <c r="AR329" s="774">
        <f t="shared" si="238"/>
        <v>9618</v>
      </c>
      <c r="AS329" s="775">
        <f t="shared" si="239"/>
        <v>0</v>
      </c>
      <c r="AT329" s="775">
        <f t="shared" si="215"/>
        <v>0</v>
      </c>
      <c r="AU329" s="775">
        <f t="shared" si="207"/>
        <v>0</v>
      </c>
      <c r="AV329" s="775">
        <f t="shared" si="240"/>
        <v>0</v>
      </c>
      <c r="AW329" s="775">
        <f t="shared" si="241"/>
        <v>0</v>
      </c>
      <c r="AY329" s="773">
        <v>317</v>
      </c>
      <c r="AZ329" s="774">
        <f t="shared" si="242"/>
        <v>9618</v>
      </c>
      <c r="BA329" s="775">
        <f t="shared" si="243"/>
        <v>0</v>
      </c>
      <c r="BB329" s="775">
        <f t="shared" si="216"/>
        <v>0</v>
      </c>
      <c r="BC329" s="775">
        <f t="shared" si="208"/>
        <v>0</v>
      </c>
      <c r="BD329" s="775">
        <f t="shared" si="244"/>
        <v>0</v>
      </c>
      <c r="BE329" s="775">
        <f t="shared" si="245"/>
        <v>0</v>
      </c>
      <c r="BG329" s="773">
        <v>317</v>
      </c>
      <c r="BH329" s="774">
        <f t="shared" si="246"/>
        <v>9618</v>
      </c>
      <c r="BI329" s="775">
        <f t="shared" si="247"/>
        <v>0</v>
      </c>
      <c r="BJ329" s="775">
        <f t="shared" si="217"/>
        <v>0</v>
      </c>
      <c r="BK329" s="775">
        <f t="shared" si="209"/>
        <v>0</v>
      </c>
      <c r="BL329" s="775">
        <f t="shared" si="248"/>
        <v>0</v>
      </c>
      <c r="BM329" s="775">
        <f t="shared" si="249"/>
        <v>0</v>
      </c>
    </row>
    <row r="330" spans="1:65">
      <c r="A330" s="11">
        <f t="shared" si="202"/>
        <v>1926</v>
      </c>
      <c r="B330" s="773">
        <v>318</v>
      </c>
      <c r="C330" s="774">
        <f t="shared" si="218"/>
        <v>9649</v>
      </c>
      <c r="D330" s="775">
        <f t="shared" si="219"/>
        <v>0</v>
      </c>
      <c r="E330" s="775">
        <f t="shared" si="210"/>
        <v>0</v>
      </c>
      <c r="F330" s="775">
        <f t="shared" si="200"/>
        <v>0</v>
      </c>
      <c r="G330" s="775">
        <f t="shared" si="220"/>
        <v>0</v>
      </c>
      <c r="H330" s="775">
        <f t="shared" si="221"/>
        <v>0</v>
      </c>
      <c r="I330" s="775">
        <f t="shared" si="201"/>
        <v>0</v>
      </c>
      <c r="K330" s="773">
        <v>318</v>
      </c>
      <c r="L330" s="774">
        <f t="shared" si="222"/>
        <v>9649</v>
      </c>
      <c r="M330" s="775">
        <f t="shared" si="223"/>
        <v>0</v>
      </c>
      <c r="N330" s="775">
        <f t="shared" si="211"/>
        <v>0</v>
      </c>
      <c r="O330" s="775">
        <f t="shared" si="203"/>
        <v>0</v>
      </c>
      <c r="P330" s="775">
        <f t="shared" si="224"/>
        <v>0</v>
      </c>
      <c r="Q330" s="775">
        <f t="shared" si="225"/>
        <v>0</v>
      </c>
      <c r="S330" s="773">
        <v>318</v>
      </c>
      <c r="T330" s="774">
        <f t="shared" si="226"/>
        <v>9649</v>
      </c>
      <c r="U330" s="775">
        <f t="shared" si="227"/>
        <v>0</v>
      </c>
      <c r="V330" s="775">
        <f t="shared" si="212"/>
        <v>0</v>
      </c>
      <c r="W330" s="775">
        <f t="shared" si="204"/>
        <v>0</v>
      </c>
      <c r="X330" s="775">
        <f t="shared" si="228"/>
        <v>0</v>
      </c>
      <c r="Y330" s="775">
        <f t="shared" si="229"/>
        <v>0</v>
      </c>
      <c r="AA330" s="773">
        <v>318</v>
      </c>
      <c r="AB330" s="774">
        <f t="shared" si="230"/>
        <v>9649</v>
      </c>
      <c r="AC330" s="775">
        <f t="shared" si="231"/>
        <v>0</v>
      </c>
      <c r="AD330" s="775">
        <f t="shared" si="213"/>
        <v>0</v>
      </c>
      <c r="AE330" s="775">
        <f t="shared" si="205"/>
        <v>0</v>
      </c>
      <c r="AF330" s="775">
        <f t="shared" si="232"/>
        <v>0</v>
      </c>
      <c r="AG330" s="775">
        <f t="shared" si="233"/>
        <v>0</v>
      </c>
      <c r="AI330" s="773">
        <v>318</v>
      </c>
      <c r="AJ330" s="774">
        <f t="shared" si="234"/>
        <v>9649</v>
      </c>
      <c r="AK330" s="775">
        <f t="shared" si="235"/>
        <v>0</v>
      </c>
      <c r="AL330" s="775">
        <f t="shared" si="214"/>
        <v>0</v>
      </c>
      <c r="AM330" s="775">
        <f t="shared" si="206"/>
        <v>0</v>
      </c>
      <c r="AN330" s="775">
        <f t="shared" si="236"/>
        <v>0</v>
      </c>
      <c r="AO330" s="775">
        <f t="shared" si="237"/>
        <v>0</v>
      </c>
      <c r="AQ330" s="773">
        <v>318</v>
      </c>
      <c r="AR330" s="774">
        <f t="shared" si="238"/>
        <v>9649</v>
      </c>
      <c r="AS330" s="775">
        <f t="shared" si="239"/>
        <v>0</v>
      </c>
      <c r="AT330" s="775">
        <f t="shared" si="215"/>
        <v>0</v>
      </c>
      <c r="AU330" s="775">
        <f t="shared" si="207"/>
        <v>0</v>
      </c>
      <c r="AV330" s="775">
        <f t="shared" si="240"/>
        <v>0</v>
      </c>
      <c r="AW330" s="775">
        <f t="shared" si="241"/>
        <v>0</v>
      </c>
      <c r="AY330" s="773">
        <v>318</v>
      </c>
      <c r="AZ330" s="774">
        <f t="shared" si="242"/>
        <v>9649</v>
      </c>
      <c r="BA330" s="775">
        <f t="shared" si="243"/>
        <v>0</v>
      </c>
      <c r="BB330" s="775">
        <f t="shared" si="216"/>
        <v>0</v>
      </c>
      <c r="BC330" s="775">
        <f t="shared" si="208"/>
        <v>0</v>
      </c>
      <c r="BD330" s="775">
        <f t="shared" si="244"/>
        <v>0</v>
      </c>
      <c r="BE330" s="775">
        <f t="shared" si="245"/>
        <v>0</v>
      </c>
      <c r="BG330" s="773">
        <v>318</v>
      </c>
      <c r="BH330" s="774">
        <f t="shared" si="246"/>
        <v>9649</v>
      </c>
      <c r="BI330" s="775">
        <f t="shared" si="247"/>
        <v>0</v>
      </c>
      <c r="BJ330" s="775">
        <f t="shared" si="217"/>
        <v>0</v>
      </c>
      <c r="BK330" s="775">
        <f t="shared" si="209"/>
        <v>0</v>
      </c>
      <c r="BL330" s="775">
        <f t="shared" si="248"/>
        <v>0</v>
      </c>
      <c r="BM330" s="775">
        <f t="shared" si="249"/>
        <v>0</v>
      </c>
    </row>
    <row r="331" spans="1:65">
      <c r="A331" s="11">
        <f t="shared" si="202"/>
        <v>1926</v>
      </c>
      <c r="B331" s="773">
        <v>319</v>
      </c>
      <c r="C331" s="774">
        <f t="shared" si="218"/>
        <v>9679</v>
      </c>
      <c r="D331" s="775">
        <f t="shared" si="219"/>
        <v>0</v>
      </c>
      <c r="E331" s="775">
        <f t="shared" si="210"/>
        <v>0</v>
      </c>
      <c r="F331" s="775">
        <f t="shared" si="200"/>
        <v>0</v>
      </c>
      <c r="G331" s="775">
        <f t="shared" si="220"/>
        <v>0</v>
      </c>
      <c r="H331" s="775">
        <f t="shared" si="221"/>
        <v>0</v>
      </c>
      <c r="I331" s="775">
        <f t="shared" si="201"/>
        <v>0</v>
      </c>
      <c r="K331" s="773">
        <v>319</v>
      </c>
      <c r="L331" s="774">
        <f t="shared" si="222"/>
        <v>9679</v>
      </c>
      <c r="M331" s="775">
        <f t="shared" si="223"/>
        <v>0</v>
      </c>
      <c r="N331" s="775">
        <f t="shared" si="211"/>
        <v>0</v>
      </c>
      <c r="O331" s="775">
        <f t="shared" si="203"/>
        <v>0</v>
      </c>
      <c r="P331" s="775">
        <f t="shared" si="224"/>
        <v>0</v>
      </c>
      <c r="Q331" s="775">
        <f t="shared" si="225"/>
        <v>0</v>
      </c>
      <c r="S331" s="773">
        <v>319</v>
      </c>
      <c r="T331" s="774">
        <f t="shared" si="226"/>
        <v>9679</v>
      </c>
      <c r="U331" s="775">
        <f t="shared" si="227"/>
        <v>0</v>
      </c>
      <c r="V331" s="775">
        <f t="shared" si="212"/>
        <v>0</v>
      </c>
      <c r="W331" s="775">
        <f t="shared" si="204"/>
        <v>0</v>
      </c>
      <c r="X331" s="775">
        <f t="shared" si="228"/>
        <v>0</v>
      </c>
      <c r="Y331" s="775">
        <f t="shared" si="229"/>
        <v>0</v>
      </c>
      <c r="AA331" s="773">
        <v>319</v>
      </c>
      <c r="AB331" s="774">
        <f t="shared" si="230"/>
        <v>9679</v>
      </c>
      <c r="AC331" s="775">
        <f t="shared" si="231"/>
        <v>0</v>
      </c>
      <c r="AD331" s="775">
        <f t="shared" si="213"/>
        <v>0</v>
      </c>
      <c r="AE331" s="775">
        <f t="shared" si="205"/>
        <v>0</v>
      </c>
      <c r="AF331" s="775">
        <f t="shared" si="232"/>
        <v>0</v>
      </c>
      <c r="AG331" s="775">
        <f t="shared" si="233"/>
        <v>0</v>
      </c>
      <c r="AI331" s="773">
        <v>319</v>
      </c>
      <c r="AJ331" s="774">
        <f t="shared" si="234"/>
        <v>9679</v>
      </c>
      <c r="AK331" s="775">
        <f t="shared" si="235"/>
        <v>0</v>
      </c>
      <c r="AL331" s="775">
        <f t="shared" si="214"/>
        <v>0</v>
      </c>
      <c r="AM331" s="775">
        <f t="shared" si="206"/>
        <v>0</v>
      </c>
      <c r="AN331" s="775">
        <f t="shared" si="236"/>
        <v>0</v>
      </c>
      <c r="AO331" s="775">
        <f t="shared" si="237"/>
        <v>0</v>
      </c>
      <c r="AQ331" s="773">
        <v>319</v>
      </c>
      <c r="AR331" s="774">
        <f t="shared" si="238"/>
        <v>9679</v>
      </c>
      <c r="AS331" s="775">
        <f t="shared" si="239"/>
        <v>0</v>
      </c>
      <c r="AT331" s="775">
        <f t="shared" si="215"/>
        <v>0</v>
      </c>
      <c r="AU331" s="775">
        <f t="shared" si="207"/>
        <v>0</v>
      </c>
      <c r="AV331" s="775">
        <f t="shared" si="240"/>
        <v>0</v>
      </c>
      <c r="AW331" s="775">
        <f t="shared" si="241"/>
        <v>0</v>
      </c>
      <c r="AY331" s="773">
        <v>319</v>
      </c>
      <c r="AZ331" s="774">
        <f t="shared" si="242"/>
        <v>9679</v>
      </c>
      <c r="BA331" s="775">
        <f t="shared" si="243"/>
        <v>0</v>
      </c>
      <c r="BB331" s="775">
        <f t="shared" si="216"/>
        <v>0</v>
      </c>
      <c r="BC331" s="775">
        <f t="shared" si="208"/>
        <v>0</v>
      </c>
      <c r="BD331" s="775">
        <f t="shared" si="244"/>
        <v>0</v>
      </c>
      <c r="BE331" s="775">
        <f t="shared" si="245"/>
        <v>0</v>
      </c>
      <c r="BG331" s="773">
        <v>319</v>
      </c>
      <c r="BH331" s="774">
        <f t="shared" si="246"/>
        <v>9679</v>
      </c>
      <c r="BI331" s="775">
        <f t="shared" si="247"/>
        <v>0</v>
      </c>
      <c r="BJ331" s="775">
        <f t="shared" si="217"/>
        <v>0</v>
      </c>
      <c r="BK331" s="775">
        <f t="shared" si="209"/>
        <v>0</v>
      </c>
      <c r="BL331" s="775">
        <f t="shared" si="248"/>
        <v>0</v>
      </c>
      <c r="BM331" s="775">
        <f t="shared" si="249"/>
        <v>0</v>
      </c>
    </row>
    <row r="332" spans="1:65">
      <c r="A332" s="11">
        <f t="shared" si="202"/>
        <v>1926</v>
      </c>
      <c r="B332" s="773">
        <v>320</v>
      </c>
      <c r="C332" s="774">
        <f t="shared" si="218"/>
        <v>9710</v>
      </c>
      <c r="D332" s="775">
        <f t="shared" si="219"/>
        <v>0</v>
      </c>
      <c r="E332" s="775">
        <f t="shared" si="210"/>
        <v>0</v>
      </c>
      <c r="F332" s="775">
        <f t="shared" si="200"/>
        <v>0</v>
      </c>
      <c r="G332" s="775">
        <f t="shared" si="220"/>
        <v>0</v>
      </c>
      <c r="H332" s="775">
        <f t="shared" si="221"/>
        <v>0</v>
      </c>
      <c r="I332" s="775">
        <f t="shared" si="201"/>
        <v>0</v>
      </c>
      <c r="K332" s="773">
        <v>320</v>
      </c>
      <c r="L332" s="774">
        <f t="shared" si="222"/>
        <v>9710</v>
      </c>
      <c r="M332" s="775">
        <f t="shared" si="223"/>
        <v>0</v>
      </c>
      <c r="N332" s="775">
        <f t="shared" si="211"/>
        <v>0</v>
      </c>
      <c r="O332" s="775">
        <f t="shared" si="203"/>
        <v>0</v>
      </c>
      <c r="P332" s="775">
        <f t="shared" si="224"/>
        <v>0</v>
      </c>
      <c r="Q332" s="775">
        <f t="shared" si="225"/>
        <v>0</v>
      </c>
      <c r="S332" s="773">
        <v>320</v>
      </c>
      <c r="T332" s="774">
        <f t="shared" si="226"/>
        <v>9710</v>
      </c>
      <c r="U332" s="775">
        <f t="shared" si="227"/>
        <v>0</v>
      </c>
      <c r="V332" s="775">
        <f t="shared" si="212"/>
        <v>0</v>
      </c>
      <c r="W332" s="775">
        <f t="shared" si="204"/>
        <v>0</v>
      </c>
      <c r="X332" s="775">
        <f t="shared" si="228"/>
        <v>0</v>
      </c>
      <c r="Y332" s="775">
        <f t="shared" si="229"/>
        <v>0</v>
      </c>
      <c r="AA332" s="773">
        <v>320</v>
      </c>
      <c r="AB332" s="774">
        <f t="shared" si="230"/>
        <v>9710</v>
      </c>
      <c r="AC332" s="775">
        <f t="shared" si="231"/>
        <v>0</v>
      </c>
      <c r="AD332" s="775">
        <f t="shared" si="213"/>
        <v>0</v>
      </c>
      <c r="AE332" s="775">
        <f t="shared" si="205"/>
        <v>0</v>
      </c>
      <c r="AF332" s="775">
        <f t="shared" si="232"/>
        <v>0</v>
      </c>
      <c r="AG332" s="775">
        <f t="shared" si="233"/>
        <v>0</v>
      </c>
      <c r="AI332" s="773">
        <v>320</v>
      </c>
      <c r="AJ332" s="774">
        <f t="shared" si="234"/>
        <v>9710</v>
      </c>
      <c r="AK332" s="775">
        <f t="shared" si="235"/>
        <v>0</v>
      </c>
      <c r="AL332" s="775">
        <f t="shared" si="214"/>
        <v>0</v>
      </c>
      <c r="AM332" s="775">
        <f t="shared" si="206"/>
        <v>0</v>
      </c>
      <c r="AN332" s="775">
        <f t="shared" si="236"/>
        <v>0</v>
      </c>
      <c r="AO332" s="775">
        <f t="shared" si="237"/>
        <v>0</v>
      </c>
      <c r="AQ332" s="773">
        <v>320</v>
      </c>
      <c r="AR332" s="774">
        <f t="shared" si="238"/>
        <v>9710</v>
      </c>
      <c r="AS332" s="775">
        <f t="shared" si="239"/>
        <v>0</v>
      </c>
      <c r="AT332" s="775">
        <f t="shared" si="215"/>
        <v>0</v>
      </c>
      <c r="AU332" s="775">
        <f t="shared" si="207"/>
        <v>0</v>
      </c>
      <c r="AV332" s="775">
        <f t="shared" si="240"/>
        <v>0</v>
      </c>
      <c r="AW332" s="775">
        <f t="shared" si="241"/>
        <v>0</v>
      </c>
      <c r="AY332" s="773">
        <v>320</v>
      </c>
      <c r="AZ332" s="774">
        <f t="shared" si="242"/>
        <v>9710</v>
      </c>
      <c r="BA332" s="775">
        <f t="shared" si="243"/>
        <v>0</v>
      </c>
      <c r="BB332" s="775">
        <f t="shared" si="216"/>
        <v>0</v>
      </c>
      <c r="BC332" s="775">
        <f t="shared" si="208"/>
        <v>0</v>
      </c>
      <c r="BD332" s="775">
        <f t="shared" si="244"/>
        <v>0</v>
      </c>
      <c r="BE332" s="775">
        <f t="shared" si="245"/>
        <v>0</v>
      </c>
      <c r="BG332" s="773">
        <v>320</v>
      </c>
      <c r="BH332" s="774">
        <f t="shared" si="246"/>
        <v>9710</v>
      </c>
      <c r="BI332" s="775">
        <f t="shared" si="247"/>
        <v>0</v>
      </c>
      <c r="BJ332" s="775">
        <f t="shared" si="217"/>
        <v>0</v>
      </c>
      <c r="BK332" s="775">
        <f t="shared" si="209"/>
        <v>0</v>
      </c>
      <c r="BL332" s="775">
        <f t="shared" si="248"/>
        <v>0</v>
      </c>
      <c r="BM332" s="775">
        <f t="shared" si="249"/>
        <v>0</v>
      </c>
    </row>
    <row r="333" spans="1:65">
      <c r="A333" s="11">
        <f t="shared" si="202"/>
        <v>1926</v>
      </c>
      <c r="B333" s="773">
        <v>321</v>
      </c>
      <c r="C333" s="774">
        <f t="shared" si="218"/>
        <v>9741</v>
      </c>
      <c r="D333" s="775">
        <f t="shared" si="219"/>
        <v>0</v>
      </c>
      <c r="E333" s="775">
        <f t="shared" si="210"/>
        <v>0</v>
      </c>
      <c r="F333" s="775">
        <f t="shared" ref="F333:F372" si="250">D333*$E$7/12</f>
        <v>0</v>
      </c>
      <c r="G333" s="775">
        <f t="shared" si="220"/>
        <v>0</v>
      </c>
      <c r="H333" s="775">
        <f t="shared" si="221"/>
        <v>0</v>
      </c>
      <c r="I333" s="775">
        <f t="shared" ref="I333:I396" si="251">D333*rng01_MortgageInsurangePremium/12</f>
        <v>0</v>
      </c>
      <c r="K333" s="773">
        <v>321</v>
      </c>
      <c r="L333" s="774">
        <f t="shared" si="222"/>
        <v>9741</v>
      </c>
      <c r="M333" s="775">
        <f t="shared" si="223"/>
        <v>0</v>
      </c>
      <c r="N333" s="775">
        <f t="shared" si="211"/>
        <v>0</v>
      </c>
      <c r="O333" s="775">
        <f t="shared" si="203"/>
        <v>0</v>
      </c>
      <c r="P333" s="775">
        <f t="shared" si="224"/>
        <v>0</v>
      </c>
      <c r="Q333" s="775">
        <f t="shared" si="225"/>
        <v>0</v>
      </c>
      <c r="S333" s="773">
        <v>321</v>
      </c>
      <c r="T333" s="774">
        <f t="shared" si="226"/>
        <v>9741</v>
      </c>
      <c r="U333" s="775">
        <f t="shared" si="227"/>
        <v>0</v>
      </c>
      <c r="V333" s="775">
        <f t="shared" si="212"/>
        <v>0</v>
      </c>
      <c r="W333" s="775">
        <f t="shared" si="204"/>
        <v>0</v>
      </c>
      <c r="X333" s="775">
        <f t="shared" si="228"/>
        <v>0</v>
      </c>
      <c r="Y333" s="775">
        <f t="shared" si="229"/>
        <v>0</v>
      </c>
      <c r="AA333" s="773">
        <v>321</v>
      </c>
      <c r="AB333" s="774">
        <f t="shared" si="230"/>
        <v>9741</v>
      </c>
      <c r="AC333" s="775">
        <f t="shared" si="231"/>
        <v>0</v>
      </c>
      <c r="AD333" s="775">
        <f t="shared" si="213"/>
        <v>0</v>
      </c>
      <c r="AE333" s="775">
        <f t="shared" si="205"/>
        <v>0</v>
      </c>
      <c r="AF333" s="775">
        <f t="shared" si="232"/>
        <v>0</v>
      </c>
      <c r="AG333" s="775">
        <f t="shared" si="233"/>
        <v>0</v>
      </c>
      <c r="AI333" s="773">
        <v>321</v>
      </c>
      <c r="AJ333" s="774">
        <f t="shared" si="234"/>
        <v>9741</v>
      </c>
      <c r="AK333" s="775">
        <f t="shared" si="235"/>
        <v>0</v>
      </c>
      <c r="AL333" s="775">
        <f t="shared" si="214"/>
        <v>0</v>
      </c>
      <c r="AM333" s="775">
        <f t="shared" si="206"/>
        <v>0</v>
      </c>
      <c r="AN333" s="775">
        <f t="shared" si="236"/>
        <v>0</v>
      </c>
      <c r="AO333" s="775">
        <f t="shared" si="237"/>
        <v>0</v>
      </c>
      <c r="AQ333" s="773">
        <v>321</v>
      </c>
      <c r="AR333" s="774">
        <f t="shared" si="238"/>
        <v>9741</v>
      </c>
      <c r="AS333" s="775">
        <f t="shared" si="239"/>
        <v>0</v>
      </c>
      <c r="AT333" s="775">
        <f t="shared" si="215"/>
        <v>0</v>
      </c>
      <c r="AU333" s="775">
        <f t="shared" si="207"/>
        <v>0</v>
      </c>
      <c r="AV333" s="775">
        <f t="shared" si="240"/>
        <v>0</v>
      </c>
      <c r="AW333" s="775">
        <f t="shared" si="241"/>
        <v>0</v>
      </c>
      <c r="AY333" s="773">
        <v>321</v>
      </c>
      <c r="AZ333" s="774">
        <f t="shared" si="242"/>
        <v>9741</v>
      </c>
      <c r="BA333" s="775">
        <f t="shared" si="243"/>
        <v>0</v>
      </c>
      <c r="BB333" s="775">
        <f t="shared" si="216"/>
        <v>0</v>
      </c>
      <c r="BC333" s="775">
        <f t="shared" si="208"/>
        <v>0</v>
      </c>
      <c r="BD333" s="775">
        <f t="shared" si="244"/>
        <v>0</v>
      </c>
      <c r="BE333" s="775">
        <f t="shared" si="245"/>
        <v>0</v>
      </c>
      <c r="BG333" s="773">
        <v>321</v>
      </c>
      <c r="BH333" s="774">
        <f t="shared" si="246"/>
        <v>9741</v>
      </c>
      <c r="BI333" s="775">
        <f t="shared" si="247"/>
        <v>0</v>
      </c>
      <c r="BJ333" s="775">
        <f t="shared" si="217"/>
        <v>0</v>
      </c>
      <c r="BK333" s="775">
        <f t="shared" si="209"/>
        <v>0</v>
      </c>
      <c r="BL333" s="775">
        <f t="shared" si="248"/>
        <v>0</v>
      </c>
      <c r="BM333" s="775">
        <f t="shared" si="249"/>
        <v>0</v>
      </c>
    </row>
    <row r="334" spans="1:65">
      <c r="A334" s="11">
        <f t="shared" ref="A334:A397" si="252">YEAR(C334)</f>
        <v>1926</v>
      </c>
      <c r="B334" s="773">
        <v>322</v>
      </c>
      <c r="C334" s="774">
        <f t="shared" si="218"/>
        <v>9771</v>
      </c>
      <c r="D334" s="775">
        <f t="shared" si="219"/>
        <v>0</v>
      </c>
      <c r="E334" s="775">
        <f t="shared" si="210"/>
        <v>0</v>
      </c>
      <c r="F334" s="775">
        <f t="shared" si="250"/>
        <v>0</v>
      </c>
      <c r="G334" s="775">
        <f t="shared" si="220"/>
        <v>0</v>
      </c>
      <c r="H334" s="775">
        <f t="shared" si="221"/>
        <v>0</v>
      </c>
      <c r="I334" s="775">
        <f t="shared" si="251"/>
        <v>0</v>
      </c>
      <c r="K334" s="773">
        <v>322</v>
      </c>
      <c r="L334" s="774">
        <f t="shared" si="222"/>
        <v>9771</v>
      </c>
      <c r="M334" s="775">
        <f t="shared" si="223"/>
        <v>0</v>
      </c>
      <c r="N334" s="775">
        <f t="shared" si="211"/>
        <v>0</v>
      </c>
      <c r="O334" s="775">
        <f t="shared" ref="O334:O397" si="253">M334*$N$7/12</f>
        <v>0</v>
      </c>
      <c r="P334" s="775">
        <f t="shared" si="224"/>
        <v>0</v>
      </c>
      <c r="Q334" s="775">
        <f t="shared" si="225"/>
        <v>0</v>
      </c>
      <c r="S334" s="773">
        <v>322</v>
      </c>
      <c r="T334" s="774">
        <f t="shared" si="226"/>
        <v>9771</v>
      </c>
      <c r="U334" s="775">
        <f t="shared" si="227"/>
        <v>0</v>
      </c>
      <c r="V334" s="775">
        <f t="shared" si="212"/>
        <v>0</v>
      </c>
      <c r="W334" s="775">
        <f t="shared" ref="W334:W397" si="254">U334*V$7/12</f>
        <v>0</v>
      </c>
      <c r="X334" s="775">
        <f t="shared" si="228"/>
        <v>0</v>
      </c>
      <c r="Y334" s="775">
        <f t="shared" si="229"/>
        <v>0</v>
      </c>
      <c r="AA334" s="773">
        <v>322</v>
      </c>
      <c r="AB334" s="774">
        <f t="shared" si="230"/>
        <v>9771</v>
      </c>
      <c r="AC334" s="775">
        <f t="shared" si="231"/>
        <v>0</v>
      </c>
      <c r="AD334" s="775">
        <f t="shared" si="213"/>
        <v>0</v>
      </c>
      <c r="AE334" s="775">
        <f t="shared" ref="AE334:AE397" si="255">AC334*AD$7/12</f>
        <v>0</v>
      </c>
      <c r="AF334" s="775">
        <f t="shared" si="232"/>
        <v>0</v>
      </c>
      <c r="AG334" s="775">
        <f t="shared" si="233"/>
        <v>0</v>
      </c>
      <c r="AI334" s="773">
        <v>322</v>
      </c>
      <c r="AJ334" s="774">
        <f t="shared" si="234"/>
        <v>9771</v>
      </c>
      <c r="AK334" s="775">
        <f t="shared" si="235"/>
        <v>0</v>
      </c>
      <c r="AL334" s="775">
        <f t="shared" si="214"/>
        <v>0</v>
      </c>
      <c r="AM334" s="775">
        <f t="shared" ref="AM334:AM397" si="256">AK334*AL$7/12</f>
        <v>0</v>
      </c>
      <c r="AN334" s="775">
        <f t="shared" si="236"/>
        <v>0</v>
      </c>
      <c r="AO334" s="775">
        <f t="shared" si="237"/>
        <v>0</v>
      </c>
      <c r="AQ334" s="773">
        <v>322</v>
      </c>
      <c r="AR334" s="774">
        <f t="shared" si="238"/>
        <v>9771</v>
      </c>
      <c r="AS334" s="775">
        <f t="shared" si="239"/>
        <v>0</v>
      </c>
      <c r="AT334" s="775">
        <f t="shared" si="215"/>
        <v>0</v>
      </c>
      <c r="AU334" s="775">
        <f t="shared" ref="AU334:AU397" si="257">AS334*AT$7/12</f>
        <v>0</v>
      </c>
      <c r="AV334" s="775">
        <f t="shared" si="240"/>
        <v>0</v>
      </c>
      <c r="AW334" s="775">
        <f t="shared" si="241"/>
        <v>0</v>
      </c>
      <c r="AY334" s="773">
        <v>322</v>
      </c>
      <c r="AZ334" s="774">
        <f t="shared" si="242"/>
        <v>9771</v>
      </c>
      <c r="BA334" s="775">
        <f t="shared" si="243"/>
        <v>0</v>
      </c>
      <c r="BB334" s="775">
        <f t="shared" si="216"/>
        <v>0</v>
      </c>
      <c r="BC334" s="775">
        <f t="shared" ref="BC334:BC397" si="258">BA334*BB$7/12</f>
        <v>0</v>
      </c>
      <c r="BD334" s="775">
        <f t="shared" si="244"/>
        <v>0</v>
      </c>
      <c r="BE334" s="775">
        <f t="shared" si="245"/>
        <v>0</v>
      </c>
      <c r="BG334" s="773">
        <v>322</v>
      </c>
      <c r="BH334" s="774">
        <f t="shared" si="246"/>
        <v>9771</v>
      </c>
      <c r="BI334" s="775">
        <f t="shared" si="247"/>
        <v>0</v>
      </c>
      <c r="BJ334" s="775">
        <f t="shared" si="217"/>
        <v>0</v>
      </c>
      <c r="BK334" s="775">
        <f t="shared" ref="BK334:BK397" si="259">BI334*BJ$7/12</f>
        <v>0</v>
      </c>
      <c r="BL334" s="775">
        <f t="shared" si="248"/>
        <v>0</v>
      </c>
      <c r="BM334" s="775">
        <f t="shared" si="249"/>
        <v>0</v>
      </c>
    </row>
    <row r="335" spans="1:65">
      <c r="A335" s="11">
        <f t="shared" si="252"/>
        <v>1926</v>
      </c>
      <c r="B335" s="773">
        <v>323</v>
      </c>
      <c r="C335" s="774">
        <f t="shared" si="218"/>
        <v>9802</v>
      </c>
      <c r="D335" s="775">
        <f t="shared" si="219"/>
        <v>0</v>
      </c>
      <c r="E335" s="775">
        <f t="shared" ref="E335:E372" si="260">IF(ROUND(D335,0)&gt;0,E334,0)</f>
        <v>0</v>
      </c>
      <c r="F335" s="775">
        <f t="shared" si="250"/>
        <v>0</v>
      </c>
      <c r="G335" s="775">
        <f t="shared" si="220"/>
        <v>0</v>
      </c>
      <c r="H335" s="775">
        <f t="shared" si="221"/>
        <v>0</v>
      </c>
      <c r="I335" s="775">
        <f t="shared" si="251"/>
        <v>0</v>
      </c>
      <c r="K335" s="773">
        <v>323</v>
      </c>
      <c r="L335" s="774">
        <f t="shared" si="222"/>
        <v>9802</v>
      </c>
      <c r="M335" s="775">
        <f t="shared" si="223"/>
        <v>0</v>
      </c>
      <c r="N335" s="775">
        <f t="shared" ref="N335:N398" si="261">IF(ROUND(M335,0)&gt;0,N334,0)</f>
        <v>0</v>
      </c>
      <c r="O335" s="775">
        <f t="shared" si="253"/>
        <v>0</v>
      </c>
      <c r="P335" s="775">
        <f t="shared" si="224"/>
        <v>0</v>
      </c>
      <c r="Q335" s="775">
        <f t="shared" si="225"/>
        <v>0</v>
      </c>
      <c r="S335" s="773">
        <v>323</v>
      </c>
      <c r="T335" s="774">
        <f t="shared" si="226"/>
        <v>9802</v>
      </c>
      <c r="U335" s="775">
        <f t="shared" si="227"/>
        <v>0</v>
      </c>
      <c r="V335" s="775">
        <f t="shared" ref="V335:V398" si="262">IF(ROUND(U335,0)&gt;0,V334,0)</f>
        <v>0</v>
      </c>
      <c r="W335" s="775">
        <f t="shared" si="254"/>
        <v>0</v>
      </c>
      <c r="X335" s="775">
        <f t="shared" si="228"/>
        <v>0</v>
      </c>
      <c r="Y335" s="775">
        <f t="shared" si="229"/>
        <v>0</v>
      </c>
      <c r="AA335" s="773">
        <v>323</v>
      </c>
      <c r="AB335" s="774">
        <f t="shared" si="230"/>
        <v>9802</v>
      </c>
      <c r="AC335" s="775">
        <f t="shared" si="231"/>
        <v>0</v>
      </c>
      <c r="AD335" s="775">
        <f t="shared" ref="AD335:AD398" si="263">IF(ROUND(AC335,0)&gt;0,AD334,0)</f>
        <v>0</v>
      </c>
      <c r="AE335" s="775">
        <f t="shared" si="255"/>
        <v>0</v>
      </c>
      <c r="AF335" s="775">
        <f t="shared" si="232"/>
        <v>0</v>
      </c>
      <c r="AG335" s="775">
        <f t="shared" si="233"/>
        <v>0</v>
      </c>
      <c r="AI335" s="773">
        <v>323</v>
      </c>
      <c r="AJ335" s="774">
        <f t="shared" si="234"/>
        <v>9802</v>
      </c>
      <c r="AK335" s="775">
        <f t="shared" si="235"/>
        <v>0</v>
      </c>
      <c r="AL335" s="775">
        <f t="shared" ref="AL335:AL398" si="264">IF(ROUND(AK335,0)&gt;0,AL334,0)</f>
        <v>0</v>
      </c>
      <c r="AM335" s="775">
        <f t="shared" si="256"/>
        <v>0</v>
      </c>
      <c r="AN335" s="775">
        <f t="shared" si="236"/>
        <v>0</v>
      </c>
      <c r="AO335" s="775">
        <f t="shared" si="237"/>
        <v>0</v>
      </c>
      <c r="AQ335" s="773">
        <v>323</v>
      </c>
      <c r="AR335" s="774">
        <f t="shared" si="238"/>
        <v>9802</v>
      </c>
      <c r="AS335" s="775">
        <f t="shared" si="239"/>
        <v>0</v>
      </c>
      <c r="AT335" s="775">
        <f t="shared" ref="AT335:AT398" si="265">IF(ROUND(AS335,0)&gt;0,AT334,0)</f>
        <v>0</v>
      </c>
      <c r="AU335" s="775">
        <f t="shared" si="257"/>
        <v>0</v>
      </c>
      <c r="AV335" s="775">
        <f t="shared" si="240"/>
        <v>0</v>
      </c>
      <c r="AW335" s="775">
        <f t="shared" si="241"/>
        <v>0</v>
      </c>
      <c r="AY335" s="773">
        <v>323</v>
      </c>
      <c r="AZ335" s="774">
        <f t="shared" si="242"/>
        <v>9802</v>
      </c>
      <c r="BA335" s="775">
        <f t="shared" si="243"/>
        <v>0</v>
      </c>
      <c r="BB335" s="775">
        <f t="shared" ref="BB335:BB398" si="266">IF(ROUND(BA335,0)&gt;0,BB334,0)</f>
        <v>0</v>
      </c>
      <c r="BC335" s="775">
        <f t="shared" si="258"/>
        <v>0</v>
      </c>
      <c r="BD335" s="775">
        <f t="shared" si="244"/>
        <v>0</v>
      </c>
      <c r="BE335" s="775">
        <f t="shared" si="245"/>
        <v>0</v>
      </c>
      <c r="BG335" s="773">
        <v>323</v>
      </c>
      <c r="BH335" s="774">
        <f t="shared" si="246"/>
        <v>9802</v>
      </c>
      <c r="BI335" s="775">
        <f t="shared" si="247"/>
        <v>0</v>
      </c>
      <c r="BJ335" s="775">
        <f t="shared" ref="BJ335:BJ398" si="267">IF(ROUND(BI335,0)&gt;0,BJ334,0)</f>
        <v>0</v>
      </c>
      <c r="BK335" s="775">
        <f t="shared" si="259"/>
        <v>0</v>
      </c>
      <c r="BL335" s="775">
        <f t="shared" si="248"/>
        <v>0</v>
      </c>
      <c r="BM335" s="775">
        <f t="shared" si="249"/>
        <v>0</v>
      </c>
    </row>
    <row r="336" spans="1:65">
      <c r="A336" s="11">
        <f t="shared" si="252"/>
        <v>1926</v>
      </c>
      <c r="B336" s="773">
        <v>324</v>
      </c>
      <c r="C336" s="774">
        <f t="shared" ref="C336:C399" si="268">DATE(IF(MONTH(C335)=12,YEAR(C335)+1,YEAR(C335)),IF(MONTH(C335)=12,1,MONTH(C335)+1),1)</f>
        <v>9832</v>
      </c>
      <c r="D336" s="775">
        <f t="shared" ref="D336:D372" si="269">H335</f>
        <v>0</v>
      </c>
      <c r="E336" s="775">
        <f t="shared" si="260"/>
        <v>0</v>
      </c>
      <c r="F336" s="775">
        <f t="shared" si="250"/>
        <v>0</v>
      </c>
      <c r="G336" s="775">
        <f t="shared" ref="G336:G372" si="270">E336-F336</f>
        <v>0</v>
      </c>
      <c r="H336" s="775">
        <f t="shared" ref="H336:H372" si="271">D336-G336</f>
        <v>0</v>
      </c>
      <c r="I336" s="775">
        <f t="shared" si="251"/>
        <v>0</v>
      </c>
      <c r="K336" s="773">
        <v>324</v>
      </c>
      <c r="L336" s="774">
        <f t="shared" ref="L336:L399" si="272">DATE(IF(MONTH(L335)=12,YEAR(L335)+1,YEAR(L335)),IF(MONTH(L335)=12,1,MONTH(L335)+1),1)</f>
        <v>9832</v>
      </c>
      <c r="M336" s="775">
        <f t="shared" ref="M336:M399" si="273">Q335</f>
        <v>0</v>
      </c>
      <c r="N336" s="775">
        <f t="shared" si="261"/>
        <v>0</v>
      </c>
      <c r="O336" s="775">
        <f t="shared" si="253"/>
        <v>0</v>
      </c>
      <c r="P336" s="775">
        <f t="shared" ref="P336:P399" si="274">N336-O336</f>
        <v>0</v>
      </c>
      <c r="Q336" s="775">
        <f t="shared" ref="Q336:Q399" si="275">M336-P336</f>
        <v>0</v>
      </c>
      <c r="S336" s="773">
        <v>324</v>
      </c>
      <c r="T336" s="774">
        <f t="shared" ref="T336:T399" si="276">DATE(IF(MONTH(T335)=12,YEAR(T335)+1,YEAR(T335)),IF(MONTH(T335)=12,1,MONTH(T335)+1),1)</f>
        <v>9832</v>
      </c>
      <c r="U336" s="775">
        <f t="shared" ref="U336:U399" si="277">Y335</f>
        <v>0</v>
      </c>
      <c r="V336" s="775">
        <f t="shared" si="262"/>
        <v>0</v>
      </c>
      <c r="W336" s="775">
        <f t="shared" si="254"/>
        <v>0</v>
      </c>
      <c r="X336" s="775">
        <f t="shared" ref="X336:X399" si="278">V336-W336</f>
        <v>0</v>
      </c>
      <c r="Y336" s="775">
        <f t="shared" ref="Y336:Y399" si="279">U336-X336</f>
        <v>0</v>
      </c>
      <c r="AA336" s="773">
        <v>324</v>
      </c>
      <c r="AB336" s="774">
        <f t="shared" ref="AB336:AB399" si="280">DATE(IF(MONTH(AB335)=12,YEAR(AB335)+1,YEAR(AB335)),IF(MONTH(AB335)=12,1,MONTH(AB335)+1),1)</f>
        <v>9832</v>
      </c>
      <c r="AC336" s="775">
        <f t="shared" ref="AC336:AC399" si="281">AG335</f>
        <v>0</v>
      </c>
      <c r="AD336" s="775">
        <f t="shared" si="263"/>
        <v>0</v>
      </c>
      <c r="AE336" s="775">
        <f t="shared" si="255"/>
        <v>0</v>
      </c>
      <c r="AF336" s="775">
        <f t="shared" ref="AF336:AF399" si="282">AD336-AE336</f>
        <v>0</v>
      </c>
      <c r="AG336" s="775">
        <f t="shared" ref="AG336:AG399" si="283">AC336-AF336</f>
        <v>0</v>
      </c>
      <c r="AI336" s="773">
        <v>324</v>
      </c>
      <c r="AJ336" s="774">
        <f t="shared" ref="AJ336:AJ399" si="284">DATE(IF(MONTH(AJ335)=12,YEAR(AJ335)+1,YEAR(AJ335)),IF(MONTH(AJ335)=12,1,MONTH(AJ335)+1),1)</f>
        <v>9832</v>
      </c>
      <c r="AK336" s="775">
        <f t="shared" ref="AK336:AK399" si="285">AO335</f>
        <v>0</v>
      </c>
      <c r="AL336" s="775">
        <f t="shared" si="264"/>
        <v>0</v>
      </c>
      <c r="AM336" s="775">
        <f t="shared" si="256"/>
        <v>0</v>
      </c>
      <c r="AN336" s="775">
        <f t="shared" ref="AN336:AN399" si="286">AL336-AM336</f>
        <v>0</v>
      </c>
      <c r="AO336" s="775">
        <f t="shared" ref="AO336:AO399" si="287">AK336-AN336</f>
        <v>0</v>
      </c>
      <c r="AQ336" s="773">
        <v>324</v>
      </c>
      <c r="AR336" s="774">
        <f t="shared" ref="AR336:AR399" si="288">DATE(IF(MONTH(AR335)=12,YEAR(AR335)+1,YEAR(AR335)),IF(MONTH(AR335)=12,1,MONTH(AR335)+1),1)</f>
        <v>9832</v>
      </c>
      <c r="AS336" s="775">
        <f t="shared" ref="AS336:AS399" si="289">AW335</f>
        <v>0</v>
      </c>
      <c r="AT336" s="775">
        <f t="shared" si="265"/>
        <v>0</v>
      </c>
      <c r="AU336" s="775">
        <f t="shared" si="257"/>
        <v>0</v>
      </c>
      <c r="AV336" s="775">
        <f t="shared" ref="AV336:AV399" si="290">AT336-AU336</f>
        <v>0</v>
      </c>
      <c r="AW336" s="775">
        <f t="shared" ref="AW336:AW399" si="291">AS336-AV336</f>
        <v>0</v>
      </c>
      <c r="AY336" s="773">
        <v>324</v>
      </c>
      <c r="AZ336" s="774">
        <f t="shared" ref="AZ336:AZ399" si="292">DATE(IF(MONTH(AZ335)=12,YEAR(AZ335)+1,YEAR(AZ335)),IF(MONTH(AZ335)=12,1,MONTH(AZ335)+1),1)</f>
        <v>9832</v>
      </c>
      <c r="BA336" s="775">
        <f t="shared" ref="BA336:BA399" si="293">BE335</f>
        <v>0</v>
      </c>
      <c r="BB336" s="775">
        <f t="shared" si="266"/>
        <v>0</v>
      </c>
      <c r="BC336" s="775">
        <f t="shared" si="258"/>
        <v>0</v>
      </c>
      <c r="BD336" s="775">
        <f t="shared" ref="BD336:BD399" si="294">BB336-BC336</f>
        <v>0</v>
      </c>
      <c r="BE336" s="775">
        <f t="shared" ref="BE336:BE399" si="295">BA336-BD336</f>
        <v>0</v>
      </c>
      <c r="BG336" s="773">
        <v>324</v>
      </c>
      <c r="BH336" s="774">
        <f t="shared" ref="BH336:BH399" si="296">DATE(IF(MONTH(BH335)=12,YEAR(BH335)+1,YEAR(BH335)),IF(MONTH(BH335)=12,1,MONTH(BH335)+1),1)</f>
        <v>9832</v>
      </c>
      <c r="BI336" s="775">
        <f t="shared" ref="BI336:BI399" si="297">BM335</f>
        <v>0</v>
      </c>
      <c r="BJ336" s="775">
        <f t="shared" si="267"/>
        <v>0</v>
      </c>
      <c r="BK336" s="775">
        <f t="shared" si="259"/>
        <v>0</v>
      </c>
      <c r="BL336" s="775">
        <f t="shared" ref="BL336:BL399" si="298">BJ336-BK336</f>
        <v>0</v>
      </c>
      <c r="BM336" s="775">
        <f t="shared" ref="BM336:BM399" si="299">BI336-BL336</f>
        <v>0</v>
      </c>
    </row>
    <row r="337" spans="1:65">
      <c r="A337" s="11">
        <f t="shared" si="252"/>
        <v>1927</v>
      </c>
      <c r="B337" s="773">
        <v>325</v>
      </c>
      <c r="C337" s="774">
        <f t="shared" si="268"/>
        <v>9863</v>
      </c>
      <c r="D337" s="775">
        <f t="shared" si="269"/>
        <v>0</v>
      </c>
      <c r="E337" s="775">
        <f t="shared" si="260"/>
        <v>0</v>
      </c>
      <c r="F337" s="775">
        <f t="shared" si="250"/>
        <v>0</v>
      </c>
      <c r="G337" s="775">
        <f t="shared" si="270"/>
        <v>0</v>
      </c>
      <c r="H337" s="775">
        <f t="shared" si="271"/>
        <v>0</v>
      </c>
      <c r="I337" s="775">
        <f t="shared" si="251"/>
        <v>0</v>
      </c>
      <c r="K337" s="773">
        <v>325</v>
      </c>
      <c r="L337" s="774">
        <f t="shared" si="272"/>
        <v>9863</v>
      </c>
      <c r="M337" s="775">
        <f t="shared" si="273"/>
        <v>0</v>
      </c>
      <c r="N337" s="775">
        <f t="shared" si="261"/>
        <v>0</v>
      </c>
      <c r="O337" s="775">
        <f t="shared" si="253"/>
        <v>0</v>
      </c>
      <c r="P337" s="775">
        <f t="shared" si="274"/>
        <v>0</v>
      </c>
      <c r="Q337" s="775">
        <f t="shared" si="275"/>
        <v>0</v>
      </c>
      <c r="S337" s="773">
        <v>325</v>
      </c>
      <c r="T337" s="774">
        <f t="shared" si="276"/>
        <v>9863</v>
      </c>
      <c r="U337" s="775">
        <f t="shared" si="277"/>
        <v>0</v>
      </c>
      <c r="V337" s="775">
        <f t="shared" si="262"/>
        <v>0</v>
      </c>
      <c r="W337" s="775">
        <f t="shared" si="254"/>
        <v>0</v>
      </c>
      <c r="X337" s="775">
        <f t="shared" si="278"/>
        <v>0</v>
      </c>
      <c r="Y337" s="775">
        <f t="shared" si="279"/>
        <v>0</v>
      </c>
      <c r="AA337" s="773">
        <v>325</v>
      </c>
      <c r="AB337" s="774">
        <f t="shared" si="280"/>
        <v>9863</v>
      </c>
      <c r="AC337" s="775">
        <f t="shared" si="281"/>
        <v>0</v>
      </c>
      <c r="AD337" s="775">
        <f t="shared" si="263"/>
        <v>0</v>
      </c>
      <c r="AE337" s="775">
        <f t="shared" si="255"/>
        <v>0</v>
      </c>
      <c r="AF337" s="775">
        <f t="shared" si="282"/>
        <v>0</v>
      </c>
      <c r="AG337" s="775">
        <f t="shared" si="283"/>
        <v>0</v>
      </c>
      <c r="AI337" s="773">
        <v>325</v>
      </c>
      <c r="AJ337" s="774">
        <f t="shared" si="284"/>
        <v>9863</v>
      </c>
      <c r="AK337" s="775">
        <f t="shared" si="285"/>
        <v>0</v>
      </c>
      <c r="AL337" s="775">
        <f t="shared" si="264"/>
        <v>0</v>
      </c>
      <c r="AM337" s="775">
        <f t="shared" si="256"/>
        <v>0</v>
      </c>
      <c r="AN337" s="775">
        <f t="shared" si="286"/>
        <v>0</v>
      </c>
      <c r="AO337" s="775">
        <f t="shared" si="287"/>
        <v>0</v>
      </c>
      <c r="AQ337" s="773">
        <v>325</v>
      </c>
      <c r="AR337" s="774">
        <f t="shared" si="288"/>
        <v>9863</v>
      </c>
      <c r="AS337" s="775">
        <f t="shared" si="289"/>
        <v>0</v>
      </c>
      <c r="AT337" s="775">
        <f t="shared" si="265"/>
        <v>0</v>
      </c>
      <c r="AU337" s="775">
        <f t="shared" si="257"/>
        <v>0</v>
      </c>
      <c r="AV337" s="775">
        <f t="shared" si="290"/>
        <v>0</v>
      </c>
      <c r="AW337" s="775">
        <f t="shared" si="291"/>
        <v>0</v>
      </c>
      <c r="AY337" s="773">
        <v>325</v>
      </c>
      <c r="AZ337" s="774">
        <f t="shared" si="292"/>
        <v>9863</v>
      </c>
      <c r="BA337" s="775">
        <f t="shared" si="293"/>
        <v>0</v>
      </c>
      <c r="BB337" s="775">
        <f t="shared" si="266"/>
        <v>0</v>
      </c>
      <c r="BC337" s="775">
        <f t="shared" si="258"/>
        <v>0</v>
      </c>
      <c r="BD337" s="775">
        <f t="shared" si="294"/>
        <v>0</v>
      </c>
      <c r="BE337" s="775">
        <f t="shared" si="295"/>
        <v>0</v>
      </c>
      <c r="BG337" s="773">
        <v>325</v>
      </c>
      <c r="BH337" s="774">
        <f t="shared" si="296"/>
        <v>9863</v>
      </c>
      <c r="BI337" s="775">
        <f t="shared" si="297"/>
        <v>0</v>
      </c>
      <c r="BJ337" s="775">
        <f t="shared" si="267"/>
        <v>0</v>
      </c>
      <c r="BK337" s="775">
        <f t="shared" si="259"/>
        <v>0</v>
      </c>
      <c r="BL337" s="775">
        <f t="shared" si="298"/>
        <v>0</v>
      </c>
      <c r="BM337" s="775">
        <f t="shared" si="299"/>
        <v>0</v>
      </c>
    </row>
    <row r="338" spans="1:65">
      <c r="A338" s="11">
        <f t="shared" si="252"/>
        <v>1927</v>
      </c>
      <c r="B338" s="773">
        <v>326</v>
      </c>
      <c r="C338" s="774">
        <f t="shared" si="268"/>
        <v>9894</v>
      </c>
      <c r="D338" s="775">
        <f t="shared" si="269"/>
        <v>0</v>
      </c>
      <c r="E338" s="775">
        <f t="shared" si="260"/>
        <v>0</v>
      </c>
      <c r="F338" s="775">
        <f t="shared" si="250"/>
        <v>0</v>
      </c>
      <c r="G338" s="775">
        <f t="shared" si="270"/>
        <v>0</v>
      </c>
      <c r="H338" s="775">
        <f t="shared" si="271"/>
        <v>0</v>
      </c>
      <c r="I338" s="775">
        <f t="shared" si="251"/>
        <v>0</v>
      </c>
      <c r="K338" s="773">
        <v>326</v>
      </c>
      <c r="L338" s="774">
        <f t="shared" si="272"/>
        <v>9894</v>
      </c>
      <c r="M338" s="775">
        <f t="shared" si="273"/>
        <v>0</v>
      </c>
      <c r="N338" s="775">
        <f t="shared" si="261"/>
        <v>0</v>
      </c>
      <c r="O338" s="775">
        <f t="shared" si="253"/>
        <v>0</v>
      </c>
      <c r="P338" s="775">
        <f t="shared" si="274"/>
        <v>0</v>
      </c>
      <c r="Q338" s="775">
        <f t="shared" si="275"/>
        <v>0</v>
      </c>
      <c r="S338" s="773">
        <v>326</v>
      </c>
      <c r="T338" s="774">
        <f t="shared" si="276"/>
        <v>9894</v>
      </c>
      <c r="U338" s="775">
        <f t="shared" si="277"/>
        <v>0</v>
      </c>
      <c r="V338" s="775">
        <f t="shared" si="262"/>
        <v>0</v>
      </c>
      <c r="W338" s="775">
        <f t="shared" si="254"/>
        <v>0</v>
      </c>
      <c r="X338" s="775">
        <f t="shared" si="278"/>
        <v>0</v>
      </c>
      <c r="Y338" s="775">
        <f t="shared" si="279"/>
        <v>0</v>
      </c>
      <c r="AA338" s="773">
        <v>326</v>
      </c>
      <c r="AB338" s="774">
        <f t="shared" si="280"/>
        <v>9894</v>
      </c>
      <c r="AC338" s="775">
        <f t="shared" si="281"/>
        <v>0</v>
      </c>
      <c r="AD338" s="775">
        <f t="shared" si="263"/>
        <v>0</v>
      </c>
      <c r="AE338" s="775">
        <f t="shared" si="255"/>
        <v>0</v>
      </c>
      <c r="AF338" s="775">
        <f t="shared" si="282"/>
        <v>0</v>
      </c>
      <c r="AG338" s="775">
        <f t="shared" si="283"/>
        <v>0</v>
      </c>
      <c r="AI338" s="773">
        <v>326</v>
      </c>
      <c r="AJ338" s="774">
        <f t="shared" si="284"/>
        <v>9894</v>
      </c>
      <c r="AK338" s="775">
        <f t="shared" si="285"/>
        <v>0</v>
      </c>
      <c r="AL338" s="775">
        <f t="shared" si="264"/>
        <v>0</v>
      </c>
      <c r="AM338" s="775">
        <f t="shared" si="256"/>
        <v>0</v>
      </c>
      <c r="AN338" s="775">
        <f t="shared" si="286"/>
        <v>0</v>
      </c>
      <c r="AO338" s="775">
        <f t="shared" si="287"/>
        <v>0</v>
      </c>
      <c r="AQ338" s="773">
        <v>326</v>
      </c>
      <c r="AR338" s="774">
        <f t="shared" si="288"/>
        <v>9894</v>
      </c>
      <c r="AS338" s="775">
        <f t="shared" si="289"/>
        <v>0</v>
      </c>
      <c r="AT338" s="775">
        <f t="shared" si="265"/>
        <v>0</v>
      </c>
      <c r="AU338" s="775">
        <f t="shared" si="257"/>
        <v>0</v>
      </c>
      <c r="AV338" s="775">
        <f t="shared" si="290"/>
        <v>0</v>
      </c>
      <c r="AW338" s="775">
        <f t="shared" si="291"/>
        <v>0</v>
      </c>
      <c r="AY338" s="773">
        <v>326</v>
      </c>
      <c r="AZ338" s="774">
        <f t="shared" si="292"/>
        <v>9894</v>
      </c>
      <c r="BA338" s="775">
        <f t="shared" si="293"/>
        <v>0</v>
      </c>
      <c r="BB338" s="775">
        <f t="shared" si="266"/>
        <v>0</v>
      </c>
      <c r="BC338" s="775">
        <f t="shared" si="258"/>
        <v>0</v>
      </c>
      <c r="BD338" s="775">
        <f t="shared" si="294"/>
        <v>0</v>
      </c>
      <c r="BE338" s="775">
        <f t="shared" si="295"/>
        <v>0</v>
      </c>
      <c r="BG338" s="773">
        <v>326</v>
      </c>
      <c r="BH338" s="774">
        <f t="shared" si="296"/>
        <v>9894</v>
      </c>
      <c r="BI338" s="775">
        <f t="shared" si="297"/>
        <v>0</v>
      </c>
      <c r="BJ338" s="775">
        <f t="shared" si="267"/>
        <v>0</v>
      </c>
      <c r="BK338" s="775">
        <f t="shared" si="259"/>
        <v>0</v>
      </c>
      <c r="BL338" s="775">
        <f t="shared" si="298"/>
        <v>0</v>
      </c>
      <c r="BM338" s="775">
        <f t="shared" si="299"/>
        <v>0</v>
      </c>
    </row>
    <row r="339" spans="1:65">
      <c r="A339" s="11">
        <f t="shared" si="252"/>
        <v>1927</v>
      </c>
      <c r="B339" s="773">
        <v>327</v>
      </c>
      <c r="C339" s="774">
        <f t="shared" si="268"/>
        <v>9922</v>
      </c>
      <c r="D339" s="775">
        <f t="shared" si="269"/>
        <v>0</v>
      </c>
      <c r="E339" s="775">
        <f t="shared" si="260"/>
        <v>0</v>
      </c>
      <c r="F339" s="775">
        <f t="shared" si="250"/>
        <v>0</v>
      </c>
      <c r="G339" s="775">
        <f t="shared" si="270"/>
        <v>0</v>
      </c>
      <c r="H339" s="775">
        <f t="shared" si="271"/>
        <v>0</v>
      </c>
      <c r="I339" s="775">
        <f t="shared" si="251"/>
        <v>0</v>
      </c>
      <c r="K339" s="773">
        <v>327</v>
      </c>
      <c r="L339" s="774">
        <f t="shared" si="272"/>
        <v>9922</v>
      </c>
      <c r="M339" s="775">
        <f t="shared" si="273"/>
        <v>0</v>
      </c>
      <c r="N339" s="775">
        <f t="shared" si="261"/>
        <v>0</v>
      </c>
      <c r="O339" s="775">
        <f t="shared" si="253"/>
        <v>0</v>
      </c>
      <c r="P339" s="775">
        <f t="shared" si="274"/>
        <v>0</v>
      </c>
      <c r="Q339" s="775">
        <f t="shared" si="275"/>
        <v>0</v>
      </c>
      <c r="S339" s="773">
        <v>327</v>
      </c>
      <c r="T339" s="774">
        <f t="shared" si="276"/>
        <v>9922</v>
      </c>
      <c r="U339" s="775">
        <f t="shared" si="277"/>
        <v>0</v>
      </c>
      <c r="V339" s="775">
        <f t="shared" si="262"/>
        <v>0</v>
      </c>
      <c r="W339" s="775">
        <f t="shared" si="254"/>
        <v>0</v>
      </c>
      <c r="X339" s="775">
        <f t="shared" si="278"/>
        <v>0</v>
      </c>
      <c r="Y339" s="775">
        <f t="shared" si="279"/>
        <v>0</v>
      </c>
      <c r="AA339" s="773">
        <v>327</v>
      </c>
      <c r="AB339" s="774">
        <f t="shared" si="280"/>
        <v>9922</v>
      </c>
      <c r="AC339" s="775">
        <f t="shared" si="281"/>
        <v>0</v>
      </c>
      <c r="AD339" s="775">
        <f t="shared" si="263"/>
        <v>0</v>
      </c>
      <c r="AE339" s="775">
        <f t="shared" si="255"/>
        <v>0</v>
      </c>
      <c r="AF339" s="775">
        <f t="shared" si="282"/>
        <v>0</v>
      </c>
      <c r="AG339" s="775">
        <f t="shared" si="283"/>
        <v>0</v>
      </c>
      <c r="AI339" s="773">
        <v>327</v>
      </c>
      <c r="AJ339" s="774">
        <f t="shared" si="284"/>
        <v>9922</v>
      </c>
      <c r="AK339" s="775">
        <f t="shared" si="285"/>
        <v>0</v>
      </c>
      <c r="AL339" s="775">
        <f t="shared" si="264"/>
        <v>0</v>
      </c>
      <c r="AM339" s="775">
        <f t="shared" si="256"/>
        <v>0</v>
      </c>
      <c r="AN339" s="775">
        <f t="shared" si="286"/>
        <v>0</v>
      </c>
      <c r="AO339" s="775">
        <f t="shared" si="287"/>
        <v>0</v>
      </c>
      <c r="AQ339" s="773">
        <v>327</v>
      </c>
      <c r="AR339" s="774">
        <f t="shared" si="288"/>
        <v>9922</v>
      </c>
      <c r="AS339" s="775">
        <f t="shared" si="289"/>
        <v>0</v>
      </c>
      <c r="AT339" s="775">
        <f t="shared" si="265"/>
        <v>0</v>
      </c>
      <c r="AU339" s="775">
        <f t="shared" si="257"/>
        <v>0</v>
      </c>
      <c r="AV339" s="775">
        <f t="shared" si="290"/>
        <v>0</v>
      </c>
      <c r="AW339" s="775">
        <f t="shared" si="291"/>
        <v>0</v>
      </c>
      <c r="AY339" s="773">
        <v>327</v>
      </c>
      <c r="AZ339" s="774">
        <f t="shared" si="292"/>
        <v>9922</v>
      </c>
      <c r="BA339" s="775">
        <f t="shared" si="293"/>
        <v>0</v>
      </c>
      <c r="BB339" s="775">
        <f t="shared" si="266"/>
        <v>0</v>
      </c>
      <c r="BC339" s="775">
        <f t="shared" si="258"/>
        <v>0</v>
      </c>
      <c r="BD339" s="775">
        <f t="shared" si="294"/>
        <v>0</v>
      </c>
      <c r="BE339" s="775">
        <f t="shared" si="295"/>
        <v>0</v>
      </c>
      <c r="BG339" s="773">
        <v>327</v>
      </c>
      <c r="BH339" s="774">
        <f t="shared" si="296"/>
        <v>9922</v>
      </c>
      <c r="BI339" s="775">
        <f t="shared" si="297"/>
        <v>0</v>
      </c>
      <c r="BJ339" s="775">
        <f t="shared" si="267"/>
        <v>0</v>
      </c>
      <c r="BK339" s="775">
        <f t="shared" si="259"/>
        <v>0</v>
      </c>
      <c r="BL339" s="775">
        <f t="shared" si="298"/>
        <v>0</v>
      </c>
      <c r="BM339" s="775">
        <f t="shared" si="299"/>
        <v>0</v>
      </c>
    </row>
    <row r="340" spans="1:65">
      <c r="A340" s="11">
        <f t="shared" si="252"/>
        <v>1927</v>
      </c>
      <c r="B340" s="773">
        <v>328</v>
      </c>
      <c r="C340" s="774">
        <f t="shared" si="268"/>
        <v>9953</v>
      </c>
      <c r="D340" s="775">
        <f t="shared" si="269"/>
        <v>0</v>
      </c>
      <c r="E340" s="775">
        <f t="shared" si="260"/>
        <v>0</v>
      </c>
      <c r="F340" s="775">
        <f t="shared" si="250"/>
        <v>0</v>
      </c>
      <c r="G340" s="775">
        <f t="shared" si="270"/>
        <v>0</v>
      </c>
      <c r="H340" s="775">
        <f t="shared" si="271"/>
        <v>0</v>
      </c>
      <c r="I340" s="775">
        <f t="shared" si="251"/>
        <v>0</v>
      </c>
      <c r="K340" s="773">
        <v>328</v>
      </c>
      <c r="L340" s="774">
        <f t="shared" si="272"/>
        <v>9953</v>
      </c>
      <c r="M340" s="775">
        <f t="shared" si="273"/>
        <v>0</v>
      </c>
      <c r="N340" s="775">
        <f t="shared" si="261"/>
        <v>0</v>
      </c>
      <c r="O340" s="775">
        <f t="shared" si="253"/>
        <v>0</v>
      </c>
      <c r="P340" s="775">
        <f t="shared" si="274"/>
        <v>0</v>
      </c>
      <c r="Q340" s="775">
        <f t="shared" si="275"/>
        <v>0</v>
      </c>
      <c r="S340" s="773">
        <v>328</v>
      </c>
      <c r="T340" s="774">
        <f t="shared" si="276"/>
        <v>9953</v>
      </c>
      <c r="U340" s="775">
        <f t="shared" si="277"/>
        <v>0</v>
      </c>
      <c r="V340" s="775">
        <f t="shared" si="262"/>
        <v>0</v>
      </c>
      <c r="W340" s="775">
        <f t="shared" si="254"/>
        <v>0</v>
      </c>
      <c r="X340" s="775">
        <f t="shared" si="278"/>
        <v>0</v>
      </c>
      <c r="Y340" s="775">
        <f t="shared" si="279"/>
        <v>0</v>
      </c>
      <c r="AA340" s="773">
        <v>328</v>
      </c>
      <c r="AB340" s="774">
        <f t="shared" si="280"/>
        <v>9953</v>
      </c>
      <c r="AC340" s="775">
        <f t="shared" si="281"/>
        <v>0</v>
      </c>
      <c r="AD340" s="775">
        <f t="shared" si="263"/>
        <v>0</v>
      </c>
      <c r="AE340" s="775">
        <f t="shared" si="255"/>
        <v>0</v>
      </c>
      <c r="AF340" s="775">
        <f t="shared" si="282"/>
        <v>0</v>
      </c>
      <c r="AG340" s="775">
        <f t="shared" si="283"/>
        <v>0</v>
      </c>
      <c r="AI340" s="773">
        <v>328</v>
      </c>
      <c r="AJ340" s="774">
        <f t="shared" si="284"/>
        <v>9953</v>
      </c>
      <c r="AK340" s="775">
        <f t="shared" si="285"/>
        <v>0</v>
      </c>
      <c r="AL340" s="775">
        <f t="shared" si="264"/>
        <v>0</v>
      </c>
      <c r="AM340" s="775">
        <f t="shared" si="256"/>
        <v>0</v>
      </c>
      <c r="AN340" s="775">
        <f t="shared" si="286"/>
        <v>0</v>
      </c>
      <c r="AO340" s="775">
        <f t="shared" si="287"/>
        <v>0</v>
      </c>
      <c r="AQ340" s="773">
        <v>328</v>
      </c>
      <c r="AR340" s="774">
        <f t="shared" si="288"/>
        <v>9953</v>
      </c>
      <c r="AS340" s="775">
        <f t="shared" si="289"/>
        <v>0</v>
      </c>
      <c r="AT340" s="775">
        <f t="shared" si="265"/>
        <v>0</v>
      </c>
      <c r="AU340" s="775">
        <f t="shared" si="257"/>
        <v>0</v>
      </c>
      <c r="AV340" s="775">
        <f t="shared" si="290"/>
        <v>0</v>
      </c>
      <c r="AW340" s="775">
        <f t="shared" si="291"/>
        <v>0</v>
      </c>
      <c r="AY340" s="773">
        <v>328</v>
      </c>
      <c r="AZ340" s="774">
        <f t="shared" si="292"/>
        <v>9953</v>
      </c>
      <c r="BA340" s="775">
        <f t="shared" si="293"/>
        <v>0</v>
      </c>
      <c r="BB340" s="775">
        <f t="shared" si="266"/>
        <v>0</v>
      </c>
      <c r="BC340" s="775">
        <f t="shared" si="258"/>
        <v>0</v>
      </c>
      <c r="BD340" s="775">
        <f t="shared" si="294"/>
        <v>0</v>
      </c>
      <c r="BE340" s="775">
        <f t="shared" si="295"/>
        <v>0</v>
      </c>
      <c r="BG340" s="773">
        <v>328</v>
      </c>
      <c r="BH340" s="774">
        <f t="shared" si="296"/>
        <v>9953</v>
      </c>
      <c r="BI340" s="775">
        <f t="shared" si="297"/>
        <v>0</v>
      </c>
      <c r="BJ340" s="775">
        <f t="shared" si="267"/>
        <v>0</v>
      </c>
      <c r="BK340" s="775">
        <f t="shared" si="259"/>
        <v>0</v>
      </c>
      <c r="BL340" s="775">
        <f t="shared" si="298"/>
        <v>0</v>
      </c>
      <c r="BM340" s="775">
        <f t="shared" si="299"/>
        <v>0</v>
      </c>
    </row>
    <row r="341" spans="1:65">
      <c r="A341" s="11">
        <f t="shared" si="252"/>
        <v>1927</v>
      </c>
      <c r="B341" s="773">
        <v>329</v>
      </c>
      <c r="C341" s="774">
        <f t="shared" si="268"/>
        <v>9983</v>
      </c>
      <c r="D341" s="775">
        <f t="shared" si="269"/>
        <v>0</v>
      </c>
      <c r="E341" s="775">
        <f t="shared" si="260"/>
        <v>0</v>
      </c>
      <c r="F341" s="775">
        <f t="shared" si="250"/>
        <v>0</v>
      </c>
      <c r="G341" s="775">
        <f t="shared" si="270"/>
        <v>0</v>
      </c>
      <c r="H341" s="775">
        <f t="shared" si="271"/>
        <v>0</v>
      </c>
      <c r="I341" s="775">
        <f t="shared" si="251"/>
        <v>0</v>
      </c>
      <c r="K341" s="773">
        <v>329</v>
      </c>
      <c r="L341" s="774">
        <f t="shared" si="272"/>
        <v>9983</v>
      </c>
      <c r="M341" s="775">
        <f t="shared" si="273"/>
        <v>0</v>
      </c>
      <c r="N341" s="775">
        <f t="shared" si="261"/>
        <v>0</v>
      </c>
      <c r="O341" s="775">
        <f t="shared" si="253"/>
        <v>0</v>
      </c>
      <c r="P341" s="775">
        <f t="shared" si="274"/>
        <v>0</v>
      </c>
      <c r="Q341" s="775">
        <f t="shared" si="275"/>
        <v>0</v>
      </c>
      <c r="S341" s="773">
        <v>329</v>
      </c>
      <c r="T341" s="774">
        <f t="shared" si="276"/>
        <v>9983</v>
      </c>
      <c r="U341" s="775">
        <f t="shared" si="277"/>
        <v>0</v>
      </c>
      <c r="V341" s="775">
        <f t="shared" si="262"/>
        <v>0</v>
      </c>
      <c r="W341" s="775">
        <f t="shared" si="254"/>
        <v>0</v>
      </c>
      <c r="X341" s="775">
        <f t="shared" si="278"/>
        <v>0</v>
      </c>
      <c r="Y341" s="775">
        <f t="shared" si="279"/>
        <v>0</v>
      </c>
      <c r="AA341" s="773">
        <v>329</v>
      </c>
      <c r="AB341" s="774">
        <f t="shared" si="280"/>
        <v>9983</v>
      </c>
      <c r="AC341" s="775">
        <f t="shared" si="281"/>
        <v>0</v>
      </c>
      <c r="AD341" s="775">
        <f t="shared" si="263"/>
        <v>0</v>
      </c>
      <c r="AE341" s="775">
        <f t="shared" si="255"/>
        <v>0</v>
      </c>
      <c r="AF341" s="775">
        <f t="shared" si="282"/>
        <v>0</v>
      </c>
      <c r="AG341" s="775">
        <f t="shared" si="283"/>
        <v>0</v>
      </c>
      <c r="AI341" s="773">
        <v>329</v>
      </c>
      <c r="AJ341" s="774">
        <f t="shared" si="284"/>
        <v>9983</v>
      </c>
      <c r="AK341" s="775">
        <f t="shared" si="285"/>
        <v>0</v>
      </c>
      <c r="AL341" s="775">
        <f t="shared" si="264"/>
        <v>0</v>
      </c>
      <c r="AM341" s="775">
        <f t="shared" si="256"/>
        <v>0</v>
      </c>
      <c r="AN341" s="775">
        <f t="shared" si="286"/>
        <v>0</v>
      </c>
      <c r="AO341" s="775">
        <f t="shared" si="287"/>
        <v>0</v>
      </c>
      <c r="AQ341" s="773">
        <v>329</v>
      </c>
      <c r="AR341" s="774">
        <f t="shared" si="288"/>
        <v>9983</v>
      </c>
      <c r="AS341" s="775">
        <f t="shared" si="289"/>
        <v>0</v>
      </c>
      <c r="AT341" s="775">
        <f t="shared" si="265"/>
        <v>0</v>
      </c>
      <c r="AU341" s="775">
        <f t="shared" si="257"/>
        <v>0</v>
      </c>
      <c r="AV341" s="775">
        <f t="shared" si="290"/>
        <v>0</v>
      </c>
      <c r="AW341" s="775">
        <f t="shared" si="291"/>
        <v>0</v>
      </c>
      <c r="AY341" s="773">
        <v>329</v>
      </c>
      <c r="AZ341" s="774">
        <f t="shared" si="292"/>
        <v>9983</v>
      </c>
      <c r="BA341" s="775">
        <f t="shared" si="293"/>
        <v>0</v>
      </c>
      <c r="BB341" s="775">
        <f t="shared" si="266"/>
        <v>0</v>
      </c>
      <c r="BC341" s="775">
        <f t="shared" si="258"/>
        <v>0</v>
      </c>
      <c r="BD341" s="775">
        <f t="shared" si="294"/>
        <v>0</v>
      </c>
      <c r="BE341" s="775">
        <f t="shared" si="295"/>
        <v>0</v>
      </c>
      <c r="BG341" s="773">
        <v>329</v>
      </c>
      <c r="BH341" s="774">
        <f t="shared" si="296"/>
        <v>9983</v>
      </c>
      <c r="BI341" s="775">
        <f t="shared" si="297"/>
        <v>0</v>
      </c>
      <c r="BJ341" s="775">
        <f t="shared" si="267"/>
        <v>0</v>
      </c>
      <c r="BK341" s="775">
        <f t="shared" si="259"/>
        <v>0</v>
      </c>
      <c r="BL341" s="775">
        <f t="shared" si="298"/>
        <v>0</v>
      </c>
      <c r="BM341" s="775">
        <f t="shared" si="299"/>
        <v>0</v>
      </c>
    </row>
    <row r="342" spans="1:65">
      <c r="A342" s="11">
        <f t="shared" si="252"/>
        <v>1927</v>
      </c>
      <c r="B342" s="773">
        <v>330</v>
      </c>
      <c r="C342" s="774">
        <f t="shared" si="268"/>
        <v>10014</v>
      </c>
      <c r="D342" s="775">
        <f t="shared" si="269"/>
        <v>0</v>
      </c>
      <c r="E342" s="775">
        <f t="shared" si="260"/>
        <v>0</v>
      </c>
      <c r="F342" s="775">
        <f t="shared" si="250"/>
        <v>0</v>
      </c>
      <c r="G342" s="775">
        <f t="shared" si="270"/>
        <v>0</v>
      </c>
      <c r="H342" s="775">
        <f t="shared" si="271"/>
        <v>0</v>
      </c>
      <c r="I342" s="775">
        <f t="shared" si="251"/>
        <v>0</v>
      </c>
      <c r="K342" s="773">
        <v>330</v>
      </c>
      <c r="L342" s="774">
        <f t="shared" si="272"/>
        <v>10014</v>
      </c>
      <c r="M342" s="775">
        <f t="shared" si="273"/>
        <v>0</v>
      </c>
      <c r="N342" s="775">
        <f t="shared" si="261"/>
        <v>0</v>
      </c>
      <c r="O342" s="775">
        <f t="shared" si="253"/>
        <v>0</v>
      </c>
      <c r="P342" s="775">
        <f t="shared" si="274"/>
        <v>0</v>
      </c>
      <c r="Q342" s="775">
        <f t="shared" si="275"/>
        <v>0</v>
      </c>
      <c r="S342" s="773">
        <v>330</v>
      </c>
      <c r="T342" s="774">
        <f t="shared" si="276"/>
        <v>10014</v>
      </c>
      <c r="U342" s="775">
        <f t="shared" si="277"/>
        <v>0</v>
      </c>
      <c r="V342" s="775">
        <f t="shared" si="262"/>
        <v>0</v>
      </c>
      <c r="W342" s="775">
        <f t="shared" si="254"/>
        <v>0</v>
      </c>
      <c r="X342" s="775">
        <f t="shared" si="278"/>
        <v>0</v>
      </c>
      <c r="Y342" s="775">
        <f t="shared" si="279"/>
        <v>0</v>
      </c>
      <c r="AA342" s="773">
        <v>330</v>
      </c>
      <c r="AB342" s="774">
        <f t="shared" si="280"/>
        <v>10014</v>
      </c>
      <c r="AC342" s="775">
        <f t="shared" si="281"/>
        <v>0</v>
      </c>
      <c r="AD342" s="775">
        <f t="shared" si="263"/>
        <v>0</v>
      </c>
      <c r="AE342" s="775">
        <f t="shared" si="255"/>
        <v>0</v>
      </c>
      <c r="AF342" s="775">
        <f t="shared" si="282"/>
        <v>0</v>
      </c>
      <c r="AG342" s="775">
        <f t="shared" si="283"/>
        <v>0</v>
      </c>
      <c r="AI342" s="773">
        <v>330</v>
      </c>
      <c r="AJ342" s="774">
        <f t="shared" si="284"/>
        <v>10014</v>
      </c>
      <c r="AK342" s="775">
        <f t="shared" si="285"/>
        <v>0</v>
      </c>
      <c r="AL342" s="775">
        <f t="shared" si="264"/>
        <v>0</v>
      </c>
      <c r="AM342" s="775">
        <f t="shared" si="256"/>
        <v>0</v>
      </c>
      <c r="AN342" s="775">
        <f t="shared" si="286"/>
        <v>0</v>
      </c>
      <c r="AO342" s="775">
        <f t="shared" si="287"/>
        <v>0</v>
      </c>
      <c r="AQ342" s="773">
        <v>330</v>
      </c>
      <c r="AR342" s="774">
        <f t="shared" si="288"/>
        <v>10014</v>
      </c>
      <c r="AS342" s="775">
        <f t="shared" si="289"/>
        <v>0</v>
      </c>
      <c r="AT342" s="775">
        <f t="shared" si="265"/>
        <v>0</v>
      </c>
      <c r="AU342" s="775">
        <f t="shared" si="257"/>
        <v>0</v>
      </c>
      <c r="AV342" s="775">
        <f t="shared" si="290"/>
        <v>0</v>
      </c>
      <c r="AW342" s="775">
        <f t="shared" si="291"/>
        <v>0</v>
      </c>
      <c r="AY342" s="773">
        <v>330</v>
      </c>
      <c r="AZ342" s="774">
        <f t="shared" si="292"/>
        <v>10014</v>
      </c>
      <c r="BA342" s="775">
        <f t="shared" si="293"/>
        <v>0</v>
      </c>
      <c r="BB342" s="775">
        <f t="shared" si="266"/>
        <v>0</v>
      </c>
      <c r="BC342" s="775">
        <f t="shared" si="258"/>
        <v>0</v>
      </c>
      <c r="BD342" s="775">
        <f t="shared" si="294"/>
        <v>0</v>
      </c>
      <c r="BE342" s="775">
        <f t="shared" si="295"/>
        <v>0</v>
      </c>
      <c r="BG342" s="773">
        <v>330</v>
      </c>
      <c r="BH342" s="774">
        <f t="shared" si="296"/>
        <v>10014</v>
      </c>
      <c r="BI342" s="775">
        <f t="shared" si="297"/>
        <v>0</v>
      </c>
      <c r="BJ342" s="775">
        <f t="shared" si="267"/>
        <v>0</v>
      </c>
      <c r="BK342" s="775">
        <f t="shared" si="259"/>
        <v>0</v>
      </c>
      <c r="BL342" s="775">
        <f t="shared" si="298"/>
        <v>0</v>
      </c>
      <c r="BM342" s="775">
        <f t="shared" si="299"/>
        <v>0</v>
      </c>
    </row>
    <row r="343" spans="1:65">
      <c r="A343" s="11">
        <f t="shared" si="252"/>
        <v>1927</v>
      </c>
      <c r="B343" s="773">
        <v>331</v>
      </c>
      <c r="C343" s="774">
        <f t="shared" si="268"/>
        <v>10044</v>
      </c>
      <c r="D343" s="775">
        <f t="shared" si="269"/>
        <v>0</v>
      </c>
      <c r="E343" s="775">
        <f t="shared" si="260"/>
        <v>0</v>
      </c>
      <c r="F343" s="775">
        <f t="shared" si="250"/>
        <v>0</v>
      </c>
      <c r="G343" s="775">
        <f t="shared" si="270"/>
        <v>0</v>
      </c>
      <c r="H343" s="775">
        <f t="shared" si="271"/>
        <v>0</v>
      </c>
      <c r="I343" s="775">
        <f t="shared" si="251"/>
        <v>0</v>
      </c>
      <c r="K343" s="773">
        <v>331</v>
      </c>
      <c r="L343" s="774">
        <f t="shared" si="272"/>
        <v>10044</v>
      </c>
      <c r="M343" s="775">
        <f t="shared" si="273"/>
        <v>0</v>
      </c>
      <c r="N343" s="775">
        <f t="shared" si="261"/>
        <v>0</v>
      </c>
      <c r="O343" s="775">
        <f t="shared" si="253"/>
        <v>0</v>
      </c>
      <c r="P343" s="775">
        <f t="shared" si="274"/>
        <v>0</v>
      </c>
      <c r="Q343" s="775">
        <f t="shared" si="275"/>
        <v>0</v>
      </c>
      <c r="S343" s="773">
        <v>331</v>
      </c>
      <c r="T343" s="774">
        <f t="shared" si="276"/>
        <v>10044</v>
      </c>
      <c r="U343" s="775">
        <f t="shared" si="277"/>
        <v>0</v>
      </c>
      <c r="V343" s="775">
        <f t="shared" si="262"/>
        <v>0</v>
      </c>
      <c r="W343" s="775">
        <f t="shared" si="254"/>
        <v>0</v>
      </c>
      <c r="X343" s="775">
        <f t="shared" si="278"/>
        <v>0</v>
      </c>
      <c r="Y343" s="775">
        <f t="shared" si="279"/>
        <v>0</v>
      </c>
      <c r="AA343" s="773">
        <v>331</v>
      </c>
      <c r="AB343" s="774">
        <f t="shared" si="280"/>
        <v>10044</v>
      </c>
      <c r="AC343" s="775">
        <f t="shared" si="281"/>
        <v>0</v>
      </c>
      <c r="AD343" s="775">
        <f t="shared" si="263"/>
        <v>0</v>
      </c>
      <c r="AE343" s="775">
        <f t="shared" si="255"/>
        <v>0</v>
      </c>
      <c r="AF343" s="775">
        <f t="shared" si="282"/>
        <v>0</v>
      </c>
      <c r="AG343" s="775">
        <f t="shared" si="283"/>
        <v>0</v>
      </c>
      <c r="AI343" s="773">
        <v>331</v>
      </c>
      <c r="AJ343" s="774">
        <f t="shared" si="284"/>
        <v>10044</v>
      </c>
      <c r="AK343" s="775">
        <f t="shared" si="285"/>
        <v>0</v>
      </c>
      <c r="AL343" s="775">
        <f t="shared" si="264"/>
        <v>0</v>
      </c>
      <c r="AM343" s="775">
        <f t="shared" si="256"/>
        <v>0</v>
      </c>
      <c r="AN343" s="775">
        <f t="shared" si="286"/>
        <v>0</v>
      </c>
      <c r="AO343" s="775">
        <f t="shared" si="287"/>
        <v>0</v>
      </c>
      <c r="AQ343" s="773">
        <v>331</v>
      </c>
      <c r="AR343" s="774">
        <f t="shared" si="288"/>
        <v>10044</v>
      </c>
      <c r="AS343" s="775">
        <f t="shared" si="289"/>
        <v>0</v>
      </c>
      <c r="AT343" s="775">
        <f t="shared" si="265"/>
        <v>0</v>
      </c>
      <c r="AU343" s="775">
        <f t="shared" si="257"/>
        <v>0</v>
      </c>
      <c r="AV343" s="775">
        <f t="shared" si="290"/>
        <v>0</v>
      </c>
      <c r="AW343" s="775">
        <f t="shared" si="291"/>
        <v>0</v>
      </c>
      <c r="AY343" s="773">
        <v>331</v>
      </c>
      <c r="AZ343" s="774">
        <f t="shared" si="292"/>
        <v>10044</v>
      </c>
      <c r="BA343" s="775">
        <f t="shared" si="293"/>
        <v>0</v>
      </c>
      <c r="BB343" s="775">
        <f t="shared" si="266"/>
        <v>0</v>
      </c>
      <c r="BC343" s="775">
        <f t="shared" si="258"/>
        <v>0</v>
      </c>
      <c r="BD343" s="775">
        <f t="shared" si="294"/>
        <v>0</v>
      </c>
      <c r="BE343" s="775">
        <f t="shared" si="295"/>
        <v>0</v>
      </c>
      <c r="BG343" s="773">
        <v>331</v>
      </c>
      <c r="BH343" s="774">
        <f t="shared" si="296"/>
        <v>10044</v>
      </c>
      <c r="BI343" s="775">
        <f t="shared" si="297"/>
        <v>0</v>
      </c>
      <c r="BJ343" s="775">
        <f t="shared" si="267"/>
        <v>0</v>
      </c>
      <c r="BK343" s="775">
        <f t="shared" si="259"/>
        <v>0</v>
      </c>
      <c r="BL343" s="775">
        <f t="shared" si="298"/>
        <v>0</v>
      </c>
      <c r="BM343" s="775">
        <f t="shared" si="299"/>
        <v>0</v>
      </c>
    </row>
    <row r="344" spans="1:65">
      <c r="A344" s="11">
        <f t="shared" si="252"/>
        <v>1927</v>
      </c>
      <c r="B344" s="773">
        <v>332</v>
      </c>
      <c r="C344" s="774">
        <f t="shared" si="268"/>
        <v>10075</v>
      </c>
      <c r="D344" s="775">
        <f t="shared" si="269"/>
        <v>0</v>
      </c>
      <c r="E344" s="775">
        <f t="shared" si="260"/>
        <v>0</v>
      </c>
      <c r="F344" s="775">
        <f t="shared" si="250"/>
        <v>0</v>
      </c>
      <c r="G344" s="775">
        <f t="shared" si="270"/>
        <v>0</v>
      </c>
      <c r="H344" s="775">
        <f t="shared" si="271"/>
        <v>0</v>
      </c>
      <c r="I344" s="775">
        <f t="shared" si="251"/>
        <v>0</v>
      </c>
      <c r="K344" s="773">
        <v>332</v>
      </c>
      <c r="L344" s="774">
        <f t="shared" si="272"/>
        <v>10075</v>
      </c>
      <c r="M344" s="775">
        <f t="shared" si="273"/>
        <v>0</v>
      </c>
      <c r="N344" s="775">
        <f t="shared" si="261"/>
        <v>0</v>
      </c>
      <c r="O344" s="775">
        <f t="shared" si="253"/>
        <v>0</v>
      </c>
      <c r="P344" s="775">
        <f t="shared" si="274"/>
        <v>0</v>
      </c>
      <c r="Q344" s="775">
        <f t="shared" si="275"/>
        <v>0</v>
      </c>
      <c r="S344" s="773">
        <v>332</v>
      </c>
      <c r="T344" s="774">
        <f t="shared" si="276"/>
        <v>10075</v>
      </c>
      <c r="U344" s="775">
        <f t="shared" si="277"/>
        <v>0</v>
      </c>
      <c r="V344" s="775">
        <f t="shared" si="262"/>
        <v>0</v>
      </c>
      <c r="W344" s="775">
        <f t="shared" si="254"/>
        <v>0</v>
      </c>
      <c r="X344" s="775">
        <f t="shared" si="278"/>
        <v>0</v>
      </c>
      <c r="Y344" s="775">
        <f t="shared" si="279"/>
        <v>0</v>
      </c>
      <c r="AA344" s="773">
        <v>332</v>
      </c>
      <c r="AB344" s="774">
        <f t="shared" si="280"/>
        <v>10075</v>
      </c>
      <c r="AC344" s="775">
        <f t="shared" si="281"/>
        <v>0</v>
      </c>
      <c r="AD344" s="775">
        <f t="shared" si="263"/>
        <v>0</v>
      </c>
      <c r="AE344" s="775">
        <f t="shared" si="255"/>
        <v>0</v>
      </c>
      <c r="AF344" s="775">
        <f t="shared" si="282"/>
        <v>0</v>
      </c>
      <c r="AG344" s="775">
        <f t="shared" si="283"/>
        <v>0</v>
      </c>
      <c r="AI344" s="773">
        <v>332</v>
      </c>
      <c r="AJ344" s="774">
        <f t="shared" si="284"/>
        <v>10075</v>
      </c>
      <c r="AK344" s="775">
        <f t="shared" si="285"/>
        <v>0</v>
      </c>
      <c r="AL344" s="775">
        <f t="shared" si="264"/>
        <v>0</v>
      </c>
      <c r="AM344" s="775">
        <f t="shared" si="256"/>
        <v>0</v>
      </c>
      <c r="AN344" s="775">
        <f t="shared" si="286"/>
        <v>0</v>
      </c>
      <c r="AO344" s="775">
        <f t="shared" si="287"/>
        <v>0</v>
      </c>
      <c r="AQ344" s="773">
        <v>332</v>
      </c>
      <c r="AR344" s="774">
        <f t="shared" si="288"/>
        <v>10075</v>
      </c>
      <c r="AS344" s="775">
        <f t="shared" si="289"/>
        <v>0</v>
      </c>
      <c r="AT344" s="775">
        <f t="shared" si="265"/>
        <v>0</v>
      </c>
      <c r="AU344" s="775">
        <f t="shared" si="257"/>
        <v>0</v>
      </c>
      <c r="AV344" s="775">
        <f t="shared" si="290"/>
        <v>0</v>
      </c>
      <c r="AW344" s="775">
        <f t="shared" si="291"/>
        <v>0</v>
      </c>
      <c r="AY344" s="773">
        <v>332</v>
      </c>
      <c r="AZ344" s="774">
        <f t="shared" si="292"/>
        <v>10075</v>
      </c>
      <c r="BA344" s="775">
        <f t="shared" si="293"/>
        <v>0</v>
      </c>
      <c r="BB344" s="775">
        <f t="shared" si="266"/>
        <v>0</v>
      </c>
      <c r="BC344" s="775">
        <f t="shared" si="258"/>
        <v>0</v>
      </c>
      <c r="BD344" s="775">
        <f t="shared" si="294"/>
        <v>0</v>
      </c>
      <c r="BE344" s="775">
        <f t="shared" si="295"/>
        <v>0</v>
      </c>
      <c r="BG344" s="773">
        <v>332</v>
      </c>
      <c r="BH344" s="774">
        <f t="shared" si="296"/>
        <v>10075</v>
      </c>
      <c r="BI344" s="775">
        <f t="shared" si="297"/>
        <v>0</v>
      </c>
      <c r="BJ344" s="775">
        <f t="shared" si="267"/>
        <v>0</v>
      </c>
      <c r="BK344" s="775">
        <f t="shared" si="259"/>
        <v>0</v>
      </c>
      <c r="BL344" s="775">
        <f t="shared" si="298"/>
        <v>0</v>
      </c>
      <c r="BM344" s="775">
        <f t="shared" si="299"/>
        <v>0</v>
      </c>
    </row>
    <row r="345" spans="1:65">
      <c r="A345" s="11">
        <f t="shared" si="252"/>
        <v>1927</v>
      </c>
      <c r="B345" s="773">
        <v>333</v>
      </c>
      <c r="C345" s="774">
        <f t="shared" si="268"/>
        <v>10106</v>
      </c>
      <c r="D345" s="775">
        <f t="shared" si="269"/>
        <v>0</v>
      </c>
      <c r="E345" s="775">
        <f t="shared" si="260"/>
        <v>0</v>
      </c>
      <c r="F345" s="775">
        <f t="shared" si="250"/>
        <v>0</v>
      </c>
      <c r="G345" s="775">
        <f t="shared" si="270"/>
        <v>0</v>
      </c>
      <c r="H345" s="775">
        <f t="shared" si="271"/>
        <v>0</v>
      </c>
      <c r="I345" s="775">
        <f t="shared" si="251"/>
        <v>0</v>
      </c>
      <c r="K345" s="773">
        <v>333</v>
      </c>
      <c r="L345" s="774">
        <f t="shared" si="272"/>
        <v>10106</v>
      </c>
      <c r="M345" s="775">
        <f t="shared" si="273"/>
        <v>0</v>
      </c>
      <c r="N345" s="775">
        <f t="shared" si="261"/>
        <v>0</v>
      </c>
      <c r="O345" s="775">
        <f t="shared" si="253"/>
        <v>0</v>
      </c>
      <c r="P345" s="775">
        <f t="shared" si="274"/>
        <v>0</v>
      </c>
      <c r="Q345" s="775">
        <f t="shared" si="275"/>
        <v>0</v>
      </c>
      <c r="S345" s="773">
        <v>333</v>
      </c>
      <c r="T345" s="774">
        <f t="shared" si="276"/>
        <v>10106</v>
      </c>
      <c r="U345" s="775">
        <f t="shared" si="277"/>
        <v>0</v>
      </c>
      <c r="V345" s="775">
        <f t="shared" si="262"/>
        <v>0</v>
      </c>
      <c r="W345" s="775">
        <f t="shared" si="254"/>
        <v>0</v>
      </c>
      <c r="X345" s="775">
        <f t="shared" si="278"/>
        <v>0</v>
      </c>
      <c r="Y345" s="775">
        <f t="shared" si="279"/>
        <v>0</v>
      </c>
      <c r="AA345" s="773">
        <v>333</v>
      </c>
      <c r="AB345" s="774">
        <f t="shared" si="280"/>
        <v>10106</v>
      </c>
      <c r="AC345" s="775">
        <f t="shared" si="281"/>
        <v>0</v>
      </c>
      <c r="AD345" s="775">
        <f t="shared" si="263"/>
        <v>0</v>
      </c>
      <c r="AE345" s="775">
        <f t="shared" si="255"/>
        <v>0</v>
      </c>
      <c r="AF345" s="775">
        <f t="shared" si="282"/>
        <v>0</v>
      </c>
      <c r="AG345" s="775">
        <f t="shared" si="283"/>
        <v>0</v>
      </c>
      <c r="AI345" s="773">
        <v>333</v>
      </c>
      <c r="AJ345" s="774">
        <f t="shared" si="284"/>
        <v>10106</v>
      </c>
      <c r="AK345" s="775">
        <f t="shared" si="285"/>
        <v>0</v>
      </c>
      <c r="AL345" s="775">
        <f t="shared" si="264"/>
        <v>0</v>
      </c>
      <c r="AM345" s="775">
        <f t="shared" si="256"/>
        <v>0</v>
      </c>
      <c r="AN345" s="775">
        <f t="shared" si="286"/>
        <v>0</v>
      </c>
      <c r="AO345" s="775">
        <f t="shared" si="287"/>
        <v>0</v>
      </c>
      <c r="AQ345" s="773">
        <v>333</v>
      </c>
      <c r="AR345" s="774">
        <f t="shared" si="288"/>
        <v>10106</v>
      </c>
      <c r="AS345" s="775">
        <f t="shared" si="289"/>
        <v>0</v>
      </c>
      <c r="AT345" s="775">
        <f t="shared" si="265"/>
        <v>0</v>
      </c>
      <c r="AU345" s="775">
        <f t="shared" si="257"/>
        <v>0</v>
      </c>
      <c r="AV345" s="775">
        <f t="shared" si="290"/>
        <v>0</v>
      </c>
      <c r="AW345" s="775">
        <f t="shared" si="291"/>
        <v>0</v>
      </c>
      <c r="AY345" s="773">
        <v>333</v>
      </c>
      <c r="AZ345" s="774">
        <f t="shared" si="292"/>
        <v>10106</v>
      </c>
      <c r="BA345" s="775">
        <f t="shared" si="293"/>
        <v>0</v>
      </c>
      <c r="BB345" s="775">
        <f t="shared" si="266"/>
        <v>0</v>
      </c>
      <c r="BC345" s="775">
        <f t="shared" si="258"/>
        <v>0</v>
      </c>
      <c r="BD345" s="775">
        <f t="shared" si="294"/>
        <v>0</v>
      </c>
      <c r="BE345" s="775">
        <f t="shared" si="295"/>
        <v>0</v>
      </c>
      <c r="BG345" s="773">
        <v>333</v>
      </c>
      <c r="BH345" s="774">
        <f t="shared" si="296"/>
        <v>10106</v>
      </c>
      <c r="BI345" s="775">
        <f t="shared" si="297"/>
        <v>0</v>
      </c>
      <c r="BJ345" s="775">
        <f t="shared" si="267"/>
        <v>0</v>
      </c>
      <c r="BK345" s="775">
        <f t="shared" si="259"/>
        <v>0</v>
      </c>
      <c r="BL345" s="775">
        <f t="shared" si="298"/>
        <v>0</v>
      </c>
      <c r="BM345" s="775">
        <f t="shared" si="299"/>
        <v>0</v>
      </c>
    </row>
    <row r="346" spans="1:65">
      <c r="A346" s="11">
        <f t="shared" si="252"/>
        <v>1927</v>
      </c>
      <c r="B346" s="773">
        <v>334</v>
      </c>
      <c r="C346" s="774">
        <f t="shared" si="268"/>
        <v>10136</v>
      </c>
      <c r="D346" s="775">
        <f t="shared" si="269"/>
        <v>0</v>
      </c>
      <c r="E346" s="775">
        <f t="shared" si="260"/>
        <v>0</v>
      </c>
      <c r="F346" s="775">
        <f t="shared" si="250"/>
        <v>0</v>
      </c>
      <c r="G346" s="775">
        <f t="shared" si="270"/>
        <v>0</v>
      </c>
      <c r="H346" s="775">
        <f t="shared" si="271"/>
        <v>0</v>
      </c>
      <c r="I346" s="775">
        <f t="shared" si="251"/>
        <v>0</v>
      </c>
      <c r="K346" s="773">
        <v>334</v>
      </c>
      <c r="L346" s="774">
        <f t="shared" si="272"/>
        <v>10136</v>
      </c>
      <c r="M346" s="775">
        <f t="shared" si="273"/>
        <v>0</v>
      </c>
      <c r="N346" s="775">
        <f t="shared" si="261"/>
        <v>0</v>
      </c>
      <c r="O346" s="775">
        <f t="shared" si="253"/>
        <v>0</v>
      </c>
      <c r="P346" s="775">
        <f t="shared" si="274"/>
        <v>0</v>
      </c>
      <c r="Q346" s="775">
        <f t="shared" si="275"/>
        <v>0</v>
      </c>
      <c r="S346" s="773">
        <v>334</v>
      </c>
      <c r="T346" s="774">
        <f t="shared" si="276"/>
        <v>10136</v>
      </c>
      <c r="U346" s="775">
        <f t="shared" si="277"/>
        <v>0</v>
      </c>
      <c r="V346" s="775">
        <f t="shared" si="262"/>
        <v>0</v>
      </c>
      <c r="W346" s="775">
        <f t="shared" si="254"/>
        <v>0</v>
      </c>
      <c r="X346" s="775">
        <f t="shared" si="278"/>
        <v>0</v>
      </c>
      <c r="Y346" s="775">
        <f t="shared" si="279"/>
        <v>0</v>
      </c>
      <c r="AA346" s="773">
        <v>334</v>
      </c>
      <c r="AB346" s="774">
        <f t="shared" si="280"/>
        <v>10136</v>
      </c>
      <c r="AC346" s="775">
        <f t="shared" si="281"/>
        <v>0</v>
      </c>
      <c r="AD346" s="775">
        <f t="shared" si="263"/>
        <v>0</v>
      </c>
      <c r="AE346" s="775">
        <f t="shared" si="255"/>
        <v>0</v>
      </c>
      <c r="AF346" s="775">
        <f t="shared" si="282"/>
        <v>0</v>
      </c>
      <c r="AG346" s="775">
        <f t="shared" si="283"/>
        <v>0</v>
      </c>
      <c r="AI346" s="773">
        <v>334</v>
      </c>
      <c r="AJ346" s="774">
        <f t="shared" si="284"/>
        <v>10136</v>
      </c>
      <c r="AK346" s="775">
        <f t="shared" si="285"/>
        <v>0</v>
      </c>
      <c r="AL346" s="775">
        <f t="shared" si="264"/>
        <v>0</v>
      </c>
      <c r="AM346" s="775">
        <f t="shared" si="256"/>
        <v>0</v>
      </c>
      <c r="AN346" s="775">
        <f t="shared" si="286"/>
        <v>0</v>
      </c>
      <c r="AO346" s="775">
        <f t="shared" si="287"/>
        <v>0</v>
      </c>
      <c r="AQ346" s="773">
        <v>334</v>
      </c>
      <c r="AR346" s="774">
        <f t="shared" si="288"/>
        <v>10136</v>
      </c>
      <c r="AS346" s="775">
        <f t="shared" si="289"/>
        <v>0</v>
      </c>
      <c r="AT346" s="775">
        <f t="shared" si="265"/>
        <v>0</v>
      </c>
      <c r="AU346" s="775">
        <f t="shared" si="257"/>
        <v>0</v>
      </c>
      <c r="AV346" s="775">
        <f t="shared" si="290"/>
        <v>0</v>
      </c>
      <c r="AW346" s="775">
        <f t="shared" si="291"/>
        <v>0</v>
      </c>
      <c r="AY346" s="773">
        <v>334</v>
      </c>
      <c r="AZ346" s="774">
        <f t="shared" si="292"/>
        <v>10136</v>
      </c>
      <c r="BA346" s="775">
        <f t="shared" si="293"/>
        <v>0</v>
      </c>
      <c r="BB346" s="775">
        <f t="shared" si="266"/>
        <v>0</v>
      </c>
      <c r="BC346" s="775">
        <f t="shared" si="258"/>
        <v>0</v>
      </c>
      <c r="BD346" s="775">
        <f t="shared" si="294"/>
        <v>0</v>
      </c>
      <c r="BE346" s="775">
        <f t="shared" si="295"/>
        <v>0</v>
      </c>
      <c r="BG346" s="773">
        <v>334</v>
      </c>
      <c r="BH346" s="774">
        <f t="shared" si="296"/>
        <v>10136</v>
      </c>
      <c r="BI346" s="775">
        <f t="shared" si="297"/>
        <v>0</v>
      </c>
      <c r="BJ346" s="775">
        <f t="shared" si="267"/>
        <v>0</v>
      </c>
      <c r="BK346" s="775">
        <f t="shared" si="259"/>
        <v>0</v>
      </c>
      <c r="BL346" s="775">
        <f t="shared" si="298"/>
        <v>0</v>
      </c>
      <c r="BM346" s="775">
        <f t="shared" si="299"/>
        <v>0</v>
      </c>
    </row>
    <row r="347" spans="1:65">
      <c r="A347" s="11">
        <f t="shared" si="252"/>
        <v>1927</v>
      </c>
      <c r="B347" s="773">
        <v>335</v>
      </c>
      <c r="C347" s="774">
        <f t="shared" si="268"/>
        <v>10167</v>
      </c>
      <c r="D347" s="775">
        <f t="shared" si="269"/>
        <v>0</v>
      </c>
      <c r="E347" s="775">
        <f t="shared" si="260"/>
        <v>0</v>
      </c>
      <c r="F347" s="775">
        <f t="shared" si="250"/>
        <v>0</v>
      </c>
      <c r="G347" s="775">
        <f t="shared" si="270"/>
        <v>0</v>
      </c>
      <c r="H347" s="775">
        <f t="shared" si="271"/>
        <v>0</v>
      </c>
      <c r="I347" s="775">
        <f t="shared" si="251"/>
        <v>0</v>
      </c>
      <c r="K347" s="773">
        <v>335</v>
      </c>
      <c r="L347" s="774">
        <f t="shared" si="272"/>
        <v>10167</v>
      </c>
      <c r="M347" s="775">
        <f t="shared" si="273"/>
        <v>0</v>
      </c>
      <c r="N347" s="775">
        <f t="shared" si="261"/>
        <v>0</v>
      </c>
      <c r="O347" s="775">
        <f t="shared" si="253"/>
        <v>0</v>
      </c>
      <c r="P347" s="775">
        <f t="shared" si="274"/>
        <v>0</v>
      </c>
      <c r="Q347" s="775">
        <f t="shared" si="275"/>
        <v>0</v>
      </c>
      <c r="S347" s="773">
        <v>335</v>
      </c>
      <c r="T347" s="774">
        <f t="shared" si="276"/>
        <v>10167</v>
      </c>
      <c r="U347" s="775">
        <f t="shared" si="277"/>
        <v>0</v>
      </c>
      <c r="V347" s="775">
        <f t="shared" si="262"/>
        <v>0</v>
      </c>
      <c r="W347" s="775">
        <f t="shared" si="254"/>
        <v>0</v>
      </c>
      <c r="X347" s="775">
        <f t="shared" si="278"/>
        <v>0</v>
      </c>
      <c r="Y347" s="775">
        <f t="shared" si="279"/>
        <v>0</v>
      </c>
      <c r="AA347" s="773">
        <v>335</v>
      </c>
      <c r="AB347" s="774">
        <f t="shared" si="280"/>
        <v>10167</v>
      </c>
      <c r="AC347" s="775">
        <f t="shared" si="281"/>
        <v>0</v>
      </c>
      <c r="AD347" s="775">
        <f t="shared" si="263"/>
        <v>0</v>
      </c>
      <c r="AE347" s="775">
        <f t="shared" si="255"/>
        <v>0</v>
      </c>
      <c r="AF347" s="775">
        <f t="shared" si="282"/>
        <v>0</v>
      </c>
      <c r="AG347" s="775">
        <f t="shared" si="283"/>
        <v>0</v>
      </c>
      <c r="AI347" s="773">
        <v>335</v>
      </c>
      <c r="AJ347" s="774">
        <f t="shared" si="284"/>
        <v>10167</v>
      </c>
      <c r="AK347" s="775">
        <f t="shared" si="285"/>
        <v>0</v>
      </c>
      <c r="AL347" s="775">
        <f t="shared" si="264"/>
        <v>0</v>
      </c>
      <c r="AM347" s="775">
        <f t="shared" si="256"/>
        <v>0</v>
      </c>
      <c r="AN347" s="775">
        <f t="shared" si="286"/>
        <v>0</v>
      </c>
      <c r="AO347" s="775">
        <f t="shared" si="287"/>
        <v>0</v>
      </c>
      <c r="AQ347" s="773">
        <v>335</v>
      </c>
      <c r="AR347" s="774">
        <f t="shared" si="288"/>
        <v>10167</v>
      </c>
      <c r="AS347" s="775">
        <f t="shared" si="289"/>
        <v>0</v>
      </c>
      <c r="AT347" s="775">
        <f t="shared" si="265"/>
        <v>0</v>
      </c>
      <c r="AU347" s="775">
        <f t="shared" si="257"/>
        <v>0</v>
      </c>
      <c r="AV347" s="775">
        <f t="shared" si="290"/>
        <v>0</v>
      </c>
      <c r="AW347" s="775">
        <f t="shared" si="291"/>
        <v>0</v>
      </c>
      <c r="AY347" s="773">
        <v>335</v>
      </c>
      <c r="AZ347" s="774">
        <f t="shared" si="292"/>
        <v>10167</v>
      </c>
      <c r="BA347" s="775">
        <f t="shared" si="293"/>
        <v>0</v>
      </c>
      <c r="BB347" s="775">
        <f t="shared" si="266"/>
        <v>0</v>
      </c>
      <c r="BC347" s="775">
        <f t="shared" si="258"/>
        <v>0</v>
      </c>
      <c r="BD347" s="775">
        <f t="shared" si="294"/>
        <v>0</v>
      </c>
      <c r="BE347" s="775">
        <f t="shared" si="295"/>
        <v>0</v>
      </c>
      <c r="BG347" s="773">
        <v>335</v>
      </c>
      <c r="BH347" s="774">
        <f t="shared" si="296"/>
        <v>10167</v>
      </c>
      <c r="BI347" s="775">
        <f t="shared" si="297"/>
        <v>0</v>
      </c>
      <c r="BJ347" s="775">
        <f t="shared" si="267"/>
        <v>0</v>
      </c>
      <c r="BK347" s="775">
        <f t="shared" si="259"/>
        <v>0</v>
      </c>
      <c r="BL347" s="775">
        <f t="shared" si="298"/>
        <v>0</v>
      </c>
      <c r="BM347" s="775">
        <f t="shared" si="299"/>
        <v>0</v>
      </c>
    </row>
    <row r="348" spans="1:65">
      <c r="A348" s="11">
        <f t="shared" si="252"/>
        <v>1927</v>
      </c>
      <c r="B348" s="773">
        <v>336</v>
      </c>
      <c r="C348" s="774">
        <f t="shared" si="268"/>
        <v>10197</v>
      </c>
      <c r="D348" s="775">
        <f t="shared" si="269"/>
        <v>0</v>
      </c>
      <c r="E348" s="775">
        <f t="shared" si="260"/>
        <v>0</v>
      </c>
      <c r="F348" s="775">
        <f t="shared" si="250"/>
        <v>0</v>
      </c>
      <c r="G348" s="775">
        <f t="shared" si="270"/>
        <v>0</v>
      </c>
      <c r="H348" s="775">
        <f t="shared" si="271"/>
        <v>0</v>
      </c>
      <c r="I348" s="775">
        <f t="shared" si="251"/>
        <v>0</v>
      </c>
      <c r="K348" s="773">
        <v>336</v>
      </c>
      <c r="L348" s="774">
        <f t="shared" si="272"/>
        <v>10197</v>
      </c>
      <c r="M348" s="775">
        <f t="shared" si="273"/>
        <v>0</v>
      </c>
      <c r="N348" s="775">
        <f t="shared" si="261"/>
        <v>0</v>
      </c>
      <c r="O348" s="775">
        <f t="shared" si="253"/>
        <v>0</v>
      </c>
      <c r="P348" s="775">
        <f t="shared" si="274"/>
        <v>0</v>
      </c>
      <c r="Q348" s="775">
        <f t="shared" si="275"/>
        <v>0</v>
      </c>
      <c r="S348" s="773">
        <v>336</v>
      </c>
      <c r="T348" s="774">
        <f t="shared" si="276"/>
        <v>10197</v>
      </c>
      <c r="U348" s="775">
        <f t="shared" si="277"/>
        <v>0</v>
      </c>
      <c r="V348" s="775">
        <f t="shared" si="262"/>
        <v>0</v>
      </c>
      <c r="W348" s="775">
        <f t="shared" si="254"/>
        <v>0</v>
      </c>
      <c r="X348" s="775">
        <f t="shared" si="278"/>
        <v>0</v>
      </c>
      <c r="Y348" s="775">
        <f t="shared" si="279"/>
        <v>0</v>
      </c>
      <c r="AA348" s="773">
        <v>336</v>
      </c>
      <c r="AB348" s="774">
        <f t="shared" si="280"/>
        <v>10197</v>
      </c>
      <c r="AC348" s="775">
        <f t="shared" si="281"/>
        <v>0</v>
      </c>
      <c r="AD348" s="775">
        <f t="shared" si="263"/>
        <v>0</v>
      </c>
      <c r="AE348" s="775">
        <f t="shared" si="255"/>
        <v>0</v>
      </c>
      <c r="AF348" s="775">
        <f t="shared" si="282"/>
        <v>0</v>
      </c>
      <c r="AG348" s="775">
        <f t="shared" si="283"/>
        <v>0</v>
      </c>
      <c r="AI348" s="773">
        <v>336</v>
      </c>
      <c r="AJ348" s="774">
        <f t="shared" si="284"/>
        <v>10197</v>
      </c>
      <c r="AK348" s="775">
        <f t="shared" si="285"/>
        <v>0</v>
      </c>
      <c r="AL348" s="775">
        <f t="shared" si="264"/>
        <v>0</v>
      </c>
      <c r="AM348" s="775">
        <f t="shared" si="256"/>
        <v>0</v>
      </c>
      <c r="AN348" s="775">
        <f t="shared" si="286"/>
        <v>0</v>
      </c>
      <c r="AO348" s="775">
        <f t="shared" si="287"/>
        <v>0</v>
      </c>
      <c r="AQ348" s="773">
        <v>336</v>
      </c>
      <c r="AR348" s="774">
        <f t="shared" si="288"/>
        <v>10197</v>
      </c>
      <c r="AS348" s="775">
        <f t="shared" si="289"/>
        <v>0</v>
      </c>
      <c r="AT348" s="775">
        <f t="shared" si="265"/>
        <v>0</v>
      </c>
      <c r="AU348" s="775">
        <f t="shared" si="257"/>
        <v>0</v>
      </c>
      <c r="AV348" s="775">
        <f t="shared" si="290"/>
        <v>0</v>
      </c>
      <c r="AW348" s="775">
        <f t="shared" si="291"/>
        <v>0</v>
      </c>
      <c r="AY348" s="773">
        <v>336</v>
      </c>
      <c r="AZ348" s="774">
        <f t="shared" si="292"/>
        <v>10197</v>
      </c>
      <c r="BA348" s="775">
        <f t="shared" si="293"/>
        <v>0</v>
      </c>
      <c r="BB348" s="775">
        <f t="shared" si="266"/>
        <v>0</v>
      </c>
      <c r="BC348" s="775">
        <f t="shared" si="258"/>
        <v>0</v>
      </c>
      <c r="BD348" s="775">
        <f t="shared" si="294"/>
        <v>0</v>
      </c>
      <c r="BE348" s="775">
        <f t="shared" si="295"/>
        <v>0</v>
      </c>
      <c r="BG348" s="773">
        <v>336</v>
      </c>
      <c r="BH348" s="774">
        <f t="shared" si="296"/>
        <v>10197</v>
      </c>
      <c r="BI348" s="775">
        <f t="shared" si="297"/>
        <v>0</v>
      </c>
      <c r="BJ348" s="775">
        <f t="shared" si="267"/>
        <v>0</v>
      </c>
      <c r="BK348" s="775">
        <f t="shared" si="259"/>
        <v>0</v>
      </c>
      <c r="BL348" s="775">
        <f t="shared" si="298"/>
        <v>0</v>
      </c>
      <c r="BM348" s="775">
        <f t="shared" si="299"/>
        <v>0</v>
      </c>
    </row>
    <row r="349" spans="1:65">
      <c r="A349" s="11">
        <f t="shared" si="252"/>
        <v>1928</v>
      </c>
      <c r="B349" s="773">
        <v>337</v>
      </c>
      <c r="C349" s="774">
        <f t="shared" si="268"/>
        <v>10228</v>
      </c>
      <c r="D349" s="775">
        <f t="shared" si="269"/>
        <v>0</v>
      </c>
      <c r="E349" s="775">
        <f t="shared" si="260"/>
        <v>0</v>
      </c>
      <c r="F349" s="775">
        <f t="shared" si="250"/>
        <v>0</v>
      </c>
      <c r="G349" s="775">
        <f t="shared" si="270"/>
        <v>0</v>
      </c>
      <c r="H349" s="775">
        <f t="shared" si="271"/>
        <v>0</v>
      </c>
      <c r="I349" s="775">
        <f t="shared" si="251"/>
        <v>0</v>
      </c>
      <c r="K349" s="773">
        <v>337</v>
      </c>
      <c r="L349" s="774">
        <f t="shared" si="272"/>
        <v>10228</v>
      </c>
      <c r="M349" s="775">
        <f t="shared" si="273"/>
        <v>0</v>
      </c>
      <c r="N349" s="775">
        <f t="shared" si="261"/>
        <v>0</v>
      </c>
      <c r="O349" s="775">
        <f t="shared" si="253"/>
        <v>0</v>
      </c>
      <c r="P349" s="775">
        <f t="shared" si="274"/>
        <v>0</v>
      </c>
      <c r="Q349" s="775">
        <f t="shared" si="275"/>
        <v>0</v>
      </c>
      <c r="S349" s="773">
        <v>337</v>
      </c>
      <c r="T349" s="774">
        <f t="shared" si="276"/>
        <v>10228</v>
      </c>
      <c r="U349" s="775">
        <f t="shared" si="277"/>
        <v>0</v>
      </c>
      <c r="V349" s="775">
        <f t="shared" si="262"/>
        <v>0</v>
      </c>
      <c r="W349" s="775">
        <f t="shared" si="254"/>
        <v>0</v>
      </c>
      <c r="X349" s="775">
        <f t="shared" si="278"/>
        <v>0</v>
      </c>
      <c r="Y349" s="775">
        <f t="shared" si="279"/>
        <v>0</v>
      </c>
      <c r="AA349" s="773">
        <v>337</v>
      </c>
      <c r="AB349" s="774">
        <f t="shared" si="280"/>
        <v>10228</v>
      </c>
      <c r="AC349" s="775">
        <f t="shared" si="281"/>
        <v>0</v>
      </c>
      <c r="AD349" s="775">
        <f t="shared" si="263"/>
        <v>0</v>
      </c>
      <c r="AE349" s="775">
        <f t="shared" si="255"/>
        <v>0</v>
      </c>
      <c r="AF349" s="775">
        <f t="shared" si="282"/>
        <v>0</v>
      </c>
      <c r="AG349" s="775">
        <f t="shared" si="283"/>
        <v>0</v>
      </c>
      <c r="AI349" s="773">
        <v>337</v>
      </c>
      <c r="AJ349" s="774">
        <f t="shared" si="284"/>
        <v>10228</v>
      </c>
      <c r="AK349" s="775">
        <f t="shared" si="285"/>
        <v>0</v>
      </c>
      <c r="AL349" s="775">
        <f t="shared" si="264"/>
        <v>0</v>
      </c>
      <c r="AM349" s="775">
        <f t="shared" si="256"/>
        <v>0</v>
      </c>
      <c r="AN349" s="775">
        <f t="shared" si="286"/>
        <v>0</v>
      </c>
      <c r="AO349" s="775">
        <f t="shared" si="287"/>
        <v>0</v>
      </c>
      <c r="AQ349" s="773">
        <v>337</v>
      </c>
      <c r="AR349" s="774">
        <f t="shared" si="288"/>
        <v>10228</v>
      </c>
      <c r="AS349" s="775">
        <f t="shared" si="289"/>
        <v>0</v>
      </c>
      <c r="AT349" s="775">
        <f t="shared" si="265"/>
        <v>0</v>
      </c>
      <c r="AU349" s="775">
        <f t="shared" si="257"/>
        <v>0</v>
      </c>
      <c r="AV349" s="775">
        <f t="shared" si="290"/>
        <v>0</v>
      </c>
      <c r="AW349" s="775">
        <f t="shared" si="291"/>
        <v>0</v>
      </c>
      <c r="AY349" s="773">
        <v>337</v>
      </c>
      <c r="AZ349" s="774">
        <f t="shared" si="292"/>
        <v>10228</v>
      </c>
      <c r="BA349" s="775">
        <f t="shared" si="293"/>
        <v>0</v>
      </c>
      <c r="BB349" s="775">
        <f t="shared" si="266"/>
        <v>0</v>
      </c>
      <c r="BC349" s="775">
        <f t="shared" si="258"/>
        <v>0</v>
      </c>
      <c r="BD349" s="775">
        <f t="shared" si="294"/>
        <v>0</v>
      </c>
      <c r="BE349" s="775">
        <f t="shared" si="295"/>
        <v>0</v>
      </c>
      <c r="BG349" s="773">
        <v>337</v>
      </c>
      <c r="BH349" s="774">
        <f t="shared" si="296"/>
        <v>10228</v>
      </c>
      <c r="BI349" s="775">
        <f t="shared" si="297"/>
        <v>0</v>
      </c>
      <c r="BJ349" s="775">
        <f t="shared" si="267"/>
        <v>0</v>
      </c>
      <c r="BK349" s="775">
        <f t="shared" si="259"/>
        <v>0</v>
      </c>
      <c r="BL349" s="775">
        <f t="shared" si="298"/>
        <v>0</v>
      </c>
      <c r="BM349" s="775">
        <f t="shared" si="299"/>
        <v>0</v>
      </c>
    </row>
    <row r="350" spans="1:65">
      <c r="A350" s="11">
        <f t="shared" si="252"/>
        <v>1928</v>
      </c>
      <c r="B350" s="773">
        <v>338</v>
      </c>
      <c r="C350" s="774">
        <f t="shared" si="268"/>
        <v>10259</v>
      </c>
      <c r="D350" s="775">
        <f t="shared" si="269"/>
        <v>0</v>
      </c>
      <c r="E350" s="775">
        <f t="shared" si="260"/>
        <v>0</v>
      </c>
      <c r="F350" s="775">
        <f t="shared" si="250"/>
        <v>0</v>
      </c>
      <c r="G350" s="775">
        <f t="shared" si="270"/>
        <v>0</v>
      </c>
      <c r="H350" s="775">
        <f t="shared" si="271"/>
        <v>0</v>
      </c>
      <c r="I350" s="775">
        <f t="shared" si="251"/>
        <v>0</v>
      </c>
      <c r="K350" s="773">
        <v>338</v>
      </c>
      <c r="L350" s="774">
        <f t="shared" si="272"/>
        <v>10259</v>
      </c>
      <c r="M350" s="775">
        <f t="shared" si="273"/>
        <v>0</v>
      </c>
      <c r="N350" s="775">
        <f t="shared" si="261"/>
        <v>0</v>
      </c>
      <c r="O350" s="775">
        <f t="shared" si="253"/>
        <v>0</v>
      </c>
      <c r="P350" s="775">
        <f t="shared" si="274"/>
        <v>0</v>
      </c>
      <c r="Q350" s="775">
        <f t="shared" si="275"/>
        <v>0</v>
      </c>
      <c r="S350" s="773">
        <v>338</v>
      </c>
      <c r="T350" s="774">
        <f t="shared" si="276"/>
        <v>10259</v>
      </c>
      <c r="U350" s="775">
        <f t="shared" si="277"/>
        <v>0</v>
      </c>
      <c r="V350" s="775">
        <f t="shared" si="262"/>
        <v>0</v>
      </c>
      <c r="W350" s="775">
        <f t="shared" si="254"/>
        <v>0</v>
      </c>
      <c r="X350" s="775">
        <f t="shared" si="278"/>
        <v>0</v>
      </c>
      <c r="Y350" s="775">
        <f t="shared" si="279"/>
        <v>0</v>
      </c>
      <c r="AA350" s="773">
        <v>338</v>
      </c>
      <c r="AB350" s="774">
        <f t="shared" si="280"/>
        <v>10259</v>
      </c>
      <c r="AC350" s="775">
        <f t="shared" si="281"/>
        <v>0</v>
      </c>
      <c r="AD350" s="775">
        <f t="shared" si="263"/>
        <v>0</v>
      </c>
      <c r="AE350" s="775">
        <f t="shared" si="255"/>
        <v>0</v>
      </c>
      <c r="AF350" s="775">
        <f t="shared" si="282"/>
        <v>0</v>
      </c>
      <c r="AG350" s="775">
        <f t="shared" si="283"/>
        <v>0</v>
      </c>
      <c r="AI350" s="773">
        <v>338</v>
      </c>
      <c r="AJ350" s="774">
        <f t="shared" si="284"/>
        <v>10259</v>
      </c>
      <c r="AK350" s="775">
        <f t="shared" si="285"/>
        <v>0</v>
      </c>
      <c r="AL350" s="775">
        <f t="shared" si="264"/>
        <v>0</v>
      </c>
      <c r="AM350" s="775">
        <f t="shared" si="256"/>
        <v>0</v>
      </c>
      <c r="AN350" s="775">
        <f t="shared" si="286"/>
        <v>0</v>
      </c>
      <c r="AO350" s="775">
        <f t="shared" si="287"/>
        <v>0</v>
      </c>
      <c r="AQ350" s="773">
        <v>338</v>
      </c>
      <c r="AR350" s="774">
        <f t="shared" si="288"/>
        <v>10259</v>
      </c>
      <c r="AS350" s="775">
        <f t="shared" si="289"/>
        <v>0</v>
      </c>
      <c r="AT350" s="775">
        <f t="shared" si="265"/>
        <v>0</v>
      </c>
      <c r="AU350" s="775">
        <f t="shared" si="257"/>
        <v>0</v>
      </c>
      <c r="AV350" s="775">
        <f t="shared" si="290"/>
        <v>0</v>
      </c>
      <c r="AW350" s="775">
        <f t="shared" si="291"/>
        <v>0</v>
      </c>
      <c r="AY350" s="773">
        <v>338</v>
      </c>
      <c r="AZ350" s="774">
        <f t="shared" si="292"/>
        <v>10259</v>
      </c>
      <c r="BA350" s="775">
        <f t="shared" si="293"/>
        <v>0</v>
      </c>
      <c r="BB350" s="775">
        <f t="shared" si="266"/>
        <v>0</v>
      </c>
      <c r="BC350" s="775">
        <f t="shared" si="258"/>
        <v>0</v>
      </c>
      <c r="BD350" s="775">
        <f t="shared" si="294"/>
        <v>0</v>
      </c>
      <c r="BE350" s="775">
        <f t="shared" si="295"/>
        <v>0</v>
      </c>
      <c r="BG350" s="773">
        <v>338</v>
      </c>
      <c r="BH350" s="774">
        <f t="shared" si="296"/>
        <v>10259</v>
      </c>
      <c r="BI350" s="775">
        <f t="shared" si="297"/>
        <v>0</v>
      </c>
      <c r="BJ350" s="775">
        <f t="shared" si="267"/>
        <v>0</v>
      </c>
      <c r="BK350" s="775">
        <f t="shared" si="259"/>
        <v>0</v>
      </c>
      <c r="BL350" s="775">
        <f t="shared" si="298"/>
        <v>0</v>
      </c>
      <c r="BM350" s="775">
        <f t="shared" si="299"/>
        <v>0</v>
      </c>
    </row>
    <row r="351" spans="1:65">
      <c r="A351" s="11">
        <f t="shared" si="252"/>
        <v>1928</v>
      </c>
      <c r="B351" s="773">
        <v>339</v>
      </c>
      <c r="C351" s="774">
        <f t="shared" si="268"/>
        <v>10288</v>
      </c>
      <c r="D351" s="775">
        <f t="shared" si="269"/>
        <v>0</v>
      </c>
      <c r="E351" s="775">
        <f t="shared" si="260"/>
        <v>0</v>
      </c>
      <c r="F351" s="775">
        <f t="shared" si="250"/>
        <v>0</v>
      </c>
      <c r="G351" s="775">
        <f t="shared" si="270"/>
        <v>0</v>
      </c>
      <c r="H351" s="775">
        <f t="shared" si="271"/>
        <v>0</v>
      </c>
      <c r="I351" s="775">
        <f t="shared" si="251"/>
        <v>0</v>
      </c>
      <c r="K351" s="773">
        <v>339</v>
      </c>
      <c r="L351" s="774">
        <f t="shared" si="272"/>
        <v>10288</v>
      </c>
      <c r="M351" s="775">
        <f t="shared" si="273"/>
        <v>0</v>
      </c>
      <c r="N351" s="775">
        <f t="shared" si="261"/>
        <v>0</v>
      </c>
      <c r="O351" s="775">
        <f t="shared" si="253"/>
        <v>0</v>
      </c>
      <c r="P351" s="775">
        <f t="shared" si="274"/>
        <v>0</v>
      </c>
      <c r="Q351" s="775">
        <f t="shared" si="275"/>
        <v>0</v>
      </c>
      <c r="S351" s="773">
        <v>339</v>
      </c>
      <c r="T351" s="774">
        <f t="shared" si="276"/>
        <v>10288</v>
      </c>
      <c r="U351" s="775">
        <f t="shared" si="277"/>
        <v>0</v>
      </c>
      <c r="V351" s="775">
        <f t="shared" si="262"/>
        <v>0</v>
      </c>
      <c r="W351" s="775">
        <f t="shared" si="254"/>
        <v>0</v>
      </c>
      <c r="X351" s="775">
        <f t="shared" si="278"/>
        <v>0</v>
      </c>
      <c r="Y351" s="775">
        <f t="shared" si="279"/>
        <v>0</v>
      </c>
      <c r="AA351" s="773">
        <v>339</v>
      </c>
      <c r="AB351" s="774">
        <f t="shared" si="280"/>
        <v>10288</v>
      </c>
      <c r="AC351" s="775">
        <f t="shared" si="281"/>
        <v>0</v>
      </c>
      <c r="AD351" s="775">
        <f t="shared" si="263"/>
        <v>0</v>
      </c>
      <c r="AE351" s="775">
        <f t="shared" si="255"/>
        <v>0</v>
      </c>
      <c r="AF351" s="775">
        <f t="shared" si="282"/>
        <v>0</v>
      </c>
      <c r="AG351" s="775">
        <f t="shared" si="283"/>
        <v>0</v>
      </c>
      <c r="AI351" s="773">
        <v>339</v>
      </c>
      <c r="AJ351" s="774">
        <f t="shared" si="284"/>
        <v>10288</v>
      </c>
      <c r="AK351" s="775">
        <f t="shared" si="285"/>
        <v>0</v>
      </c>
      <c r="AL351" s="775">
        <f t="shared" si="264"/>
        <v>0</v>
      </c>
      <c r="AM351" s="775">
        <f t="shared" si="256"/>
        <v>0</v>
      </c>
      <c r="AN351" s="775">
        <f t="shared" si="286"/>
        <v>0</v>
      </c>
      <c r="AO351" s="775">
        <f t="shared" si="287"/>
        <v>0</v>
      </c>
      <c r="AQ351" s="773">
        <v>339</v>
      </c>
      <c r="AR351" s="774">
        <f t="shared" si="288"/>
        <v>10288</v>
      </c>
      <c r="AS351" s="775">
        <f t="shared" si="289"/>
        <v>0</v>
      </c>
      <c r="AT351" s="775">
        <f t="shared" si="265"/>
        <v>0</v>
      </c>
      <c r="AU351" s="775">
        <f t="shared" si="257"/>
        <v>0</v>
      </c>
      <c r="AV351" s="775">
        <f t="shared" si="290"/>
        <v>0</v>
      </c>
      <c r="AW351" s="775">
        <f t="shared" si="291"/>
        <v>0</v>
      </c>
      <c r="AY351" s="773">
        <v>339</v>
      </c>
      <c r="AZ351" s="774">
        <f t="shared" si="292"/>
        <v>10288</v>
      </c>
      <c r="BA351" s="775">
        <f t="shared" si="293"/>
        <v>0</v>
      </c>
      <c r="BB351" s="775">
        <f t="shared" si="266"/>
        <v>0</v>
      </c>
      <c r="BC351" s="775">
        <f t="shared" si="258"/>
        <v>0</v>
      </c>
      <c r="BD351" s="775">
        <f t="shared" si="294"/>
        <v>0</v>
      </c>
      <c r="BE351" s="775">
        <f t="shared" si="295"/>
        <v>0</v>
      </c>
      <c r="BG351" s="773">
        <v>339</v>
      </c>
      <c r="BH351" s="774">
        <f t="shared" si="296"/>
        <v>10288</v>
      </c>
      <c r="BI351" s="775">
        <f t="shared" si="297"/>
        <v>0</v>
      </c>
      <c r="BJ351" s="775">
        <f t="shared" si="267"/>
        <v>0</v>
      </c>
      <c r="BK351" s="775">
        <f t="shared" si="259"/>
        <v>0</v>
      </c>
      <c r="BL351" s="775">
        <f t="shared" si="298"/>
        <v>0</v>
      </c>
      <c r="BM351" s="775">
        <f t="shared" si="299"/>
        <v>0</v>
      </c>
    </row>
    <row r="352" spans="1:65">
      <c r="A352" s="11">
        <f t="shared" si="252"/>
        <v>1928</v>
      </c>
      <c r="B352" s="773">
        <v>340</v>
      </c>
      <c r="C352" s="774">
        <f t="shared" si="268"/>
        <v>10319</v>
      </c>
      <c r="D352" s="775">
        <f t="shared" si="269"/>
        <v>0</v>
      </c>
      <c r="E352" s="775">
        <f t="shared" si="260"/>
        <v>0</v>
      </c>
      <c r="F352" s="775">
        <f t="shared" si="250"/>
        <v>0</v>
      </c>
      <c r="G352" s="775">
        <f t="shared" si="270"/>
        <v>0</v>
      </c>
      <c r="H352" s="775">
        <f t="shared" si="271"/>
        <v>0</v>
      </c>
      <c r="I352" s="775">
        <f t="shared" si="251"/>
        <v>0</v>
      </c>
      <c r="K352" s="773">
        <v>340</v>
      </c>
      <c r="L352" s="774">
        <f t="shared" si="272"/>
        <v>10319</v>
      </c>
      <c r="M352" s="775">
        <f t="shared" si="273"/>
        <v>0</v>
      </c>
      <c r="N352" s="775">
        <f t="shared" si="261"/>
        <v>0</v>
      </c>
      <c r="O352" s="775">
        <f t="shared" si="253"/>
        <v>0</v>
      </c>
      <c r="P352" s="775">
        <f t="shared" si="274"/>
        <v>0</v>
      </c>
      <c r="Q352" s="775">
        <f t="shared" si="275"/>
        <v>0</v>
      </c>
      <c r="S352" s="773">
        <v>340</v>
      </c>
      <c r="T352" s="774">
        <f t="shared" si="276"/>
        <v>10319</v>
      </c>
      <c r="U352" s="775">
        <f t="shared" si="277"/>
        <v>0</v>
      </c>
      <c r="V352" s="775">
        <f t="shared" si="262"/>
        <v>0</v>
      </c>
      <c r="W352" s="775">
        <f t="shared" si="254"/>
        <v>0</v>
      </c>
      <c r="X352" s="775">
        <f t="shared" si="278"/>
        <v>0</v>
      </c>
      <c r="Y352" s="775">
        <f t="shared" si="279"/>
        <v>0</v>
      </c>
      <c r="AA352" s="773">
        <v>340</v>
      </c>
      <c r="AB352" s="774">
        <f t="shared" si="280"/>
        <v>10319</v>
      </c>
      <c r="AC352" s="775">
        <f t="shared" si="281"/>
        <v>0</v>
      </c>
      <c r="AD352" s="775">
        <f t="shared" si="263"/>
        <v>0</v>
      </c>
      <c r="AE352" s="775">
        <f t="shared" si="255"/>
        <v>0</v>
      </c>
      <c r="AF352" s="775">
        <f t="shared" si="282"/>
        <v>0</v>
      </c>
      <c r="AG352" s="775">
        <f t="shared" si="283"/>
        <v>0</v>
      </c>
      <c r="AI352" s="773">
        <v>340</v>
      </c>
      <c r="AJ352" s="774">
        <f t="shared" si="284"/>
        <v>10319</v>
      </c>
      <c r="AK352" s="775">
        <f t="shared" si="285"/>
        <v>0</v>
      </c>
      <c r="AL352" s="775">
        <f t="shared" si="264"/>
        <v>0</v>
      </c>
      <c r="AM352" s="775">
        <f t="shared" si="256"/>
        <v>0</v>
      </c>
      <c r="AN352" s="775">
        <f t="shared" si="286"/>
        <v>0</v>
      </c>
      <c r="AO352" s="775">
        <f t="shared" si="287"/>
        <v>0</v>
      </c>
      <c r="AQ352" s="773">
        <v>340</v>
      </c>
      <c r="AR352" s="774">
        <f t="shared" si="288"/>
        <v>10319</v>
      </c>
      <c r="AS352" s="775">
        <f t="shared" si="289"/>
        <v>0</v>
      </c>
      <c r="AT352" s="775">
        <f t="shared" si="265"/>
        <v>0</v>
      </c>
      <c r="AU352" s="775">
        <f t="shared" si="257"/>
        <v>0</v>
      </c>
      <c r="AV352" s="775">
        <f t="shared" si="290"/>
        <v>0</v>
      </c>
      <c r="AW352" s="775">
        <f t="shared" si="291"/>
        <v>0</v>
      </c>
      <c r="AY352" s="773">
        <v>340</v>
      </c>
      <c r="AZ352" s="774">
        <f t="shared" si="292"/>
        <v>10319</v>
      </c>
      <c r="BA352" s="775">
        <f t="shared" si="293"/>
        <v>0</v>
      </c>
      <c r="BB352" s="775">
        <f t="shared" si="266"/>
        <v>0</v>
      </c>
      <c r="BC352" s="775">
        <f t="shared" si="258"/>
        <v>0</v>
      </c>
      <c r="BD352" s="775">
        <f t="shared" si="294"/>
        <v>0</v>
      </c>
      <c r="BE352" s="775">
        <f t="shared" si="295"/>
        <v>0</v>
      </c>
      <c r="BG352" s="773">
        <v>340</v>
      </c>
      <c r="BH352" s="774">
        <f t="shared" si="296"/>
        <v>10319</v>
      </c>
      <c r="BI352" s="775">
        <f t="shared" si="297"/>
        <v>0</v>
      </c>
      <c r="BJ352" s="775">
        <f t="shared" si="267"/>
        <v>0</v>
      </c>
      <c r="BK352" s="775">
        <f t="shared" si="259"/>
        <v>0</v>
      </c>
      <c r="BL352" s="775">
        <f t="shared" si="298"/>
        <v>0</v>
      </c>
      <c r="BM352" s="775">
        <f t="shared" si="299"/>
        <v>0</v>
      </c>
    </row>
    <row r="353" spans="1:65">
      <c r="A353" s="11">
        <f t="shared" si="252"/>
        <v>1928</v>
      </c>
      <c r="B353" s="773">
        <v>341</v>
      </c>
      <c r="C353" s="774">
        <f t="shared" si="268"/>
        <v>10349</v>
      </c>
      <c r="D353" s="775">
        <f t="shared" si="269"/>
        <v>0</v>
      </c>
      <c r="E353" s="775">
        <f t="shared" si="260"/>
        <v>0</v>
      </c>
      <c r="F353" s="775">
        <f t="shared" si="250"/>
        <v>0</v>
      </c>
      <c r="G353" s="775">
        <f t="shared" si="270"/>
        <v>0</v>
      </c>
      <c r="H353" s="775">
        <f t="shared" si="271"/>
        <v>0</v>
      </c>
      <c r="I353" s="775">
        <f t="shared" si="251"/>
        <v>0</v>
      </c>
      <c r="K353" s="773">
        <v>341</v>
      </c>
      <c r="L353" s="774">
        <f t="shared" si="272"/>
        <v>10349</v>
      </c>
      <c r="M353" s="775">
        <f t="shared" si="273"/>
        <v>0</v>
      </c>
      <c r="N353" s="775">
        <f t="shared" si="261"/>
        <v>0</v>
      </c>
      <c r="O353" s="775">
        <f t="shared" si="253"/>
        <v>0</v>
      </c>
      <c r="P353" s="775">
        <f t="shared" si="274"/>
        <v>0</v>
      </c>
      <c r="Q353" s="775">
        <f t="shared" si="275"/>
        <v>0</v>
      </c>
      <c r="S353" s="773">
        <v>341</v>
      </c>
      <c r="T353" s="774">
        <f t="shared" si="276"/>
        <v>10349</v>
      </c>
      <c r="U353" s="775">
        <f t="shared" si="277"/>
        <v>0</v>
      </c>
      <c r="V353" s="775">
        <f t="shared" si="262"/>
        <v>0</v>
      </c>
      <c r="W353" s="775">
        <f t="shared" si="254"/>
        <v>0</v>
      </c>
      <c r="X353" s="775">
        <f t="shared" si="278"/>
        <v>0</v>
      </c>
      <c r="Y353" s="775">
        <f t="shared" si="279"/>
        <v>0</v>
      </c>
      <c r="AA353" s="773">
        <v>341</v>
      </c>
      <c r="AB353" s="774">
        <f t="shared" si="280"/>
        <v>10349</v>
      </c>
      <c r="AC353" s="775">
        <f t="shared" si="281"/>
        <v>0</v>
      </c>
      <c r="AD353" s="775">
        <f t="shared" si="263"/>
        <v>0</v>
      </c>
      <c r="AE353" s="775">
        <f t="shared" si="255"/>
        <v>0</v>
      </c>
      <c r="AF353" s="775">
        <f t="shared" si="282"/>
        <v>0</v>
      </c>
      <c r="AG353" s="775">
        <f t="shared" si="283"/>
        <v>0</v>
      </c>
      <c r="AI353" s="773">
        <v>341</v>
      </c>
      <c r="AJ353" s="774">
        <f t="shared" si="284"/>
        <v>10349</v>
      </c>
      <c r="AK353" s="775">
        <f t="shared" si="285"/>
        <v>0</v>
      </c>
      <c r="AL353" s="775">
        <f t="shared" si="264"/>
        <v>0</v>
      </c>
      <c r="AM353" s="775">
        <f t="shared" si="256"/>
        <v>0</v>
      </c>
      <c r="AN353" s="775">
        <f t="shared" si="286"/>
        <v>0</v>
      </c>
      <c r="AO353" s="775">
        <f t="shared" si="287"/>
        <v>0</v>
      </c>
      <c r="AQ353" s="773">
        <v>341</v>
      </c>
      <c r="AR353" s="774">
        <f t="shared" si="288"/>
        <v>10349</v>
      </c>
      <c r="AS353" s="775">
        <f t="shared" si="289"/>
        <v>0</v>
      </c>
      <c r="AT353" s="775">
        <f t="shared" si="265"/>
        <v>0</v>
      </c>
      <c r="AU353" s="775">
        <f t="shared" si="257"/>
        <v>0</v>
      </c>
      <c r="AV353" s="775">
        <f t="shared" si="290"/>
        <v>0</v>
      </c>
      <c r="AW353" s="775">
        <f t="shared" si="291"/>
        <v>0</v>
      </c>
      <c r="AY353" s="773">
        <v>341</v>
      </c>
      <c r="AZ353" s="774">
        <f t="shared" si="292"/>
        <v>10349</v>
      </c>
      <c r="BA353" s="775">
        <f t="shared" si="293"/>
        <v>0</v>
      </c>
      <c r="BB353" s="775">
        <f t="shared" si="266"/>
        <v>0</v>
      </c>
      <c r="BC353" s="775">
        <f t="shared" si="258"/>
        <v>0</v>
      </c>
      <c r="BD353" s="775">
        <f t="shared" si="294"/>
        <v>0</v>
      </c>
      <c r="BE353" s="775">
        <f t="shared" si="295"/>
        <v>0</v>
      </c>
      <c r="BG353" s="773">
        <v>341</v>
      </c>
      <c r="BH353" s="774">
        <f t="shared" si="296"/>
        <v>10349</v>
      </c>
      <c r="BI353" s="775">
        <f t="shared" si="297"/>
        <v>0</v>
      </c>
      <c r="BJ353" s="775">
        <f t="shared" si="267"/>
        <v>0</v>
      </c>
      <c r="BK353" s="775">
        <f t="shared" si="259"/>
        <v>0</v>
      </c>
      <c r="BL353" s="775">
        <f t="shared" si="298"/>
        <v>0</v>
      </c>
      <c r="BM353" s="775">
        <f t="shared" si="299"/>
        <v>0</v>
      </c>
    </row>
    <row r="354" spans="1:65">
      <c r="A354" s="11">
        <f t="shared" si="252"/>
        <v>1928</v>
      </c>
      <c r="B354" s="773">
        <v>342</v>
      </c>
      <c r="C354" s="774">
        <f t="shared" si="268"/>
        <v>10380</v>
      </c>
      <c r="D354" s="775">
        <f t="shared" si="269"/>
        <v>0</v>
      </c>
      <c r="E354" s="775">
        <f t="shared" si="260"/>
        <v>0</v>
      </c>
      <c r="F354" s="775">
        <f t="shared" si="250"/>
        <v>0</v>
      </c>
      <c r="G354" s="775">
        <f t="shared" si="270"/>
        <v>0</v>
      </c>
      <c r="H354" s="775">
        <f t="shared" si="271"/>
        <v>0</v>
      </c>
      <c r="I354" s="775">
        <f t="shared" si="251"/>
        <v>0</v>
      </c>
      <c r="K354" s="773">
        <v>342</v>
      </c>
      <c r="L354" s="774">
        <f t="shared" si="272"/>
        <v>10380</v>
      </c>
      <c r="M354" s="775">
        <f t="shared" si="273"/>
        <v>0</v>
      </c>
      <c r="N354" s="775">
        <f t="shared" si="261"/>
        <v>0</v>
      </c>
      <c r="O354" s="775">
        <f t="shared" si="253"/>
        <v>0</v>
      </c>
      <c r="P354" s="775">
        <f t="shared" si="274"/>
        <v>0</v>
      </c>
      <c r="Q354" s="775">
        <f t="shared" si="275"/>
        <v>0</v>
      </c>
      <c r="S354" s="773">
        <v>342</v>
      </c>
      <c r="T354" s="774">
        <f t="shared" si="276"/>
        <v>10380</v>
      </c>
      <c r="U354" s="775">
        <f t="shared" si="277"/>
        <v>0</v>
      </c>
      <c r="V354" s="775">
        <f t="shared" si="262"/>
        <v>0</v>
      </c>
      <c r="W354" s="775">
        <f t="shared" si="254"/>
        <v>0</v>
      </c>
      <c r="X354" s="775">
        <f t="shared" si="278"/>
        <v>0</v>
      </c>
      <c r="Y354" s="775">
        <f t="shared" si="279"/>
        <v>0</v>
      </c>
      <c r="AA354" s="773">
        <v>342</v>
      </c>
      <c r="AB354" s="774">
        <f t="shared" si="280"/>
        <v>10380</v>
      </c>
      <c r="AC354" s="775">
        <f t="shared" si="281"/>
        <v>0</v>
      </c>
      <c r="AD354" s="775">
        <f t="shared" si="263"/>
        <v>0</v>
      </c>
      <c r="AE354" s="775">
        <f t="shared" si="255"/>
        <v>0</v>
      </c>
      <c r="AF354" s="775">
        <f t="shared" si="282"/>
        <v>0</v>
      </c>
      <c r="AG354" s="775">
        <f t="shared" si="283"/>
        <v>0</v>
      </c>
      <c r="AI354" s="773">
        <v>342</v>
      </c>
      <c r="AJ354" s="774">
        <f t="shared" si="284"/>
        <v>10380</v>
      </c>
      <c r="AK354" s="775">
        <f t="shared" si="285"/>
        <v>0</v>
      </c>
      <c r="AL354" s="775">
        <f t="shared" si="264"/>
        <v>0</v>
      </c>
      <c r="AM354" s="775">
        <f t="shared" si="256"/>
        <v>0</v>
      </c>
      <c r="AN354" s="775">
        <f t="shared" si="286"/>
        <v>0</v>
      </c>
      <c r="AO354" s="775">
        <f t="shared" si="287"/>
        <v>0</v>
      </c>
      <c r="AQ354" s="773">
        <v>342</v>
      </c>
      <c r="AR354" s="774">
        <f t="shared" si="288"/>
        <v>10380</v>
      </c>
      <c r="AS354" s="775">
        <f t="shared" si="289"/>
        <v>0</v>
      </c>
      <c r="AT354" s="775">
        <f t="shared" si="265"/>
        <v>0</v>
      </c>
      <c r="AU354" s="775">
        <f t="shared" si="257"/>
        <v>0</v>
      </c>
      <c r="AV354" s="775">
        <f t="shared" si="290"/>
        <v>0</v>
      </c>
      <c r="AW354" s="775">
        <f t="shared" si="291"/>
        <v>0</v>
      </c>
      <c r="AY354" s="773">
        <v>342</v>
      </c>
      <c r="AZ354" s="774">
        <f t="shared" si="292"/>
        <v>10380</v>
      </c>
      <c r="BA354" s="775">
        <f t="shared" si="293"/>
        <v>0</v>
      </c>
      <c r="BB354" s="775">
        <f t="shared" si="266"/>
        <v>0</v>
      </c>
      <c r="BC354" s="775">
        <f t="shared" si="258"/>
        <v>0</v>
      </c>
      <c r="BD354" s="775">
        <f t="shared" si="294"/>
        <v>0</v>
      </c>
      <c r="BE354" s="775">
        <f t="shared" si="295"/>
        <v>0</v>
      </c>
      <c r="BG354" s="773">
        <v>342</v>
      </c>
      <c r="BH354" s="774">
        <f t="shared" si="296"/>
        <v>10380</v>
      </c>
      <c r="BI354" s="775">
        <f t="shared" si="297"/>
        <v>0</v>
      </c>
      <c r="BJ354" s="775">
        <f t="shared" si="267"/>
        <v>0</v>
      </c>
      <c r="BK354" s="775">
        <f t="shared" si="259"/>
        <v>0</v>
      </c>
      <c r="BL354" s="775">
        <f t="shared" si="298"/>
        <v>0</v>
      </c>
      <c r="BM354" s="775">
        <f t="shared" si="299"/>
        <v>0</v>
      </c>
    </row>
    <row r="355" spans="1:65">
      <c r="A355" s="11">
        <f t="shared" si="252"/>
        <v>1928</v>
      </c>
      <c r="B355" s="773">
        <v>343</v>
      </c>
      <c r="C355" s="774">
        <f t="shared" si="268"/>
        <v>10410</v>
      </c>
      <c r="D355" s="775">
        <f t="shared" si="269"/>
        <v>0</v>
      </c>
      <c r="E355" s="775">
        <f t="shared" si="260"/>
        <v>0</v>
      </c>
      <c r="F355" s="775">
        <f t="shared" si="250"/>
        <v>0</v>
      </c>
      <c r="G355" s="775">
        <f t="shared" si="270"/>
        <v>0</v>
      </c>
      <c r="H355" s="775">
        <f t="shared" si="271"/>
        <v>0</v>
      </c>
      <c r="I355" s="775">
        <f t="shared" si="251"/>
        <v>0</v>
      </c>
      <c r="K355" s="773">
        <v>343</v>
      </c>
      <c r="L355" s="774">
        <f t="shared" si="272"/>
        <v>10410</v>
      </c>
      <c r="M355" s="775">
        <f t="shared" si="273"/>
        <v>0</v>
      </c>
      <c r="N355" s="775">
        <f t="shared" si="261"/>
        <v>0</v>
      </c>
      <c r="O355" s="775">
        <f t="shared" si="253"/>
        <v>0</v>
      </c>
      <c r="P355" s="775">
        <f t="shared" si="274"/>
        <v>0</v>
      </c>
      <c r="Q355" s="775">
        <f t="shared" si="275"/>
        <v>0</v>
      </c>
      <c r="S355" s="773">
        <v>343</v>
      </c>
      <c r="T355" s="774">
        <f t="shared" si="276"/>
        <v>10410</v>
      </c>
      <c r="U355" s="775">
        <f t="shared" si="277"/>
        <v>0</v>
      </c>
      <c r="V355" s="775">
        <f t="shared" si="262"/>
        <v>0</v>
      </c>
      <c r="W355" s="775">
        <f t="shared" si="254"/>
        <v>0</v>
      </c>
      <c r="X355" s="775">
        <f t="shared" si="278"/>
        <v>0</v>
      </c>
      <c r="Y355" s="775">
        <f t="shared" si="279"/>
        <v>0</v>
      </c>
      <c r="AA355" s="773">
        <v>343</v>
      </c>
      <c r="AB355" s="774">
        <f t="shared" si="280"/>
        <v>10410</v>
      </c>
      <c r="AC355" s="775">
        <f t="shared" si="281"/>
        <v>0</v>
      </c>
      <c r="AD355" s="775">
        <f t="shared" si="263"/>
        <v>0</v>
      </c>
      <c r="AE355" s="775">
        <f t="shared" si="255"/>
        <v>0</v>
      </c>
      <c r="AF355" s="775">
        <f t="shared" si="282"/>
        <v>0</v>
      </c>
      <c r="AG355" s="775">
        <f t="shared" si="283"/>
        <v>0</v>
      </c>
      <c r="AI355" s="773">
        <v>343</v>
      </c>
      <c r="AJ355" s="774">
        <f t="shared" si="284"/>
        <v>10410</v>
      </c>
      <c r="AK355" s="775">
        <f t="shared" si="285"/>
        <v>0</v>
      </c>
      <c r="AL355" s="775">
        <f t="shared" si="264"/>
        <v>0</v>
      </c>
      <c r="AM355" s="775">
        <f t="shared" si="256"/>
        <v>0</v>
      </c>
      <c r="AN355" s="775">
        <f t="shared" si="286"/>
        <v>0</v>
      </c>
      <c r="AO355" s="775">
        <f t="shared" si="287"/>
        <v>0</v>
      </c>
      <c r="AQ355" s="773">
        <v>343</v>
      </c>
      <c r="AR355" s="774">
        <f t="shared" si="288"/>
        <v>10410</v>
      </c>
      <c r="AS355" s="775">
        <f t="shared" si="289"/>
        <v>0</v>
      </c>
      <c r="AT355" s="775">
        <f t="shared" si="265"/>
        <v>0</v>
      </c>
      <c r="AU355" s="775">
        <f t="shared" si="257"/>
        <v>0</v>
      </c>
      <c r="AV355" s="775">
        <f t="shared" si="290"/>
        <v>0</v>
      </c>
      <c r="AW355" s="775">
        <f t="shared" si="291"/>
        <v>0</v>
      </c>
      <c r="AY355" s="773">
        <v>343</v>
      </c>
      <c r="AZ355" s="774">
        <f t="shared" si="292"/>
        <v>10410</v>
      </c>
      <c r="BA355" s="775">
        <f t="shared" si="293"/>
        <v>0</v>
      </c>
      <c r="BB355" s="775">
        <f t="shared" si="266"/>
        <v>0</v>
      </c>
      <c r="BC355" s="775">
        <f t="shared" si="258"/>
        <v>0</v>
      </c>
      <c r="BD355" s="775">
        <f t="shared" si="294"/>
        <v>0</v>
      </c>
      <c r="BE355" s="775">
        <f t="shared" si="295"/>
        <v>0</v>
      </c>
      <c r="BG355" s="773">
        <v>343</v>
      </c>
      <c r="BH355" s="774">
        <f t="shared" si="296"/>
        <v>10410</v>
      </c>
      <c r="BI355" s="775">
        <f t="shared" si="297"/>
        <v>0</v>
      </c>
      <c r="BJ355" s="775">
        <f t="shared" si="267"/>
        <v>0</v>
      </c>
      <c r="BK355" s="775">
        <f t="shared" si="259"/>
        <v>0</v>
      </c>
      <c r="BL355" s="775">
        <f t="shared" si="298"/>
        <v>0</v>
      </c>
      <c r="BM355" s="775">
        <f t="shared" si="299"/>
        <v>0</v>
      </c>
    </row>
    <row r="356" spans="1:65">
      <c r="A356" s="11">
        <f t="shared" si="252"/>
        <v>1928</v>
      </c>
      <c r="B356" s="773">
        <v>344</v>
      </c>
      <c r="C356" s="774">
        <f t="shared" si="268"/>
        <v>10441</v>
      </c>
      <c r="D356" s="775">
        <f t="shared" si="269"/>
        <v>0</v>
      </c>
      <c r="E356" s="775">
        <f t="shared" si="260"/>
        <v>0</v>
      </c>
      <c r="F356" s="775">
        <f t="shared" si="250"/>
        <v>0</v>
      </c>
      <c r="G356" s="775">
        <f t="shared" si="270"/>
        <v>0</v>
      </c>
      <c r="H356" s="775">
        <f t="shared" si="271"/>
        <v>0</v>
      </c>
      <c r="I356" s="775">
        <f t="shared" si="251"/>
        <v>0</v>
      </c>
      <c r="K356" s="773">
        <v>344</v>
      </c>
      <c r="L356" s="774">
        <f t="shared" si="272"/>
        <v>10441</v>
      </c>
      <c r="M356" s="775">
        <f t="shared" si="273"/>
        <v>0</v>
      </c>
      <c r="N356" s="775">
        <f t="shared" si="261"/>
        <v>0</v>
      </c>
      <c r="O356" s="775">
        <f t="shared" si="253"/>
        <v>0</v>
      </c>
      <c r="P356" s="775">
        <f t="shared" si="274"/>
        <v>0</v>
      </c>
      <c r="Q356" s="775">
        <f t="shared" si="275"/>
        <v>0</v>
      </c>
      <c r="S356" s="773">
        <v>344</v>
      </c>
      <c r="T356" s="774">
        <f t="shared" si="276"/>
        <v>10441</v>
      </c>
      <c r="U356" s="775">
        <f t="shared" si="277"/>
        <v>0</v>
      </c>
      <c r="V356" s="775">
        <f t="shared" si="262"/>
        <v>0</v>
      </c>
      <c r="W356" s="775">
        <f t="shared" si="254"/>
        <v>0</v>
      </c>
      <c r="X356" s="775">
        <f t="shared" si="278"/>
        <v>0</v>
      </c>
      <c r="Y356" s="775">
        <f t="shared" si="279"/>
        <v>0</v>
      </c>
      <c r="AA356" s="773">
        <v>344</v>
      </c>
      <c r="AB356" s="774">
        <f t="shared" si="280"/>
        <v>10441</v>
      </c>
      <c r="AC356" s="775">
        <f t="shared" si="281"/>
        <v>0</v>
      </c>
      <c r="AD356" s="775">
        <f t="shared" si="263"/>
        <v>0</v>
      </c>
      <c r="AE356" s="775">
        <f t="shared" si="255"/>
        <v>0</v>
      </c>
      <c r="AF356" s="775">
        <f t="shared" si="282"/>
        <v>0</v>
      </c>
      <c r="AG356" s="775">
        <f t="shared" si="283"/>
        <v>0</v>
      </c>
      <c r="AI356" s="773">
        <v>344</v>
      </c>
      <c r="AJ356" s="774">
        <f t="shared" si="284"/>
        <v>10441</v>
      </c>
      <c r="AK356" s="775">
        <f t="shared" si="285"/>
        <v>0</v>
      </c>
      <c r="AL356" s="775">
        <f t="shared" si="264"/>
        <v>0</v>
      </c>
      <c r="AM356" s="775">
        <f t="shared" si="256"/>
        <v>0</v>
      </c>
      <c r="AN356" s="775">
        <f t="shared" si="286"/>
        <v>0</v>
      </c>
      <c r="AO356" s="775">
        <f t="shared" si="287"/>
        <v>0</v>
      </c>
      <c r="AQ356" s="773">
        <v>344</v>
      </c>
      <c r="AR356" s="774">
        <f t="shared" si="288"/>
        <v>10441</v>
      </c>
      <c r="AS356" s="775">
        <f t="shared" si="289"/>
        <v>0</v>
      </c>
      <c r="AT356" s="775">
        <f t="shared" si="265"/>
        <v>0</v>
      </c>
      <c r="AU356" s="775">
        <f t="shared" si="257"/>
        <v>0</v>
      </c>
      <c r="AV356" s="775">
        <f t="shared" si="290"/>
        <v>0</v>
      </c>
      <c r="AW356" s="775">
        <f t="shared" si="291"/>
        <v>0</v>
      </c>
      <c r="AY356" s="773">
        <v>344</v>
      </c>
      <c r="AZ356" s="774">
        <f t="shared" si="292"/>
        <v>10441</v>
      </c>
      <c r="BA356" s="775">
        <f t="shared" si="293"/>
        <v>0</v>
      </c>
      <c r="BB356" s="775">
        <f t="shared" si="266"/>
        <v>0</v>
      </c>
      <c r="BC356" s="775">
        <f t="shared" si="258"/>
        <v>0</v>
      </c>
      <c r="BD356" s="775">
        <f t="shared" si="294"/>
        <v>0</v>
      </c>
      <c r="BE356" s="775">
        <f t="shared" si="295"/>
        <v>0</v>
      </c>
      <c r="BG356" s="773">
        <v>344</v>
      </c>
      <c r="BH356" s="774">
        <f t="shared" si="296"/>
        <v>10441</v>
      </c>
      <c r="BI356" s="775">
        <f t="shared" si="297"/>
        <v>0</v>
      </c>
      <c r="BJ356" s="775">
        <f t="shared" si="267"/>
        <v>0</v>
      </c>
      <c r="BK356" s="775">
        <f t="shared" si="259"/>
        <v>0</v>
      </c>
      <c r="BL356" s="775">
        <f t="shared" si="298"/>
        <v>0</v>
      </c>
      <c r="BM356" s="775">
        <f t="shared" si="299"/>
        <v>0</v>
      </c>
    </row>
    <row r="357" spans="1:65">
      <c r="A357" s="11">
        <f t="shared" si="252"/>
        <v>1928</v>
      </c>
      <c r="B357" s="773">
        <v>345</v>
      </c>
      <c r="C357" s="774">
        <f t="shared" si="268"/>
        <v>10472</v>
      </c>
      <c r="D357" s="775">
        <f t="shared" si="269"/>
        <v>0</v>
      </c>
      <c r="E357" s="775">
        <f t="shared" si="260"/>
        <v>0</v>
      </c>
      <c r="F357" s="775">
        <f t="shared" si="250"/>
        <v>0</v>
      </c>
      <c r="G357" s="775">
        <f t="shared" si="270"/>
        <v>0</v>
      </c>
      <c r="H357" s="775">
        <f t="shared" si="271"/>
        <v>0</v>
      </c>
      <c r="I357" s="775">
        <f t="shared" si="251"/>
        <v>0</v>
      </c>
      <c r="K357" s="773">
        <v>345</v>
      </c>
      <c r="L357" s="774">
        <f t="shared" si="272"/>
        <v>10472</v>
      </c>
      <c r="M357" s="775">
        <f t="shared" si="273"/>
        <v>0</v>
      </c>
      <c r="N357" s="775">
        <f t="shared" si="261"/>
        <v>0</v>
      </c>
      <c r="O357" s="775">
        <f t="shared" si="253"/>
        <v>0</v>
      </c>
      <c r="P357" s="775">
        <f t="shared" si="274"/>
        <v>0</v>
      </c>
      <c r="Q357" s="775">
        <f t="shared" si="275"/>
        <v>0</v>
      </c>
      <c r="S357" s="773">
        <v>345</v>
      </c>
      <c r="T357" s="774">
        <f t="shared" si="276"/>
        <v>10472</v>
      </c>
      <c r="U357" s="775">
        <f t="shared" si="277"/>
        <v>0</v>
      </c>
      <c r="V357" s="775">
        <f t="shared" si="262"/>
        <v>0</v>
      </c>
      <c r="W357" s="775">
        <f t="shared" si="254"/>
        <v>0</v>
      </c>
      <c r="X357" s="775">
        <f t="shared" si="278"/>
        <v>0</v>
      </c>
      <c r="Y357" s="775">
        <f t="shared" si="279"/>
        <v>0</v>
      </c>
      <c r="AA357" s="773">
        <v>345</v>
      </c>
      <c r="AB357" s="774">
        <f t="shared" si="280"/>
        <v>10472</v>
      </c>
      <c r="AC357" s="775">
        <f t="shared" si="281"/>
        <v>0</v>
      </c>
      <c r="AD357" s="775">
        <f t="shared" si="263"/>
        <v>0</v>
      </c>
      <c r="AE357" s="775">
        <f t="shared" si="255"/>
        <v>0</v>
      </c>
      <c r="AF357" s="775">
        <f t="shared" si="282"/>
        <v>0</v>
      </c>
      <c r="AG357" s="775">
        <f t="shared" si="283"/>
        <v>0</v>
      </c>
      <c r="AI357" s="773">
        <v>345</v>
      </c>
      <c r="AJ357" s="774">
        <f t="shared" si="284"/>
        <v>10472</v>
      </c>
      <c r="AK357" s="775">
        <f t="shared" si="285"/>
        <v>0</v>
      </c>
      <c r="AL357" s="775">
        <f t="shared" si="264"/>
        <v>0</v>
      </c>
      <c r="AM357" s="775">
        <f t="shared" si="256"/>
        <v>0</v>
      </c>
      <c r="AN357" s="775">
        <f t="shared" si="286"/>
        <v>0</v>
      </c>
      <c r="AO357" s="775">
        <f t="shared" si="287"/>
        <v>0</v>
      </c>
      <c r="AQ357" s="773">
        <v>345</v>
      </c>
      <c r="AR357" s="774">
        <f t="shared" si="288"/>
        <v>10472</v>
      </c>
      <c r="AS357" s="775">
        <f t="shared" si="289"/>
        <v>0</v>
      </c>
      <c r="AT357" s="775">
        <f t="shared" si="265"/>
        <v>0</v>
      </c>
      <c r="AU357" s="775">
        <f t="shared" si="257"/>
        <v>0</v>
      </c>
      <c r="AV357" s="775">
        <f t="shared" si="290"/>
        <v>0</v>
      </c>
      <c r="AW357" s="775">
        <f t="shared" si="291"/>
        <v>0</v>
      </c>
      <c r="AY357" s="773">
        <v>345</v>
      </c>
      <c r="AZ357" s="774">
        <f t="shared" si="292"/>
        <v>10472</v>
      </c>
      <c r="BA357" s="775">
        <f t="shared" si="293"/>
        <v>0</v>
      </c>
      <c r="BB357" s="775">
        <f t="shared" si="266"/>
        <v>0</v>
      </c>
      <c r="BC357" s="775">
        <f t="shared" si="258"/>
        <v>0</v>
      </c>
      <c r="BD357" s="775">
        <f t="shared" si="294"/>
        <v>0</v>
      </c>
      <c r="BE357" s="775">
        <f t="shared" si="295"/>
        <v>0</v>
      </c>
      <c r="BG357" s="773">
        <v>345</v>
      </c>
      <c r="BH357" s="774">
        <f t="shared" si="296"/>
        <v>10472</v>
      </c>
      <c r="BI357" s="775">
        <f t="shared" si="297"/>
        <v>0</v>
      </c>
      <c r="BJ357" s="775">
        <f t="shared" si="267"/>
        <v>0</v>
      </c>
      <c r="BK357" s="775">
        <f t="shared" si="259"/>
        <v>0</v>
      </c>
      <c r="BL357" s="775">
        <f t="shared" si="298"/>
        <v>0</v>
      </c>
      <c r="BM357" s="775">
        <f t="shared" si="299"/>
        <v>0</v>
      </c>
    </row>
    <row r="358" spans="1:65">
      <c r="A358" s="11">
        <f t="shared" si="252"/>
        <v>1928</v>
      </c>
      <c r="B358" s="773">
        <v>346</v>
      </c>
      <c r="C358" s="774">
        <f t="shared" si="268"/>
        <v>10502</v>
      </c>
      <c r="D358" s="775">
        <f t="shared" si="269"/>
        <v>0</v>
      </c>
      <c r="E358" s="775">
        <f t="shared" si="260"/>
        <v>0</v>
      </c>
      <c r="F358" s="775">
        <f t="shared" si="250"/>
        <v>0</v>
      </c>
      <c r="G358" s="775">
        <f t="shared" si="270"/>
        <v>0</v>
      </c>
      <c r="H358" s="775">
        <f t="shared" si="271"/>
        <v>0</v>
      </c>
      <c r="I358" s="775">
        <f t="shared" si="251"/>
        <v>0</v>
      </c>
      <c r="K358" s="773">
        <v>346</v>
      </c>
      <c r="L358" s="774">
        <f t="shared" si="272"/>
        <v>10502</v>
      </c>
      <c r="M358" s="775">
        <f t="shared" si="273"/>
        <v>0</v>
      </c>
      <c r="N358" s="775">
        <f t="shared" si="261"/>
        <v>0</v>
      </c>
      <c r="O358" s="775">
        <f t="shared" si="253"/>
        <v>0</v>
      </c>
      <c r="P358" s="775">
        <f t="shared" si="274"/>
        <v>0</v>
      </c>
      <c r="Q358" s="775">
        <f t="shared" si="275"/>
        <v>0</v>
      </c>
      <c r="S358" s="773">
        <v>346</v>
      </c>
      <c r="T358" s="774">
        <f t="shared" si="276"/>
        <v>10502</v>
      </c>
      <c r="U358" s="775">
        <f t="shared" si="277"/>
        <v>0</v>
      </c>
      <c r="V358" s="775">
        <f t="shared" si="262"/>
        <v>0</v>
      </c>
      <c r="W358" s="775">
        <f t="shared" si="254"/>
        <v>0</v>
      </c>
      <c r="X358" s="775">
        <f t="shared" si="278"/>
        <v>0</v>
      </c>
      <c r="Y358" s="775">
        <f t="shared" si="279"/>
        <v>0</v>
      </c>
      <c r="AA358" s="773">
        <v>346</v>
      </c>
      <c r="AB358" s="774">
        <f t="shared" si="280"/>
        <v>10502</v>
      </c>
      <c r="AC358" s="775">
        <f t="shared" si="281"/>
        <v>0</v>
      </c>
      <c r="AD358" s="775">
        <f t="shared" si="263"/>
        <v>0</v>
      </c>
      <c r="AE358" s="775">
        <f t="shared" si="255"/>
        <v>0</v>
      </c>
      <c r="AF358" s="775">
        <f t="shared" si="282"/>
        <v>0</v>
      </c>
      <c r="AG358" s="775">
        <f t="shared" si="283"/>
        <v>0</v>
      </c>
      <c r="AI358" s="773">
        <v>346</v>
      </c>
      <c r="AJ358" s="774">
        <f t="shared" si="284"/>
        <v>10502</v>
      </c>
      <c r="AK358" s="775">
        <f t="shared" si="285"/>
        <v>0</v>
      </c>
      <c r="AL358" s="775">
        <f t="shared" si="264"/>
        <v>0</v>
      </c>
      <c r="AM358" s="775">
        <f t="shared" si="256"/>
        <v>0</v>
      </c>
      <c r="AN358" s="775">
        <f t="shared" si="286"/>
        <v>0</v>
      </c>
      <c r="AO358" s="775">
        <f t="shared" si="287"/>
        <v>0</v>
      </c>
      <c r="AQ358" s="773">
        <v>346</v>
      </c>
      <c r="AR358" s="774">
        <f t="shared" si="288"/>
        <v>10502</v>
      </c>
      <c r="AS358" s="775">
        <f t="shared" si="289"/>
        <v>0</v>
      </c>
      <c r="AT358" s="775">
        <f t="shared" si="265"/>
        <v>0</v>
      </c>
      <c r="AU358" s="775">
        <f t="shared" si="257"/>
        <v>0</v>
      </c>
      <c r="AV358" s="775">
        <f t="shared" si="290"/>
        <v>0</v>
      </c>
      <c r="AW358" s="775">
        <f t="shared" si="291"/>
        <v>0</v>
      </c>
      <c r="AY358" s="773">
        <v>346</v>
      </c>
      <c r="AZ358" s="774">
        <f t="shared" si="292"/>
        <v>10502</v>
      </c>
      <c r="BA358" s="775">
        <f t="shared" si="293"/>
        <v>0</v>
      </c>
      <c r="BB358" s="775">
        <f t="shared" si="266"/>
        <v>0</v>
      </c>
      <c r="BC358" s="775">
        <f t="shared" si="258"/>
        <v>0</v>
      </c>
      <c r="BD358" s="775">
        <f t="shared" si="294"/>
        <v>0</v>
      </c>
      <c r="BE358" s="775">
        <f t="shared" si="295"/>
        <v>0</v>
      </c>
      <c r="BG358" s="773">
        <v>346</v>
      </c>
      <c r="BH358" s="774">
        <f t="shared" si="296"/>
        <v>10502</v>
      </c>
      <c r="BI358" s="775">
        <f t="shared" si="297"/>
        <v>0</v>
      </c>
      <c r="BJ358" s="775">
        <f t="shared" si="267"/>
        <v>0</v>
      </c>
      <c r="BK358" s="775">
        <f t="shared" si="259"/>
        <v>0</v>
      </c>
      <c r="BL358" s="775">
        <f t="shared" si="298"/>
        <v>0</v>
      </c>
      <c r="BM358" s="775">
        <f t="shared" si="299"/>
        <v>0</v>
      </c>
    </row>
    <row r="359" spans="1:65">
      <c r="A359" s="11">
        <f t="shared" si="252"/>
        <v>1928</v>
      </c>
      <c r="B359" s="773">
        <v>347</v>
      </c>
      <c r="C359" s="774">
        <f t="shared" si="268"/>
        <v>10533</v>
      </c>
      <c r="D359" s="775">
        <f t="shared" si="269"/>
        <v>0</v>
      </c>
      <c r="E359" s="775">
        <f t="shared" si="260"/>
        <v>0</v>
      </c>
      <c r="F359" s="775">
        <f t="shared" si="250"/>
        <v>0</v>
      </c>
      <c r="G359" s="775">
        <f t="shared" si="270"/>
        <v>0</v>
      </c>
      <c r="H359" s="775">
        <f t="shared" si="271"/>
        <v>0</v>
      </c>
      <c r="I359" s="775">
        <f t="shared" si="251"/>
        <v>0</v>
      </c>
      <c r="K359" s="773">
        <v>347</v>
      </c>
      <c r="L359" s="774">
        <f t="shared" si="272"/>
        <v>10533</v>
      </c>
      <c r="M359" s="775">
        <f t="shared" si="273"/>
        <v>0</v>
      </c>
      <c r="N359" s="775">
        <f t="shared" si="261"/>
        <v>0</v>
      </c>
      <c r="O359" s="775">
        <f t="shared" si="253"/>
        <v>0</v>
      </c>
      <c r="P359" s="775">
        <f t="shared" si="274"/>
        <v>0</v>
      </c>
      <c r="Q359" s="775">
        <f t="shared" si="275"/>
        <v>0</v>
      </c>
      <c r="S359" s="773">
        <v>347</v>
      </c>
      <c r="T359" s="774">
        <f t="shared" si="276"/>
        <v>10533</v>
      </c>
      <c r="U359" s="775">
        <f t="shared" si="277"/>
        <v>0</v>
      </c>
      <c r="V359" s="775">
        <f t="shared" si="262"/>
        <v>0</v>
      </c>
      <c r="W359" s="775">
        <f t="shared" si="254"/>
        <v>0</v>
      </c>
      <c r="X359" s="775">
        <f t="shared" si="278"/>
        <v>0</v>
      </c>
      <c r="Y359" s="775">
        <f t="shared" si="279"/>
        <v>0</v>
      </c>
      <c r="AA359" s="773">
        <v>347</v>
      </c>
      <c r="AB359" s="774">
        <f t="shared" si="280"/>
        <v>10533</v>
      </c>
      <c r="AC359" s="775">
        <f t="shared" si="281"/>
        <v>0</v>
      </c>
      <c r="AD359" s="775">
        <f t="shared" si="263"/>
        <v>0</v>
      </c>
      <c r="AE359" s="775">
        <f t="shared" si="255"/>
        <v>0</v>
      </c>
      <c r="AF359" s="775">
        <f t="shared" si="282"/>
        <v>0</v>
      </c>
      <c r="AG359" s="775">
        <f t="shared" si="283"/>
        <v>0</v>
      </c>
      <c r="AI359" s="773">
        <v>347</v>
      </c>
      <c r="AJ359" s="774">
        <f t="shared" si="284"/>
        <v>10533</v>
      </c>
      <c r="AK359" s="775">
        <f t="shared" si="285"/>
        <v>0</v>
      </c>
      <c r="AL359" s="775">
        <f t="shared" si="264"/>
        <v>0</v>
      </c>
      <c r="AM359" s="775">
        <f t="shared" si="256"/>
        <v>0</v>
      </c>
      <c r="AN359" s="775">
        <f t="shared" si="286"/>
        <v>0</v>
      </c>
      <c r="AO359" s="775">
        <f t="shared" si="287"/>
        <v>0</v>
      </c>
      <c r="AQ359" s="773">
        <v>347</v>
      </c>
      <c r="AR359" s="774">
        <f t="shared" si="288"/>
        <v>10533</v>
      </c>
      <c r="AS359" s="775">
        <f t="shared" si="289"/>
        <v>0</v>
      </c>
      <c r="AT359" s="775">
        <f t="shared" si="265"/>
        <v>0</v>
      </c>
      <c r="AU359" s="775">
        <f t="shared" si="257"/>
        <v>0</v>
      </c>
      <c r="AV359" s="775">
        <f t="shared" si="290"/>
        <v>0</v>
      </c>
      <c r="AW359" s="775">
        <f t="shared" si="291"/>
        <v>0</v>
      </c>
      <c r="AY359" s="773">
        <v>347</v>
      </c>
      <c r="AZ359" s="774">
        <f t="shared" si="292"/>
        <v>10533</v>
      </c>
      <c r="BA359" s="775">
        <f t="shared" si="293"/>
        <v>0</v>
      </c>
      <c r="BB359" s="775">
        <f t="shared" si="266"/>
        <v>0</v>
      </c>
      <c r="BC359" s="775">
        <f t="shared" si="258"/>
        <v>0</v>
      </c>
      <c r="BD359" s="775">
        <f t="shared" si="294"/>
        <v>0</v>
      </c>
      <c r="BE359" s="775">
        <f t="shared" si="295"/>
        <v>0</v>
      </c>
      <c r="BG359" s="773">
        <v>347</v>
      </c>
      <c r="BH359" s="774">
        <f t="shared" si="296"/>
        <v>10533</v>
      </c>
      <c r="BI359" s="775">
        <f t="shared" si="297"/>
        <v>0</v>
      </c>
      <c r="BJ359" s="775">
        <f t="shared" si="267"/>
        <v>0</v>
      </c>
      <c r="BK359" s="775">
        <f t="shared" si="259"/>
        <v>0</v>
      </c>
      <c r="BL359" s="775">
        <f t="shared" si="298"/>
        <v>0</v>
      </c>
      <c r="BM359" s="775">
        <f t="shared" si="299"/>
        <v>0</v>
      </c>
    </row>
    <row r="360" spans="1:65">
      <c r="A360" s="11">
        <f t="shared" si="252"/>
        <v>1928</v>
      </c>
      <c r="B360" s="773">
        <v>348</v>
      </c>
      <c r="C360" s="774">
        <f t="shared" si="268"/>
        <v>10563</v>
      </c>
      <c r="D360" s="775">
        <f t="shared" si="269"/>
        <v>0</v>
      </c>
      <c r="E360" s="775">
        <f t="shared" si="260"/>
        <v>0</v>
      </c>
      <c r="F360" s="775">
        <f t="shared" si="250"/>
        <v>0</v>
      </c>
      <c r="G360" s="775">
        <f t="shared" si="270"/>
        <v>0</v>
      </c>
      <c r="H360" s="775">
        <f t="shared" si="271"/>
        <v>0</v>
      </c>
      <c r="I360" s="775">
        <f t="shared" si="251"/>
        <v>0</v>
      </c>
      <c r="K360" s="773">
        <v>348</v>
      </c>
      <c r="L360" s="774">
        <f t="shared" si="272"/>
        <v>10563</v>
      </c>
      <c r="M360" s="775">
        <f t="shared" si="273"/>
        <v>0</v>
      </c>
      <c r="N360" s="775">
        <f t="shared" si="261"/>
        <v>0</v>
      </c>
      <c r="O360" s="775">
        <f t="shared" si="253"/>
        <v>0</v>
      </c>
      <c r="P360" s="775">
        <f t="shared" si="274"/>
        <v>0</v>
      </c>
      <c r="Q360" s="775">
        <f t="shared" si="275"/>
        <v>0</v>
      </c>
      <c r="S360" s="773">
        <v>348</v>
      </c>
      <c r="T360" s="774">
        <f t="shared" si="276"/>
        <v>10563</v>
      </c>
      <c r="U360" s="775">
        <f t="shared" si="277"/>
        <v>0</v>
      </c>
      <c r="V360" s="775">
        <f t="shared" si="262"/>
        <v>0</v>
      </c>
      <c r="W360" s="775">
        <f t="shared" si="254"/>
        <v>0</v>
      </c>
      <c r="X360" s="775">
        <f t="shared" si="278"/>
        <v>0</v>
      </c>
      <c r="Y360" s="775">
        <f t="shared" si="279"/>
        <v>0</v>
      </c>
      <c r="AA360" s="773">
        <v>348</v>
      </c>
      <c r="AB360" s="774">
        <f t="shared" si="280"/>
        <v>10563</v>
      </c>
      <c r="AC360" s="775">
        <f t="shared" si="281"/>
        <v>0</v>
      </c>
      <c r="AD360" s="775">
        <f t="shared" si="263"/>
        <v>0</v>
      </c>
      <c r="AE360" s="775">
        <f t="shared" si="255"/>
        <v>0</v>
      </c>
      <c r="AF360" s="775">
        <f t="shared" si="282"/>
        <v>0</v>
      </c>
      <c r="AG360" s="775">
        <f t="shared" si="283"/>
        <v>0</v>
      </c>
      <c r="AI360" s="773">
        <v>348</v>
      </c>
      <c r="AJ360" s="774">
        <f t="shared" si="284"/>
        <v>10563</v>
      </c>
      <c r="AK360" s="775">
        <f t="shared" si="285"/>
        <v>0</v>
      </c>
      <c r="AL360" s="775">
        <f t="shared" si="264"/>
        <v>0</v>
      </c>
      <c r="AM360" s="775">
        <f t="shared" si="256"/>
        <v>0</v>
      </c>
      <c r="AN360" s="775">
        <f t="shared" si="286"/>
        <v>0</v>
      </c>
      <c r="AO360" s="775">
        <f t="shared" si="287"/>
        <v>0</v>
      </c>
      <c r="AQ360" s="773">
        <v>348</v>
      </c>
      <c r="AR360" s="774">
        <f t="shared" si="288"/>
        <v>10563</v>
      </c>
      <c r="AS360" s="775">
        <f t="shared" si="289"/>
        <v>0</v>
      </c>
      <c r="AT360" s="775">
        <f t="shared" si="265"/>
        <v>0</v>
      </c>
      <c r="AU360" s="775">
        <f t="shared" si="257"/>
        <v>0</v>
      </c>
      <c r="AV360" s="775">
        <f t="shared" si="290"/>
        <v>0</v>
      </c>
      <c r="AW360" s="775">
        <f t="shared" si="291"/>
        <v>0</v>
      </c>
      <c r="AY360" s="773">
        <v>348</v>
      </c>
      <c r="AZ360" s="774">
        <f t="shared" si="292"/>
        <v>10563</v>
      </c>
      <c r="BA360" s="775">
        <f t="shared" si="293"/>
        <v>0</v>
      </c>
      <c r="BB360" s="775">
        <f t="shared" si="266"/>
        <v>0</v>
      </c>
      <c r="BC360" s="775">
        <f t="shared" si="258"/>
        <v>0</v>
      </c>
      <c r="BD360" s="775">
        <f t="shared" si="294"/>
        <v>0</v>
      </c>
      <c r="BE360" s="775">
        <f t="shared" si="295"/>
        <v>0</v>
      </c>
      <c r="BG360" s="773">
        <v>348</v>
      </c>
      <c r="BH360" s="774">
        <f t="shared" si="296"/>
        <v>10563</v>
      </c>
      <c r="BI360" s="775">
        <f t="shared" si="297"/>
        <v>0</v>
      </c>
      <c r="BJ360" s="775">
        <f t="shared" si="267"/>
        <v>0</v>
      </c>
      <c r="BK360" s="775">
        <f t="shared" si="259"/>
        <v>0</v>
      </c>
      <c r="BL360" s="775">
        <f t="shared" si="298"/>
        <v>0</v>
      </c>
      <c r="BM360" s="775">
        <f t="shared" si="299"/>
        <v>0</v>
      </c>
    </row>
    <row r="361" spans="1:65">
      <c r="A361" s="11">
        <f t="shared" si="252"/>
        <v>1929</v>
      </c>
      <c r="B361" s="773">
        <v>349</v>
      </c>
      <c r="C361" s="774">
        <f t="shared" si="268"/>
        <v>10594</v>
      </c>
      <c r="D361" s="775">
        <f t="shared" si="269"/>
        <v>0</v>
      </c>
      <c r="E361" s="775">
        <f t="shared" si="260"/>
        <v>0</v>
      </c>
      <c r="F361" s="775">
        <f t="shared" si="250"/>
        <v>0</v>
      </c>
      <c r="G361" s="775">
        <f t="shared" si="270"/>
        <v>0</v>
      </c>
      <c r="H361" s="775">
        <f t="shared" si="271"/>
        <v>0</v>
      </c>
      <c r="I361" s="775">
        <f t="shared" si="251"/>
        <v>0</v>
      </c>
      <c r="K361" s="773">
        <v>349</v>
      </c>
      <c r="L361" s="774">
        <f t="shared" si="272"/>
        <v>10594</v>
      </c>
      <c r="M361" s="775">
        <f t="shared" si="273"/>
        <v>0</v>
      </c>
      <c r="N361" s="775">
        <f t="shared" si="261"/>
        <v>0</v>
      </c>
      <c r="O361" s="775">
        <f t="shared" si="253"/>
        <v>0</v>
      </c>
      <c r="P361" s="775">
        <f t="shared" si="274"/>
        <v>0</v>
      </c>
      <c r="Q361" s="775">
        <f t="shared" si="275"/>
        <v>0</v>
      </c>
      <c r="S361" s="773">
        <v>349</v>
      </c>
      <c r="T361" s="774">
        <f t="shared" si="276"/>
        <v>10594</v>
      </c>
      <c r="U361" s="775">
        <f t="shared" si="277"/>
        <v>0</v>
      </c>
      <c r="V361" s="775">
        <f t="shared" si="262"/>
        <v>0</v>
      </c>
      <c r="W361" s="775">
        <f t="shared" si="254"/>
        <v>0</v>
      </c>
      <c r="X361" s="775">
        <f t="shared" si="278"/>
        <v>0</v>
      </c>
      <c r="Y361" s="775">
        <f t="shared" si="279"/>
        <v>0</v>
      </c>
      <c r="AA361" s="773">
        <v>349</v>
      </c>
      <c r="AB361" s="774">
        <f t="shared" si="280"/>
        <v>10594</v>
      </c>
      <c r="AC361" s="775">
        <f t="shared" si="281"/>
        <v>0</v>
      </c>
      <c r="AD361" s="775">
        <f t="shared" si="263"/>
        <v>0</v>
      </c>
      <c r="AE361" s="775">
        <f t="shared" si="255"/>
        <v>0</v>
      </c>
      <c r="AF361" s="775">
        <f t="shared" si="282"/>
        <v>0</v>
      </c>
      <c r="AG361" s="775">
        <f t="shared" si="283"/>
        <v>0</v>
      </c>
      <c r="AI361" s="773">
        <v>349</v>
      </c>
      <c r="AJ361" s="774">
        <f t="shared" si="284"/>
        <v>10594</v>
      </c>
      <c r="AK361" s="775">
        <f t="shared" si="285"/>
        <v>0</v>
      </c>
      <c r="AL361" s="775">
        <f t="shared" si="264"/>
        <v>0</v>
      </c>
      <c r="AM361" s="775">
        <f t="shared" si="256"/>
        <v>0</v>
      </c>
      <c r="AN361" s="775">
        <f t="shared" si="286"/>
        <v>0</v>
      </c>
      <c r="AO361" s="775">
        <f t="shared" si="287"/>
        <v>0</v>
      </c>
      <c r="AQ361" s="773">
        <v>349</v>
      </c>
      <c r="AR361" s="774">
        <f t="shared" si="288"/>
        <v>10594</v>
      </c>
      <c r="AS361" s="775">
        <f t="shared" si="289"/>
        <v>0</v>
      </c>
      <c r="AT361" s="775">
        <f t="shared" si="265"/>
        <v>0</v>
      </c>
      <c r="AU361" s="775">
        <f t="shared" si="257"/>
        <v>0</v>
      </c>
      <c r="AV361" s="775">
        <f t="shared" si="290"/>
        <v>0</v>
      </c>
      <c r="AW361" s="775">
        <f t="shared" si="291"/>
        <v>0</v>
      </c>
      <c r="AY361" s="773">
        <v>349</v>
      </c>
      <c r="AZ361" s="774">
        <f t="shared" si="292"/>
        <v>10594</v>
      </c>
      <c r="BA361" s="775">
        <f t="shared" si="293"/>
        <v>0</v>
      </c>
      <c r="BB361" s="775">
        <f t="shared" si="266"/>
        <v>0</v>
      </c>
      <c r="BC361" s="775">
        <f t="shared" si="258"/>
        <v>0</v>
      </c>
      <c r="BD361" s="775">
        <f t="shared" si="294"/>
        <v>0</v>
      </c>
      <c r="BE361" s="775">
        <f t="shared" si="295"/>
        <v>0</v>
      </c>
      <c r="BG361" s="773">
        <v>349</v>
      </c>
      <c r="BH361" s="774">
        <f t="shared" si="296"/>
        <v>10594</v>
      </c>
      <c r="BI361" s="775">
        <f t="shared" si="297"/>
        <v>0</v>
      </c>
      <c r="BJ361" s="775">
        <f t="shared" si="267"/>
        <v>0</v>
      </c>
      <c r="BK361" s="775">
        <f t="shared" si="259"/>
        <v>0</v>
      </c>
      <c r="BL361" s="775">
        <f t="shared" si="298"/>
        <v>0</v>
      </c>
      <c r="BM361" s="775">
        <f t="shared" si="299"/>
        <v>0</v>
      </c>
    </row>
    <row r="362" spans="1:65">
      <c r="A362" s="11">
        <f t="shared" si="252"/>
        <v>1929</v>
      </c>
      <c r="B362" s="773">
        <v>350</v>
      </c>
      <c r="C362" s="774">
        <f t="shared" si="268"/>
        <v>10625</v>
      </c>
      <c r="D362" s="775">
        <f t="shared" si="269"/>
        <v>0</v>
      </c>
      <c r="E362" s="775">
        <f t="shared" si="260"/>
        <v>0</v>
      </c>
      <c r="F362" s="775">
        <f t="shared" si="250"/>
        <v>0</v>
      </c>
      <c r="G362" s="775">
        <f t="shared" si="270"/>
        <v>0</v>
      </c>
      <c r="H362" s="775">
        <f t="shared" si="271"/>
        <v>0</v>
      </c>
      <c r="I362" s="775">
        <f t="shared" si="251"/>
        <v>0</v>
      </c>
      <c r="K362" s="773">
        <v>350</v>
      </c>
      <c r="L362" s="774">
        <f t="shared" si="272"/>
        <v>10625</v>
      </c>
      <c r="M362" s="775">
        <f t="shared" si="273"/>
        <v>0</v>
      </c>
      <c r="N362" s="775">
        <f t="shared" si="261"/>
        <v>0</v>
      </c>
      <c r="O362" s="775">
        <f t="shared" si="253"/>
        <v>0</v>
      </c>
      <c r="P362" s="775">
        <f t="shared" si="274"/>
        <v>0</v>
      </c>
      <c r="Q362" s="775">
        <f t="shared" si="275"/>
        <v>0</v>
      </c>
      <c r="S362" s="773">
        <v>350</v>
      </c>
      <c r="T362" s="774">
        <f t="shared" si="276"/>
        <v>10625</v>
      </c>
      <c r="U362" s="775">
        <f t="shared" si="277"/>
        <v>0</v>
      </c>
      <c r="V362" s="775">
        <f t="shared" si="262"/>
        <v>0</v>
      </c>
      <c r="W362" s="775">
        <f t="shared" si="254"/>
        <v>0</v>
      </c>
      <c r="X362" s="775">
        <f t="shared" si="278"/>
        <v>0</v>
      </c>
      <c r="Y362" s="775">
        <f t="shared" si="279"/>
        <v>0</v>
      </c>
      <c r="AA362" s="773">
        <v>350</v>
      </c>
      <c r="AB362" s="774">
        <f t="shared" si="280"/>
        <v>10625</v>
      </c>
      <c r="AC362" s="775">
        <f t="shared" si="281"/>
        <v>0</v>
      </c>
      <c r="AD362" s="775">
        <f t="shared" si="263"/>
        <v>0</v>
      </c>
      <c r="AE362" s="775">
        <f t="shared" si="255"/>
        <v>0</v>
      </c>
      <c r="AF362" s="775">
        <f t="shared" si="282"/>
        <v>0</v>
      </c>
      <c r="AG362" s="775">
        <f t="shared" si="283"/>
        <v>0</v>
      </c>
      <c r="AI362" s="773">
        <v>350</v>
      </c>
      <c r="AJ362" s="774">
        <f t="shared" si="284"/>
        <v>10625</v>
      </c>
      <c r="AK362" s="775">
        <f t="shared" si="285"/>
        <v>0</v>
      </c>
      <c r="AL362" s="775">
        <f t="shared" si="264"/>
        <v>0</v>
      </c>
      <c r="AM362" s="775">
        <f t="shared" si="256"/>
        <v>0</v>
      </c>
      <c r="AN362" s="775">
        <f t="shared" si="286"/>
        <v>0</v>
      </c>
      <c r="AO362" s="775">
        <f t="shared" si="287"/>
        <v>0</v>
      </c>
      <c r="AQ362" s="773">
        <v>350</v>
      </c>
      <c r="AR362" s="774">
        <f t="shared" si="288"/>
        <v>10625</v>
      </c>
      <c r="AS362" s="775">
        <f t="shared" si="289"/>
        <v>0</v>
      </c>
      <c r="AT362" s="775">
        <f t="shared" si="265"/>
        <v>0</v>
      </c>
      <c r="AU362" s="775">
        <f t="shared" si="257"/>
        <v>0</v>
      </c>
      <c r="AV362" s="775">
        <f t="shared" si="290"/>
        <v>0</v>
      </c>
      <c r="AW362" s="775">
        <f t="shared" si="291"/>
        <v>0</v>
      </c>
      <c r="AY362" s="773">
        <v>350</v>
      </c>
      <c r="AZ362" s="774">
        <f t="shared" si="292"/>
        <v>10625</v>
      </c>
      <c r="BA362" s="775">
        <f t="shared" si="293"/>
        <v>0</v>
      </c>
      <c r="BB362" s="775">
        <f t="shared" si="266"/>
        <v>0</v>
      </c>
      <c r="BC362" s="775">
        <f t="shared" si="258"/>
        <v>0</v>
      </c>
      <c r="BD362" s="775">
        <f t="shared" si="294"/>
        <v>0</v>
      </c>
      <c r="BE362" s="775">
        <f t="shared" si="295"/>
        <v>0</v>
      </c>
      <c r="BG362" s="773">
        <v>350</v>
      </c>
      <c r="BH362" s="774">
        <f t="shared" si="296"/>
        <v>10625</v>
      </c>
      <c r="BI362" s="775">
        <f t="shared" si="297"/>
        <v>0</v>
      </c>
      <c r="BJ362" s="775">
        <f t="shared" si="267"/>
        <v>0</v>
      </c>
      <c r="BK362" s="775">
        <f t="shared" si="259"/>
        <v>0</v>
      </c>
      <c r="BL362" s="775">
        <f t="shared" si="298"/>
        <v>0</v>
      </c>
      <c r="BM362" s="775">
        <f t="shared" si="299"/>
        <v>0</v>
      </c>
    </row>
    <row r="363" spans="1:65">
      <c r="A363" s="11">
        <f t="shared" si="252"/>
        <v>1929</v>
      </c>
      <c r="B363" s="773">
        <v>351</v>
      </c>
      <c r="C363" s="774">
        <f t="shared" si="268"/>
        <v>10653</v>
      </c>
      <c r="D363" s="775">
        <f t="shared" si="269"/>
        <v>0</v>
      </c>
      <c r="E363" s="775">
        <f t="shared" si="260"/>
        <v>0</v>
      </c>
      <c r="F363" s="775">
        <f t="shared" si="250"/>
        <v>0</v>
      </c>
      <c r="G363" s="775">
        <f t="shared" si="270"/>
        <v>0</v>
      </c>
      <c r="H363" s="775">
        <f t="shared" si="271"/>
        <v>0</v>
      </c>
      <c r="I363" s="775">
        <f t="shared" si="251"/>
        <v>0</v>
      </c>
      <c r="K363" s="773">
        <v>351</v>
      </c>
      <c r="L363" s="774">
        <f t="shared" si="272"/>
        <v>10653</v>
      </c>
      <c r="M363" s="775">
        <f t="shared" si="273"/>
        <v>0</v>
      </c>
      <c r="N363" s="775">
        <f t="shared" si="261"/>
        <v>0</v>
      </c>
      <c r="O363" s="775">
        <f t="shared" si="253"/>
        <v>0</v>
      </c>
      <c r="P363" s="775">
        <f t="shared" si="274"/>
        <v>0</v>
      </c>
      <c r="Q363" s="775">
        <f t="shared" si="275"/>
        <v>0</v>
      </c>
      <c r="S363" s="773">
        <v>351</v>
      </c>
      <c r="T363" s="774">
        <f t="shared" si="276"/>
        <v>10653</v>
      </c>
      <c r="U363" s="775">
        <f t="shared" si="277"/>
        <v>0</v>
      </c>
      <c r="V363" s="775">
        <f t="shared" si="262"/>
        <v>0</v>
      </c>
      <c r="W363" s="775">
        <f t="shared" si="254"/>
        <v>0</v>
      </c>
      <c r="X363" s="775">
        <f t="shared" si="278"/>
        <v>0</v>
      </c>
      <c r="Y363" s="775">
        <f t="shared" si="279"/>
        <v>0</v>
      </c>
      <c r="AA363" s="773">
        <v>351</v>
      </c>
      <c r="AB363" s="774">
        <f t="shared" si="280"/>
        <v>10653</v>
      </c>
      <c r="AC363" s="775">
        <f t="shared" si="281"/>
        <v>0</v>
      </c>
      <c r="AD363" s="775">
        <f t="shared" si="263"/>
        <v>0</v>
      </c>
      <c r="AE363" s="775">
        <f t="shared" si="255"/>
        <v>0</v>
      </c>
      <c r="AF363" s="775">
        <f t="shared" si="282"/>
        <v>0</v>
      </c>
      <c r="AG363" s="775">
        <f t="shared" si="283"/>
        <v>0</v>
      </c>
      <c r="AI363" s="773">
        <v>351</v>
      </c>
      <c r="AJ363" s="774">
        <f t="shared" si="284"/>
        <v>10653</v>
      </c>
      <c r="AK363" s="775">
        <f t="shared" si="285"/>
        <v>0</v>
      </c>
      <c r="AL363" s="775">
        <f t="shared" si="264"/>
        <v>0</v>
      </c>
      <c r="AM363" s="775">
        <f t="shared" si="256"/>
        <v>0</v>
      </c>
      <c r="AN363" s="775">
        <f t="shared" si="286"/>
        <v>0</v>
      </c>
      <c r="AO363" s="775">
        <f t="shared" si="287"/>
        <v>0</v>
      </c>
      <c r="AQ363" s="773">
        <v>351</v>
      </c>
      <c r="AR363" s="774">
        <f t="shared" si="288"/>
        <v>10653</v>
      </c>
      <c r="AS363" s="775">
        <f t="shared" si="289"/>
        <v>0</v>
      </c>
      <c r="AT363" s="775">
        <f t="shared" si="265"/>
        <v>0</v>
      </c>
      <c r="AU363" s="775">
        <f t="shared" si="257"/>
        <v>0</v>
      </c>
      <c r="AV363" s="775">
        <f t="shared" si="290"/>
        <v>0</v>
      </c>
      <c r="AW363" s="775">
        <f t="shared" si="291"/>
        <v>0</v>
      </c>
      <c r="AY363" s="773">
        <v>351</v>
      </c>
      <c r="AZ363" s="774">
        <f t="shared" si="292"/>
        <v>10653</v>
      </c>
      <c r="BA363" s="775">
        <f t="shared" si="293"/>
        <v>0</v>
      </c>
      <c r="BB363" s="775">
        <f t="shared" si="266"/>
        <v>0</v>
      </c>
      <c r="BC363" s="775">
        <f t="shared" si="258"/>
        <v>0</v>
      </c>
      <c r="BD363" s="775">
        <f t="shared" si="294"/>
        <v>0</v>
      </c>
      <c r="BE363" s="775">
        <f t="shared" si="295"/>
        <v>0</v>
      </c>
      <c r="BG363" s="773">
        <v>351</v>
      </c>
      <c r="BH363" s="774">
        <f t="shared" si="296"/>
        <v>10653</v>
      </c>
      <c r="BI363" s="775">
        <f t="shared" si="297"/>
        <v>0</v>
      </c>
      <c r="BJ363" s="775">
        <f t="shared" si="267"/>
        <v>0</v>
      </c>
      <c r="BK363" s="775">
        <f t="shared" si="259"/>
        <v>0</v>
      </c>
      <c r="BL363" s="775">
        <f t="shared" si="298"/>
        <v>0</v>
      </c>
      <c r="BM363" s="775">
        <f t="shared" si="299"/>
        <v>0</v>
      </c>
    </row>
    <row r="364" spans="1:65">
      <c r="A364" s="11">
        <f t="shared" si="252"/>
        <v>1929</v>
      </c>
      <c r="B364" s="773">
        <v>352</v>
      </c>
      <c r="C364" s="774">
        <f t="shared" si="268"/>
        <v>10684</v>
      </c>
      <c r="D364" s="775">
        <f t="shared" si="269"/>
        <v>0</v>
      </c>
      <c r="E364" s="775">
        <f t="shared" si="260"/>
        <v>0</v>
      </c>
      <c r="F364" s="775">
        <f t="shared" si="250"/>
        <v>0</v>
      </c>
      <c r="G364" s="775">
        <f t="shared" si="270"/>
        <v>0</v>
      </c>
      <c r="H364" s="775">
        <f t="shared" si="271"/>
        <v>0</v>
      </c>
      <c r="I364" s="775">
        <f t="shared" si="251"/>
        <v>0</v>
      </c>
      <c r="K364" s="773">
        <v>352</v>
      </c>
      <c r="L364" s="774">
        <f t="shared" si="272"/>
        <v>10684</v>
      </c>
      <c r="M364" s="775">
        <f t="shared" si="273"/>
        <v>0</v>
      </c>
      <c r="N364" s="775">
        <f t="shared" si="261"/>
        <v>0</v>
      </c>
      <c r="O364" s="775">
        <f t="shared" si="253"/>
        <v>0</v>
      </c>
      <c r="P364" s="775">
        <f t="shared" si="274"/>
        <v>0</v>
      </c>
      <c r="Q364" s="775">
        <f t="shared" si="275"/>
        <v>0</v>
      </c>
      <c r="S364" s="773">
        <v>352</v>
      </c>
      <c r="T364" s="774">
        <f t="shared" si="276"/>
        <v>10684</v>
      </c>
      <c r="U364" s="775">
        <f t="shared" si="277"/>
        <v>0</v>
      </c>
      <c r="V364" s="775">
        <f t="shared" si="262"/>
        <v>0</v>
      </c>
      <c r="W364" s="775">
        <f t="shared" si="254"/>
        <v>0</v>
      </c>
      <c r="X364" s="775">
        <f t="shared" si="278"/>
        <v>0</v>
      </c>
      <c r="Y364" s="775">
        <f t="shared" si="279"/>
        <v>0</v>
      </c>
      <c r="AA364" s="773">
        <v>352</v>
      </c>
      <c r="AB364" s="774">
        <f t="shared" si="280"/>
        <v>10684</v>
      </c>
      <c r="AC364" s="775">
        <f t="shared" si="281"/>
        <v>0</v>
      </c>
      <c r="AD364" s="775">
        <f t="shared" si="263"/>
        <v>0</v>
      </c>
      <c r="AE364" s="775">
        <f t="shared" si="255"/>
        <v>0</v>
      </c>
      <c r="AF364" s="775">
        <f t="shared" si="282"/>
        <v>0</v>
      </c>
      <c r="AG364" s="775">
        <f t="shared" si="283"/>
        <v>0</v>
      </c>
      <c r="AI364" s="773">
        <v>352</v>
      </c>
      <c r="AJ364" s="774">
        <f t="shared" si="284"/>
        <v>10684</v>
      </c>
      <c r="AK364" s="775">
        <f t="shared" si="285"/>
        <v>0</v>
      </c>
      <c r="AL364" s="775">
        <f t="shared" si="264"/>
        <v>0</v>
      </c>
      <c r="AM364" s="775">
        <f t="shared" si="256"/>
        <v>0</v>
      </c>
      <c r="AN364" s="775">
        <f t="shared" si="286"/>
        <v>0</v>
      </c>
      <c r="AO364" s="775">
        <f t="shared" si="287"/>
        <v>0</v>
      </c>
      <c r="AQ364" s="773">
        <v>352</v>
      </c>
      <c r="AR364" s="774">
        <f t="shared" si="288"/>
        <v>10684</v>
      </c>
      <c r="AS364" s="775">
        <f t="shared" si="289"/>
        <v>0</v>
      </c>
      <c r="AT364" s="775">
        <f t="shared" si="265"/>
        <v>0</v>
      </c>
      <c r="AU364" s="775">
        <f t="shared" si="257"/>
        <v>0</v>
      </c>
      <c r="AV364" s="775">
        <f t="shared" si="290"/>
        <v>0</v>
      </c>
      <c r="AW364" s="775">
        <f t="shared" si="291"/>
        <v>0</v>
      </c>
      <c r="AY364" s="773">
        <v>352</v>
      </c>
      <c r="AZ364" s="774">
        <f t="shared" si="292"/>
        <v>10684</v>
      </c>
      <c r="BA364" s="775">
        <f t="shared" si="293"/>
        <v>0</v>
      </c>
      <c r="BB364" s="775">
        <f t="shared" si="266"/>
        <v>0</v>
      </c>
      <c r="BC364" s="775">
        <f t="shared" si="258"/>
        <v>0</v>
      </c>
      <c r="BD364" s="775">
        <f t="shared" si="294"/>
        <v>0</v>
      </c>
      <c r="BE364" s="775">
        <f t="shared" si="295"/>
        <v>0</v>
      </c>
      <c r="BG364" s="773">
        <v>352</v>
      </c>
      <c r="BH364" s="774">
        <f t="shared" si="296"/>
        <v>10684</v>
      </c>
      <c r="BI364" s="775">
        <f t="shared" si="297"/>
        <v>0</v>
      </c>
      <c r="BJ364" s="775">
        <f t="shared" si="267"/>
        <v>0</v>
      </c>
      <c r="BK364" s="775">
        <f t="shared" si="259"/>
        <v>0</v>
      </c>
      <c r="BL364" s="775">
        <f t="shared" si="298"/>
        <v>0</v>
      </c>
      <c r="BM364" s="775">
        <f t="shared" si="299"/>
        <v>0</v>
      </c>
    </row>
    <row r="365" spans="1:65">
      <c r="A365" s="11">
        <f t="shared" si="252"/>
        <v>1929</v>
      </c>
      <c r="B365" s="773">
        <v>353</v>
      </c>
      <c r="C365" s="774">
        <f t="shared" si="268"/>
        <v>10714</v>
      </c>
      <c r="D365" s="775">
        <f t="shared" si="269"/>
        <v>0</v>
      </c>
      <c r="E365" s="775">
        <f t="shared" si="260"/>
        <v>0</v>
      </c>
      <c r="F365" s="775">
        <f t="shared" si="250"/>
        <v>0</v>
      </c>
      <c r="G365" s="775">
        <f t="shared" si="270"/>
        <v>0</v>
      </c>
      <c r="H365" s="775">
        <f t="shared" si="271"/>
        <v>0</v>
      </c>
      <c r="I365" s="775">
        <f t="shared" si="251"/>
        <v>0</v>
      </c>
      <c r="K365" s="773">
        <v>353</v>
      </c>
      <c r="L365" s="774">
        <f t="shared" si="272"/>
        <v>10714</v>
      </c>
      <c r="M365" s="775">
        <f t="shared" si="273"/>
        <v>0</v>
      </c>
      <c r="N365" s="775">
        <f t="shared" si="261"/>
        <v>0</v>
      </c>
      <c r="O365" s="775">
        <f t="shared" si="253"/>
        <v>0</v>
      </c>
      <c r="P365" s="775">
        <f t="shared" si="274"/>
        <v>0</v>
      </c>
      <c r="Q365" s="775">
        <f t="shared" si="275"/>
        <v>0</v>
      </c>
      <c r="S365" s="773">
        <v>353</v>
      </c>
      <c r="T365" s="774">
        <f t="shared" si="276"/>
        <v>10714</v>
      </c>
      <c r="U365" s="775">
        <f t="shared" si="277"/>
        <v>0</v>
      </c>
      <c r="V365" s="775">
        <f t="shared" si="262"/>
        <v>0</v>
      </c>
      <c r="W365" s="775">
        <f t="shared" si="254"/>
        <v>0</v>
      </c>
      <c r="X365" s="775">
        <f t="shared" si="278"/>
        <v>0</v>
      </c>
      <c r="Y365" s="775">
        <f t="shared" si="279"/>
        <v>0</v>
      </c>
      <c r="AA365" s="773">
        <v>353</v>
      </c>
      <c r="AB365" s="774">
        <f t="shared" si="280"/>
        <v>10714</v>
      </c>
      <c r="AC365" s="775">
        <f t="shared" si="281"/>
        <v>0</v>
      </c>
      <c r="AD365" s="775">
        <f t="shared" si="263"/>
        <v>0</v>
      </c>
      <c r="AE365" s="775">
        <f t="shared" si="255"/>
        <v>0</v>
      </c>
      <c r="AF365" s="775">
        <f t="shared" si="282"/>
        <v>0</v>
      </c>
      <c r="AG365" s="775">
        <f t="shared" si="283"/>
        <v>0</v>
      </c>
      <c r="AI365" s="773">
        <v>353</v>
      </c>
      <c r="AJ365" s="774">
        <f t="shared" si="284"/>
        <v>10714</v>
      </c>
      <c r="AK365" s="775">
        <f t="shared" si="285"/>
        <v>0</v>
      </c>
      <c r="AL365" s="775">
        <f t="shared" si="264"/>
        <v>0</v>
      </c>
      <c r="AM365" s="775">
        <f t="shared" si="256"/>
        <v>0</v>
      </c>
      <c r="AN365" s="775">
        <f t="shared" si="286"/>
        <v>0</v>
      </c>
      <c r="AO365" s="775">
        <f t="shared" si="287"/>
        <v>0</v>
      </c>
      <c r="AQ365" s="773">
        <v>353</v>
      </c>
      <c r="AR365" s="774">
        <f t="shared" si="288"/>
        <v>10714</v>
      </c>
      <c r="AS365" s="775">
        <f t="shared" si="289"/>
        <v>0</v>
      </c>
      <c r="AT365" s="775">
        <f t="shared" si="265"/>
        <v>0</v>
      </c>
      <c r="AU365" s="775">
        <f t="shared" si="257"/>
        <v>0</v>
      </c>
      <c r="AV365" s="775">
        <f t="shared" si="290"/>
        <v>0</v>
      </c>
      <c r="AW365" s="775">
        <f t="shared" si="291"/>
        <v>0</v>
      </c>
      <c r="AY365" s="773">
        <v>353</v>
      </c>
      <c r="AZ365" s="774">
        <f t="shared" si="292"/>
        <v>10714</v>
      </c>
      <c r="BA365" s="775">
        <f t="shared" si="293"/>
        <v>0</v>
      </c>
      <c r="BB365" s="775">
        <f t="shared" si="266"/>
        <v>0</v>
      </c>
      <c r="BC365" s="775">
        <f t="shared" si="258"/>
        <v>0</v>
      </c>
      <c r="BD365" s="775">
        <f t="shared" si="294"/>
        <v>0</v>
      </c>
      <c r="BE365" s="775">
        <f t="shared" si="295"/>
        <v>0</v>
      </c>
      <c r="BG365" s="773">
        <v>353</v>
      </c>
      <c r="BH365" s="774">
        <f t="shared" si="296"/>
        <v>10714</v>
      </c>
      <c r="BI365" s="775">
        <f t="shared" si="297"/>
        <v>0</v>
      </c>
      <c r="BJ365" s="775">
        <f t="shared" si="267"/>
        <v>0</v>
      </c>
      <c r="BK365" s="775">
        <f t="shared" si="259"/>
        <v>0</v>
      </c>
      <c r="BL365" s="775">
        <f t="shared" si="298"/>
        <v>0</v>
      </c>
      <c r="BM365" s="775">
        <f t="shared" si="299"/>
        <v>0</v>
      </c>
    </row>
    <row r="366" spans="1:65">
      <c r="A366" s="11">
        <f t="shared" si="252"/>
        <v>1929</v>
      </c>
      <c r="B366" s="773">
        <v>354</v>
      </c>
      <c r="C366" s="774">
        <f t="shared" si="268"/>
        <v>10745</v>
      </c>
      <c r="D366" s="775">
        <f t="shared" si="269"/>
        <v>0</v>
      </c>
      <c r="E366" s="775">
        <f t="shared" si="260"/>
        <v>0</v>
      </c>
      <c r="F366" s="775">
        <f t="shared" si="250"/>
        <v>0</v>
      </c>
      <c r="G366" s="775">
        <f t="shared" si="270"/>
        <v>0</v>
      </c>
      <c r="H366" s="775">
        <f t="shared" si="271"/>
        <v>0</v>
      </c>
      <c r="I366" s="775">
        <f t="shared" si="251"/>
        <v>0</v>
      </c>
      <c r="K366" s="773">
        <v>354</v>
      </c>
      <c r="L366" s="774">
        <f t="shared" si="272"/>
        <v>10745</v>
      </c>
      <c r="M366" s="775">
        <f t="shared" si="273"/>
        <v>0</v>
      </c>
      <c r="N366" s="775">
        <f t="shared" si="261"/>
        <v>0</v>
      </c>
      <c r="O366" s="775">
        <f t="shared" si="253"/>
        <v>0</v>
      </c>
      <c r="P366" s="775">
        <f t="shared" si="274"/>
        <v>0</v>
      </c>
      <c r="Q366" s="775">
        <f t="shared" si="275"/>
        <v>0</v>
      </c>
      <c r="S366" s="773">
        <v>354</v>
      </c>
      <c r="T366" s="774">
        <f t="shared" si="276"/>
        <v>10745</v>
      </c>
      <c r="U366" s="775">
        <f t="shared" si="277"/>
        <v>0</v>
      </c>
      <c r="V366" s="775">
        <f t="shared" si="262"/>
        <v>0</v>
      </c>
      <c r="W366" s="775">
        <f t="shared" si="254"/>
        <v>0</v>
      </c>
      <c r="X366" s="775">
        <f t="shared" si="278"/>
        <v>0</v>
      </c>
      <c r="Y366" s="775">
        <f t="shared" si="279"/>
        <v>0</v>
      </c>
      <c r="AA366" s="773">
        <v>354</v>
      </c>
      <c r="AB366" s="774">
        <f t="shared" si="280"/>
        <v>10745</v>
      </c>
      <c r="AC366" s="775">
        <f t="shared" si="281"/>
        <v>0</v>
      </c>
      <c r="AD366" s="775">
        <f t="shared" si="263"/>
        <v>0</v>
      </c>
      <c r="AE366" s="775">
        <f t="shared" si="255"/>
        <v>0</v>
      </c>
      <c r="AF366" s="775">
        <f t="shared" si="282"/>
        <v>0</v>
      </c>
      <c r="AG366" s="775">
        <f t="shared" si="283"/>
        <v>0</v>
      </c>
      <c r="AI366" s="773">
        <v>354</v>
      </c>
      <c r="AJ366" s="774">
        <f t="shared" si="284"/>
        <v>10745</v>
      </c>
      <c r="AK366" s="775">
        <f t="shared" si="285"/>
        <v>0</v>
      </c>
      <c r="AL366" s="775">
        <f t="shared" si="264"/>
        <v>0</v>
      </c>
      <c r="AM366" s="775">
        <f t="shared" si="256"/>
        <v>0</v>
      </c>
      <c r="AN366" s="775">
        <f t="shared" si="286"/>
        <v>0</v>
      </c>
      <c r="AO366" s="775">
        <f t="shared" si="287"/>
        <v>0</v>
      </c>
      <c r="AQ366" s="773">
        <v>354</v>
      </c>
      <c r="AR366" s="774">
        <f t="shared" si="288"/>
        <v>10745</v>
      </c>
      <c r="AS366" s="775">
        <f t="shared" si="289"/>
        <v>0</v>
      </c>
      <c r="AT366" s="775">
        <f t="shared" si="265"/>
        <v>0</v>
      </c>
      <c r="AU366" s="775">
        <f t="shared" si="257"/>
        <v>0</v>
      </c>
      <c r="AV366" s="775">
        <f t="shared" si="290"/>
        <v>0</v>
      </c>
      <c r="AW366" s="775">
        <f t="shared" si="291"/>
        <v>0</v>
      </c>
      <c r="AY366" s="773">
        <v>354</v>
      </c>
      <c r="AZ366" s="774">
        <f t="shared" si="292"/>
        <v>10745</v>
      </c>
      <c r="BA366" s="775">
        <f t="shared" si="293"/>
        <v>0</v>
      </c>
      <c r="BB366" s="775">
        <f t="shared" si="266"/>
        <v>0</v>
      </c>
      <c r="BC366" s="775">
        <f t="shared" si="258"/>
        <v>0</v>
      </c>
      <c r="BD366" s="775">
        <f t="shared" si="294"/>
        <v>0</v>
      </c>
      <c r="BE366" s="775">
        <f t="shared" si="295"/>
        <v>0</v>
      </c>
      <c r="BG366" s="773">
        <v>354</v>
      </c>
      <c r="BH366" s="774">
        <f t="shared" si="296"/>
        <v>10745</v>
      </c>
      <c r="BI366" s="775">
        <f t="shared" si="297"/>
        <v>0</v>
      </c>
      <c r="BJ366" s="775">
        <f t="shared" si="267"/>
        <v>0</v>
      </c>
      <c r="BK366" s="775">
        <f t="shared" si="259"/>
        <v>0</v>
      </c>
      <c r="BL366" s="775">
        <f t="shared" si="298"/>
        <v>0</v>
      </c>
      <c r="BM366" s="775">
        <f t="shared" si="299"/>
        <v>0</v>
      </c>
    </row>
    <row r="367" spans="1:65">
      <c r="A367" s="11">
        <f t="shared" si="252"/>
        <v>1929</v>
      </c>
      <c r="B367" s="773">
        <v>355</v>
      </c>
      <c r="C367" s="774">
        <f t="shared" si="268"/>
        <v>10775</v>
      </c>
      <c r="D367" s="775">
        <f t="shared" si="269"/>
        <v>0</v>
      </c>
      <c r="E367" s="775">
        <f t="shared" si="260"/>
        <v>0</v>
      </c>
      <c r="F367" s="775">
        <f t="shared" si="250"/>
        <v>0</v>
      </c>
      <c r="G367" s="775">
        <f t="shared" si="270"/>
        <v>0</v>
      </c>
      <c r="H367" s="775">
        <f t="shared" si="271"/>
        <v>0</v>
      </c>
      <c r="I367" s="775">
        <f t="shared" si="251"/>
        <v>0</v>
      </c>
      <c r="K367" s="773">
        <v>355</v>
      </c>
      <c r="L367" s="774">
        <f t="shared" si="272"/>
        <v>10775</v>
      </c>
      <c r="M367" s="775">
        <f t="shared" si="273"/>
        <v>0</v>
      </c>
      <c r="N367" s="775">
        <f t="shared" si="261"/>
        <v>0</v>
      </c>
      <c r="O367" s="775">
        <f t="shared" si="253"/>
        <v>0</v>
      </c>
      <c r="P367" s="775">
        <f t="shared" si="274"/>
        <v>0</v>
      </c>
      <c r="Q367" s="775">
        <f t="shared" si="275"/>
        <v>0</v>
      </c>
      <c r="S367" s="773">
        <v>355</v>
      </c>
      <c r="T367" s="774">
        <f t="shared" si="276"/>
        <v>10775</v>
      </c>
      <c r="U367" s="775">
        <f t="shared" si="277"/>
        <v>0</v>
      </c>
      <c r="V367" s="775">
        <f t="shared" si="262"/>
        <v>0</v>
      </c>
      <c r="W367" s="775">
        <f t="shared" si="254"/>
        <v>0</v>
      </c>
      <c r="X367" s="775">
        <f t="shared" si="278"/>
        <v>0</v>
      </c>
      <c r="Y367" s="775">
        <f t="shared" si="279"/>
        <v>0</v>
      </c>
      <c r="AA367" s="773">
        <v>355</v>
      </c>
      <c r="AB367" s="774">
        <f t="shared" si="280"/>
        <v>10775</v>
      </c>
      <c r="AC367" s="775">
        <f t="shared" si="281"/>
        <v>0</v>
      </c>
      <c r="AD367" s="775">
        <f t="shared" si="263"/>
        <v>0</v>
      </c>
      <c r="AE367" s="775">
        <f t="shared" si="255"/>
        <v>0</v>
      </c>
      <c r="AF367" s="775">
        <f t="shared" si="282"/>
        <v>0</v>
      </c>
      <c r="AG367" s="775">
        <f t="shared" si="283"/>
        <v>0</v>
      </c>
      <c r="AI367" s="773">
        <v>355</v>
      </c>
      <c r="AJ367" s="774">
        <f t="shared" si="284"/>
        <v>10775</v>
      </c>
      <c r="AK367" s="775">
        <f t="shared" si="285"/>
        <v>0</v>
      </c>
      <c r="AL367" s="775">
        <f t="shared" si="264"/>
        <v>0</v>
      </c>
      <c r="AM367" s="775">
        <f t="shared" si="256"/>
        <v>0</v>
      </c>
      <c r="AN367" s="775">
        <f t="shared" si="286"/>
        <v>0</v>
      </c>
      <c r="AO367" s="775">
        <f t="shared" si="287"/>
        <v>0</v>
      </c>
      <c r="AQ367" s="773">
        <v>355</v>
      </c>
      <c r="AR367" s="774">
        <f t="shared" si="288"/>
        <v>10775</v>
      </c>
      <c r="AS367" s="775">
        <f t="shared" si="289"/>
        <v>0</v>
      </c>
      <c r="AT367" s="775">
        <f t="shared" si="265"/>
        <v>0</v>
      </c>
      <c r="AU367" s="775">
        <f t="shared" si="257"/>
        <v>0</v>
      </c>
      <c r="AV367" s="775">
        <f t="shared" si="290"/>
        <v>0</v>
      </c>
      <c r="AW367" s="775">
        <f t="shared" si="291"/>
        <v>0</v>
      </c>
      <c r="AY367" s="773">
        <v>355</v>
      </c>
      <c r="AZ367" s="774">
        <f t="shared" si="292"/>
        <v>10775</v>
      </c>
      <c r="BA367" s="775">
        <f t="shared" si="293"/>
        <v>0</v>
      </c>
      <c r="BB367" s="775">
        <f t="shared" si="266"/>
        <v>0</v>
      </c>
      <c r="BC367" s="775">
        <f t="shared" si="258"/>
        <v>0</v>
      </c>
      <c r="BD367" s="775">
        <f t="shared" si="294"/>
        <v>0</v>
      </c>
      <c r="BE367" s="775">
        <f t="shared" si="295"/>
        <v>0</v>
      </c>
      <c r="BG367" s="773">
        <v>355</v>
      </c>
      <c r="BH367" s="774">
        <f t="shared" si="296"/>
        <v>10775</v>
      </c>
      <c r="BI367" s="775">
        <f t="shared" si="297"/>
        <v>0</v>
      </c>
      <c r="BJ367" s="775">
        <f t="shared" si="267"/>
        <v>0</v>
      </c>
      <c r="BK367" s="775">
        <f t="shared" si="259"/>
        <v>0</v>
      </c>
      <c r="BL367" s="775">
        <f t="shared" si="298"/>
        <v>0</v>
      </c>
      <c r="BM367" s="775">
        <f t="shared" si="299"/>
        <v>0</v>
      </c>
    </row>
    <row r="368" spans="1:65">
      <c r="A368" s="11">
        <f t="shared" si="252"/>
        <v>1929</v>
      </c>
      <c r="B368" s="773">
        <v>356</v>
      </c>
      <c r="C368" s="774">
        <f t="shared" si="268"/>
        <v>10806</v>
      </c>
      <c r="D368" s="775">
        <f t="shared" si="269"/>
        <v>0</v>
      </c>
      <c r="E368" s="775">
        <f t="shared" si="260"/>
        <v>0</v>
      </c>
      <c r="F368" s="775">
        <f t="shared" si="250"/>
        <v>0</v>
      </c>
      <c r="G368" s="775">
        <f t="shared" si="270"/>
        <v>0</v>
      </c>
      <c r="H368" s="775">
        <f t="shared" si="271"/>
        <v>0</v>
      </c>
      <c r="I368" s="775">
        <f t="shared" si="251"/>
        <v>0</v>
      </c>
      <c r="K368" s="773">
        <v>356</v>
      </c>
      <c r="L368" s="774">
        <f t="shared" si="272"/>
        <v>10806</v>
      </c>
      <c r="M368" s="775">
        <f t="shared" si="273"/>
        <v>0</v>
      </c>
      <c r="N368" s="775">
        <f t="shared" si="261"/>
        <v>0</v>
      </c>
      <c r="O368" s="775">
        <f t="shared" si="253"/>
        <v>0</v>
      </c>
      <c r="P368" s="775">
        <f t="shared" si="274"/>
        <v>0</v>
      </c>
      <c r="Q368" s="775">
        <f t="shared" si="275"/>
        <v>0</v>
      </c>
      <c r="S368" s="773">
        <v>356</v>
      </c>
      <c r="T368" s="774">
        <f t="shared" si="276"/>
        <v>10806</v>
      </c>
      <c r="U368" s="775">
        <f t="shared" si="277"/>
        <v>0</v>
      </c>
      <c r="V368" s="775">
        <f t="shared" si="262"/>
        <v>0</v>
      </c>
      <c r="W368" s="775">
        <f t="shared" si="254"/>
        <v>0</v>
      </c>
      <c r="X368" s="775">
        <f t="shared" si="278"/>
        <v>0</v>
      </c>
      <c r="Y368" s="775">
        <f t="shared" si="279"/>
        <v>0</v>
      </c>
      <c r="AA368" s="773">
        <v>356</v>
      </c>
      <c r="AB368" s="774">
        <f t="shared" si="280"/>
        <v>10806</v>
      </c>
      <c r="AC368" s="775">
        <f t="shared" si="281"/>
        <v>0</v>
      </c>
      <c r="AD368" s="775">
        <f t="shared" si="263"/>
        <v>0</v>
      </c>
      <c r="AE368" s="775">
        <f t="shared" si="255"/>
        <v>0</v>
      </c>
      <c r="AF368" s="775">
        <f t="shared" si="282"/>
        <v>0</v>
      </c>
      <c r="AG368" s="775">
        <f t="shared" si="283"/>
        <v>0</v>
      </c>
      <c r="AI368" s="773">
        <v>356</v>
      </c>
      <c r="AJ368" s="774">
        <f t="shared" si="284"/>
        <v>10806</v>
      </c>
      <c r="AK368" s="775">
        <f t="shared" si="285"/>
        <v>0</v>
      </c>
      <c r="AL368" s="775">
        <f t="shared" si="264"/>
        <v>0</v>
      </c>
      <c r="AM368" s="775">
        <f t="shared" si="256"/>
        <v>0</v>
      </c>
      <c r="AN368" s="775">
        <f t="shared" si="286"/>
        <v>0</v>
      </c>
      <c r="AO368" s="775">
        <f t="shared" si="287"/>
        <v>0</v>
      </c>
      <c r="AQ368" s="773">
        <v>356</v>
      </c>
      <c r="AR368" s="774">
        <f t="shared" si="288"/>
        <v>10806</v>
      </c>
      <c r="AS368" s="775">
        <f t="shared" si="289"/>
        <v>0</v>
      </c>
      <c r="AT368" s="775">
        <f t="shared" si="265"/>
        <v>0</v>
      </c>
      <c r="AU368" s="775">
        <f t="shared" si="257"/>
        <v>0</v>
      </c>
      <c r="AV368" s="775">
        <f t="shared" si="290"/>
        <v>0</v>
      </c>
      <c r="AW368" s="775">
        <f t="shared" si="291"/>
        <v>0</v>
      </c>
      <c r="AY368" s="773">
        <v>356</v>
      </c>
      <c r="AZ368" s="774">
        <f t="shared" si="292"/>
        <v>10806</v>
      </c>
      <c r="BA368" s="775">
        <f t="shared" si="293"/>
        <v>0</v>
      </c>
      <c r="BB368" s="775">
        <f t="shared" si="266"/>
        <v>0</v>
      </c>
      <c r="BC368" s="775">
        <f t="shared" si="258"/>
        <v>0</v>
      </c>
      <c r="BD368" s="775">
        <f t="shared" si="294"/>
        <v>0</v>
      </c>
      <c r="BE368" s="775">
        <f t="shared" si="295"/>
        <v>0</v>
      </c>
      <c r="BG368" s="773">
        <v>356</v>
      </c>
      <c r="BH368" s="774">
        <f t="shared" si="296"/>
        <v>10806</v>
      </c>
      <c r="BI368" s="775">
        <f t="shared" si="297"/>
        <v>0</v>
      </c>
      <c r="BJ368" s="775">
        <f t="shared" si="267"/>
        <v>0</v>
      </c>
      <c r="BK368" s="775">
        <f t="shared" si="259"/>
        <v>0</v>
      </c>
      <c r="BL368" s="775">
        <f t="shared" si="298"/>
        <v>0</v>
      </c>
      <c r="BM368" s="775">
        <f t="shared" si="299"/>
        <v>0</v>
      </c>
    </row>
    <row r="369" spans="1:65">
      <c r="A369" s="11">
        <f t="shared" si="252"/>
        <v>1929</v>
      </c>
      <c r="B369" s="773">
        <v>357</v>
      </c>
      <c r="C369" s="774">
        <f t="shared" si="268"/>
        <v>10837</v>
      </c>
      <c r="D369" s="775">
        <f t="shared" si="269"/>
        <v>0</v>
      </c>
      <c r="E369" s="775">
        <f t="shared" si="260"/>
        <v>0</v>
      </c>
      <c r="F369" s="775">
        <f t="shared" si="250"/>
        <v>0</v>
      </c>
      <c r="G369" s="775">
        <f t="shared" si="270"/>
        <v>0</v>
      </c>
      <c r="H369" s="775">
        <f t="shared" si="271"/>
        <v>0</v>
      </c>
      <c r="I369" s="775">
        <f t="shared" si="251"/>
        <v>0</v>
      </c>
      <c r="K369" s="773">
        <v>357</v>
      </c>
      <c r="L369" s="774">
        <f t="shared" si="272"/>
        <v>10837</v>
      </c>
      <c r="M369" s="775">
        <f t="shared" si="273"/>
        <v>0</v>
      </c>
      <c r="N369" s="775">
        <f t="shared" si="261"/>
        <v>0</v>
      </c>
      <c r="O369" s="775">
        <f t="shared" si="253"/>
        <v>0</v>
      </c>
      <c r="P369" s="775">
        <f t="shared" si="274"/>
        <v>0</v>
      </c>
      <c r="Q369" s="775">
        <f t="shared" si="275"/>
        <v>0</v>
      </c>
      <c r="S369" s="773">
        <v>357</v>
      </c>
      <c r="T369" s="774">
        <f t="shared" si="276"/>
        <v>10837</v>
      </c>
      <c r="U369" s="775">
        <f t="shared" si="277"/>
        <v>0</v>
      </c>
      <c r="V369" s="775">
        <f t="shared" si="262"/>
        <v>0</v>
      </c>
      <c r="W369" s="775">
        <f t="shared" si="254"/>
        <v>0</v>
      </c>
      <c r="X369" s="775">
        <f t="shared" si="278"/>
        <v>0</v>
      </c>
      <c r="Y369" s="775">
        <f t="shared" si="279"/>
        <v>0</v>
      </c>
      <c r="AA369" s="773">
        <v>357</v>
      </c>
      <c r="AB369" s="774">
        <f t="shared" si="280"/>
        <v>10837</v>
      </c>
      <c r="AC369" s="775">
        <f t="shared" si="281"/>
        <v>0</v>
      </c>
      <c r="AD369" s="775">
        <f t="shared" si="263"/>
        <v>0</v>
      </c>
      <c r="AE369" s="775">
        <f t="shared" si="255"/>
        <v>0</v>
      </c>
      <c r="AF369" s="775">
        <f t="shared" si="282"/>
        <v>0</v>
      </c>
      <c r="AG369" s="775">
        <f t="shared" si="283"/>
        <v>0</v>
      </c>
      <c r="AI369" s="773">
        <v>357</v>
      </c>
      <c r="AJ369" s="774">
        <f t="shared" si="284"/>
        <v>10837</v>
      </c>
      <c r="AK369" s="775">
        <f t="shared" si="285"/>
        <v>0</v>
      </c>
      <c r="AL369" s="775">
        <f t="shared" si="264"/>
        <v>0</v>
      </c>
      <c r="AM369" s="775">
        <f t="shared" si="256"/>
        <v>0</v>
      </c>
      <c r="AN369" s="775">
        <f t="shared" si="286"/>
        <v>0</v>
      </c>
      <c r="AO369" s="775">
        <f t="shared" si="287"/>
        <v>0</v>
      </c>
      <c r="AQ369" s="773">
        <v>357</v>
      </c>
      <c r="AR369" s="774">
        <f t="shared" si="288"/>
        <v>10837</v>
      </c>
      <c r="AS369" s="775">
        <f t="shared" si="289"/>
        <v>0</v>
      </c>
      <c r="AT369" s="775">
        <f t="shared" si="265"/>
        <v>0</v>
      </c>
      <c r="AU369" s="775">
        <f t="shared" si="257"/>
        <v>0</v>
      </c>
      <c r="AV369" s="775">
        <f t="shared" si="290"/>
        <v>0</v>
      </c>
      <c r="AW369" s="775">
        <f t="shared" si="291"/>
        <v>0</v>
      </c>
      <c r="AY369" s="773">
        <v>357</v>
      </c>
      <c r="AZ369" s="774">
        <f t="shared" si="292"/>
        <v>10837</v>
      </c>
      <c r="BA369" s="775">
        <f t="shared" si="293"/>
        <v>0</v>
      </c>
      <c r="BB369" s="775">
        <f t="shared" si="266"/>
        <v>0</v>
      </c>
      <c r="BC369" s="775">
        <f t="shared" si="258"/>
        <v>0</v>
      </c>
      <c r="BD369" s="775">
        <f t="shared" si="294"/>
        <v>0</v>
      </c>
      <c r="BE369" s="775">
        <f t="shared" si="295"/>
        <v>0</v>
      </c>
      <c r="BG369" s="773">
        <v>357</v>
      </c>
      <c r="BH369" s="774">
        <f t="shared" si="296"/>
        <v>10837</v>
      </c>
      <c r="BI369" s="775">
        <f t="shared" si="297"/>
        <v>0</v>
      </c>
      <c r="BJ369" s="775">
        <f t="shared" si="267"/>
        <v>0</v>
      </c>
      <c r="BK369" s="775">
        <f t="shared" si="259"/>
        <v>0</v>
      </c>
      <c r="BL369" s="775">
        <f t="shared" si="298"/>
        <v>0</v>
      </c>
      <c r="BM369" s="775">
        <f t="shared" si="299"/>
        <v>0</v>
      </c>
    </row>
    <row r="370" spans="1:65">
      <c r="A370" s="11">
        <f t="shared" si="252"/>
        <v>1929</v>
      </c>
      <c r="B370" s="773">
        <v>358</v>
      </c>
      <c r="C370" s="774">
        <f t="shared" si="268"/>
        <v>10867</v>
      </c>
      <c r="D370" s="775">
        <f t="shared" si="269"/>
        <v>0</v>
      </c>
      <c r="E370" s="775">
        <f t="shared" si="260"/>
        <v>0</v>
      </c>
      <c r="F370" s="775">
        <f t="shared" si="250"/>
        <v>0</v>
      </c>
      <c r="G370" s="775">
        <f t="shared" si="270"/>
        <v>0</v>
      </c>
      <c r="H370" s="775">
        <f t="shared" si="271"/>
        <v>0</v>
      </c>
      <c r="I370" s="775">
        <f t="shared" si="251"/>
        <v>0</v>
      </c>
      <c r="K370" s="773">
        <v>358</v>
      </c>
      <c r="L370" s="774">
        <f t="shared" si="272"/>
        <v>10867</v>
      </c>
      <c r="M370" s="775">
        <f t="shared" si="273"/>
        <v>0</v>
      </c>
      <c r="N370" s="775">
        <f t="shared" si="261"/>
        <v>0</v>
      </c>
      <c r="O370" s="775">
        <f t="shared" si="253"/>
        <v>0</v>
      </c>
      <c r="P370" s="775">
        <f t="shared" si="274"/>
        <v>0</v>
      </c>
      <c r="Q370" s="775">
        <f t="shared" si="275"/>
        <v>0</v>
      </c>
      <c r="S370" s="773">
        <v>358</v>
      </c>
      <c r="T370" s="774">
        <f t="shared" si="276"/>
        <v>10867</v>
      </c>
      <c r="U370" s="775">
        <f t="shared" si="277"/>
        <v>0</v>
      </c>
      <c r="V370" s="775">
        <f t="shared" si="262"/>
        <v>0</v>
      </c>
      <c r="W370" s="775">
        <f t="shared" si="254"/>
        <v>0</v>
      </c>
      <c r="X370" s="775">
        <f t="shared" si="278"/>
        <v>0</v>
      </c>
      <c r="Y370" s="775">
        <f t="shared" si="279"/>
        <v>0</v>
      </c>
      <c r="AA370" s="773">
        <v>358</v>
      </c>
      <c r="AB370" s="774">
        <f t="shared" si="280"/>
        <v>10867</v>
      </c>
      <c r="AC370" s="775">
        <f t="shared" si="281"/>
        <v>0</v>
      </c>
      <c r="AD370" s="775">
        <f t="shared" si="263"/>
        <v>0</v>
      </c>
      <c r="AE370" s="775">
        <f t="shared" si="255"/>
        <v>0</v>
      </c>
      <c r="AF370" s="775">
        <f t="shared" si="282"/>
        <v>0</v>
      </c>
      <c r="AG370" s="775">
        <f t="shared" si="283"/>
        <v>0</v>
      </c>
      <c r="AI370" s="773">
        <v>358</v>
      </c>
      <c r="AJ370" s="774">
        <f t="shared" si="284"/>
        <v>10867</v>
      </c>
      <c r="AK370" s="775">
        <f t="shared" si="285"/>
        <v>0</v>
      </c>
      <c r="AL370" s="775">
        <f t="shared" si="264"/>
        <v>0</v>
      </c>
      <c r="AM370" s="775">
        <f t="shared" si="256"/>
        <v>0</v>
      </c>
      <c r="AN370" s="775">
        <f t="shared" si="286"/>
        <v>0</v>
      </c>
      <c r="AO370" s="775">
        <f t="shared" si="287"/>
        <v>0</v>
      </c>
      <c r="AQ370" s="773">
        <v>358</v>
      </c>
      <c r="AR370" s="774">
        <f t="shared" si="288"/>
        <v>10867</v>
      </c>
      <c r="AS370" s="775">
        <f t="shared" si="289"/>
        <v>0</v>
      </c>
      <c r="AT370" s="775">
        <f t="shared" si="265"/>
        <v>0</v>
      </c>
      <c r="AU370" s="775">
        <f t="shared" si="257"/>
        <v>0</v>
      </c>
      <c r="AV370" s="775">
        <f t="shared" si="290"/>
        <v>0</v>
      </c>
      <c r="AW370" s="775">
        <f t="shared" si="291"/>
        <v>0</v>
      </c>
      <c r="AY370" s="773">
        <v>358</v>
      </c>
      <c r="AZ370" s="774">
        <f t="shared" si="292"/>
        <v>10867</v>
      </c>
      <c r="BA370" s="775">
        <f t="shared" si="293"/>
        <v>0</v>
      </c>
      <c r="BB370" s="775">
        <f t="shared" si="266"/>
        <v>0</v>
      </c>
      <c r="BC370" s="775">
        <f t="shared" si="258"/>
        <v>0</v>
      </c>
      <c r="BD370" s="775">
        <f t="shared" si="294"/>
        <v>0</v>
      </c>
      <c r="BE370" s="775">
        <f t="shared" si="295"/>
        <v>0</v>
      </c>
      <c r="BG370" s="773">
        <v>358</v>
      </c>
      <c r="BH370" s="774">
        <f t="shared" si="296"/>
        <v>10867</v>
      </c>
      <c r="BI370" s="775">
        <f t="shared" si="297"/>
        <v>0</v>
      </c>
      <c r="BJ370" s="775">
        <f t="shared" si="267"/>
        <v>0</v>
      </c>
      <c r="BK370" s="775">
        <f t="shared" si="259"/>
        <v>0</v>
      </c>
      <c r="BL370" s="775">
        <f t="shared" si="298"/>
        <v>0</v>
      </c>
      <c r="BM370" s="775">
        <f t="shared" si="299"/>
        <v>0</v>
      </c>
    </row>
    <row r="371" spans="1:65">
      <c r="A371" s="11">
        <f t="shared" si="252"/>
        <v>1929</v>
      </c>
      <c r="B371" s="773">
        <v>359</v>
      </c>
      <c r="C371" s="774">
        <f t="shared" si="268"/>
        <v>10898</v>
      </c>
      <c r="D371" s="775">
        <f t="shared" si="269"/>
        <v>0</v>
      </c>
      <c r="E371" s="775">
        <f t="shared" si="260"/>
        <v>0</v>
      </c>
      <c r="F371" s="775">
        <f t="shared" si="250"/>
        <v>0</v>
      </c>
      <c r="G371" s="775">
        <f t="shared" si="270"/>
        <v>0</v>
      </c>
      <c r="H371" s="775">
        <f t="shared" si="271"/>
        <v>0</v>
      </c>
      <c r="I371" s="775">
        <f t="shared" si="251"/>
        <v>0</v>
      </c>
      <c r="K371" s="773">
        <v>359</v>
      </c>
      <c r="L371" s="774">
        <f t="shared" si="272"/>
        <v>10898</v>
      </c>
      <c r="M371" s="775">
        <f t="shared" si="273"/>
        <v>0</v>
      </c>
      <c r="N371" s="775">
        <f t="shared" si="261"/>
        <v>0</v>
      </c>
      <c r="O371" s="775">
        <f t="shared" si="253"/>
        <v>0</v>
      </c>
      <c r="P371" s="775">
        <f t="shared" si="274"/>
        <v>0</v>
      </c>
      <c r="Q371" s="775">
        <f t="shared" si="275"/>
        <v>0</v>
      </c>
      <c r="S371" s="773">
        <v>359</v>
      </c>
      <c r="T371" s="774">
        <f t="shared" si="276"/>
        <v>10898</v>
      </c>
      <c r="U371" s="775">
        <f t="shared" si="277"/>
        <v>0</v>
      </c>
      <c r="V371" s="775">
        <f t="shared" si="262"/>
        <v>0</v>
      </c>
      <c r="W371" s="775">
        <f t="shared" si="254"/>
        <v>0</v>
      </c>
      <c r="X371" s="775">
        <f t="shared" si="278"/>
        <v>0</v>
      </c>
      <c r="Y371" s="775">
        <f t="shared" si="279"/>
        <v>0</v>
      </c>
      <c r="AA371" s="773">
        <v>359</v>
      </c>
      <c r="AB371" s="774">
        <f t="shared" si="280"/>
        <v>10898</v>
      </c>
      <c r="AC371" s="775">
        <f t="shared" si="281"/>
        <v>0</v>
      </c>
      <c r="AD371" s="775">
        <f t="shared" si="263"/>
        <v>0</v>
      </c>
      <c r="AE371" s="775">
        <f t="shared" si="255"/>
        <v>0</v>
      </c>
      <c r="AF371" s="775">
        <f t="shared" si="282"/>
        <v>0</v>
      </c>
      <c r="AG371" s="775">
        <f t="shared" si="283"/>
        <v>0</v>
      </c>
      <c r="AI371" s="773">
        <v>359</v>
      </c>
      <c r="AJ371" s="774">
        <f t="shared" si="284"/>
        <v>10898</v>
      </c>
      <c r="AK371" s="775">
        <f t="shared" si="285"/>
        <v>0</v>
      </c>
      <c r="AL371" s="775">
        <f t="shared" si="264"/>
        <v>0</v>
      </c>
      <c r="AM371" s="775">
        <f t="shared" si="256"/>
        <v>0</v>
      </c>
      <c r="AN371" s="775">
        <f t="shared" si="286"/>
        <v>0</v>
      </c>
      <c r="AO371" s="775">
        <f t="shared" si="287"/>
        <v>0</v>
      </c>
      <c r="AQ371" s="773">
        <v>359</v>
      </c>
      <c r="AR371" s="774">
        <f t="shared" si="288"/>
        <v>10898</v>
      </c>
      <c r="AS371" s="775">
        <f t="shared" si="289"/>
        <v>0</v>
      </c>
      <c r="AT371" s="775">
        <f t="shared" si="265"/>
        <v>0</v>
      </c>
      <c r="AU371" s="775">
        <f t="shared" si="257"/>
        <v>0</v>
      </c>
      <c r="AV371" s="775">
        <f t="shared" si="290"/>
        <v>0</v>
      </c>
      <c r="AW371" s="775">
        <f t="shared" si="291"/>
        <v>0</v>
      </c>
      <c r="AY371" s="773">
        <v>359</v>
      </c>
      <c r="AZ371" s="774">
        <f t="shared" si="292"/>
        <v>10898</v>
      </c>
      <c r="BA371" s="775">
        <f t="shared" si="293"/>
        <v>0</v>
      </c>
      <c r="BB371" s="775">
        <f t="shared" si="266"/>
        <v>0</v>
      </c>
      <c r="BC371" s="775">
        <f t="shared" si="258"/>
        <v>0</v>
      </c>
      <c r="BD371" s="775">
        <f t="shared" si="294"/>
        <v>0</v>
      </c>
      <c r="BE371" s="775">
        <f t="shared" si="295"/>
        <v>0</v>
      </c>
      <c r="BG371" s="773">
        <v>359</v>
      </c>
      <c r="BH371" s="774">
        <f t="shared" si="296"/>
        <v>10898</v>
      </c>
      <c r="BI371" s="775">
        <f t="shared" si="297"/>
        <v>0</v>
      </c>
      <c r="BJ371" s="775">
        <f t="shared" si="267"/>
        <v>0</v>
      </c>
      <c r="BK371" s="775">
        <f t="shared" si="259"/>
        <v>0</v>
      </c>
      <c r="BL371" s="775">
        <f t="shared" si="298"/>
        <v>0</v>
      </c>
      <c r="BM371" s="775">
        <f t="shared" si="299"/>
        <v>0</v>
      </c>
    </row>
    <row r="372" spans="1:65">
      <c r="A372" s="11">
        <f t="shared" si="252"/>
        <v>1929</v>
      </c>
      <c r="B372" s="773">
        <v>360</v>
      </c>
      <c r="C372" s="774">
        <f t="shared" si="268"/>
        <v>10928</v>
      </c>
      <c r="D372" s="775">
        <f t="shared" si="269"/>
        <v>0</v>
      </c>
      <c r="E372" s="775">
        <f t="shared" si="260"/>
        <v>0</v>
      </c>
      <c r="F372" s="775">
        <f t="shared" si="250"/>
        <v>0</v>
      </c>
      <c r="G372" s="775">
        <f t="shared" si="270"/>
        <v>0</v>
      </c>
      <c r="H372" s="775">
        <f t="shared" si="271"/>
        <v>0</v>
      </c>
      <c r="I372" s="775">
        <f t="shared" si="251"/>
        <v>0</v>
      </c>
      <c r="K372" s="773">
        <v>360</v>
      </c>
      <c r="L372" s="774">
        <f t="shared" si="272"/>
        <v>10928</v>
      </c>
      <c r="M372" s="775">
        <f t="shared" si="273"/>
        <v>0</v>
      </c>
      <c r="N372" s="775">
        <f t="shared" si="261"/>
        <v>0</v>
      </c>
      <c r="O372" s="775">
        <f t="shared" si="253"/>
        <v>0</v>
      </c>
      <c r="P372" s="775">
        <f t="shared" si="274"/>
        <v>0</v>
      </c>
      <c r="Q372" s="775">
        <f t="shared" si="275"/>
        <v>0</v>
      </c>
      <c r="S372" s="773">
        <v>360</v>
      </c>
      <c r="T372" s="774">
        <f t="shared" si="276"/>
        <v>10928</v>
      </c>
      <c r="U372" s="775">
        <f t="shared" si="277"/>
        <v>0</v>
      </c>
      <c r="V372" s="775">
        <f t="shared" si="262"/>
        <v>0</v>
      </c>
      <c r="W372" s="775">
        <f t="shared" si="254"/>
        <v>0</v>
      </c>
      <c r="X372" s="775">
        <f t="shared" si="278"/>
        <v>0</v>
      </c>
      <c r="Y372" s="775">
        <f t="shared" si="279"/>
        <v>0</v>
      </c>
      <c r="AA372" s="773">
        <v>360</v>
      </c>
      <c r="AB372" s="774">
        <f t="shared" si="280"/>
        <v>10928</v>
      </c>
      <c r="AC372" s="775">
        <f t="shared" si="281"/>
        <v>0</v>
      </c>
      <c r="AD372" s="775">
        <f t="shared" si="263"/>
        <v>0</v>
      </c>
      <c r="AE372" s="775">
        <f t="shared" si="255"/>
        <v>0</v>
      </c>
      <c r="AF372" s="775">
        <f t="shared" si="282"/>
        <v>0</v>
      </c>
      <c r="AG372" s="775">
        <f t="shared" si="283"/>
        <v>0</v>
      </c>
      <c r="AI372" s="773">
        <v>360</v>
      </c>
      <c r="AJ372" s="774">
        <f t="shared" si="284"/>
        <v>10928</v>
      </c>
      <c r="AK372" s="775">
        <f t="shared" si="285"/>
        <v>0</v>
      </c>
      <c r="AL372" s="775">
        <f t="shared" si="264"/>
        <v>0</v>
      </c>
      <c r="AM372" s="775">
        <f t="shared" si="256"/>
        <v>0</v>
      </c>
      <c r="AN372" s="775">
        <f t="shared" si="286"/>
        <v>0</v>
      </c>
      <c r="AO372" s="775">
        <f t="shared" si="287"/>
        <v>0</v>
      </c>
      <c r="AQ372" s="773">
        <v>360</v>
      </c>
      <c r="AR372" s="774">
        <f t="shared" si="288"/>
        <v>10928</v>
      </c>
      <c r="AS372" s="775">
        <f t="shared" si="289"/>
        <v>0</v>
      </c>
      <c r="AT372" s="775">
        <f t="shared" si="265"/>
        <v>0</v>
      </c>
      <c r="AU372" s="775">
        <f t="shared" si="257"/>
        <v>0</v>
      </c>
      <c r="AV372" s="775">
        <f t="shared" si="290"/>
        <v>0</v>
      </c>
      <c r="AW372" s="775">
        <f t="shared" si="291"/>
        <v>0</v>
      </c>
      <c r="AY372" s="773">
        <v>360</v>
      </c>
      <c r="AZ372" s="774">
        <f t="shared" si="292"/>
        <v>10928</v>
      </c>
      <c r="BA372" s="775">
        <f t="shared" si="293"/>
        <v>0</v>
      </c>
      <c r="BB372" s="775">
        <f t="shared" si="266"/>
        <v>0</v>
      </c>
      <c r="BC372" s="775">
        <f t="shared" si="258"/>
        <v>0</v>
      </c>
      <c r="BD372" s="775">
        <f t="shared" si="294"/>
        <v>0</v>
      </c>
      <c r="BE372" s="775">
        <f t="shared" si="295"/>
        <v>0</v>
      </c>
      <c r="BG372" s="773">
        <v>360</v>
      </c>
      <c r="BH372" s="774">
        <f t="shared" si="296"/>
        <v>10928</v>
      </c>
      <c r="BI372" s="775">
        <f t="shared" si="297"/>
        <v>0</v>
      </c>
      <c r="BJ372" s="775">
        <f t="shared" si="267"/>
        <v>0</v>
      </c>
      <c r="BK372" s="775">
        <f t="shared" si="259"/>
        <v>0</v>
      </c>
      <c r="BL372" s="775">
        <f t="shared" si="298"/>
        <v>0</v>
      </c>
      <c r="BM372" s="775">
        <f t="shared" si="299"/>
        <v>0</v>
      </c>
    </row>
    <row r="373" spans="1:65">
      <c r="A373" s="11">
        <f t="shared" si="252"/>
        <v>1930</v>
      </c>
      <c r="B373" s="773">
        <v>361</v>
      </c>
      <c r="C373" s="774">
        <f t="shared" si="268"/>
        <v>10959</v>
      </c>
      <c r="D373" s="775">
        <f t="shared" ref="D373:D436" si="300">H372</f>
        <v>0</v>
      </c>
      <c r="E373" s="775">
        <f t="shared" ref="E373:E436" si="301">IF(ROUND(D373,0)&gt;0,E372,0)</f>
        <v>0</v>
      </c>
      <c r="F373" s="775">
        <f t="shared" ref="F373:F436" si="302">D373*$E$7/12</f>
        <v>0</v>
      </c>
      <c r="G373" s="775">
        <f t="shared" ref="G373:G436" si="303">E373-F373</f>
        <v>0</v>
      </c>
      <c r="H373" s="775">
        <f t="shared" ref="H373:H436" si="304">D373-G373</f>
        <v>0</v>
      </c>
      <c r="I373" s="775">
        <f t="shared" si="251"/>
        <v>0</v>
      </c>
      <c r="K373" s="773">
        <v>361</v>
      </c>
      <c r="L373" s="774">
        <f t="shared" si="272"/>
        <v>10959</v>
      </c>
      <c r="M373" s="775">
        <f t="shared" si="273"/>
        <v>0</v>
      </c>
      <c r="N373" s="775">
        <f t="shared" si="261"/>
        <v>0</v>
      </c>
      <c r="O373" s="775">
        <f t="shared" si="253"/>
        <v>0</v>
      </c>
      <c r="P373" s="775">
        <f t="shared" si="274"/>
        <v>0</v>
      </c>
      <c r="Q373" s="775">
        <f t="shared" si="275"/>
        <v>0</v>
      </c>
      <c r="S373" s="773">
        <v>361</v>
      </c>
      <c r="T373" s="774">
        <f t="shared" si="276"/>
        <v>10959</v>
      </c>
      <c r="U373" s="775">
        <f t="shared" si="277"/>
        <v>0</v>
      </c>
      <c r="V373" s="775">
        <f t="shared" si="262"/>
        <v>0</v>
      </c>
      <c r="W373" s="775">
        <f t="shared" si="254"/>
        <v>0</v>
      </c>
      <c r="X373" s="775">
        <f t="shared" si="278"/>
        <v>0</v>
      </c>
      <c r="Y373" s="775">
        <f t="shared" si="279"/>
        <v>0</v>
      </c>
      <c r="AA373" s="773">
        <v>361</v>
      </c>
      <c r="AB373" s="774">
        <f t="shared" si="280"/>
        <v>10959</v>
      </c>
      <c r="AC373" s="775">
        <f t="shared" si="281"/>
        <v>0</v>
      </c>
      <c r="AD373" s="775">
        <f t="shared" si="263"/>
        <v>0</v>
      </c>
      <c r="AE373" s="775">
        <f t="shared" si="255"/>
        <v>0</v>
      </c>
      <c r="AF373" s="775">
        <f t="shared" si="282"/>
        <v>0</v>
      </c>
      <c r="AG373" s="775">
        <f t="shared" si="283"/>
        <v>0</v>
      </c>
      <c r="AI373" s="773">
        <v>361</v>
      </c>
      <c r="AJ373" s="774">
        <f t="shared" si="284"/>
        <v>10959</v>
      </c>
      <c r="AK373" s="775">
        <f t="shared" si="285"/>
        <v>0</v>
      </c>
      <c r="AL373" s="775">
        <f t="shared" si="264"/>
        <v>0</v>
      </c>
      <c r="AM373" s="775">
        <f t="shared" si="256"/>
        <v>0</v>
      </c>
      <c r="AN373" s="775">
        <f t="shared" si="286"/>
        <v>0</v>
      </c>
      <c r="AO373" s="775">
        <f t="shared" si="287"/>
        <v>0</v>
      </c>
      <c r="AQ373" s="773">
        <v>361</v>
      </c>
      <c r="AR373" s="774">
        <f t="shared" si="288"/>
        <v>10959</v>
      </c>
      <c r="AS373" s="775">
        <f t="shared" si="289"/>
        <v>0</v>
      </c>
      <c r="AT373" s="775">
        <f t="shared" si="265"/>
        <v>0</v>
      </c>
      <c r="AU373" s="775">
        <f t="shared" si="257"/>
        <v>0</v>
      </c>
      <c r="AV373" s="775">
        <f t="shared" si="290"/>
        <v>0</v>
      </c>
      <c r="AW373" s="775">
        <f t="shared" si="291"/>
        <v>0</v>
      </c>
      <c r="AY373" s="773">
        <v>361</v>
      </c>
      <c r="AZ373" s="774">
        <f t="shared" si="292"/>
        <v>10959</v>
      </c>
      <c r="BA373" s="775">
        <f t="shared" si="293"/>
        <v>0</v>
      </c>
      <c r="BB373" s="775">
        <f t="shared" si="266"/>
        <v>0</v>
      </c>
      <c r="BC373" s="775">
        <f t="shared" si="258"/>
        <v>0</v>
      </c>
      <c r="BD373" s="775">
        <f t="shared" si="294"/>
        <v>0</v>
      </c>
      <c r="BE373" s="775">
        <f t="shared" si="295"/>
        <v>0</v>
      </c>
      <c r="BG373" s="773">
        <v>361</v>
      </c>
      <c r="BH373" s="774">
        <f t="shared" si="296"/>
        <v>10959</v>
      </c>
      <c r="BI373" s="775">
        <f t="shared" si="297"/>
        <v>0</v>
      </c>
      <c r="BJ373" s="775">
        <f t="shared" si="267"/>
        <v>0</v>
      </c>
      <c r="BK373" s="775">
        <f t="shared" si="259"/>
        <v>0</v>
      </c>
      <c r="BL373" s="775">
        <f t="shared" si="298"/>
        <v>0</v>
      </c>
      <c r="BM373" s="775">
        <f t="shared" si="299"/>
        <v>0</v>
      </c>
    </row>
    <row r="374" spans="1:65">
      <c r="A374" s="11">
        <f t="shared" si="252"/>
        <v>1930</v>
      </c>
      <c r="B374" s="773">
        <v>362</v>
      </c>
      <c r="C374" s="774">
        <f t="shared" si="268"/>
        <v>10990</v>
      </c>
      <c r="D374" s="775">
        <f t="shared" si="300"/>
        <v>0</v>
      </c>
      <c r="E374" s="775">
        <f t="shared" si="301"/>
        <v>0</v>
      </c>
      <c r="F374" s="775">
        <f t="shared" si="302"/>
        <v>0</v>
      </c>
      <c r="G374" s="775">
        <f t="shared" si="303"/>
        <v>0</v>
      </c>
      <c r="H374" s="775">
        <f t="shared" si="304"/>
        <v>0</v>
      </c>
      <c r="I374" s="775">
        <f t="shared" si="251"/>
        <v>0</v>
      </c>
      <c r="K374" s="773">
        <v>362</v>
      </c>
      <c r="L374" s="774">
        <f t="shared" si="272"/>
        <v>10990</v>
      </c>
      <c r="M374" s="775">
        <f t="shared" si="273"/>
        <v>0</v>
      </c>
      <c r="N374" s="775">
        <f t="shared" si="261"/>
        <v>0</v>
      </c>
      <c r="O374" s="775">
        <f t="shared" si="253"/>
        <v>0</v>
      </c>
      <c r="P374" s="775">
        <f t="shared" si="274"/>
        <v>0</v>
      </c>
      <c r="Q374" s="775">
        <f t="shared" si="275"/>
        <v>0</v>
      </c>
      <c r="S374" s="773">
        <v>362</v>
      </c>
      <c r="T374" s="774">
        <f t="shared" si="276"/>
        <v>10990</v>
      </c>
      <c r="U374" s="775">
        <f t="shared" si="277"/>
        <v>0</v>
      </c>
      <c r="V374" s="775">
        <f t="shared" si="262"/>
        <v>0</v>
      </c>
      <c r="W374" s="775">
        <f t="shared" si="254"/>
        <v>0</v>
      </c>
      <c r="X374" s="775">
        <f t="shared" si="278"/>
        <v>0</v>
      </c>
      <c r="Y374" s="775">
        <f t="shared" si="279"/>
        <v>0</v>
      </c>
      <c r="AA374" s="773">
        <v>362</v>
      </c>
      <c r="AB374" s="774">
        <f t="shared" si="280"/>
        <v>10990</v>
      </c>
      <c r="AC374" s="775">
        <f t="shared" si="281"/>
        <v>0</v>
      </c>
      <c r="AD374" s="775">
        <f t="shared" si="263"/>
        <v>0</v>
      </c>
      <c r="AE374" s="775">
        <f t="shared" si="255"/>
        <v>0</v>
      </c>
      <c r="AF374" s="775">
        <f t="shared" si="282"/>
        <v>0</v>
      </c>
      <c r="AG374" s="775">
        <f t="shared" si="283"/>
        <v>0</v>
      </c>
      <c r="AI374" s="773">
        <v>362</v>
      </c>
      <c r="AJ374" s="774">
        <f t="shared" si="284"/>
        <v>10990</v>
      </c>
      <c r="AK374" s="775">
        <f t="shared" si="285"/>
        <v>0</v>
      </c>
      <c r="AL374" s="775">
        <f t="shared" si="264"/>
        <v>0</v>
      </c>
      <c r="AM374" s="775">
        <f t="shared" si="256"/>
        <v>0</v>
      </c>
      <c r="AN374" s="775">
        <f t="shared" si="286"/>
        <v>0</v>
      </c>
      <c r="AO374" s="775">
        <f t="shared" si="287"/>
        <v>0</v>
      </c>
      <c r="AQ374" s="773">
        <v>362</v>
      </c>
      <c r="AR374" s="774">
        <f t="shared" si="288"/>
        <v>10990</v>
      </c>
      <c r="AS374" s="775">
        <f t="shared" si="289"/>
        <v>0</v>
      </c>
      <c r="AT374" s="775">
        <f t="shared" si="265"/>
        <v>0</v>
      </c>
      <c r="AU374" s="775">
        <f t="shared" si="257"/>
        <v>0</v>
      </c>
      <c r="AV374" s="775">
        <f t="shared" si="290"/>
        <v>0</v>
      </c>
      <c r="AW374" s="775">
        <f t="shared" si="291"/>
        <v>0</v>
      </c>
      <c r="AY374" s="773">
        <v>362</v>
      </c>
      <c r="AZ374" s="774">
        <f t="shared" si="292"/>
        <v>10990</v>
      </c>
      <c r="BA374" s="775">
        <f t="shared" si="293"/>
        <v>0</v>
      </c>
      <c r="BB374" s="775">
        <f t="shared" si="266"/>
        <v>0</v>
      </c>
      <c r="BC374" s="775">
        <f t="shared" si="258"/>
        <v>0</v>
      </c>
      <c r="BD374" s="775">
        <f t="shared" si="294"/>
        <v>0</v>
      </c>
      <c r="BE374" s="775">
        <f t="shared" si="295"/>
        <v>0</v>
      </c>
      <c r="BG374" s="773">
        <v>362</v>
      </c>
      <c r="BH374" s="774">
        <f t="shared" si="296"/>
        <v>10990</v>
      </c>
      <c r="BI374" s="775">
        <f t="shared" si="297"/>
        <v>0</v>
      </c>
      <c r="BJ374" s="775">
        <f t="shared" si="267"/>
        <v>0</v>
      </c>
      <c r="BK374" s="775">
        <f t="shared" si="259"/>
        <v>0</v>
      </c>
      <c r="BL374" s="775">
        <f t="shared" si="298"/>
        <v>0</v>
      </c>
      <c r="BM374" s="775">
        <f t="shared" si="299"/>
        <v>0</v>
      </c>
    </row>
    <row r="375" spans="1:65">
      <c r="A375" s="11">
        <f t="shared" si="252"/>
        <v>1930</v>
      </c>
      <c r="B375" s="773">
        <v>363</v>
      </c>
      <c r="C375" s="774">
        <f t="shared" si="268"/>
        <v>11018</v>
      </c>
      <c r="D375" s="775">
        <f t="shared" si="300"/>
        <v>0</v>
      </c>
      <c r="E375" s="775">
        <f t="shared" si="301"/>
        <v>0</v>
      </c>
      <c r="F375" s="775">
        <f t="shared" si="302"/>
        <v>0</v>
      </c>
      <c r="G375" s="775">
        <f t="shared" si="303"/>
        <v>0</v>
      </c>
      <c r="H375" s="775">
        <f t="shared" si="304"/>
        <v>0</v>
      </c>
      <c r="I375" s="775">
        <f t="shared" si="251"/>
        <v>0</v>
      </c>
      <c r="K375" s="773">
        <v>363</v>
      </c>
      <c r="L375" s="774">
        <f t="shared" si="272"/>
        <v>11018</v>
      </c>
      <c r="M375" s="775">
        <f t="shared" si="273"/>
        <v>0</v>
      </c>
      <c r="N375" s="775">
        <f t="shared" si="261"/>
        <v>0</v>
      </c>
      <c r="O375" s="775">
        <f t="shared" si="253"/>
        <v>0</v>
      </c>
      <c r="P375" s="775">
        <f t="shared" si="274"/>
        <v>0</v>
      </c>
      <c r="Q375" s="775">
        <f t="shared" si="275"/>
        <v>0</v>
      </c>
      <c r="S375" s="773">
        <v>363</v>
      </c>
      <c r="T375" s="774">
        <f t="shared" si="276"/>
        <v>11018</v>
      </c>
      <c r="U375" s="775">
        <f t="shared" si="277"/>
        <v>0</v>
      </c>
      <c r="V375" s="775">
        <f t="shared" si="262"/>
        <v>0</v>
      </c>
      <c r="W375" s="775">
        <f t="shared" si="254"/>
        <v>0</v>
      </c>
      <c r="X375" s="775">
        <f t="shared" si="278"/>
        <v>0</v>
      </c>
      <c r="Y375" s="775">
        <f t="shared" si="279"/>
        <v>0</v>
      </c>
      <c r="AA375" s="773">
        <v>363</v>
      </c>
      <c r="AB375" s="774">
        <f t="shared" si="280"/>
        <v>11018</v>
      </c>
      <c r="AC375" s="775">
        <f t="shared" si="281"/>
        <v>0</v>
      </c>
      <c r="AD375" s="775">
        <f t="shared" si="263"/>
        <v>0</v>
      </c>
      <c r="AE375" s="775">
        <f t="shared" si="255"/>
        <v>0</v>
      </c>
      <c r="AF375" s="775">
        <f t="shared" si="282"/>
        <v>0</v>
      </c>
      <c r="AG375" s="775">
        <f t="shared" si="283"/>
        <v>0</v>
      </c>
      <c r="AI375" s="773">
        <v>363</v>
      </c>
      <c r="AJ375" s="774">
        <f t="shared" si="284"/>
        <v>11018</v>
      </c>
      <c r="AK375" s="775">
        <f t="shared" si="285"/>
        <v>0</v>
      </c>
      <c r="AL375" s="775">
        <f t="shared" si="264"/>
        <v>0</v>
      </c>
      <c r="AM375" s="775">
        <f t="shared" si="256"/>
        <v>0</v>
      </c>
      <c r="AN375" s="775">
        <f t="shared" si="286"/>
        <v>0</v>
      </c>
      <c r="AO375" s="775">
        <f t="shared" si="287"/>
        <v>0</v>
      </c>
      <c r="AQ375" s="773">
        <v>363</v>
      </c>
      <c r="AR375" s="774">
        <f t="shared" si="288"/>
        <v>11018</v>
      </c>
      <c r="AS375" s="775">
        <f t="shared" si="289"/>
        <v>0</v>
      </c>
      <c r="AT375" s="775">
        <f t="shared" si="265"/>
        <v>0</v>
      </c>
      <c r="AU375" s="775">
        <f t="shared" si="257"/>
        <v>0</v>
      </c>
      <c r="AV375" s="775">
        <f t="shared" si="290"/>
        <v>0</v>
      </c>
      <c r="AW375" s="775">
        <f t="shared" si="291"/>
        <v>0</v>
      </c>
      <c r="AY375" s="773">
        <v>363</v>
      </c>
      <c r="AZ375" s="774">
        <f t="shared" si="292"/>
        <v>11018</v>
      </c>
      <c r="BA375" s="775">
        <f t="shared" si="293"/>
        <v>0</v>
      </c>
      <c r="BB375" s="775">
        <f t="shared" si="266"/>
        <v>0</v>
      </c>
      <c r="BC375" s="775">
        <f t="shared" si="258"/>
        <v>0</v>
      </c>
      <c r="BD375" s="775">
        <f t="shared" si="294"/>
        <v>0</v>
      </c>
      <c r="BE375" s="775">
        <f t="shared" si="295"/>
        <v>0</v>
      </c>
      <c r="BG375" s="773">
        <v>363</v>
      </c>
      <c r="BH375" s="774">
        <f t="shared" si="296"/>
        <v>11018</v>
      </c>
      <c r="BI375" s="775">
        <f t="shared" si="297"/>
        <v>0</v>
      </c>
      <c r="BJ375" s="775">
        <f t="shared" si="267"/>
        <v>0</v>
      </c>
      <c r="BK375" s="775">
        <f t="shared" si="259"/>
        <v>0</v>
      </c>
      <c r="BL375" s="775">
        <f t="shared" si="298"/>
        <v>0</v>
      </c>
      <c r="BM375" s="775">
        <f t="shared" si="299"/>
        <v>0</v>
      </c>
    </row>
    <row r="376" spans="1:65">
      <c r="A376" s="11">
        <f t="shared" si="252"/>
        <v>1930</v>
      </c>
      <c r="B376" s="773">
        <v>364</v>
      </c>
      <c r="C376" s="774">
        <f t="shared" si="268"/>
        <v>11049</v>
      </c>
      <c r="D376" s="775">
        <f t="shared" si="300"/>
        <v>0</v>
      </c>
      <c r="E376" s="775">
        <f t="shared" si="301"/>
        <v>0</v>
      </c>
      <c r="F376" s="775">
        <f t="shared" si="302"/>
        <v>0</v>
      </c>
      <c r="G376" s="775">
        <f t="shared" si="303"/>
        <v>0</v>
      </c>
      <c r="H376" s="775">
        <f t="shared" si="304"/>
        <v>0</v>
      </c>
      <c r="I376" s="775">
        <f t="shared" si="251"/>
        <v>0</v>
      </c>
      <c r="K376" s="773">
        <v>364</v>
      </c>
      <c r="L376" s="774">
        <f t="shared" si="272"/>
        <v>11049</v>
      </c>
      <c r="M376" s="775">
        <f t="shared" si="273"/>
        <v>0</v>
      </c>
      <c r="N376" s="775">
        <f t="shared" si="261"/>
        <v>0</v>
      </c>
      <c r="O376" s="775">
        <f t="shared" si="253"/>
        <v>0</v>
      </c>
      <c r="P376" s="775">
        <f t="shared" si="274"/>
        <v>0</v>
      </c>
      <c r="Q376" s="775">
        <f t="shared" si="275"/>
        <v>0</v>
      </c>
      <c r="S376" s="773">
        <v>364</v>
      </c>
      <c r="T376" s="774">
        <f t="shared" si="276"/>
        <v>11049</v>
      </c>
      <c r="U376" s="775">
        <f t="shared" si="277"/>
        <v>0</v>
      </c>
      <c r="V376" s="775">
        <f t="shared" si="262"/>
        <v>0</v>
      </c>
      <c r="W376" s="775">
        <f t="shared" si="254"/>
        <v>0</v>
      </c>
      <c r="X376" s="775">
        <f t="shared" si="278"/>
        <v>0</v>
      </c>
      <c r="Y376" s="775">
        <f t="shared" si="279"/>
        <v>0</v>
      </c>
      <c r="AA376" s="773">
        <v>364</v>
      </c>
      <c r="AB376" s="774">
        <f t="shared" si="280"/>
        <v>11049</v>
      </c>
      <c r="AC376" s="775">
        <f t="shared" si="281"/>
        <v>0</v>
      </c>
      <c r="AD376" s="775">
        <f t="shared" si="263"/>
        <v>0</v>
      </c>
      <c r="AE376" s="775">
        <f t="shared" si="255"/>
        <v>0</v>
      </c>
      <c r="AF376" s="775">
        <f t="shared" si="282"/>
        <v>0</v>
      </c>
      <c r="AG376" s="775">
        <f t="shared" si="283"/>
        <v>0</v>
      </c>
      <c r="AI376" s="773">
        <v>364</v>
      </c>
      <c r="AJ376" s="774">
        <f t="shared" si="284"/>
        <v>11049</v>
      </c>
      <c r="AK376" s="775">
        <f t="shared" si="285"/>
        <v>0</v>
      </c>
      <c r="AL376" s="775">
        <f t="shared" si="264"/>
        <v>0</v>
      </c>
      <c r="AM376" s="775">
        <f t="shared" si="256"/>
        <v>0</v>
      </c>
      <c r="AN376" s="775">
        <f t="shared" si="286"/>
        <v>0</v>
      </c>
      <c r="AO376" s="775">
        <f t="shared" si="287"/>
        <v>0</v>
      </c>
      <c r="AQ376" s="773">
        <v>364</v>
      </c>
      <c r="AR376" s="774">
        <f t="shared" si="288"/>
        <v>11049</v>
      </c>
      <c r="AS376" s="775">
        <f t="shared" si="289"/>
        <v>0</v>
      </c>
      <c r="AT376" s="775">
        <f t="shared" si="265"/>
        <v>0</v>
      </c>
      <c r="AU376" s="775">
        <f t="shared" si="257"/>
        <v>0</v>
      </c>
      <c r="AV376" s="775">
        <f t="shared" si="290"/>
        <v>0</v>
      </c>
      <c r="AW376" s="775">
        <f t="shared" si="291"/>
        <v>0</v>
      </c>
      <c r="AY376" s="773">
        <v>364</v>
      </c>
      <c r="AZ376" s="774">
        <f t="shared" si="292"/>
        <v>11049</v>
      </c>
      <c r="BA376" s="775">
        <f t="shared" si="293"/>
        <v>0</v>
      </c>
      <c r="BB376" s="775">
        <f t="shared" si="266"/>
        <v>0</v>
      </c>
      <c r="BC376" s="775">
        <f t="shared" si="258"/>
        <v>0</v>
      </c>
      <c r="BD376" s="775">
        <f t="shared" si="294"/>
        <v>0</v>
      </c>
      <c r="BE376" s="775">
        <f t="shared" si="295"/>
        <v>0</v>
      </c>
      <c r="BG376" s="773">
        <v>364</v>
      </c>
      <c r="BH376" s="774">
        <f t="shared" si="296"/>
        <v>11049</v>
      </c>
      <c r="BI376" s="775">
        <f t="shared" si="297"/>
        <v>0</v>
      </c>
      <c r="BJ376" s="775">
        <f t="shared" si="267"/>
        <v>0</v>
      </c>
      <c r="BK376" s="775">
        <f t="shared" si="259"/>
        <v>0</v>
      </c>
      <c r="BL376" s="775">
        <f t="shared" si="298"/>
        <v>0</v>
      </c>
      <c r="BM376" s="775">
        <f t="shared" si="299"/>
        <v>0</v>
      </c>
    </row>
    <row r="377" spans="1:65">
      <c r="A377" s="11">
        <f t="shared" si="252"/>
        <v>1930</v>
      </c>
      <c r="B377" s="773">
        <v>365</v>
      </c>
      <c r="C377" s="774">
        <f t="shared" si="268"/>
        <v>11079</v>
      </c>
      <c r="D377" s="775">
        <f t="shared" si="300"/>
        <v>0</v>
      </c>
      <c r="E377" s="775">
        <f t="shared" si="301"/>
        <v>0</v>
      </c>
      <c r="F377" s="775">
        <f t="shared" si="302"/>
        <v>0</v>
      </c>
      <c r="G377" s="775">
        <f t="shared" si="303"/>
        <v>0</v>
      </c>
      <c r="H377" s="775">
        <f t="shared" si="304"/>
        <v>0</v>
      </c>
      <c r="I377" s="775">
        <f t="shared" si="251"/>
        <v>0</v>
      </c>
      <c r="K377" s="773">
        <v>365</v>
      </c>
      <c r="L377" s="774">
        <f t="shared" si="272"/>
        <v>11079</v>
      </c>
      <c r="M377" s="775">
        <f t="shared" si="273"/>
        <v>0</v>
      </c>
      <c r="N377" s="775">
        <f t="shared" si="261"/>
        <v>0</v>
      </c>
      <c r="O377" s="775">
        <f t="shared" si="253"/>
        <v>0</v>
      </c>
      <c r="P377" s="775">
        <f t="shared" si="274"/>
        <v>0</v>
      </c>
      <c r="Q377" s="775">
        <f t="shared" si="275"/>
        <v>0</v>
      </c>
      <c r="S377" s="773">
        <v>365</v>
      </c>
      <c r="T377" s="774">
        <f t="shared" si="276"/>
        <v>11079</v>
      </c>
      <c r="U377" s="775">
        <f t="shared" si="277"/>
        <v>0</v>
      </c>
      <c r="V377" s="775">
        <f t="shared" si="262"/>
        <v>0</v>
      </c>
      <c r="W377" s="775">
        <f t="shared" si="254"/>
        <v>0</v>
      </c>
      <c r="X377" s="775">
        <f t="shared" si="278"/>
        <v>0</v>
      </c>
      <c r="Y377" s="775">
        <f t="shared" si="279"/>
        <v>0</v>
      </c>
      <c r="AA377" s="773">
        <v>365</v>
      </c>
      <c r="AB377" s="774">
        <f t="shared" si="280"/>
        <v>11079</v>
      </c>
      <c r="AC377" s="775">
        <f t="shared" si="281"/>
        <v>0</v>
      </c>
      <c r="AD377" s="775">
        <f t="shared" si="263"/>
        <v>0</v>
      </c>
      <c r="AE377" s="775">
        <f t="shared" si="255"/>
        <v>0</v>
      </c>
      <c r="AF377" s="775">
        <f t="shared" si="282"/>
        <v>0</v>
      </c>
      <c r="AG377" s="775">
        <f t="shared" si="283"/>
        <v>0</v>
      </c>
      <c r="AI377" s="773">
        <v>365</v>
      </c>
      <c r="AJ377" s="774">
        <f t="shared" si="284"/>
        <v>11079</v>
      </c>
      <c r="AK377" s="775">
        <f t="shared" si="285"/>
        <v>0</v>
      </c>
      <c r="AL377" s="775">
        <f t="shared" si="264"/>
        <v>0</v>
      </c>
      <c r="AM377" s="775">
        <f t="shared" si="256"/>
        <v>0</v>
      </c>
      <c r="AN377" s="775">
        <f t="shared" si="286"/>
        <v>0</v>
      </c>
      <c r="AO377" s="775">
        <f t="shared" si="287"/>
        <v>0</v>
      </c>
      <c r="AQ377" s="773">
        <v>365</v>
      </c>
      <c r="AR377" s="774">
        <f t="shared" si="288"/>
        <v>11079</v>
      </c>
      <c r="AS377" s="775">
        <f t="shared" si="289"/>
        <v>0</v>
      </c>
      <c r="AT377" s="775">
        <f t="shared" si="265"/>
        <v>0</v>
      </c>
      <c r="AU377" s="775">
        <f t="shared" si="257"/>
        <v>0</v>
      </c>
      <c r="AV377" s="775">
        <f t="shared" si="290"/>
        <v>0</v>
      </c>
      <c r="AW377" s="775">
        <f t="shared" si="291"/>
        <v>0</v>
      </c>
      <c r="AY377" s="773">
        <v>365</v>
      </c>
      <c r="AZ377" s="774">
        <f t="shared" si="292"/>
        <v>11079</v>
      </c>
      <c r="BA377" s="775">
        <f t="shared" si="293"/>
        <v>0</v>
      </c>
      <c r="BB377" s="775">
        <f t="shared" si="266"/>
        <v>0</v>
      </c>
      <c r="BC377" s="775">
        <f t="shared" si="258"/>
        <v>0</v>
      </c>
      <c r="BD377" s="775">
        <f t="shared" si="294"/>
        <v>0</v>
      </c>
      <c r="BE377" s="775">
        <f t="shared" si="295"/>
        <v>0</v>
      </c>
      <c r="BG377" s="773">
        <v>365</v>
      </c>
      <c r="BH377" s="774">
        <f t="shared" si="296"/>
        <v>11079</v>
      </c>
      <c r="BI377" s="775">
        <f t="shared" si="297"/>
        <v>0</v>
      </c>
      <c r="BJ377" s="775">
        <f t="shared" si="267"/>
        <v>0</v>
      </c>
      <c r="BK377" s="775">
        <f t="shared" si="259"/>
        <v>0</v>
      </c>
      <c r="BL377" s="775">
        <f t="shared" si="298"/>
        <v>0</v>
      </c>
      <c r="BM377" s="775">
        <f t="shared" si="299"/>
        <v>0</v>
      </c>
    </row>
    <row r="378" spans="1:65">
      <c r="A378" s="11">
        <f t="shared" si="252"/>
        <v>1930</v>
      </c>
      <c r="B378" s="773">
        <v>366</v>
      </c>
      <c r="C378" s="774">
        <f t="shared" si="268"/>
        <v>11110</v>
      </c>
      <c r="D378" s="775">
        <f t="shared" si="300"/>
        <v>0</v>
      </c>
      <c r="E378" s="775">
        <f t="shared" si="301"/>
        <v>0</v>
      </c>
      <c r="F378" s="775">
        <f t="shared" si="302"/>
        <v>0</v>
      </c>
      <c r="G378" s="775">
        <f t="shared" si="303"/>
        <v>0</v>
      </c>
      <c r="H378" s="775">
        <f t="shared" si="304"/>
        <v>0</v>
      </c>
      <c r="I378" s="775">
        <f t="shared" si="251"/>
        <v>0</v>
      </c>
      <c r="K378" s="773">
        <v>366</v>
      </c>
      <c r="L378" s="774">
        <f t="shared" si="272"/>
        <v>11110</v>
      </c>
      <c r="M378" s="775">
        <f t="shared" si="273"/>
        <v>0</v>
      </c>
      <c r="N378" s="775">
        <f t="shared" si="261"/>
        <v>0</v>
      </c>
      <c r="O378" s="775">
        <f t="shared" si="253"/>
        <v>0</v>
      </c>
      <c r="P378" s="775">
        <f t="shared" si="274"/>
        <v>0</v>
      </c>
      <c r="Q378" s="775">
        <f t="shared" si="275"/>
        <v>0</v>
      </c>
      <c r="S378" s="773">
        <v>366</v>
      </c>
      <c r="T378" s="774">
        <f t="shared" si="276"/>
        <v>11110</v>
      </c>
      <c r="U378" s="775">
        <f t="shared" si="277"/>
        <v>0</v>
      </c>
      <c r="V378" s="775">
        <f t="shared" si="262"/>
        <v>0</v>
      </c>
      <c r="W378" s="775">
        <f t="shared" si="254"/>
        <v>0</v>
      </c>
      <c r="X378" s="775">
        <f t="shared" si="278"/>
        <v>0</v>
      </c>
      <c r="Y378" s="775">
        <f t="shared" si="279"/>
        <v>0</v>
      </c>
      <c r="AA378" s="773">
        <v>366</v>
      </c>
      <c r="AB378" s="774">
        <f t="shared" si="280"/>
        <v>11110</v>
      </c>
      <c r="AC378" s="775">
        <f t="shared" si="281"/>
        <v>0</v>
      </c>
      <c r="AD378" s="775">
        <f t="shared" si="263"/>
        <v>0</v>
      </c>
      <c r="AE378" s="775">
        <f t="shared" si="255"/>
        <v>0</v>
      </c>
      <c r="AF378" s="775">
        <f t="shared" si="282"/>
        <v>0</v>
      </c>
      <c r="AG378" s="775">
        <f t="shared" si="283"/>
        <v>0</v>
      </c>
      <c r="AI378" s="773">
        <v>366</v>
      </c>
      <c r="AJ378" s="774">
        <f t="shared" si="284"/>
        <v>11110</v>
      </c>
      <c r="AK378" s="775">
        <f t="shared" si="285"/>
        <v>0</v>
      </c>
      <c r="AL378" s="775">
        <f t="shared" si="264"/>
        <v>0</v>
      </c>
      <c r="AM378" s="775">
        <f t="shared" si="256"/>
        <v>0</v>
      </c>
      <c r="AN378" s="775">
        <f t="shared" si="286"/>
        <v>0</v>
      </c>
      <c r="AO378" s="775">
        <f t="shared" si="287"/>
        <v>0</v>
      </c>
      <c r="AQ378" s="773">
        <v>366</v>
      </c>
      <c r="AR378" s="774">
        <f t="shared" si="288"/>
        <v>11110</v>
      </c>
      <c r="AS378" s="775">
        <f t="shared" si="289"/>
        <v>0</v>
      </c>
      <c r="AT378" s="775">
        <f t="shared" si="265"/>
        <v>0</v>
      </c>
      <c r="AU378" s="775">
        <f t="shared" si="257"/>
        <v>0</v>
      </c>
      <c r="AV378" s="775">
        <f t="shared" si="290"/>
        <v>0</v>
      </c>
      <c r="AW378" s="775">
        <f t="shared" si="291"/>
        <v>0</v>
      </c>
      <c r="AY378" s="773">
        <v>366</v>
      </c>
      <c r="AZ378" s="774">
        <f t="shared" si="292"/>
        <v>11110</v>
      </c>
      <c r="BA378" s="775">
        <f t="shared" si="293"/>
        <v>0</v>
      </c>
      <c r="BB378" s="775">
        <f t="shared" si="266"/>
        <v>0</v>
      </c>
      <c r="BC378" s="775">
        <f t="shared" si="258"/>
        <v>0</v>
      </c>
      <c r="BD378" s="775">
        <f t="shared" si="294"/>
        <v>0</v>
      </c>
      <c r="BE378" s="775">
        <f t="shared" si="295"/>
        <v>0</v>
      </c>
      <c r="BG378" s="773">
        <v>366</v>
      </c>
      <c r="BH378" s="774">
        <f t="shared" si="296"/>
        <v>11110</v>
      </c>
      <c r="BI378" s="775">
        <f t="shared" si="297"/>
        <v>0</v>
      </c>
      <c r="BJ378" s="775">
        <f t="shared" si="267"/>
        <v>0</v>
      </c>
      <c r="BK378" s="775">
        <f t="shared" si="259"/>
        <v>0</v>
      </c>
      <c r="BL378" s="775">
        <f t="shared" si="298"/>
        <v>0</v>
      </c>
      <c r="BM378" s="775">
        <f t="shared" si="299"/>
        <v>0</v>
      </c>
    </row>
    <row r="379" spans="1:65">
      <c r="A379" s="11">
        <f t="shared" si="252"/>
        <v>1930</v>
      </c>
      <c r="B379" s="773">
        <v>367</v>
      </c>
      <c r="C379" s="774">
        <f t="shared" si="268"/>
        <v>11140</v>
      </c>
      <c r="D379" s="775">
        <f t="shared" si="300"/>
        <v>0</v>
      </c>
      <c r="E379" s="775">
        <f t="shared" si="301"/>
        <v>0</v>
      </c>
      <c r="F379" s="775">
        <f t="shared" si="302"/>
        <v>0</v>
      </c>
      <c r="G379" s="775">
        <f t="shared" si="303"/>
        <v>0</v>
      </c>
      <c r="H379" s="775">
        <f t="shared" si="304"/>
        <v>0</v>
      </c>
      <c r="I379" s="775">
        <f t="shared" si="251"/>
        <v>0</v>
      </c>
      <c r="K379" s="773">
        <v>367</v>
      </c>
      <c r="L379" s="774">
        <f t="shared" si="272"/>
        <v>11140</v>
      </c>
      <c r="M379" s="775">
        <f t="shared" si="273"/>
        <v>0</v>
      </c>
      <c r="N379" s="775">
        <f t="shared" si="261"/>
        <v>0</v>
      </c>
      <c r="O379" s="775">
        <f t="shared" si="253"/>
        <v>0</v>
      </c>
      <c r="P379" s="775">
        <f t="shared" si="274"/>
        <v>0</v>
      </c>
      <c r="Q379" s="775">
        <f t="shared" si="275"/>
        <v>0</v>
      </c>
      <c r="S379" s="773">
        <v>367</v>
      </c>
      <c r="T379" s="774">
        <f t="shared" si="276"/>
        <v>11140</v>
      </c>
      <c r="U379" s="775">
        <f t="shared" si="277"/>
        <v>0</v>
      </c>
      <c r="V379" s="775">
        <f t="shared" si="262"/>
        <v>0</v>
      </c>
      <c r="W379" s="775">
        <f t="shared" si="254"/>
        <v>0</v>
      </c>
      <c r="X379" s="775">
        <f t="shared" si="278"/>
        <v>0</v>
      </c>
      <c r="Y379" s="775">
        <f t="shared" si="279"/>
        <v>0</v>
      </c>
      <c r="AA379" s="773">
        <v>367</v>
      </c>
      <c r="AB379" s="774">
        <f t="shared" si="280"/>
        <v>11140</v>
      </c>
      <c r="AC379" s="775">
        <f t="shared" si="281"/>
        <v>0</v>
      </c>
      <c r="AD379" s="775">
        <f t="shared" si="263"/>
        <v>0</v>
      </c>
      <c r="AE379" s="775">
        <f t="shared" si="255"/>
        <v>0</v>
      </c>
      <c r="AF379" s="775">
        <f t="shared" si="282"/>
        <v>0</v>
      </c>
      <c r="AG379" s="775">
        <f t="shared" si="283"/>
        <v>0</v>
      </c>
      <c r="AI379" s="773">
        <v>367</v>
      </c>
      <c r="AJ379" s="774">
        <f t="shared" si="284"/>
        <v>11140</v>
      </c>
      <c r="AK379" s="775">
        <f t="shared" si="285"/>
        <v>0</v>
      </c>
      <c r="AL379" s="775">
        <f t="shared" si="264"/>
        <v>0</v>
      </c>
      <c r="AM379" s="775">
        <f t="shared" si="256"/>
        <v>0</v>
      </c>
      <c r="AN379" s="775">
        <f t="shared" si="286"/>
        <v>0</v>
      </c>
      <c r="AO379" s="775">
        <f t="shared" si="287"/>
        <v>0</v>
      </c>
      <c r="AQ379" s="773">
        <v>367</v>
      </c>
      <c r="AR379" s="774">
        <f t="shared" si="288"/>
        <v>11140</v>
      </c>
      <c r="AS379" s="775">
        <f t="shared" si="289"/>
        <v>0</v>
      </c>
      <c r="AT379" s="775">
        <f t="shared" si="265"/>
        <v>0</v>
      </c>
      <c r="AU379" s="775">
        <f t="shared" si="257"/>
        <v>0</v>
      </c>
      <c r="AV379" s="775">
        <f t="shared" si="290"/>
        <v>0</v>
      </c>
      <c r="AW379" s="775">
        <f t="shared" si="291"/>
        <v>0</v>
      </c>
      <c r="AY379" s="773">
        <v>367</v>
      </c>
      <c r="AZ379" s="774">
        <f t="shared" si="292"/>
        <v>11140</v>
      </c>
      <c r="BA379" s="775">
        <f t="shared" si="293"/>
        <v>0</v>
      </c>
      <c r="BB379" s="775">
        <f t="shared" si="266"/>
        <v>0</v>
      </c>
      <c r="BC379" s="775">
        <f t="shared" si="258"/>
        <v>0</v>
      </c>
      <c r="BD379" s="775">
        <f t="shared" si="294"/>
        <v>0</v>
      </c>
      <c r="BE379" s="775">
        <f t="shared" si="295"/>
        <v>0</v>
      </c>
      <c r="BG379" s="773">
        <v>367</v>
      </c>
      <c r="BH379" s="774">
        <f t="shared" si="296"/>
        <v>11140</v>
      </c>
      <c r="BI379" s="775">
        <f t="shared" si="297"/>
        <v>0</v>
      </c>
      <c r="BJ379" s="775">
        <f t="shared" si="267"/>
        <v>0</v>
      </c>
      <c r="BK379" s="775">
        <f t="shared" si="259"/>
        <v>0</v>
      </c>
      <c r="BL379" s="775">
        <f t="shared" si="298"/>
        <v>0</v>
      </c>
      <c r="BM379" s="775">
        <f t="shared" si="299"/>
        <v>0</v>
      </c>
    </row>
    <row r="380" spans="1:65">
      <c r="A380" s="11">
        <f t="shared" si="252"/>
        <v>1930</v>
      </c>
      <c r="B380" s="773">
        <v>368</v>
      </c>
      <c r="C380" s="774">
        <f t="shared" si="268"/>
        <v>11171</v>
      </c>
      <c r="D380" s="775">
        <f t="shared" si="300"/>
        <v>0</v>
      </c>
      <c r="E380" s="775">
        <f t="shared" si="301"/>
        <v>0</v>
      </c>
      <c r="F380" s="775">
        <f t="shared" si="302"/>
        <v>0</v>
      </c>
      <c r="G380" s="775">
        <f t="shared" si="303"/>
        <v>0</v>
      </c>
      <c r="H380" s="775">
        <f t="shared" si="304"/>
        <v>0</v>
      </c>
      <c r="I380" s="775">
        <f t="shared" si="251"/>
        <v>0</v>
      </c>
      <c r="K380" s="773">
        <v>368</v>
      </c>
      <c r="L380" s="774">
        <f t="shared" si="272"/>
        <v>11171</v>
      </c>
      <c r="M380" s="775">
        <f t="shared" si="273"/>
        <v>0</v>
      </c>
      <c r="N380" s="775">
        <f t="shared" si="261"/>
        <v>0</v>
      </c>
      <c r="O380" s="775">
        <f t="shared" si="253"/>
        <v>0</v>
      </c>
      <c r="P380" s="775">
        <f t="shared" si="274"/>
        <v>0</v>
      </c>
      <c r="Q380" s="775">
        <f t="shared" si="275"/>
        <v>0</v>
      </c>
      <c r="S380" s="773">
        <v>368</v>
      </c>
      <c r="T380" s="774">
        <f t="shared" si="276"/>
        <v>11171</v>
      </c>
      <c r="U380" s="775">
        <f t="shared" si="277"/>
        <v>0</v>
      </c>
      <c r="V380" s="775">
        <f t="shared" si="262"/>
        <v>0</v>
      </c>
      <c r="W380" s="775">
        <f t="shared" si="254"/>
        <v>0</v>
      </c>
      <c r="X380" s="775">
        <f t="shared" si="278"/>
        <v>0</v>
      </c>
      <c r="Y380" s="775">
        <f t="shared" si="279"/>
        <v>0</v>
      </c>
      <c r="AA380" s="773">
        <v>368</v>
      </c>
      <c r="AB380" s="774">
        <f t="shared" si="280"/>
        <v>11171</v>
      </c>
      <c r="AC380" s="775">
        <f t="shared" si="281"/>
        <v>0</v>
      </c>
      <c r="AD380" s="775">
        <f t="shared" si="263"/>
        <v>0</v>
      </c>
      <c r="AE380" s="775">
        <f t="shared" si="255"/>
        <v>0</v>
      </c>
      <c r="AF380" s="775">
        <f t="shared" si="282"/>
        <v>0</v>
      </c>
      <c r="AG380" s="775">
        <f t="shared" si="283"/>
        <v>0</v>
      </c>
      <c r="AI380" s="773">
        <v>368</v>
      </c>
      <c r="AJ380" s="774">
        <f t="shared" si="284"/>
        <v>11171</v>
      </c>
      <c r="AK380" s="775">
        <f t="shared" si="285"/>
        <v>0</v>
      </c>
      <c r="AL380" s="775">
        <f t="shared" si="264"/>
        <v>0</v>
      </c>
      <c r="AM380" s="775">
        <f t="shared" si="256"/>
        <v>0</v>
      </c>
      <c r="AN380" s="775">
        <f t="shared" si="286"/>
        <v>0</v>
      </c>
      <c r="AO380" s="775">
        <f t="shared" si="287"/>
        <v>0</v>
      </c>
      <c r="AQ380" s="773">
        <v>368</v>
      </c>
      <c r="AR380" s="774">
        <f t="shared" si="288"/>
        <v>11171</v>
      </c>
      <c r="AS380" s="775">
        <f t="shared" si="289"/>
        <v>0</v>
      </c>
      <c r="AT380" s="775">
        <f t="shared" si="265"/>
        <v>0</v>
      </c>
      <c r="AU380" s="775">
        <f t="shared" si="257"/>
        <v>0</v>
      </c>
      <c r="AV380" s="775">
        <f t="shared" si="290"/>
        <v>0</v>
      </c>
      <c r="AW380" s="775">
        <f t="shared" si="291"/>
        <v>0</v>
      </c>
      <c r="AY380" s="773">
        <v>368</v>
      </c>
      <c r="AZ380" s="774">
        <f t="shared" si="292"/>
        <v>11171</v>
      </c>
      <c r="BA380" s="775">
        <f t="shared" si="293"/>
        <v>0</v>
      </c>
      <c r="BB380" s="775">
        <f t="shared" si="266"/>
        <v>0</v>
      </c>
      <c r="BC380" s="775">
        <f t="shared" si="258"/>
        <v>0</v>
      </c>
      <c r="BD380" s="775">
        <f t="shared" si="294"/>
        <v>0</v>
      </c>
      <c r="BE380" s="775">
        <f t="shared" si="295"/>
        <v>0</v>
      </c>
      <c r="BG380" s="773">
        <v>368</v>
      </c>
      <c r="BH380" s="774">
        <f t="shared" si="296"/>
        <v>11171</v>
      </c>
      <c r="BI380" s="775">
        <f t="shared" si="297"/>
        <v>0</v>
      </c>
      <c r="BJ380" s="775">
        <f t="shared" si="267"/>
        <v>0</v>
      </c>
      <c r="BK380" s="775">
        <f t="shared" si="259"/>
        <v>0</v>
      </c>
      <c r="BL380" s="775">
        <f t="shared" si="298"/>
        <v>0</v>
      </c>
      <c r="BM380" s="775">
        <f t="shared" si="299"/>
        <v>0</v>
      </c>
    </row>
    <row r="381" spans="1:65">
      <c r="A381" s="11">
        <f t="shared" si="252"/>
        <v>1930</v>
      </c>
      <c r="B381" s="773">
        <v>369</v>
      </c>
      <c r="C381" s="774">
        <f t="shared" si="268"/>
        <v>11202</v>
      </c>
      <c r="D381" s="775">
        <f t="shared" si="300"/>
        <v>0</v>
      </c>
      <c r="E381" s="775">
        <f t="shared" si="301"/>
        <v>0</v>
      </c>
      <c r="F381" s="775">
        <f t="shared" si="302"/>
        <v>0</v>
      </c>
      <c r="G381" s="775">
        <f t="shared" si="303"/>
        <v>0</v>
      </c>
      <c r="H381" s="775">
        <f t="shared" si="304"/>
        <v>0</v>
      </c>
      <c r="I381" s="775">
        <f t="shared" si="251"/>
        <v>0</v>
      </c>
      <c r="K381" s="773">
        <v>369</v>
      </c>
      <c r="L381" s="774">
        <f t="shared" si="272"/>
        <v>11202</v>
      </c>
      <c r="M381" s="775">
        <f t="shared" si="273"/>
        <v>0</v>
      </c>
      <c r="N381" s="775">
        <f t="shared" si="261"/>
        <v>0</v>
      </c>
      <c r="O381" s="775">
        <f t="shared" si="253"/>
        <v>0</v>
      </c>
      <c r="P381" s="775">
        <f t="shared" si="274"/>
        <v>0</v>
      </c>
      <c r="Q381" s="775">
        <f t="shared" si="275"/>
        <v>0</v>
      </c>
      <c r="S381" s="773">
        <v>369</v>
      </c>
      <c r="T381" s="774">
        <f t="shared" si="276"/>
        <v>11202</v>
      </c>
      <c r="U381" s="775">
        <f t="shared" si="277"/>
        <v>0</v>
      </c>
      <c r="V381" s="775">
        <f t="shared" si="262"/>
        <v>0</v>
      </c>
      <c r="W381" s="775">
        <f t="shared" si="254"/>
        <v>0</v>
      </c>
      <c r="X381" s="775">
        <f t="shared" si="278"/>
        <v>0</v>
      </c>
      <c r="Y381" s="775">
        <f t="shared" si="279"/>
        <v>0</v>
      </c>
      <c r="AA381" s="773">
        <v>369</v>
      </c>
      <c r="AB381" s="774">
        <f t="shared" si="280"/>
        <v>11202</v>
      </c>
      <c r="AC381" s="775">
        <f t="shared" si="281"/>
        <v>0</v>
      </c>
      <c r="AD381" s="775">
        <f t="shared" si="263"/>
        <v>0</v>
      </c>
      <c r="AE381" s="775">
        <f t="shared" si="255"/>
        <v>0</v>
      </c>
      <c r="AF381" s="775">
        <f t="shared" si="282"/>
        <v>0</v>
      </c>
      <c r="AG381" s="775">
        <f t="shared" si="283"/>
        <v>0</v>
      </c>
      <c r="AI381" s="773">
        <v>369</v>
      </c>
      <c r="AJ381" s="774">
        <f t="shared" si="284"/>
        <v>11202</v>
      </c>
      <c r="AK381" s="775">
        <f t="shared" si="285"/>
        <v>0</v>
      </c>
      <c r="AL381" s="775">
        <f t="shared" si="264"/>
        <v>0</v>
      </c>
      <c r="AM381" s="775">
        <f t="shared" si="256"/>
        <v>0</v>
      </c>
      <c r="AN381" s="775">
        <f t="shared" si="286"/>
        <v>0</v>
      </c>
      <c r="AO381" s="775">
        <f t="shared" si="287"/>
        <v>0</v>
      </c>
      <c r="AQ381" s="773">
        <v>369</v>
      </c>
      <c r="AR381" s="774">
        <f t="shared" si="288"/>
        <v>11202</v>
      </c>
      <c r="AS381" s="775">
        <f t="shared" si="289"/>
        <v>0</v>
      </c>
      <c r="AT381" s="775">
        <f t="shared" si="265"/>
        <v>0</v>
      </c>
      <c r="AU381" s="775">
        <f t="shared" si="257"/>
        <v>0</v>
      </c>
      <c r="AV381" s="775">
        <f t="shared" si="290"/>
        <v>0</v>
      </c>
      <c r="AW381" s="775">
        <f t="shared" si="291"/>
        <v>0</v>
      </c>
      <c r="AY381" s="773">
        <v>369</v>
      </c>
      <c r="AZ381" s="774">
        <f t="shared" si="292"/>
        <v>11202</v>
      </c>
      <c r="BA381" s="775">
        <f t="shared" si="293"/>
        <v>0</v>
      </c>
      <c r="BB381" s="775">
        <f t="shared" si="266"/>
        <v>0</v>
      </c>
      <c r="BC381" s="775">
        <f t="shared" si="258"/>
        <v>0</v>
      </c>
      <c r="BD381" s="775">
        <f t="shared" si="294"/>
        <v>0</v>
      </c>
      <c r="BE381" s="775">
        <f t="shared" si="295"/>
        <v>0</v>
      </c>
      <c r="BG381" s="773">
        <v>369</v>
      </c>
      <c r="BH381" s="774">
        <f t="shared" si="296"/>
        <v>11202</v>
      </c>
      <c r="BI381" s="775">
        <f t="shared" si="297"/>
        <v>0</v>
      </c>
      <c r="BJ381" s="775">
        <f t="shared" si="267"/>
        <v>0</v>
      </c>
      <c r="BK381" s="775">
        <f t="shared" si="259"/>
        <v>0</v>
      </c>
      <c r="BL381" s="775">
        <f t="shared" si="298"/>
        <v>0</v>
      </c>
      <c r="BM381" s="775">
        <f t="shared" si="299"/>
        <v>0</v>
      </c>
    </row>
    <row r="382" spans="1:65">
      <c r="A382" s="11">
        <f t="shared" si="252"/>
        <v>1930</v>
      </c>
      <c r="B382" s="773">
        <v>370</v>
      </c>
      <c r="C382" s="774">
        <f t="shared" si="268"/>
        <v>11232</v>
      </c>
      <c r="D382" s="775">
        <f t="shared" si="300"/>
        <v>0</v>
      </c>
      <c r="E382" s="775">
        <f t="shared" si="301"/>
        <v>0</v>
      </c>
      <c r="F382" s="775">
        <f t="shared" si="302"/>
        <v>0</v>
      </c>
      <c r="G382" s="775">
        <f t="shared" si="303"/>
        <v>0</v>
      </c>
      <c r="H382" s="775">
        <f t="shared" si="304"/>
        <v>0</v>
      </c>
      <c r="I382" s="775">
        <f t="shared" si="251"/>
        <v>0</v>
      </c>
      <c r="K382" s="773">
        <v>370</v>
      </c>
      <c r="L382" s="774">
        <f t="shared" si="272"/>
        <v>11232</v>
      </c>
      <c r="M382" s="775">
        <f t="shared" si="273"/>
        <v>0</v>
      </c>
      <c r="N382" s="775">
        <f t="shared" si="261"/>
        <v>0</v>
      </c>
      <c r="O382" s="775">
        <f t="shared" si="253"/>
        <v>0</v>
      </c>
      <c r="P382" s="775">
        <f t="shared" si="274"/>
        <v>0</v>
      </c>
      <c r="Q382" s="775">
        <f t="shared" si="275"/>
        <v>0</v>
      </c>
      <c r="S382" s="773">
        <v>370</v>
      </c>
      <c r="T382" s="774">
        <f t="shared" si="276"/>
        <v>11232</v>
      </c>
      <c r="U382" s="775">
        <f t="shared" si="277"/>
        <v>0</v>
      </c>
      <c r="V382" s="775">
        <f t="shared" si="262"/>
        <v>0</v>
      </c>
      <c r="W382" s="775">
        <f t="shared" si="254"/>
        <v>0</v>
      </c>
      <c r="X382" s="775">
        <f t="shared" si="278"/>
        <v>0</v>
      </c>
      <c r="Y382" s="775">
        <f t="shared" si="279"/>
        <v>0</v>
      </c>
      <c r="AA382" s="773">
        <v>370</v>
      </c>
      <c r="AB382" s="774">
        <f t="shared" si="280"/>
        <v>11232</v>
      </c>
      <c r="AC382" s="775">
        <f t="shared" si="281"/>
        <v>0</v>
      </c>
      <c r="AD382" s="775">
        <f t="shared" si="263"/>
        <v>0</v>
      </c>
      <c r="AE382" s="775">
        <f t="shared" si="255"/>
        <v>0</v>
      </c>
      <c r="AF382" s="775">
        <f t="shared" si="282"/>
        <v>0</v>
      </c>
      <c r="AG382" s="775">
        <f t="shared" si="283"/>
        <v>0</v>
      </c>
      <c r="AI382" s="773">
        <v>370</v>
      </c>
      <c r="AJ382" s="774">
        <f t="shared" si="284"/>
        <v>11232</v>
      </c>
      <c r="AK382" s="775">
        <f t="shared" si="285"/>
        <v>0</v>
      </c>
      <c r="AL382" s="775">
        <f t="shared" si="264"/>
        <v>0</v>
      </c>
      <c r="AM382" s="775">
        <f t="shared" si="256"/>
        <v>0</v>
      </c>
      <c r="AN382" s="775">
        <f t="shared" si="286"/>
        <v>0</v>
      </c>
      <c r="AO382" s="775">
        <f t="shared" si="287"/>
        <v>0</v>
      </c>
      <c r="AQ382" s="773">
        <v>370</v>
      </c>
      <c r="AR382" s="774">
        <f t="shared" si="288"/>
        <v>11232</v>
      </c>
      <c r="AS382" s="775">
        <f t="shared" si="289"/>
        <v>0</v>
      </c>
      <c r="AT382" s="775">
        <f t="shared" si="265"/>
        <v>0</v>
      </c>
      <c r="AU382" s="775">
        <f t="shared" si="257"/>
        <v>0</v>
      </c>
      <c r="AV382" s="775">
        <f t="shared" si="290"/>
        <v>0</v>
      </c>
      <c r="AW382" s="775">
        <f t="shared" si="291"/>
        <v>0</v>
      </c>
      <c r="AY382" s="773">
        <v>370</v>
      </c>
      <c r="AZ382" s="774">
        <f t="shared" si="292"/>
        <v>11232</v>
      </c>
      <c r="BA382" s="775">
        <f t="shared" si="293"/>
        <v>0</v>
      </c>
      <c r="BB382" s="775">
        <f t="shared" si="266"/>
        <v>0</v>
      </c>
      <c r="BC382" s="775">
        <f t="shared" si="258"/>
        <v>0</v>
      </c>
      <c r="BD382" s="775">
        <f t="shared" si="294"/>
        <v>0</v>
      </c>
      <c r="BE382" s="775">
        <f t="shared" si="295"/>
        <v>0</v>
      </c>
      <c r="BG382" s="773">
        <v>370</v>
      </c>
      <c r="BH382" s="774">
        <f t="shared" si="296"/>
        <v>11232</v>
      </c>
      <c r="BI382" s="775">
        <f t="shared" si="297"/>
        <v>0</v>
      </c>
      <c r="BJ382" s="775">
        <f t="shared" si="267"/>
        <v>0</v>
      </c>
      <c r="BK382" s="775">
        <f t="shared" si="259"/>
        <v>0</v>
      </c>
      <c r="BL382" s="775">
        <f t="shared" si="298"/>
        <v>0</v>
      </c>
      <c r="BM382" s="775">
        <f t="shared" si="299"/>
        <v>0</v>
      </c>
    </row>
    <row r="383" spans="1:65">
      <c r="A383" s="11">
        <f t="shared" si="252"/>
        <v>1930</v>
      </c>
      <c r="B383" s="773">
        <v>371</v>
      </c>
      <c r="C383" s="774">
        <f t="shared" si="268"/>
        <v>11263</v>
      </c>
      <c r="D383" s="775">
        <f t="shared" si="300"/>
        <v>0</v>
      </c>
      <c r="E383" s="775">
        <f t="shared" si="301"/>
        <v>0</v>
      </c>
      <c r="F383" s="775">
        <f t="shared" si="302"/>
        <v>0</v>
      </c>
      <c r="G383" s="775">
        <f t="shared" si="303"/>
        <v>0</v>
      </c>
      <c r="H383" s="775">
        <f t="shared" si="304"/>
        <v>0</v>
      </c>
      <c r="I383" s="775">
        <f t="shared" si="251"/>
        <v>0</v>
      </c>
      <c r="K383" s="773">
        <v>371</v>
      </c>
      <c r="L383" s="774">
        <f t="shared" si="272"/>
        <v>11263</v>
      </c>
      <c r="M383" s="775">
        <f t="shared" si="273"/>
        <v>0</v>
      </c>
      <c r="N383" s="775">
        <f t="shared" si="261"/>
        <v>0</v>
      </c>
      <c r="O383" s="775">
        <f t="shared" si="253"/>
        <v>0</v>
      </c>
      <c r="P383" s="775">
        <f t="shared" si="274"/>
        <v>0</v>
      </c>
      <c r="Q383" s="775">
        <f t="shared" si="275"/>
        <v>0</v>
      </c>
      <c r="S383" s="773">
        <v>371</v>
      </c>
      <c r="T383" s="774">
        <f t="shared" si="276"/>
        <v>11263</v>
      </c>
      <c r="U383" s="775">
        <f t="shared" si="277"/>
        <v>0</v>
      </c>
      <c r="V383" s="775">
        <f t="shared" si="262"/>
        <v>0</v>
      </c>
      <c r="W383" s="775">
        <f t="shared" si="254"/>
        <v>0</v>
      </c>
      <c r="X383" s="775">
        <f t="shared" si="278"/>
        <v>0</v>
      </c>
      <c r="Y383" s="775">
        <f t="shared" si="279"/>
        <v>0</v>
      </c>
      <c r="AA383" s="773">
        <v>371</v>
      </c>
      <c r="AB383" s="774">
        <f t="shared" si="280"/>
        <v>11263</v>
      </c>
      <c r="AC383" s="775">
        <f t="shared" si="281"/>
        <v>0</v>
      </c>
      <c r="AD383" s="775">
        <f t="shared" si="263"/>
        <v>0</v>
      </c>
      <c r="AE383" s="775">
        <f t="shared" si="255"/>
        <v>0</v>
      </c>
      <c r="AF383" s="775">
        <f t="shared" si="282"/>
        <v>0</v>
      </c>
      <c r="AG383" s="775">
        <f t="shared" si="283"/>
        <v>0</v>
      </c>
      <c r="AI383" s="773">
        <v>371</v>
      </c>
      <c r="AJ383" s="774">
        <f t="shared" si="284"/>
        <v>11263</v>
      </c>
      <c r="AK383" s="775">
        <f t="shared" si="285"/>
        <v>0</v>
      </c>
      <c r="AL383" s="775">
        <f t="shared" si="264"/>
        <v>0</v>
      </c>
      <c r="AM383" s="775">
        <f t="shared" si="256"/>
        <v>0</v>
      </c>
      <c r="AN383" s="775">
        <f t="shared" si="286"/>
        <v>0</v>
      </c>
      <c r="AO383" s="775">
        <f t="shared" si="287"/>
        <v>0</v>
      </c>
      <c r="AQ383" s="773">
        <v>371</v>
      </c>
      <c r="AR383" s="774">
        <f t="shared" si="288"/>
        <v>11263</v>
      </c>
      <c r="AS383" s="775">
        <f t="shared" si="289"/>
        <v>0</v>
      </c>
      <c r="AT383" s="775">
        <f t="shared" si="265"/>
        <v>0</v>
      </c>
      <c r="AU383" s="775">
        <f t="shared" si="257"/>
        <v>0</v>
      </c>
      <c r="AV383" s="775">
        <f t="shared" si="290"/>
        <v>0</v>
      </c>
      <c r="AW383" s="775">
        <f t="shared" si="291"/>
        <v>0</v>
      </c>
      <c r="AY383" s="773">
        <v>371</v>
      </c>
      <c r="AZ383" s="774">
        <f t="shared" si="292"/>
        <v>11263</v>
      </c>
      <c r="BA383" s="775">
        <f t="shared" si="293"/>
        <v>0</v>
      </c>
      <c r="BB383" s="775">
        <f t="shared" si="266"/>
        <v>0</v>
      </c>
      <c r="BC383" s="775">
        <f t="shared" si="258"/>
        <v>0</v>
      </c>
      <c r="BD383" s="775">
        <f t="shared" si="294"/>
        <v>0</v>
      </c>
      <c r="BE383" s="775">
        <f t="shared" si="295"/>
        <v>0</v>
      </c>
      <c r="BG383" s="773">
        <v>371</v>
      </c>
      <c r="BH383" s="774">
        <f t="shared" si="296"/>
        <v>11263</v>
      </c>
      <c r="BI383" s="775">
        <f t="shared" si="297"/>
        <v>0</v>
      </c>
      <c r="BJ383" s="775">
        <f t="shared" si="267"/>
        <v>0</v>
      </c>
      <c r="BK383" s="775">
        <f t="shared" si="259"/>
        <v>0</v>
      </c>
      <c r="BL383" s="775">
        <f t="shared" si="298"/>
        <v>0</v>
      </c>
      <c r="BM383" s="775">
        <f t="shared" si="299"/>
        <v>0</v>
      </c>
    </row>
    <row r="384" spans="1:65">
      <c r="A384" s="11">
        <f t="shared" si="252"/>
        <v>1930</v>
      </c>
      <c r="B384" s="773">
        <v>372</v>
      </c>
      <c r="C384" s="774">
        <f t="shared" si="268"/>
        <v>11293</v>
      </c>
      <c r="D384" s="775">
        <f t="shared" si="300"/>
        <v>0</v>
      </c>
      <c r="E384" s="775">
        <f t="shared" si="301"/>
        <v>0</v>
      </c>
      <c r="F384" s="775">
        <f t="shared" si="302"/>
        <v>0</v>
      </c>
      <c r="G384" s="775">
        <f t="shared" si="303"/>
        <v>0</v>
      </c>
      <c r="H384" s="775">
        <f t="shared" si="304"/>
        <v>0</v>
      </c>
      <c r="I384" s="775">
        <f t="shared" si="251"/>
        <v>0</v>
      </c>
      <c r="K384" s="773">
        <v>372</v>
      </c>
      <c r="L384" s="774">
        <f t="shared" si="272"/>
        <v>11293</v>
      </c>
      <c r="M384" s="775">
        <f t="shared" si="273"/>
        <v>0</v>
      </c>
      <c r="N384" s="775">
        <f t="shared" si="261"/>
        <v>0</v>
      </c>
      <c r="O384" s="775">
        <f t="shared" si="253"/>
        <v>0</v>
      </c>
      <c r="P384" s="775">
        <f t="shared" si="274"/>
        <v>0</v>
      </c>
      <c r="Q384" s="775">
        <f t="shared" si="275"/>
        <v>0</v>
      </c>
      <c r="S384" s="773">
        <v>372</v>
      </c>
      <c r="T384" s="774">
        <f t="shared" si="276"/>
        <v>11293</v>
      </c>
      <c r="U384" s="775">
        <f t="shared" si="277"/>
        <v>0</v>
      </c>
      <c r="V384" s="775">
        <f t="shared" si="262"/>
        <v>0</v>
      </c>
      <c r="W384" s="775">
        <f t="shared" si="254"/>
        <v>0</v>
      </c>
      <c r="X384" s="775">
        <f t="shared" si="278"/>
        <v>0</v>
      </c>
      <c r="Y384" s="775">
        <f t="shared" si="279"/>
        <v>0</v>
      </c>
      <c r="AA384" s="773">
        <v>372</v>
      </c>
      <c r="AB384" s="774">
        <f t="shared" si="280"/>
        <v>11293</v>
      </c>
      <c r="AC384" s="775">
        <f t="shared" si="281"/>
        <v>0</v>
      </c>
      <c r="AD384" s="775">
        <f t="shared" si="263"/>
        <v>0</v>
      </c>
      <c r="AE384" s="775">
        <f t="shared" si="255"/>
        <v>0</v>
      </c>
      <c r="AF384" s="775">
        <f t="shared" si="282"/>
        <v>0</v>
      </c>
      <c r="AG384" s="775">
        <f t="shared" si="283"/>
        <v>0</v>
      </c>
      <c r="AI384" s="773">
        <v>372</v>
      </c>
      <c r="AJ384" s="774">
        <f t="shared" si="284"/>
        <v>11293</v>
      </c>
      <c r="AK384" s="775">
        <f t="shared" si="285"/>
        <v>0</v>
      </c>
      <c r="AL384" s="775">
        <f t="shared" si="264"/>
        <v>0</v>
      </c>
      <c r="AM384" s="775">
        <f t="shared" si="256"/>
        <v>0</v>
      </c>
      <c r="AN384" s="775">
        <f t="shared" si="286"/>
        <v>0</v>
      </c>
      <c r="AO384" s="775">
        <f t="shared" si="287"/>
        <v>0</v>
      </c>
      <c r="AQ384" s="773">
        <v>372</v>
      </c>
      <c r="AR384" s="774">
        <f t="shared" si="288"/>
        <v>11293</v>
      </c>
      <c r="AS384" s="775">
        <f t="shared" si="289"/>
        <v>0</v>
      </c>
      <c r="AT384" s="775">
        <f t="shared" si="265"/>
        <v>0</v>
      </c>
      <c r="AU384" s="775">
        <f t="shared" si="257"/>
        <v>0</v>
      </c>
      <c r="AV384" s="775">
        <f t="shared" si="290"/>
        <v>0</v>
      </c>
      <c r="AW384" s="775">
        <f t="shared" si="291"/>
        <v>0</v>
      </c>
      <c r="AY384" s="773">
        <v>372</v>
      </c>
      <c r="AZ384" s="774">
        <f t="shared" si="292"/>
        <v>11293</v>
      </c>
      <c r="BA384" s="775">
        <f t="shared" si="293"/>
        <v>0</v>
      </c>
      <c r="BB384" s="775">
        <f t="shared" si="266"/>
        <v>0</v>
      </c>
      <c r="BC384" s="775">
        <f t="shared" si="258"/>
        <v>0</v>
      </c>
      <c r="BD384" s="775">
        <f t="shared" si="294"/>
        <v>0</v>
      </c>
      <c r="BE384" s="775">
        <f t="shared" si="295"/>
        <v>0</v>
      </c>
      <c r="BG384" s="773">
        <v>372</v>
      </c>
      <c r="BH384" s="774">
        <f t="shared" si="296"/>
        <v>11293</v>
      </c>
      <c r="BI384" s="775">
        <f t="shared" si="297"/>
        <v>0</v>
      </c>
      <c r="BJ384" s="775">
        <f t="shared" si="267"/>
        <v>0</v>
      </c>
      <c r="BK384" s="775">
        <f t="shared" si="259"/>
        <v>0</v>
      </c>
      <c r="BL384" s="775">
        <f t="shared" si="298"/>
        <v>0</v>
      </c>
      <c r="BM384" s="775">
        <f t="shared" si="299"/>
        <v>0</v>
      </c>
    </row>
    <row r="385" spans="1:65">
      <c r="A385" s="11">
        <f t="shared" si="252"/>
        <v>1931</v>
      </c>
      <c r="B385" s="773">
        <v>373</v>
      </c>
      <c r="C385" s="774">
        <f t="shared" si="268"/>
        <v>11324</v>
      </c>
      <c r="D385" s="775">
        <f t="shared" si="300"/>
        <v>0</v>
      </c>
      <c r="E385" s="775">
        <f t="shared" si="301"/>
        <v>0</v>
      </c>
      <c r="F385" s="775">
        <f t="shared" si="302"/>
        <v>0</v>
      </c>
      <c r="G385" s="775">
        <f t="shared" si="303"/>
        <v>0</v>
      </c>
      <c r="H385" s="775">
        <f t="shared" si="304"/>
        <v>0</v>
      </c>
      <c r="I385" s="775">
        <f t="shared" si="251"/>
        <v>0</v>
      </c>
      <c r="K385" s="773">
        <v>373</v>
      </c>
      <c r="L385" s="774">
        <f t="shared" si="272"/>
        <v>11324</v>
      </c>
      <c r="M385" s="775">
        <f t="shared" si="273"/>
        <v>0</v>
      </c>
      <c r="N385" s="775">
        <f t="shared" si="261"/>
        <v>0</v>
      </c>
      <c r="O385" s="775">
        <f t="shared" si="253"/>
        <v>0</v>
      </c>
      <c r="P385" s="775">
        <f t="shared" si="274"/>
        <v>0</v>
      </c>
      <c r="Q385" s="775">
        <f t="shared" si="275"/>
        <v>0</v>
      </c>
      <c r="S385" s="773">
        <v>373</v>
      </c>
      <c r="T385" s="774">
        <f t="shared" si="276"/>
        <v>11324</v>
      </c>
      <c r="U385" s="775">
        <f t="shared" si="277"/>
        <v>0</v>
      </c>
      <c r="V385" s="775">
        <f t="shared" si="262"/>
        <v>0</v>
      </c>
      <c r="W385" s="775">
        <f t="shared" si="254"/>
        <v>0</v>
      </c>
      <c r="X385" s="775">
        <f t="shared" si="278"/>
        <v>0</v>
      </c>
      <c r="Y385" s="775">
        <f t="shared" si="279"/>
        <v>0</v>
      </c>
      <c r="AA385" s="773">
        <v>373</v>
      </c>
      <c r="AB385" s="774">
        <f t="shared" si="280"/>
        <v>11324</v>
      </c>
      <c r="AC385" s="775">
        <f t="shared" si="281"/>
        <v>0</v>
      </c>
      <c r="AD385" s="775">
        <f t="shared" si="263"/>
        <v>0</v>
      </c>
      <c r="AE385" s="775">
        <f t="shared" si="255"/>
        <v>0</v>
      </c>
      <c r="AF385" s="775">
        <f t="shared" si="282"/>
        <v>0</v>
      </c>
      <c r="AG385" s="775">
        <f t="shared" si="283"/>
        <v>0</v>
      </c>
      <c r="AI385" s="773">
        <v>373</v>
      </c>
      <c r="AJ385" s="774">
        <f t="shared" si="284"/>
        <v>11324</v>
      </c>
      <c r="AK385" s="775">
        <f t="shared" si="285"/>
        <v>0</v>
      </c>
      <c r="AL385" s="775">
        <f t="shared" si="264"/>
        <v>0</v>
      </c>
      <c r="AM385" s="775">
        <f t="shared" si="256"/>
        <v>0</v>
      </c>
      <c r="AN385" s="775">
        <f t="shared" si="286"/>
        <v>0</v>
      </c>
      <c r="AO385" s="775">
        <f t="shared" si="287"/>
        <v>0</v>
      </c>
      <c r="AQ385" s="773">
        <v>373</v>
      </c>
      <c r="AR385" s="774">
        <f t="shared" si="288"/>
        <v>11324</v>
      </c>
      <c r="AS385" s="775">
        <f t="shared" si="289"/>
        <v>0</v>
      </c>
      <c r="AT385" s="775">
        <f t="shared" si="265"/>
        <v>0</v>
      </c>
      <c r="AU385" s="775">
        <f t="shared" si="257"/>
        <v>0</v>
      </c>
      <c r="AV385" s="775">
        <f t="shared" si="290"/>
        <v>0</v>
      </c>
      <c r="AW385" s="775">
        <f t="shared" si="291"/>
        <v>0</v>
      </c>
      <c r="AY385" s="773">
        <v>373</v>
      </c>
      <c r="AZ385" s="774">
        <f t="shared" si="292"/>
        <v>11324</v>
      </c>
      <c r="BA385" s="775">
        <f t="shared" si="293"/>
        <v>0</v>
      </c>
      <c r="BB385" s="775">
        <f t="shared" si="266"/>
        <v>0</v>
      </c>
      <c r="BC385" s="775">
        <f t="shared" si="258"/>
        <v>0</v>
      </c>
      <c r="BD385" s="775">
        <f t="shared" si="294"/>
        <v>0</v>
      </c>
      <c r="BE385" s="775">
        <f t="shared" si="295"/>
        <v>0</v>
      </c>
      <c r="BG385" s="773">
        <v>373</v>
      </c>
      <c r="BH385" s="774">
        <f t="shared" si="296"/>
        <v>11324</v>
      </c>
      <c r="BI385" s="775">
        <f t="shared" si="297"/>
        <v>0</v>
      </c>
      <c r="BJ385" s="775">
        <f t="shared" si="267"/>
        <v>0</v>
      </c>
      <c r="BK385" s="775">
        <f t="shared" si="259"/>
        <v>0</v>
      </c>
      <c r="BL385" s="775">
        <f t="shared" si="298"/>
        <v>0</v>
      </c>
      <c r="BM385" s="775">
        <f t="shared" si="299"/>
        <v>0</v>
      </c>
    </row>
    <row r="386" spans="1:65">
      <c r="A386" s="11">
        <f t="shared" si="252"/>
        <v>1931</v>
      </c>
      <c r="B386" s="773">
        <v>374</v>
      </c>
      <c r="C386" s="774">
        <f t="shared" si="268"/>
        <v>11355</v>
      </c>
      <c r="D386" s="775">
        <f t="shared" si="300"/>
        <v>0</v>
      </c>
      <c r="E386" s="775">
        <f t="shared" si="301"/>
        <v>0</v>
      </c>
      <c r="F386" s="775">
        <f t="shared" si="302"/>
        <v>0</v>
      </c>
      <c r="G386" s="775">
        <f t="shared" si="303"/>
        <v>0</v>
      </c>
      <c r="H386" s="775">
        <f t="shared" si="304"/>
        <v>0</v>
      </c>
      <c r="I386" s="775">
        <f t="shared" si="251"/>
        <v>0</v>
      </c>
      <c r="K386" s="773">
        <v>374</v>
      </c>
      <c r="L386" s="774">
        <f t="shared" si="272"/>
        <v>11355</v>
      </c>
      <c r="M386" s="775">
        <f t="shared" si="273"/>
        <v>0</v>
      </c>
      <c r="N386" s="775">
        <f t="shared" si="261"/>
        <v>0</v>
      </c>
      <c r="O386" s="775">
        <f t="shared" si="253"/>
        <v>0</v>
      </c>
      <c r="P386" s="775">
        <f t="shared" si="274"/>
        <v>0</v>
      </c>
      <c r="Q386" s="775">
        <f t="shared" si="275"/>
        <v>0</v>
      </c>
      <c r="S386" s="773">
        <v>374</v>
      </c>
      <c r="T386" s="774">
        <f t="shared" si="276"/>
        <v>11355</v>
      </c>
      <c r="U386" s="775">
        <f t="shared" si="277"/>
        <v>0</v>
      </c>
      <c r="V386" s="775">
        <f t="shared" si="262"/>
        <v>0</v>
      </c>
      <c r="W386" s="775">
        <f t="shared" si="254"/>
        <v>0</v>
      </c>
      <c r="X386" s="775">
        <f t="shared" si="278"/>
        <v>0</v>
      </c>
      <c r="Y386" s="775">
        <f t="shared" si="279"/>
        <v>0</v>
      </c>
      <c r="AA386" s="773">
        <v>374</v>
      </c>
      <c r="AB386" s="774">
        <f t="shared" si="280"/>
        <v>11355</v>
      </c>
      <c r="AC386" s="775">
        <f t="shared" si="281"/>
        <v>0</v>
      </c>
      <c r="AD386" s="775">
        <f t="shared" si="263"/>
        <v>0</v>
      </c>
      <c r="AE386" s="775">
        <f t="shared" si="255"/>
        <v>0</v>
      </c>
      <c r="AF386" s="775">
        <f t="shared" si="282"/>
        <v>0</v>
      </c>
      <c r="AG386" s="775">
        <f t="shared" si="283"/>
        <v>0</v>
      </c>
      <c r="AI386" s="773">
        <v>374</v>
      </c>
      <c r="AJ386" s="774">
        <f t="shared" si="284"/>
        <v>11355</v>
      </c>
      <c r="AK386" s="775">
        <f t="shared" si="285"/>
        <v>0</v>
      </c>
      <c r="AL386" s="775">
        <f t="shared" si="264"/>
        <v>0</v>
      </c>
      <c r="AM386" s="775">
        <f t="shared" si="256"/>
        <v>0</v>
      </c>
      <c r="AN386" s="775">
        <f t="shared" si="286"/>
        <v>0</v>
      </c>
      <c r="AO386" s="775">
        <f t="shared" si="287"/>
        <v>0</v>
      </c>
      <c r="AQ386" s="773">
        <v>374</v>
      </c>
      <c r="AR386" s="774">
        <f t="shared" si="288"/>
        <v>11355</v>
      </c>
      <c r="AS386" s="775">
        <f t="shared" si="289"/>
        <v>0</v>
      </c>
      <c r="AT386" s="775">
        <f t="shared" si="265"/>
        <v>0</v>
      </c>
      <c r="AU386" s="775">
        <f t="shared" si="257"/>
        <v>0</v>
      </c>
      <c r="AV386" s="775">
        <f t="shared" si="290"/>
        <v>0</v>
      </c>
      <c r="AW386" s="775">
        <f t="shared" si="291"/>
        <v>0</v>
      </c>
      <c r="AY386" s="773">
        <v>374</v>
      </c>
      <c r="AZ386" s="774">
        <f t="shared" si="292"/>
        <v>11355</v>
      </c>
      <c r="BA386" s="775">
        <f t="shared" si="293"/>
        <v>0</v>
      </c>
      <c r="BB386" s="775">
        <f t="shared" si="266"/>
        <v>0</v>
      </c>
      <c r="BC386" s="775">
        <f t="shared" si="258"/>
        <v>0</v>
      </c>
      <c r="BD386" s="775">
        <f t="shared" si="294"/>
        <v>0</v>
      </c>
      <c r="BE386" s="775">
        <f t="shared" si="295"/>
        <v>0</v>
      </c>
      <c r="BG386" s="773">
        <v>374</v>
      </c>
      <c r="BH386" s="774">
        <f t="shared" si="296"/>
        <v>11355</v>
      </c>
      <c r="BI386" s="775">
        <f t="shared" si="297"/>
        <v>0</v>
      </c>
      <c r="BJ386" s="775">
        <f t="shared" si="267"/>
        <v>0</v>
      </c>
      <c r="BK386" s="775">
        <f t="shared" si="259"/>
        <v>0</v>
      </c>
      <c r="BL386" s="775">
        <f t="shared" si="298"/>
        <v>0</v>
      </c>
      <c r="BM386" s="775">
        <f t="shared" si="299"/>
        <v>0</v>
      </c>
    </row>
    <row r="387" spans="1:65">
      <c r="A387" s="11">
        <f t="shared" si="252"/>
        <v>1931</v>
      </c>
      <c r="B387" s="773">
        <v>375</v>
      </c>
      <c r="C387" s="774">
        <f t="shared" si="268"/>
        <v>11383</v>
      </c>
      <c r="D387" s="775">
        <f t="shared" si="300"/>
        <v>0</v>
      </c>
      <c r="E387" s="775">
        <f t="shared" si="301"/>
        <v>0</v>
      </c>
      <c r="F387" s="775">
        <f t="shared" si="302"/>
        <v>0</v>
      </c>
      <c r="G387" s="775">
        <f t="shared" si="303"/>
        <v>0</v>
      </c>
      <c r="H387" s="775">
        <f t="shared" si="304"/>
        <v>0</v>
      </c>
      <c r="I387" s="775">
        <f t="shared" si="251"/>
        <v>0</v>
      </c>
      <c r="K387" s="773">
        <v>375</v>
      </c>
      <c r="L387" s="774">
        <f t="shared" si="272"/>
        <v>11383</v>
      </c>
      <c r="M387" s="775">
        <f t="shared" si="273"/>
        <v>0</v>
      </c>
      <c r="N387" s="775">
        <f t="shared" si="261"/>
        <v>0</v>
      </c>
      <c r="O387" s="775">
        <f t="shared" si="253"/>
        <v>0</v>
      </c>
      <c r="P387" s="775">
        <f t="shared" si="274"/>
        <v>0</v>
      </c>
      <c r="Q387" s="775">
        <f t="shared" si="275"/>
        <v>0</v>
      </c>
      <c r="S387" s="773">
        <v>375</v>
      </c>
      <c r="T387" s="774">
        <f t="shared" si="276"/>
        <v>11383</v>
      </c>
      <c r="U387" s="775">
        <f t="shared" si="277"/>
        <v>0</v>
      </c>
      <c r="V387" s="775">
        <f t="shared" si="262"/>
        <v>0</v>
      </c>
      <c r="W387" s="775">
        <f t="shared" si="254"/>
        <v>0</v>
      </c>
      <c r="X387" s="775">
        <f t="shared" si="278"/>
        <v>0</v>
      </c>
      <c r="Y387" s="775">
        <f t="shared" si="279"/>
        <v>0</v>
      </c>
      <c r="AA387" s="773">
        <v>375</v>
      </c>
      <c r="AB387" s="774">
        <f t="shared" si="280"/>
        <v>11383</v>
      </c>
      <c r="AC387" s="775">
        <f t="shared" si="281"/>
        <v>0</v>
      </c>
      <c r="AD387" s="775">
        <f t="shared" si="263"/>
        <v>0</v>
      </c>
      <c r="AE387" s="775">
        <f t="shared" si="255"/>
        <v>0</v>
      </c>
      <c r="AF387" s="775">
        <f t="shared" si="282"/>
        <v>0</v>
      </c>
      <c r="AG387" s="775">
        <f t="shared" si="283"/>
        <v>0</v>
      </c>
      <c r="AI387" s="773">
        <v>375</v>
      </c>
      <c r="AJ387" s="774">
        <f t="shared" si="284"/>
        <v>11383</v>
      </c>
      <c r="AK387" s="775">
        <f t="shared" si="285"/>
        <v>0</v>
      </c>
      <c r="AL387" s="775">
        <f t="shared" si="264"/>
        <v>0</v>
      </c>
      <c r="AM387" s="775">
        <f t="shared" si="256"/>
        <v>0</v>
      </c>
      <c r="AN387" s="775">
        <f t="shared" si="286"/>
        <v>0</v>
      </c>
      <c r="AO387" s="775">
        <f t="shared" si="287"/>
        <v>0</v>
      </c>
      <c r="AQ387" s="773">
        <v>375</v>
      </c>
      <c r="AR387" s="774">
        <f t="shared" si="288"/>
        <v>11383</v>
      </c>
      <c r="AS387" s="775">
        <f t="shared" si="289"/>
        <v>0</v>
      </c>
      <c r="AT387" s="775">
        <f t="shared" si="265"/>
        <v>0</v>
      </c>
      <c r="AU387" s="775">
        <f t="shared" si="257"/>
        <v>0</v>
      </c>
      <c r="AV387" s="775">
        <f t="shared" si="290"/>
        <v>0</v>
      </c>
      <c r="AW387" s="775">
        <f t="shared" si="291"/>
        <v>0</v>
      </c>
      <c r="AY387" s="773">
        <v>375</v>
      </c>
      <c r="AZ387" s="774">
        <f t="shared" si="292"/>
        <v>11383</v>
      </c>
      <c r="BA387" s="775">
        <f t="shared" si="293"/>
        <v>0</v>
      </c>
      <c r="BB387" s="775">
        <f t="shared" si="266"/>
        <v>0</v>
      </c>
      <c r="BC387" s="775">
        <f t="shared" si="258"/>
        <v>0</v>
      </c>
      <c r="BD387" s="775">
        <f t="shared" si="294"/>
        <v>0</v>
      </c>
      <c r="BE387" s="775">
        <f t="shared" si="295"/>
        <v>0</v>
      </c>
      <c r="BG387" s="773">
        <v>375</v>
      </c>
      <c r="BH387" s="774">
        <f t="shared" si="296"/>
        <v>11383</v>
      </c>
      <c r="BI387" s="775">
        <f t="shared" si="297"/>
        <v>0</v>
      </c>
      <c r="BJ387" s="775">
        <f t="shared" si="267"/>
        <v>0</v>
      </c>
      <c r="BK387" s="775">
        <f t="shared" si="259"/>
        <v>0</v>
      </c>
      <c r="BL387" s="775">
        <f t="shared" si="298"/>
        <v>0</v>
      </c>
      <c r="BM387" s="775">
        <f t="shared" si="299"/>
        <v>0</v>
      </c>
    </row>
    <row r="388" spans="1:65">
      <c r="A388" s="11">
        <f t="shared" si="252"/>
        <v>1931</v>
      </c>
      <c r="B388" s="773">
        <v>376</v>
      </c>
      <c r="C388" s="774">
        <f t="shared" si="268"/>
        <v>11414</v>
      </c>
      <c r="D388" s="775">
        <f t="shared" si="300"/>
        <v>0</v>
      </c>
      <c r="E388" s="775">
        <f t="shared" si="301"/>
        <v>0</v>
      </c>
      <c r="F388" s="775">
        <f t="shared" si="302"/>
        <v>0</v>
      </c>
      <c r="G388" s="775">
        <f t="shared" si="303"/>
        <v>0</v>
      </c>
      <c r="H388" s="775">
        <f t="shared" si="304"/>
        <v>0</v>
      </c>
      <c r="I388" s="775">
        <f t="shared" si="251"/>
        <v>0</v>
      </c>
      <c r="K388" s="773">
        <v>376</v>
      </c>
      <c r="L388" s="774">
        <f t="shared" si="272"/>
        <v>11414</v>
      </c>
      <c r="M388" s="775">
        <f t="shared" si="273"/>
        <v>0</v>
      </c>
      <c r="N388" s="775">
        <f t="shared" si="261"/>
        <v>0</v>
      </c>
      <c r="O388" s="775">
        <f t="shared" si="253"/>
        <v>0</v>
      </c>
      <c r="P388" s="775">
        <f t="shared" si="274"/>
        <v>0</v>
      </c>
      <c r="Q388" s="775">
        <f t="shared" si="275"/>
        <v>0</v>
      </c>
      <c r="S388" s="773">
        <v>376</v>
      </c>
      <c r="T388" s="774">
        <f t="shared" si="276"/>
        <v>11414</v>
      </c>
      <c r="U388" s="775">
        <f t="shared" si="277"/>
        <v>0</v>
      </c>
      <c r="V388" s="775">
        <f t="shared" si="262"/>
        <v>0</v>
      </c>
      <c r="W388" s="775">
        <f t="shared" si="254"/>
        <v>0</v>
      </c>
      <c r="X388" s="775">
        <f t="shared" si="278"/>
        <v>0</v>
      </c>
      <c r="Y388" s="775">
        <f t="shared" si="279"/>
        <v>0</v>
      </c>
      <c r="AA388" s="773">
        <v>376</v>
      </c>
      <c r="AB388" s="774">
        <f t="shared" si="280"/>
        <v>11414</v>
      </c>
      <c r="AC388" s="775">
        <f t="shared" si="281"/>
        <v>0</v>
      </c>
      <c r="AD388" s="775">
        <f t="shared" si="263"/>
        <v>0</v>
      </c>
      <c r="AE388" s="775">
        <f t="shared" si="255"/>
        <v>0</v>
      </c>
      <c r="AF388" s="775">
        <f t="shared" si="282"/>
        <v>0</v>
      </c>
      <c r="AG388" s="775">
        <f t="shared" si="283"/>
        <v>0</v>
      </c>
      <c r="AI388" s="773">
        <v>376</v>
      </c>
      <c r="AJ388" s="774">
        <f t="shared" si="284"/>
        <v>11414</v>
      </c>
      <c r="AK388" s="775">
        <f t="shared" si="285"/>
        <v>0</v>
      </c>
      <c r="AL388" s="775">
        <f t="shared" si="264"/>
        <v>0</v>
      </c>
      <c r="AM388" s="775">
        <f t="shared" si="256"/>
        <v>0</v>
      </c>
      <c r="AN388" s="775">
        <f t="shared" si="286"/>
        <v>0</v>
      </c>
      <c r="AO388" s="775">
        <f t="shared" si="287"/>
        <v>0</v>
      </c>
      <c r="AQ388" s="773">
        <v>376</v>
      </c>
      <c r="AR388" s="774">
        <f t="shared" si="288"/>
        <v>11414</v>
      </c>
      <c r="AS388" s="775">
        <f t="shared" si="289"/>
        <v>0</v>
      </c>
      <c r="AT388" s="775">
        <f t="shared" si="265"/>
        <v>0</v>
      </c>
      <c r="AU388" s="775">
        <f t="shared" si="257"/>
        <v>0</v>
      </c>
      <c r="AV388" s="775">
        <f t="shared" si="290"/>
        <v>0</v>
      </c>
      <c r="AW388" s="775">
        <f t="shared" si="291"/>
        <v>0</v>
      </c>
      <c r="AY388" s="773">
        <v>376</v>
      </c>
      <c r="AZ388" s="774">
        <f t="shared" si="292"/>
        <v>11414</v>
      </c>
      <c r="BA388" s="775">
        <f t="shared" si="293"/>
        <v>0</v>
      </c>
      <c r="BB388" s="775">
        <f t="shared" si="266"/>
        <v>0</v>
      </c>
      <c r="BC388" s="775">
        <f t="shared" si="258"/>
        <v>0</v>
      </c>
      <c r="BD388" s="775">
        <f t="shared" si="294"/>
        <v>0</v>
      </c>
      <c r="BE388" s="775">
        <f t="shared" si="295"/>
        <v>0</v>
      </c>
      <c r="BG388" s="773">
        <v>376</v>
      </c>
      <c r="BH388" s="774">
        <f t="shared" si="296"/>
        <v>11414</v>
      </c>
      <c r="BI388" s="775">
        <f t="shared" si="297"/>
        <v>0</v>
      </c>
      <c r="BJ388" s="775">
        <f t="shared" si="267"/>
        <v>0</v>
      </c>
      <c r="BK388" s="775">
        <f t="shared" si="259"/>
        <v>0</v>
      </c>
      <c r="BL388" s="775">
        <f t="shared" si="298"/>
        <v>0</v>
      </c>
      <c r="BM388" s="775">
        <f t="shared" si="299"/>
        <v>0</v>
      </c>
    </row>
    <row r="389" spans="1:65">
      <c r="A389" s="11">
        <f t="shared" si="252"/>
        <v>1931</v>
      </c>
      <c r="B389" s="773">
        <v>377</v>
      </c>
      <c r="C389" s="774">
        <f t="shared" si="268"/>
        <v>11444</v>
      </c>
      <c r="D389" s="775">
        <f t="shared" si="300"/>
        <v>0</v>
      </c>
      <c r="E389" s="775">
        <f t="shared" si="301"/>
        <v>0</v>
      </c>
      <c r="F389" s="775">
        <f t="shared" si="302"/>
        <v>0</v>
      </c>
      <c r="G389" s="775">
        <f t="shared" si="303"/>
        <v>0</v>
      </c>
      <c r="H389" s="775">
        <f t="shared" si="304"/>
        <v>0</v>
      </c>
      <c r="I389" s="775">
        <f t="shared" si="251"/>
        <v>0</v>
      </c>
      <c r="K389" s="773">
        <v>377</v>
      </c>
      <c r="L389" s="774">
        <f t="shared" si="272"/>
        <v>11444</v>
      </c>
      <c r="M389" s="775">
        <f t="shared" si="273"/>
        <v>0</v>
      </c>
      <c r="N389" s="775">
        <f t="shared" si="261"/>
        <v>0</v>
      </c>
      <c r="O389" s="775">
        <f t="shared" si="253"/>
        <v>0</v>
      </c>
      <c r="P389" s="775">
        <f t="shared" si="274"/>
        <v>0</v>
      </c>
      <c r="Q389" s="775">
        <f t="shared" si="275"/>
        <v>0</v>
      </c>
      <c r="S389" s="773">
        <v>377</v>
      </c>
      <c r="T389" s="774">
        <f t="shared" si="276"/>
        <v>11444</v>
      </c>
      <c r="U389" s="775">
        <f t="shared" si="277"/>
        <v>0</v>
      </c>
      <c r="V389" s="775">
        <f t="shared" si="262"/>
        <v>0</v>
      </c>
      <c r="W389" s="775">
        <f t="shared" si="254"/>
        <v>0</v>
      </c>
      <c r="X389" s="775">
        <f t="shared" si="278"/>
        <v>0</v>
      </c>
      <c r="Y389" s="775">
        <f t="shared" si="279"/>
        <v>0</v>
      </c>
      <c r="AA389" s="773">
        <v>377</v>
      </c>
      <c r="AB389" s="774">
        <f t="shared" si="280"/>
        <v>11444</v>
      </c>
      <c r="AC389" s="775">
        <f t="shared" si="281"/>
        <v>0</v>
      </c>
      <c r="AD389" s="775">
        <f t="shared" si="263"/>
        <v>0</v>
      </c>
      <c r="AE389" s="775">
        <f t="shared" si="255"/>
        <v>0</v>
      </c>
      <c r="AF389" s="775">
        <f t="shared" si="282"/>
        <v>0</v>
      </c>
      <c r="AG389" s="775">
        <f t="shared" si="283"/>
        <v>0</v>
      </c>
      <c r="AI389" s="773">
        <v>377</v>
      </c>
      <c r="AJ389" s="774">
        <f t="shared" si="284"/>
        <v>11444</v>
      </c>
      <c r="AK389" s="775">
        <f t="shared" si="285"/>
        <v>0</v>
      </c>
      <c r="AL389" s="775">
        <f t="shared" si="264"/>
        <v>0</v>
      </c>
      <c r="AM389" s="775">
        <f t="shared" si="256"/>
        <v>0</v>
      </c>
      <c r="AN389" s="775">
        <f t="shared" si="286"/>
        <v>0</v>
      </c>
      <c r="AO389" s="775">
        <f t="shared" si="287"/>
        <v>0</v>
      </c>
      <c r="AQ389" s="773">
        <v>377</v>
      </c>
      <c r="AR389" s="774">
        <f t="shared" si="288"/>
        <v>11444</v>
      </c>
      <c r="AS389" s="775">
        <f t="shared" si="289"/>
        <v>0</v>
      </c>
      <c r="AT389" s="775">
        <f t="shared" si="265"/>
        <v>0</v>
      </c>
      <c r="AU389" s="775">
        <f t="shared" si="257"/>
        <v>0</v>
      </c>
      <c r="AV389" s="775">
        <f t="shared" si="290"/>
        <v>0</v>
      </c>
      <c r="AW389" s="775">
        <f t="shared" si="291"/>
        <v>0</v>
      </c>
      <c r="AY389" s="773">
        <v>377</v>
      </c>
      <c r="AZ389" s="774">
        <f t="shared" si="292"/>
        <v>11444</v>
      </c>
      <c r="BA389" s="775">
        <f t="shared" si="293"/>
        <v>0</v>
      </c>
      <c r="BB389" s="775">
        <f t="shared" si="266"/>
        <v>0</v>
      </c>
      <c r="BC389" s="775">
        <f t="shared" si="258"/>
        <v>0</v>
      </c>
      <c r="BD389" s="775">
        <f t="shared" si="294"/>
        <v>0</v>
      </c>
      <c r="BE389" s="775">
        <f t="shared" si="295"/>
        <v>0</v>
      </c>
      <c r="BG389" s="773">
        <v>377</v>
      </c>
      <c r="BH389" s="774">
        <f t="shared" si="296"/>
        <v>11444</v>
      </c>
      <c r="BI389" s="775">
        <f t="shared" si="297"/>
        <v>0</v>
      </c>
      <c r="BJ389" s="775">
        <f t="shared" si="267"/>
        <v>0</v>
      </c>
      <c r="BK389" s="775">
        <f t="shared" si="259"/>
        <v>0</v>
      </c>
      <c r="BL389" s="775">
        <f t="shared" si="298"/>
        <v>0</v>
      </c>
      <c r="BM389" s="775">
        <f t="shared" si="299"/>
        <v>0</v>
      </c>
    </row>
    <row r="390" spans="1:65">
      <c r="A390" s="11">
        <f t="shared" si="252"/>
        <v>1931</v>
      </c>
      <c r="B390" s="773">
        <v>378</v>
      </c>
      <c r="C390" s="774">
        <f t="shared" si="268"/>
        <v>11475</v>
      </c>
      <c r="D390" s="775">
        <f t="shared" si="300"/>
        <v>0</v>
      </c>
      <c r="E390" s="775">
        <f t="shared" si="301"/>
        <v>0</v>
      </c>
      <c r="F390" s="775">
        <f t="shared" si="302"/>
        <v>0</v>
      </c>
      <c r="G390" s="775">
        <f t="shared" si="303"/>
        <v>0</v>
      </c>
      <c r="H390" s="775">
        <f t="shared" si="304"/>
        <v>0</v>
      </c>
      <c r="I390" s="775">
        <f t="shared" si="251"/>
        <v>0</v>
      </c>
      <c r="K390" s="773">
        <v>378</v>
      </c>
      <c r="L390" s="774">
        <f t="shared" si="272"/>
        <v>11475</v>
      </c>
      <c r="M390" s="775">
        <f t="shared" si="273"/>
        <v>0</v>
      </c>
      <c r="N390" s="775">
        <f t="shared" si="261"/>
        <v>0</v>
      </c>
      <c r="O390" s="775">
        <f t="shared" si="253"/>
        <v>0</v>
      </c>
      <c r="P390" s="775">
        <f t="shared" si="274"/>
        <v>0</v>
      </c>
      <c r="Q390" s="775">
        <f t="shared" si="275"/>
        <v>0</v>
      </c>
      <c r="S390" s="773">
        <v>378</v>
      </c>
      <c r="T390" s="774">
        <f t="shared" si="276"/>
        <v>11475</v>
      </c>
      <c r="U390" s="775">
        <f t="shared" si="277"/>
        <v>0</v>
      </c>
      <c r="V390" s="775">
        <f t="shared" si="262"/>
        <v>0</v>
      </c>
      <c r="W390" s="775">
        <f t="shared" si="254"/>
        <v>0</v>
      </c>
      <c r="X390" s="775">
        <f t="shared" si="278"/>
        <v>0</v>
      </c>
      <c r="Y390" s="775">
        <f t="shared" si="279"/>
        <v>0</v>
      </c>
      <c r="AA390" s="773">
        <v>378</v>
      </c>
      <c r="AB390" s="774">
        <f t="shared" si="280"/>
        <v>11475</v>
      </c>
      <c r="AC390" s="775">
        <f t="shared" si="281"/>
        <v>0</v>
      </c>
      <c r="AD390" s="775">
        <f t="shared" si="263"/>
        <v>0</v>
      </c>
      <c r="AE390" s="775">
        <f t="shared" si="255"/>
        <v>0</v>
      </c>
      <c r="AF390" s="775">
        <f t="shared" si="282"/>
        <v>0</v>
      </c>
      <c r="AG390" s="775">
        <f t="shared" si="283"/>
        <v>0</v>
      </c>
      <c r="AI390" s="773">
        <v>378</v>
      </c>
      <c r="AJ390" s="774">
        <f t="shared" si="284"/>
        <v>11475</v>
      </c>
      <c r="AK390" s="775">
        <f t="shared" si="285"/>
        <v>0</v>
      </c>
      <c r="AL390" s="775">
        <f t="shared" si="264"/>
        <v>0</v>
      </c>
      <c r="AM390" s="775">
        <f t="shared" si="256"/>
        <v>0</v>
      </c>
      <c r="AN390" s="775">
        <f t="shared" si="286"/>
        <v>0</v>
      </c>
      <c r="AO390" s="775">
        <f t="shared" si="287"/>
        <v>0</v>
      </c>
      <c r="AQ390" s="773">
        <v>378</v>
      </c>
      <c r="AR390" s="774">
        <f t="shared" si="288"/>
        <v>11475</v>
      </c>
      <c r="AS390" s="775">
        <f t="shared" si="289"/>
        <v>0</v>
      </c>
      <c r="AT390" s="775">
        <f t="shared" si="265"/>
        <v>0</v>
      </c>
      <c r="AU390" s="775">
        <f t="shared" si="257"/>
        <v>0</v>
      </c>
      <c r="AV390" s="775">
        <f t="shared" si="290"/>
        <v>0</v>
      </c>
      <c r="AW390" s="775">
        <f t="shared" si="291"/>
        <v>0</v>
      </c>
      <c r="AY390" s="773">
        <v>378</v>
      </c>
      <c r="AZ390" s="774">
        <f t="shared" si="292"/>
        <v>11475</v>
      </c>
      <c r="BA390" s="775">
        <f t="shared" si="293"/>
        <v>0</v>
      </c>
      <c r="BB390" s="775">
        <f t="shared" si="266"/>
        <v>0</v>
      </c>
      <c r="BC390" s="775">
        <f t="shared" si="258"/>
        <v>0</v>
      </c>
      <c r="BD390" s="775">
        <f t="shared" si="294"/>
        <v>0</v>
      </c>
      <c r="BE390" s="775">
        <f t="shared" si="295"/>
        <v>0</v>
      </c>
      <c r="BG390" s="773">
        <v>378</v>
      </c>
      <c r="BH390" s="774">
        <f t="shared" si="296"/>
        <v>11475</v>
      </c>
      <c r="BI390" s="775">
        <f t="shared" si="297"/>
        <v>0</v>
      </c>
      <c r="BJ390" s="775">
        <f t="shared" si="267"/>
        <v>0</v>
      </c>
      <c r="BK390" s="775">
        <f t="shared" si="259"/>
        <v>0</v>
      </c>
      <c r="BL390" s="775">
        <f t="shared" si="298"/>
        <v>0</v>
      </c>
      <c r="BM390" s="775">
        <f t="shared" si="299"/>
        <v>0</v>
      </c>
    </row>
    <row r="391" spans="1:65">
      <c r="A391" s="11">
        <f t="shared" si="252"/>
        <v>1931</v>
      </c>
      <c r="B391" s="773">
        <v>379</v>
      </c>
      <c r="C391" s="774">
        <f t="shared" si="268"/>
        <v>11505</v>
      </c>
      <c r="D391" s="775">
        <f t="shared" si="300"/>
        <v>0</v>
      </c>
      <c r="E391" s="775">
        <f t="shared" si="301"/>
        <v>0</v>
      </c>
      <c r="F391" s="775">
        <f t="shared" si="302"/>
        <v>0</v>
      </c>
      <c r="G391" s="775">
        <f t="shared" si="303"/>
        <v>0</v>
      </c>
      <c r="H391" s="775">
        <f t="shared" si="304"/>
        <v>0</v>
      </c>
      <c r="I391" s="775">
        <f t="shared" si="251"/>
        <v>0</v>
      </c>
      <c r="K391" s="773">
        <v>379</v>
      </c>
      <c r="L391" s="774">
        <f t="shared" si="272"/>
        <v>11505</v>
      </c>
      <c r="M391" s="775">
        <f t="shared" si="273"/>
        <v>0</v>
      </c>
      <c r="N391" s="775">
        <f t="shared" si="261"/>
        <v>0</v>
      </c>
      <c r="O391" s="775">
        <f t="shared" si="253"/>
        <v>0</v>
      </c>
      <c r="P391" s="775">
        <f t="shared" si="274"/>
        <v>0</v>
      </c>
      <c r="Q391" s="775">
        <f t="shared" si="275"/>
        <v>0</v>
      </c>
      <c r="S391" s="773">
        <v>379</v>
      </c>
      <c r="T391" s="774">
        <f t="shared" si="276"/>
        <v>11505</v>
      </c>
      <c r="U391" s="775">
        <f t="shared" si="277"/>
        <v>0</v>
      </c>
      <c r="V391" s="775">
        <f t="shared" si="262"/>
        <v>0</v>
      </c>
      <c r="W391" s="775">
        <f t="shared" si="254"/>
        <v>0</v>
      </c>
      <c r="X391" s="775">
        <f t="shared" si="278"/>
        <v>0</v>
      </c>
      <c r="Y391" s="775">
        <f t="shared" si="279"/>
        <v>0</v>
      </c>
      <c r="AA391" s="773">
        <v>379</v>
      </c>
      <c r="AB391" s="774">
        <f t="shared" si="280"/>
        <v>11505</v>
      </c>
      <c r="AC391" s="775">
        <f t="shared" si="281"/>
        <v>0</v>
      </c>
      <c r="AD391" s="775">
        <f t="shared" si="263"/>
        <v>0</v>
      </c>
      <c r="AE391" s="775">
        <f t="shared" si="255"/>
        <v>0</v>
      </c>
      <c r="AF391" s="775">
        <f t="shared" si="282"/>
        <v>0</v>
      </c>
      <c r="AG391" s="775">
        <f t="shared" si="283"/>
        <v>0</v>
      </c>
      <c r="AI391" s="773">
        <v>379</v>
      </c>
      <c r="AJ391" s="774">
        <f t="shared" si="284"/>
        <v>11505</v>
      </c>
      <c r="AK391" s="775">
        <f t="shared" si="285"/>
        <v>0</v>
      </c>
      <c r="AL391" s="775">
        <f t="shared" si="264"/>
        <v>0</v>
      </c>
      <c r="AM391" s="775">
        <f t="shared" si="256"/>
        <v>0</v>
      </c>
      <c r="AN391" s="775">
        <f t="shared" si="286"/>
        <v>0</v>
      </c>
      <c r="AO391" s="775">
        <f t="shared" si="287"/>
        <v>0</v>
      </c>
      <c r="AQ391" s="773">
        <v>379</v>
      </c>
      <c r="AR391" s="774">
        <f t="shared" si="288"/>
        <v>11505</v>
      </c>
      <c r="AS391" s="775">
        <f t="shared" si="289"/>
        <v>0</v>
      </c>
      <c r="AT391" s="775">
        <f t="shared" si="265"/>
        <v>0</v>
      </c>
      <c r="AU391" s="775">
        <f t="shared" si="257"/>
        <v>0</v>
      </c>
      <c r="AV391" s="775">
        <f t="shared" si="290"/>
        <v>0</v>
      </c>
      <c r="AW391" s="775">
        <f t="shared" si="291"/>
        <v>0</v>
      </c>
      <c r="AY391" s="773">
        <v>379</v>
      </c>
      <c r="AZ391" s="774">
        <f t="shared" si="292"/>
        <v>11505</v>
      </c>
      <c r="BA391" s="775">
        <f t="shared" si="293"/>
        <v>0</v>
      </c>
      <c r="BB391" s="775">
        <f t="shared" si="266"/>
        <v>0</v>
      </c>
      <c r="BC391" s="775">
        <f t="shared" si="258"/>
        <v>0</v>
      </c>
      <c r="BD391" s="775">
        <f t="shared" si="294"/>
        <v>0</v>
      </c>
      <c r="BE391" s="775">
        <f t="shared" si="295"/>
        <v>0</v>
      </c>
      <c r="BG391" s="773">
        <v>379</v>
      </c>
      <c r="BH391" s="774">
        <f t="shared" si="296"/>
        <v>11505</v>
      </c>
      <c r="BI391" s="775">
        <f t="shared" si="297"/>
        <v>0</v>
      </c>
      <c r="BJ391" s="775">
        <f t="shared" si="267"/>
        <v>0</v>
      </c>
      <c r="BK391" s="775">
        <f t="shared" si="259"/>
        <v>0</v>
      </c>
      <c r="BL391" s="775">
        <f t="shared" si="298"/>
        <v>0</v>
      </c>
      <c r="BM391" s="775">
        <f t="shared" si="299"/>
        <v>0</v>
      </c>
    </row>
    <row r="392" spans="1:65">
      <c r="A392" s="11">
        <f t="shared" si="252"/>
        <v>1931</v>
      </c>
      <c r="B392" s="773">
        <v>380</v>
      </c>
      <c r="C392" s="774">
        <f t="shared" si="268"/>
        <v>11536</v>
      </c>
      <c r="D392" s="775">
        <f t="shared" si="300"/>
        <v>0</v>
      </c>
      <c r="E392" s="775">
        <f t="shared" si="301"/>
        <v>0</v>
      </c>
      <c r="F392" s="775">
        <f t="shared" si="302"/>
        <v>0</v>
      </c>
      <c r="G392" s="775">
        <f t="shared" si="303"/>
        <v>0</v>
      </c>
      <c r="H392" s="775">
        <f t="shared" si="304"/>
        <v>0</v>
      </c>
      <c r="I392" s="775">
        <f t="shared" si="251"/>
        <v>0</v>
      </c>
      <c r="K392" s="773">
        <v>380</v>
      </c>
      <c r="L392" s="774">
        <f t="shared" si="272"/>
        <v>11536</v>
      </c>
      <c r="M392" s="775">
        <f t="shared" si="273"/>
        <v>0</v>
      </c>
      <c r="N392" s="775">
        <f t="shared" si="261"/>
        <v>0</v>
      </c>
      <c r="O392" s="775">
        <f t="shared" si="253"/>
        <v>0</v>
      </c>
      <c r="P392" s="775">
        <f t="shared" si="274"/>
        <v>0</v>
      </c>
      <c r="Q392" s="775">
        <f t="shared" si="275"/>
        <v>0</v>
      </c>
      <c r="S392" s="773">
        <v>380</v>
      </c>
      <c r="T392" s="774">
        <f t="shared" si="276"/>
        <v>11536</v>
      </c>
      <c r="U392" s="775">
        <f t="shared" si="277"/>
        <v>0</v>
      </c>
      <c r="V392" s="775">
        <f t="shared" si="262"/>
        <v>0</v>
      </c>
      <c r="W392" s="775">
        <f t="shared" si="254"/>
        <v>0</v>
      </c>
      <c r="X392" s="775">
        <f t="shared" si="278"/>
        <v>0</v>
      </c>
      <c r="Y392" s="775">
        <f t="shared" si="279"/>
        <v>0</v>
      </c>
      <c r="AA392" s="773">
        <v>380</v>
      </c>
      <c r="AB392" s="774">
        <f t="shared" si="280"/>
        <v>11536</v>
      </c>
      <c r="AC392" s="775">
        <f t="shared" si="281"/>
        <v>0</v>
      </c>
      <c r="AD392" s="775">
        <f t="shared" si="263"/>
        <v>0</v>
      </c>
      <c r="AE392" s="775">
        <f t="shared" si="255"/>
        <v>0</v>
      </c>
      <c r="AF392" s="775">
        <f t="shared" si="282"/>
        <v>0</v>
      </c>
      <c r="AG392" s="775">
        <f t="shared" si="283"/>
        <v>0</v>
      </c>
      <c r="AI392" s="773">
        <v>380</v>
      </c>
      <c r="AJ392" s="774">
        <f t="shared" si="284"/>
        <v>11536</v>
      </c>
      <c r="AK392" s="775">
        <f t="shared" si="285"/>
        <v>0</v>
      </c>
      <c r="AL392" s="775">
        <f t="shared" si="264"/>
        <v>0</v>
      </c>
      <c r="AM392" s="775">
        <f t="shared" si="256"/>
        <v>0</v>
      </c>
      <c r="AN392" s="775">
        <f t="shared" si="286"/>
        <v>0</v>
      </c>
      <c r="AO392" s="775">
        <f t="shared" si="287"/>
        <v>0</v>
      </c>
      <c r="AQ392" s="773">
        <v>380</v>
      </c>
      <c r="AR392" s="774">
        <f t="shared" si="288"/>
        <v>11536</v>
      </c>
      <c r="AS392" s="775">
        <f t="shared" si="289"/>
        <v>0</v>
      </c>
      <c r="AT392" s="775">
        <f t="shared" si="265"/>
        <v>0</v>
      </c>
      <c r="AU392" s="775">
        <f t="shared" si="257"/>
        <v>0</v>
      </c>
      <c r="AV392" s="775">
        <f t="shared" si="290"/>
        <v>0</v>
      </c>
      <c r="AW392" s="775">
        <f t="shared" si="291"/>
        <v>0</v>
      </c>
      <c r="AY392" s="773">
        <v>380</v>
      </c>
      <c r="AZ392" s="774">
        <f t="shared" si="292"/>
        <v>11536</v>
      </c>
      <c r="BA392" s="775">
        <f t="shared" si="293"/>
        <v>0</v>
      </c>
      <c r="BB392" s="775">
        <f t="shared" si="266"/>
        <v>0</v>
      </c>
      <c r="BC392" s="775">
        <f t="shared" si="258"/>
        <v>0</v>
      </c>
      <c r="BD392" s="775">
        <f t="shared" si="294"/>
        <v>0</v>
      </c>
      <c r="BE392" s="775">
        <f t="shared" si="295"/>
        <v>0</v>
      </c>
      <c r="BG392" s="773">
        <v>380</v>
      </c>
      <c r="BH392" s="774">
        <f t="shared" si="296"/>
        <v>11536</v>
      </c>
      <c r="BI392" s="775">
        <f t="shared" si="297"/>
        <v>0</v>
      </c>
      <c r="BJ392" s="775">
        <f t="shared" si="267"/>
        <v>0</v>
      </c>
      <c r="BK392" s="775">
        <f t="shared" si="259"/>
        <v>0</v>
      </c>
      <c r="BL392" s="775">
        <f t="shared" si="298"/>
        <v>0</v>
      </c>
      <c r="BM392" s="775">
        <f t="shared" si="299"/>
        <v>0</v>
      </c>
    </row>
    <row r="393" spans="1:65">
      <c r="A393" s="11">
        <f t="shared" si="252"/>
        <v>1931</v>
      </c>
      <c r="B393" s="773">
        <v>381</v>
      </c>
      <c r="C393" s="774">
        <f t="shared" si="268"/>
        <v>11567</v>
      </c>
      <c r="D393" s="775">
        <f t="shared" si="300"/>
        <v>0</v>
      </c>
      <c r="E393" s="775">
        <f t="shared" si="301"/>
        <v>0</v>
      </c>
      <c r="F393" s="775">
        <f t="shared" si="302"/>
        <v>0</v>
      </c>
      <c r="G393" s="775">
        <f t="shared" si="303"/>
        <v>0</v>
      </c>
      <c r="H393" s="775">
        <f t="shared" si="304"/>
        <v>0</v>
      </c>
      <c r="I393" s="775">
        <f t="shared" si="251"/>
        <v>0</v>
      </c>
      <c r="K393" s="773">
        <v>381</v>
      </c>
      <c r="L393" s="774">
        <f t="shared" si="272"/>
        <v>11567</v>
      </c>
      <c r="M393" s="775">
        <f t="shared" si="273"/>
        <v>0</v>
      </c>
      <c r="N393" s="775">
        <f t="shared" si="261"/>
        <v>0</v>
      </c>
      <c r="O393" s="775">
        <f t="shared" si="253"/>
        <v>0</v>
      </c>
      <c r="P393" s="775">
        <f t="shared" si="274"/>
        <v>0</v>
      </c>
      <c r="Q393" s="775">
        <f t="shared" si="275"/>
        <v>0</v>
      </c>
      <c r="S393" s="773">
        <v>381</v>
      </c>
      <c r="T393" s="774">
        <f t="shared" si="276"/>
        <v>11567</v>
      </c>
      <c r="U393" s="775">
        <f t="shared" si="277"/>
        <v>0</v>
      </c>
      <c r="V393" s="775">
        <f t="shared" si="262"/>
        <v>0</v>
      </c>
      <c r="W393" s="775">
        <f t="shared" si="254"/>
        <v>0</v>
      </c>
      <c r="X393" s="775">
        <f t="shared" si="278"/>
        <v>0</v>
      </c>
      <c r="Y393" s="775">
        <f t="shared" si="279"/>
        <v>0</v>
      </c>
      <c r="AA393" s="773">
        <v>381</v>
      </c>
      <c r="AB393" s="774">
        <f t="shared" si="280"/>
        <v>11567</v>
      </c>
      <c r="AC393" s="775">
        <f t="shared" si="281"/>
        <v>0</v>
      </c>
      <c r="AD393" s="775">
        <f t="shared" si="263"/>
        <v>0</v>
      </c>
      <c r="AE393" s="775">
        <f t="shared" si="255"/>
        <v>0</v>
      </c>
      <c r="AF393" s="775">
        <f t="shared" si="282"/>
        <v>0</v>
      </c>
      <c r="AG393" s="775">
        <f t="shared" si="283"/>
        <v>0</v>
      </c>
      <c r="AI393" s="773">
        <v>381</v>
      </c>
      <c r="AJ393" s="774">
        <f t="shared" si="284"/>
        <v>11567</v>
      </c>
      <c r="AK393" s="775">
        <f t="shared" si="285"/>
        <v>0</v>
      </c>
      <c r="AL393" s="775">
        <f t="shared" si="264"/>
        <v>0</v>
      </c>
      <c r="AM393" s="775">
        <f t="shared" si="256"/>
        <v>0</v>
      </c>
      <c r="AN393" s="775">
        <f t="shared" si="286"/>
        <v>0</v>
      </c>
      <c r="AO393" s="775">
        <f t="shared" si="287"/>
        <v>0</v>
      </c>
      <c r="AQ393" s="773">
        <v>381</v>
      </c>
      <c r="AR393" s="774">
        <f t="shared" si="288"/>
        <v>11567</v>
      </c>
      <c r="AS393" s="775">
        <f t="shared" si="289"/>
        <v>0</v>
      </c>
      <c r="AT393" s="775">
        <f t="shared" si="265"/>
        <v>0</v>
      </c>
      <c r="AU393" s="775">
        <f t="shared" si="257"/>
        <v>0</v>
      </c>
      <c r="AV393" s="775">
        <f t="shared" si="290"/>
        <v>0</v>
      </c>
      <c r="AW393" s="775">
        <f t="shared" si="291"/>
        <v>0</v>
      </c>
      <c r="AY393" s="773">
        <v>381</v>
      </c>
      <c r="AZ393" s="774">
        <f t="shared" si="292"/>
        <v>11567</v>
      </c>
      <c r="BA393" s="775">
        <f t="shared" si="293"/>
        <v>0</v>
      </c>
      <c r="BB393" s="775">
        <f t="shared" si="266"/>
        <v>0</v>
      </c>
      <c r="BC393" s="775">
        <f t="shared" si="258"/>
        <v>0</v>
      </c>
      <c r="BD393" s="775">
        <f t="shared" si="294"/>
        <v>0</v>
      </c>
      <c r="BE393" s="775">
        <f t="shared" si="295"/>
        <v>0</v>
      </c>
      <c r="BG393" s="773">
        <v>381</v>
      </c>
      <c r="BH393" s="774">
        <f t="shared" si="296"/>
        <v>11567</v>
      </c>
      <c r="BI393" s="775">
        <f t="shared" si="297"/>
        <v>0</v>
      </c>
      <c r="BJ393" s="775">
        <f t="shared" si="267"/>
        <v>0</v>
      </c>
      <c r="BK393" s="775">
        <f t="shared" si="259"/>
        <v>0</v>
      </c>
      <c r="BL393" s="775">
        <f t="shared" si="298"/>
        <v>0</v>
      </c>
      <c r="BM393" s="775">
        <f t="shared" si="299"/>
        <v>0</v>
      </c>
    </row>
    <row r="394" spans="1:65">
      <c r="A394" s="11">
        <f t="shared" si="252"/>
        <v>1931</v>
      </c>
      <c r="B394" s="773">
        <v>382</v>
      </c>
      <c r="C394" s="774">
        <f t="shared" si="268"/>
        <v>11597</v>
      </c>
      <c r="D394" s="775">
        <f t="shared" si="300"/>
        <v>0</v>
      </c>
      <c r="E394" s="775">
        <f t="shared" si="301"/>
        <v>0</v>
      </c>
      <c r="F394" s="775">
        <f t="shared" si="302"/>
        <v>0</v>
      </c>
      <c r="G394" s="775">
        <f t="shared" si="303"/>
        <v>0</v>
      </c>
      <c r="H394" s="775">
        <f t="shared" si="304"/>
        <v>0</v>
      </c>
      <c r="I394" s="775">
        <f t="shared" si="251"/>
        <v>0</v>
      </c>
      <c r="K394" s="773">
        <v>382</v>
      </c>
      <c r="L394" s="774">
        <f t="shared" si="272"/>
        <v>11597</v>
      </c>
      <c r="M394" s="775">
        <f t="shared" si="273"/>
        <v>0</v>
      </c>
      <c r="N394" s="775">
        <f t="shared" si="261"/>
        <v>0</v>
      </c>
      <c r="O394" s="775">
        <f t="shared" si="253"/>
        <v>0</v>
      </c>
      <c r="P394" s="775">
        <f t="shared" si="274"/>
        <v>0</v>
      </c>
      <c r="Q394" s="775">
        <f t="shared" si="275"/>
        <v>0</v>
      </c>
      <c r="S394" s="773">
        <v>382</v>
      </c>
      <c r="T394" s="774">
        <f t="shared" si="276"/>
        <v>11597</v>
      </c>
      <c r="U394" s="775">
        <f t="shared" si="277"/>
        <v>0</v>
      </c>
      <c r="V394" s="775">
        <f t="shared" si="262"/>
        <v>0</v>
      </c>
      <c r="W394" s="775">
        <f t="shared" si="254"/>
        <v>0</v>
      </c>
      <c r="X394" s="775">
        <f t="shared" si="278"/>
        <v>0</v>
      </c>
      <c r="Y394" s="775">
        <f t="shared" si="279"/>
        <v>0</v>
      </c>
      <c r="AA394" s="773">
        <v>382</v>
      </c>
      <c r="AB394" s="774">
        <f t="shared" si="280"/>
        <v>11597</v>
      </c>
      <c r="AC394" s="775">
        <f t="shared" si="281"/>
        <v>0</v>
      </c>
      <c r="AD394" s="775">
        <f t="shared" si="263"/>
        <v>0</v>
      </c>
      <c r="AE394" s="775">
        <f t="shared" si="255"/>
        <v>0</v>
      </c>
      <c r="AF394" s="775">
        <f t="shared" si="282"/>
        <v>0</v>
      </c>
      <c r="AG394" s="775">
        <f t="shared" si="283"/>
        <v>0</v>
      </c>
      <c r="AI394" s="773">
        <v>382</v>
      </c>
      <c r="AJ394" s="774">
        <f t="shared" si="284"/>
        <v>11597</v>
      </c>
      <c r="AK394" s="775">
        <f t="shared" si="285"/>
        <v>0</v>
      </c>
      <c r="AL394" s="775">
        <f t="shared" si="264"/>
        <v>0</v>
      </c>
      <c r="AM394" s="775">
        <f t="shared" si="256"/>
        <v>0</v>
      </c>
      <c r="AN394" s="775">
        <f t="shared" si="286"/>
        <v>0</v>
      </c>
      <c r="AO394" s="775">
        <f t="shared" si="287"/>
        <v>0</v>
      </c>
      <c r="AQ394" s="773">
        <v>382</v>
      </c>
      <c r="AR394" s="774">
        <f t="shared" si="288"/>
        <v>11597</v>
      </c>
      <c r="AS394" s="775">
        <f t="shared" si="289"/>
        <v>0</v>
      </c>
      <c r="AT394" s="775">
        <f t="shared" si="265"/>
        <v>0</v>
      </c>
      <c r="AU394" s="775">
        <f t="shared" si="257"/>
        <v>0</v>
      </c>
      <c r="AV394" s="775">
        <f t="shared" si="290"/>
        <v>0</v>
      </c>
      <c r="AW394" s="775">
        <f t="shared" si="291"/>
        <v>0</v>
      </c>
      <c r="AY394" s="773">
        <v>382</v>
      </c>
      <c r="AZ394" s="774">
        <f t="shared" si="292"/>
        <v>11597</v>
      </c>
      <c r="BA394" s="775">
        <f t="shared" si="293"/>
        <v>0</v>
      </c>
      <c r="BB394" s="775">
        <f t="shared" si="266"/>
        <v>0</v>
      </c>
      <c r="BC394" s="775">
        <f t="shared" si="258"/>
        <v>0</v>
      </c>
      <c r="BD394" s="775">
        <f t="shared" si="294"/>
        <v>0</v>
      </c>
      <c r="BE394" s="775">
        <f t="shared" si="295"/>
        <v>0</v>
      </c>
      <c r="BG394" s="773">
        <v>382</v>
      </c>
      <c r="BH394" s="774">
        <f t="shared" si="296"/>
        <v>11597</v>
      </c>
      <c r="BI394" s="775">
        <f t="shared" si="297"/>
        <v>0</v>
      </c>
      <c r="BJ394" s="775">
        <f t="shared" si="267"/>
        <v>0</v>
      </c>
      <c r="BK394" s="775">
        <f t="shared" si="259"/>
        <v>0</v>
      </c>
      <c r="BL394" s="775">
        <f t="shared" si="298"/>
        <v>0</v>
      </c>
      <c r="BM394" s="775">
        <f t="shared" si="299"/>
        <v>0</v>
      </c>
    </row>
    <row r="395" spans="1:65">
      <c r="A395" s="11">
        <f t="shared" si="252"/>
        <v>1931</v>
      </c>
      <c r="B395" s="773">
        <v>383</v>
      </c>
      <c r="C395" s="774">
        <f t="shared" si="268"/>
        <v>11628</v>
      </c>
      <c r="D395" s="775">
        <f t="shared" si="300"/>
        <v>0</v>
      </c>
      <c r="E395" s="775">
        <f t="shared" si="301"/>
        <v>0</v>
      </c>
      <c r="F395" s="775">
        <f t="shared" si="302"/>
        <v>0</v>
      </c>
      <c r="G395" s="775">
        <f t="shared" si="303"/>
        <v>0</v>
      </c>
      <c r="H395" s="775">
        <f t="shared" si="304"/>
        <v>0</v>
      </c>
      <c r="I395" s="775">
        <f t="shared" si="251"/>
        <v>0</v>
      </c>
      <c r="K395" s="773">
        <v>383</v>
      </c>
      <c r="L395" s="774">
        <f t="shared" si="272"/>
        <v>11628</v>
      </c>
      <c r="M395" s="775">
        <f t="shared" si="273"/>
        <v>0</v>
      </c>
      <c r="N395" s="775">
        <f t="shared" si="261"/>
        <v>0</v>
      </c>
      <c r="O395" s="775">
        <f t="shared" si="253"/>
        <v>0</v>
      </c>
      <c r="P395" s="775">
        <f t="shared" si="274"/>
        <v>0</v>
      </c>
      <c r="Q395" s="775">
        <f t="shared" si="275"/>
        <v>0</v>
      </c>
      <c r="S395" s="773">
        <v>383</v>
      </c>
      <c r="T395" s="774">
        <f t="shared" si="276"/>
        <v>11628</v>
      </c>
      <c r="U395" s="775">
        <f t="shared" si="277"/>
        <v>0</v>
      </c>
      <c r="V395" s="775">
        <f t="shared" si="262"/>
        <v>0</v>
      </c>
      <c r="W395" s="775">
        <f t="shared" si="254"/>
        <v>0</v>
      </c>
      <c r="X395" s="775">
        <f t="shared" si="278"/>
        <v>0</v>
      </c>
      <c r="Y395" s="775">
        <f t="shared" si="279"/>
        <v>0</v>
      </c>
      <c r="AA395" s="773">
        <v>383</v>
      </c>
      <c r="AB395" s="774">
        <f t="shared" si="280"/>
        <v>11628</v>
      </c>
      <c r="AC395" s="775">
        <f t="shared" si="281"/>
        <v>0</v>
      </c>
      <c r="AD395" s="775">
        <f t="shared" si="263"/>
        <v>0</v>
      </c>
      <c r="AE395" s="775">
        <f t="shared" si="255"/>
        <v>0</v>
      </c>
      <c r="AF395" s="775">
        <f t="shared" si="282"/>
        <v>0</v>
      </c>
      <c r="AG395" s="775">
        <f t="shared" si="283"/>
        <v>0</v>
      </c>
      <c r="AI395" s="773">
        <v>383</v>
      </c>
      <c r="AJ395" s="774">
        <f t="shared" si="284"/>
        <v>11628</v>
      </c>
      <c r="AK395" s="775">
        <f t="shared" si="285"/>
        <v>0</v>
      </c>
      <c r="AL395" s="775">
        <f t="shared" si="264"/>
        <v>0</v>
      </c>
      <c r="AM395" s="775">
        <f t="shared" si="256"/>
        <v>0</v>
      </c>
      <c r="AN395" s="775">
        <f t="shared" si="286"/>
        <v>0</v>
      </c>
      <c r="AO395" s="775">
        <f t="shared" si="287"/>
        <v>0</v>
      </c>
      <c r="AQ395" s="773">
        <v>383</v>
      </c>
      <c r="AR395" s="774">
        <f t="shared" si="288"/>
        <v>11628</v>
      </c>
      <c r="AS395" s="775">
        <f t="shared" si="289"/>
        <v>0</v>
      </c>
      <c r="AT395" s="775">
        <f t="shared" si="265"/>
        <v>0</v>
      </c>
      <c r="AU395" s="775">
        <f t="shared" si="257"/>
        <v>0</v>
      </c>
      <c r="AV395" s="775">
        <f t="shared" si="290"/>
        <v>0</v>
      </c>
      <c r="AW395" s="775">
        <f t="shared" si="291"/>
        <v>0</v>
      </c>
      <c r="AY395" s="773">
        <v>383</v>
      </c>
      <c r="AZ395" s="774">
        <f t="shared" si="292"/>
        <v>11628</v>
      </c>
      <c r="BA395" s="775">
        <f t="shared" si="293"/>
        <v>0</v>
      </c>
      <c r="BB395" s="775">
        <f t="shared" si="266"/>
        <v>0</v>
      </c>
      <c r="BC395" s="775">
        <f t="shared" si="258"/>
        <v>0</v>
      </c>
      <c r="BD395" s="775">
        <f t="shared" si="294"/>
        <v>0</v>
      </c>
      <c r="BE395" s="775">
        <f t="shared" si="295"/>
        <v>0</v>
      </c>
      <c r="BG395" s="773">
        <v>383</v>
      </c>
      <c r="BH395" s="774">
        <f t="shared" si="296"/>
        <v>11628</v>
      </c>
      <c r="BI395" s="775">
        <f t="shared" si="297"/>
        <v>0</v>
      </c>
      <c r="BJ395" s="775">
        <f t="shared" si="267"/>
        <v>0</v>
      </c>
      <c r="BK395" s="775">
        <f t="shared" si="259"/>
        <v>0</v>
      </c>
      <c r="BL395" s="775">
        <f t="shared" si="298"/>
        <v>0</v>
      </c>
      <c r="BM395" s="775">
        <f t="shared" si="299"/>
        <v>0</v>
      </c>
    </row>
    <row r="396" spans="1:65">
      <c r="A396" s="11">
        <f t="shared" si="252"/>
        <v>1931</v>
      </c>
      <c r="B396" s="773">
        <v>384</v>
      </c>
      <c r="C396" s="774">
        <f t="shared" si="268"/>
        <v>11658</v>
      </c>
      <c r="D396" s="775">
        <f t="shared" si="300"/>
        <v>0</v>
      </c>
      <c r="E396" s="775">
        <f t="shared" si="301"/>
        <v>0</v>
      </c>
      <c r="F396" s="775">
        <f t="shared" si="302"/>
        <v>0</v>
      </c>
      <c r="G396" s="775">
        <f t="shared" si="303"/>
        <v>0</v>
      </c>
      <c r="H396" s="775">
        <f t="shared" si="304"/>
        <v>0</v>
      </c>
      <c r="I396" s="775">
        <f t="shared" si="251"/>
        <v>0</v>
      </c>
      <c r="K396" s="773">
        <v>384</v>
      </c>
      <c r="L396" s="774">
        <f t="shared" si="272"/>
        <v>11658</v>
      </c>
      <c r="M396" s="775">
        <f t="shared" si="273"/>
        <v>0</v>
      </c>
      <c r="N396" s="775">
        <f t="shared" si="261"/>
        <v>0</v>
      </c>
      <c r="O396" s="775">
        <f t="shared" si="253"/>
        <v>0</v>
      </c>
      <c r="P396" s="775">
        <f t="shared" si="274"/>
        <v>0</v>
      </c>
      <c r="Q396" s="775">
        <f t="shared" si="275"/>
        <v>0</v>
      </c>
      <c r="S396" s="773">
        <v>384</v>
      </c>
      <c r="T396" s="774">
        <f t="shared" si="276"/>
        <v>11658</v>
      </c>
      <c r="U396" s="775">
        <f t="shared" si="277"/>
        <v>0</v>
      </c>
      <c r="V396" s="775">
        <f t="shared" si="262"/>
        <v>0</v>
      </c>
      <c r="W396" s="775">
        <f t="shared" si="254"/>
        <v>0</v>
      </c>
      <c r="X396" s="775">
        <f t="shared" si="278"/>
        <v>0</v>
      </c>
      <c r="Y396" s="775">
        <f t="shared" si="279"/>
        <v>0</v>
      </c>
      <c r="AA396" s="773">
        <v>384</v>
      </c>
      <c r="AB396" s="774">
        <f t="shared" si="280"/>
        <v>11658</v>
      </c>
      <c r="AC396" s="775">
        <f t="shared" si="281"/>
        <v>0</v>
      </c>
      <c r="AD396" s="775">
        <f t="shared" si="263"/>
        <v>0</v>
      </c>
      <c r="AE396" s="775">
        <f t="shared" si="255"/>
        <v>0</v>
      </c>
      <c r="AF396" s="775">
        <f t="shared" si="282"/>
        <v>0</v>
      </c>
      <c r="AG396" s="775">
        <f t="shared" si="283"/>
        <v>0</v>
      </c>
      <c r="AI396" s="773">
        <v>384</v>
      </c>
      <c r="AJ396" s="774">
        <f t="shared" si="284"/>
        <v>11658</v>
      </c>
      <c r="AK396" s="775">
        <f t="shared" si="285"/>
        <v>0</v>
      </c>
      <c r="AL396" s="775">
        <f t="shared" si="264"/>
        <v>0</v>
      </c>
      <c r="AM396" s="775">
        <f t="shared" si="256"/>
        <v>0</v>
      </c>
      <c r="AN396" s="775">
        <f t="shared" si="286"/>
        <v>0</v>
      </c>
      <c r="AO396" s="775">
        <f t="shared" si="287"/>
        <v>0</v>
      </c>
      <c r="AQ396" s="773">
        <v>384</v>
      </c>
      <c r="AR396" s="774">
        <f t="shared" si="288"/>
        <v>11658</v>
      </c>
      <c r="AS396" s="775">
        <f t="shared" si="289"/>
        <v>0</v>
      </c>
      <c r="AT396" s="775">
        <f t="shared" si="265"/>
        <v>0</v>
      </c>
      <c r="AU396" s="775">
        <f t="shared" si="257"/>
        <v>0</v>
      </c>
      <c r="AV396" s="775">
        <f t="shared" si="290"/>
        <v>0</v>
      </c>
      <c r="AW396" s="775">
        <f t="shared" si="291"/>
        <v>0</v>
      </c>
      <c r="AY396" s="773">
        <v>384</v>
      </c>
      <c r="AZ396" s="774">
        <f t="shared" si="292"/>
        <v>11658</v>
      </c>
      <c r="BA396" s="775">
        <f t="shared" si="293"/>
        <v>0</v>
      </c>
      <c r="BB396" s="775">
        <f t="shared" si="266"/>
        <v>0</v>
      </c>
      <c r="BC396" s="775">
        <f t="shared" si="258"/>
        <v>0</v>
      </c>
      <c r="BD396" s="775">
        <f t="shared" si="294"/>
        <v>0</v>
      </c>
      <c r="BE396" s="775">
        <f t="shared" si="295"/>
        <v>0</v>
      </c>
      <c r="BG396" s="773">
        <v>384</v>
      </c>
      <c r="BH396" s="774">
        <f t="shared" si="296"/>
        <v>11658</v>
      </c>
      <c r="BI396" s="775">
        <f t="shared" si="297"/>
        <v>0</v>
      </c>
      <c r="BJ396" s="775">
        <f t="shared" si="267"/>
        <v>0</v>
      </c>
      <c r="BK396" s="775">
        <f t="shared" si="259"/>
        <v>0</v>
      </c>
      <c r="BL396" s="775">
        <f t="shared" si="298"/>
        <v>0</v>
      </c>
      <c r="BM396" s="775">
        <f t="shared" si="299"/>
        <v>0</v>
      </c>
    </row>
    <row r="397" spans="1:65">
      <c r="A397" s="11">
        <f t="shared" si="252"/>
        <v>1932</v>
      </c>
      <c r="B397" s="773">
        <v>385</v>
      </c>
      <c r="C397" s="774">
        <f t="shared" si="268"/>
        <v>11689</v>
      </c>
      <c r="D397" s="775">
        <f t="shared" si="300"/>
        <v>0</v>
      </c>
      <c r="E397" s="775">
        <f t="shared" si="301"/>
        <v>0</v>
      </c>
      <c r="F397" s="775">
        <f t="shared" si="302"/>
        <v>0</v>
      </c>
      <c r="G397" s="775">
        <f t="shared" si="303"/>
        <v>0</v>
      </c>
      <c r="H397" s="775">
        <f t="shared" si="304"/>
        <v>0</v>
      </c>
      <c r="I397" s="775">
        <f t="shared" ref="I397:I460" si="305">D397*rng01_MortgageInsurangePremium/12</f>
        <v>0</v>
      </c>
      <c r="K397" s="773">
        <v>385</v>
      </c>
      <c r="L397" s="774">
        <f t="shared" si="272"/>
        <v>11689</v>
      </c>
      <c r="M397" s="775">
        <f t="shared" si="273"/>
        <v>0</v>
      </c>
      <c r="N397" s="775">
        <f t="shared" si="261"/>
        <v>0</v>
      </c>
      <c r="O397" s="775">
        <f t="shared" si="253"/>
        <v>0</v>
      </c>
      <c r="P397" s="775">
        <f t="shared" si="274"/>
        <v>0</v>
      </c>
      <c r="Q397" s="775">
        <f t="shared" si="275"/>
        <v>0</v>
      </c>
      <c r="S397" s="773">
        <v>385</v>
      </c>
      <c r="T397" s="774">
        <f t="shared" si="276"/>
        <v>11689</v>
      </c>
      <c r="U397" s="775">
        <f t="shared" si="277"/>
        <v>0</v>
      </c>
      <c r="V397" s="775">
        <f t="shared" si="262"/>
        <v>0</v>
      </c>
      <c r="W397" s="775">
        <f t="shared" si="254"/>
        <v>0</v>
      </c>
      <c r="X397" s="775">
        <f t="shared" si="278"/>
        <v>0</v>
      </c>
      <c r="Y397" s="775">
        <f t="shared" si="279"/>
        <v>0</v>
      </c>
      <c r="AA397" s="773">
        <v>385</v>
      </c>
      <c r="AB397" s="774">
        <f t="shared" si="280"/>
        <v>11689</v>
      </c>
      <c r="AC397" s="775">
        <f t="shared" si="281"/>
        <v>0</v>
      </c>
      <c r="AD397" s="775">
        <f t="shared" si="263"/>
        <v>0</v>
      </c>
      <c r="AE397" s="775">
        <f t="shared" si="255"/>
        <v>0</v>
      </c>
      <c r="AF397" s="775">
        <f t="shared" si="282"/>
        <v>0</v>
      </c>
      <c r="AG397" s="775">
        <f t="shared" si="283"/>
        <v>0</v>
      </c>
      <c r="AI397" s="773">
        <v>385</v>
      </c>
      <c r="AJ397" s="774">
        <f t="shared" si="284"/>
        <v>11689</v>
      </c>
      <c r="AK397" s="775">
        <f t="shared" si="285"/>
        <v>0</v>
      </c>
      <c r="AL397" s="775">
        <f t="shared" si="264"/>
        <v>0</v>
      </c>
      <c r="AM397" s="775">
        <f t="shared" si="256"/>
        <v>0</v>
      </c>
      <c r="AN397" s="775">
        <f t="shared" si="286"/>
        <v>0</v>
      </c>
      <c r="AO397" s="775">
        <f t="shared" si="287"/>
        <v>0</v>
      </c>
      <c r="AQ397" s="773">
        <v>385</v>
      </c>
      <c r="AR397" s="774">
        <f t="shared" si="288"/>
        <v>11689</v>
      </c>
      <c r="AS397" s="775">
        <f t="shared" si="289"/>
        <v>0</v>
      </c>
      <c r="AT397" s="775">
        <f t="shared" si="265"/>
        <v>0</v>
      </c>
      <c r="AU397" s="775">
        <f t="shared" si="257"/>
        <v>0</v>
      </c>
      <c r="AV397" s="775">
        <f t="shared" si="290"/>
        <v>0</v>
      </c>
      <c r="AW397" s="775">
        <f t="shared" si="291"/>
        <v>0</v>
      </c>
      <c r="AY397" s="773">
        <v>385</v>
      </c>
      <c r="AZ397" s="774">
        <f t="shared" si="292"/>
        <v>11689</v>
      </c>
      <c r="BA397" s="775">
        <f t="shared" si="293"/>
        <v>0</v>
      </c>
      <c r="BB397" s="775">
        <f t="shared" si="266"/>
        <v>0</v>
      </c>
      <c r="BC397" s="775">
        <f t="shared" si="258"/>
        <v>0</v>
      </c>
      <c r="BD397" s="775">
        <f t="shared" si="294"/>
        <v>0</v>
      </c>
      <c r="BE397" s="775">
        <f t="shared" si="295"/>
        <v>0</v>
      </c>
      <c r="BG397" s="773">
        <v>385</v>
      </c>
      <c r="BH397" s="774">
        <f t="shared" si="296"/>
        <v>11689</v>
      </c>
      <c r="BI397" s="775">
        <f t="shared" si="297"/>
        <v>0</v>
      </c>
      <c r="BJ397" s="775">
        <f t="shared" si="267"/>
        <v>0</v>
      </c>
      <c r="BK397" s="775">
        <f t="shared" si="259"/>
        <v>0</v>
      </c>
      <c r="BL397" s="775">
        <f t="shared" si="298"/>
        <v>0</v>
      </c>
      <c r="BM397" s="775">
        <f t="shared" si="299"/>
        <v>0</v>
      </c>
    </row>
    <row r="398" spans="1:65">
      <c r="A398" s="11">
        <f t="shared" ref="A398:A461" si="306">YEAR(C398)</f>
        <v>1932</v>
      </c>
      <c r="B398" s="773">
        <v>386</v>
      </c>
      <c r="C398" s="774">
        <f t="shared" si="268"/>
        <v>11720</v>
      </c>
      <c r="D398" s="775">
        <f t="shared" si="300"/>
        <v>0</v>
      </c>
      <c r="E398" s="775">
        <f t="shared" si="301"/>
        <v>0</v>
      </c>
      <c r="F398" s="775">
        <f t="shared" si="302"/>
        <v>0</v>
      </c>
      <c r="G398" s="775">
        <f t="shared" si="303"/>
        <v>0</v>
      </c>
      <c r="H398" s="775">
        <f t="shared" si="304"/>
        <v>0</v>
      </c>
      <c r="I398" s="775">
        <f t="shared" si="305"/>
        <v>0</v>
      </c>
      <c r="K398" s="773">
        <v>386</v>
      </c>
      <c r="L398" s="774">
        <f t="shared" si="272"/>
        <v>11720</v>
      </c>
      <c r="M398" s="775">
        <f t="shared" si="273"/>
        <v>0</v>
      </c>
      <c r="N398" s="775">
        <f t="shared" si="261"/>
        <v>0</v>
      </c>
      <c r="O398" s="775">
        <f t="shared" ref="O398:O461" si="307">M398*$N$7/12</f>
        <v>0</v>
      </c>
      <c r="P398" s="775">
        <f t="shared" si="274"/>
        <v>0</v>
      </c>
      <c r="Q398" s="775">
        <f t="shared" si="275"/>
        <v>0</v>
      </c>
      <c r="S398" s="773">
        <v>386</v>
      </c>
      <c r="T398" s="774">
        <f t="shared" si="276"/>
        <v>11720</v>
      </c>
      <c r="U398" s="775">
        <f t="shared" si="277"/>
        <v>0</v>
      </c>
      <c r="V398" s="775">
        <f t="shared" si="262"/>
        <v>0</v>
      </c>
      <c r="W398" s="775">
        <f t="shared" ref="W398:W461" si="308">U398*V$7/12</f>
        <v>0</v>
      </c>
      <c r="X398" s="775">
        <f t="shared" si="278"/>
        <v>0</v>
      </c>
      <c r="Y398" s="775">
        <f t="shared" si="279"/>
        <v>0</v>
      </c>
      <c r="AA398" s="773">
        <v>386</v>
      </c>
      <c r="AB398" s="774">
        <f t="shared" si="280"/>
        <v>11720</v>
      </c>
      <c r="AC398" s="775">
        <f t="shared" si="281"/>
        <v>0</v>
      </c>
      <c r="AD398" s="775">
        <f t="shared" si="263"/>
        <v>0</v>
      </c>
      <c r="AE398" s="775">
        <f t="shared" ref="AE398:AE461" si="309">AC398*AD$7/12</f>
        <v>0</v>
      </c>
      <c r="AF398" s="775">
        <f t="shared" si="282"/>
        <v>0</v>
      </c>
      <c r="AG398" s="775">
        <f t="shared" si="283"/>
        <v>0</v>
      </c>
      <c r="AI398" s="773">
        <v>386</v>
      </c>
      <c r="AJ398" s="774">
        <f t="shared" si="284"/>
        <v>11720</v>
      </c>
      <c r="AK398" s="775">
        <f t="shared" si="285"/>
        <v>0</v>
      </c>
      <c r="AL398" s="775">
        <f t="shared" si="264"/>
        <v>0</v>
      </c>
      <c r="AM398" s="775">
        <f t="shared" ref="AM398:AM461" si="310">AK398*AL$7/12</f>
        <v>0</v>
      </c>
      <c r="AN398" s="775">
        <f t="shared" si="286"/>
        <v>0</v>
      </c>
      <c r="AO398" s="775">
        <f t="shared" si="287"/>
        <v>0</v>
      </c>
      <c r="AQ398" s="773">
        <v>386</v>
      </c>
      <c r="AR398" s="774">
        <f t="shared" si="288"/>
        <v>11720</v>
      </c>
      <c r="AS398" s="775">
        <f t="shared" si="289"/>
        <v>0</v>
      </c>
      <c r="AT398" s="775">
        <f t="shared" si="265"/>
        <v>0</v>
      </c>
      <c r="AU398" s="775">
        <f t="shared" ref="AU398:AU461" si="311">AS398*AT$7/12</f>
        <v>0</v>
      </c>
      <c r="AV398" s="775">
        <f t="shared" si="290"/>
        <v>0</v>
      </c>
      <c r="AW398" s="775">
        <f t="shared" si="291"/>
        <v>0</v>
      </c>
      <c r="AY398" s="773">
        <v>386</v>
      </c>
      <c r="AZ398" s="774">
        <f t="shared" si="292"/>
        <v>11720</v>
      </c>
      <c r="BA398" s="775">
        <f t="shared" si="293"/>
        <v>0</v>
      </c>
      <c r="BB398" s="775">
        <f t="shared" si="266"/>
        <v>0</v>
      </c>
      <c r="BC398" s="775">
        <f t="shared" ref="BC398:BC461" si="312">BA398*BB$7/12</f>
        <v>0</v>
      </c>
      <c r="BD398" s="775">
        <f t="shared" si="294"/>
        <v>0</v>
      </c>
      <c r="BE398" s="775">
        <f t="shared" si="295"/>
        <v>0</v>
      </c>
      <c r="BG398" s="773">
        <v>386</v>
      </c>
      <c r="BH398" s="774">
        <f t="shared" si="296"/>
        <v>11720</v>
      </c>
      <c r="BI398" s="775">
        <f t="shared" si="297"/>
        <v>0</v>
      </c>
      <c r="BJ398" s="775">
        <f t="shared" si="267"/>
        <v>0</v>
      </c>
      <c r="BK398" s="775">
        <f t="shared" ref="BK398:BK461" si="313">BI398*BJ$7/12</f>
        <v>0</v>
      </c>
      <c r="BL398" s="775">
        <f t="shared" si="298"/>
        <v>0</v>
      </c>
      <c r="BM398" s="775">
        <f t="shared" si="299"/>
        <v>0</v>
      </c>
    </row>
    <row r="399" spans="1:65">
      <c r="A399" s="11">
        <f t="shared" si="306"/>
        <v>1932</v>
      </c>
      <c r="B399" s="773">
        <v>387</v>
      </c>
      <c r="C399" s="774">
        <f t="shared" si="268"/>
        <v>11749</v>
      </c>
      <c r="D399" s="775">
        <f t="shared" si="300"/>
        <v>0</v>
      </c>
      <c r="E399" s="775">
        <f t="shared" si="301"/>
        <v>0</v>
      </c>
      <c r="F399" s="775">
        <f t="shared" si="302"/>
        <v>0</v>
      </c>
      <c r="G399" s="775">
        <f t="shared" si="303"/>
        <v>0</v>
      </c>
      <c r="H399" s="775">
        <f t="shared" si="304"/>
        <v>0</v>
      </c>
      <c r="I399" s="775">
        <f t="shared" si="305"/>
        <v>0</v>
      </c>
      <c r="K399" s="773">
        <v>387</v>
      </c>
      <c r="L399" s="774">
        <f t="shared" si="272"/>
        <v>11749</v>
      </c>
      <c r="M399" s="775">
        <f t="shared" si="273"/>
        <v>0</v>
      </c>
      <c r="N399" s="775">
        <f t="shared" ref="N399:N462" si="314">IF(ROUND(M399,0)&gt;0,N398,0)</f>
        <v>0</v>
      </c>
      <c r="O399" s="775">
        <f t="shared" si="307"/>
        <v>0</v>
      </c>
      <c r="P399" s="775">
        <f t="shared" si="274"/>
        <v>0</v>
      </c>
      <c r="Q399" s="775">
        <f t="shared" si="275"/>
        <v>0</v>
      </c>
      <c r="S399" s="773">
        <v>387</v>
      </c>
      <c r="T399" s="774">
        <f t="shared" si="276"/>
        <v>11749</v>
      </c>
      <c r="U399" s="775">
        <f t="shared" si="277"/>
        <v>0</v>
      </c>
      <c r="V399" s="775">
        <f t="shared" ref="V399:V462" si="315">IF(ROUND(U399,0)&gt;0,V398,0)</f>
        <v>0</v>
      </c>
      <c r="W399" s="775">
        <f t="shared" si="308"/>
        <v>0</v>
      </c>
      <c r="X399" s="775">
        <f t="shared" si="278"/>
        <v>0</v>
      </c>
      <c r="Y399" s="775">
        <f t="shared" si="279"/>
        <v>0</v>
      </c>
      <c r="AA399" s="773">
        <v>387</v>
      </c>
      <c r="AB399" s="774">
        <f t="shared" si="280"/>
        <v>11749</v>
      </c>
      <c r="AC399" s="775">
        <f t="shared" si="281"/>
        <v>0</v>
      </c>
      <c r="AD399" s="775">
        <f t="shared" ref="AD399:AD462" si="316">IF(ROUND(AC399,0)&gt;0,AD398,0)</f>
        <v>0</v>
      </c>
      <c r="AE399" s="775">
        <f t="shared" si="309"/>
        <v>0</v>
      </c>
      <c r="AF399" s="775">
        <f t="shared" si="282"/>
        <v>0</v>
      </c>
      <c r="AG399" s="775">
        <f t="shared" si="283"/>
        <v>0</v>
      </c>
      <c r="AI399" s="773">
        <v>387</v>
      </c>
      <c r="AJ399" s="774">
        <f t="shared" si="284"/>
        <v>11749</v>
      </c>
      <c r="AK399" s="775">
        <f t="shared" si="285"/>
        <v>0</v>
      </c>
      <c r="AL399" s="775">
        <f t="shared" ref="AL399:AL462" si="317">IF(ROUND(AK399,0)&gt;0,AL398,0)</f>
        <v>0</v>
      </c>
      <c r="AM399" s="775">
        <f t="shared" si="310"/>
        <v>0</v>
      </c>
      <c r="AN399" s="775">
        <f t="shared" si="286"/>
        <v>0</v>
      </c>
      <c r="AO399" s="775">
        <f t="shared" si="287"/>
        <v>0</v>
      </c>
      <c r="AQ399" s="773">
        <v>387</v>
      </c>
      <c r="AR399" s="774">
        <f t="shared" si="288"/>
        <v>11749</v>
      </c>
      <c r="AS399" s="775">
        <f t="shared" si="289"/>
        <v>0</v>
      </c>
      <c r="AT399" s="775">
        <f t="shared" ref="AT399:AT462" si="318">IF(ROUND(AS399,0)&gt;0,AT398,0)</f>
        <v>0</v>
      </c>
      <c r="AU399" s="775">
        <f t="shared" si="311"/>
        <v>0</v>
      </c>
      <c r="AV399" s="775">
        <f t="shared" si="290"/>
        <v>0</v>
      </c>
      <c r="AW399" s="775">
        <f t="shared" si="291"/>
        <v>0</v>
      </c>
      <c r="AY399" s="773">
        <v>387</v>
      </c>
      <c r="AZ399" s="774">
        <f t="shared" si="292"/>
        <v>11749</v>
      </c>
      <c r="BA399" s="775">
        <f t="shared" si="293"/>
        <v>0</v>
      </c>
      <c r="BB399" s="775">
        <f t="shared" ref="BB399:BB462" si="319">IF(ROUND(BA399,0)&gt;0,BB398,0)</f>
        <v>0</v>
      </c>
      <c r="BC399" s="775">
        <f t="shared" si="312"/>
        <v>0</v>
      </c>
      <c r="BD399" s="775">
        <f t="shared" si="294"/>
        <v>0</v>
      </c>
      <c r="BE399" s="775">
        <f t="shared" si="295"/>
        <v>0</v>
      </c>
      <c r="BG399" s="773">
        <v>387</v>
      </c>
      <c r="BH399" s="774">
        <f t="shared" si="296"/>
        <v>11749</v>
      </c>
      <c r="BI399" s="775">
        <f t="shared" si="297"/>
        <v>0</v>
      </c>
      <c r="BJ399" s="775">
        <f t="shared" ref="BJ399:BJ462" si="320">IF(ROUND(BI399,0)&gt;0,BJ398,0)</f>
        <v>0</v>
      </c>
      <c r="BK399" s="775">
        <f t="shared" si="313"/>
        <v>0</v>
      </c>
      <c r="BL399" s="775">
        <f t="shared" si="298"/>
        <v>0</v>
      </c>
      <c r="BM399" s="775">
        <f t="shared" si="299"/>
        <v>0</v>
      </c>
    </row>
    <row r="400" spans="1:65">
      <c r="A400" s="11">
        <f t="shared" si="306"/>
        <v>1932</v>
      </c>
      <c r="B400" s="773">
        <v>388</v>
      </c>
      <c r="C400" s="774">
        <f t="shared" ref="C400:C463" si="321">DATE(IF(MONTH(C399)=12,YEAR(C399)+1,YEAR(C399)),IF(MONTH(C399)=12,1,MONTH(C399)+1),1)</f>
        <v>11780</v>
      </c>
      <c r="D400" s="775">
        <f t="shared" si="300"/>
        <v>0</v>
      </c>
      <c r="E400" s="775">
        <f t="shared" si="301"/>
        <v>0</v>
      </c>
      <c r="F400" s="775">
        <f t="shared" si="302"/>
        <v>0</v>
      </c>
      <c r="G400" s="775">
        <f t="shared" si="303"/>
        <v>0</v>
      </c>
      <c r="H400" s="775">
        <f t="shared" si="304"/>
        <v>0</v>
      </c>
      <c r="I400" s="775">
        <f t="shared" si="305"/>
        <v>0</v>
      </c>
      <c r="K400" s="773">
        <v>388</v>
      </c>
      <c r="L400" s="774">
        <f t="shared" ref="L400:L463" si="322">DATE(IF(MONTH(L399)=12,YEAR(L399)+1,YEAR(L399)),IF(MONTH(L399)=12,1,MONTH(L399)+1),1)</f>
        <v>11780</v>
      </c>
      <c r="M400" s="775">
        <f t="shared" ref="M400:M463" si="323">Q399</f>
        <v>0</v>
      </c>
      <c r="N400" s="775">
        <f t="shared" si="314"/>
        <v>0</v>
      </c>
      <c r="O400" s="775">
        <f t="shared" si="307"/>
        <v>0</v>
      </c>
      <c r="P400" s="775">
        <f t="shared" ref="P400:P463" si="324">N400-O400</f>
        <v>0</v>
      </c>
      <c r="Q400" s="775">
        <f t="shared" ref="Q400:Q463" si="325">M400-P400</f>
        <v>0</v>
      </c>
      <c r="S400" s="773">
        <v>388</v>
      </c>
      <c r="T400" s="774">
        <f t="shared" ref="T400:T463" si="326">DATE(IF(MONTH(T399)=12,YEAR(T399)+1,YEAR(T399)),IF(MONTH(T399)=12,1,MONTH(T399)+1),1)</f>
        <v>11780</v>
      </c>
      <c r="U400" s="775">
        <f t="shared" ref="U400:U463" si="327">Y399</f>
        <v>0</v>
      </c>
      <c r="V400" s="775">
        <f t="shared" si="315"/>
        <v>0</v>
      </c>
      <c r="W400" s="775">
        <f t="shared" si="308"/>
        <v>0</v>
      </c>
      <c r="X400" s="775">
        <f t="shared" ref="X400:X463" si="328">V400-W400</f>
        <v>0</v>
      </c>
      <c r="Y400" s="775">
        <f t="shared" ref="Y400:Y463" si="329">U400-X400</f>
        <v>0</v>
      </c>
      <c r="AA400" s="773">
        <v>388</v>
      </c>
      <c r="AB400" s="774">
        <f t="shared" ref="AB400:AB463" si="330">DATE(IF(MONTH(AB399)=12,YEAR(AB399)+1,YEAR(AB399)),IF(MONTH(AB399)=12,1,MONTH(AB399)+1),1)</f>
        <v>11780</v>
      </c>
      <c r="AC400" s="775">
        <f t="shared" ref="AC400:AC463" si="331">AG399</f>
        <v>0</v>
      </c>
      <c r="AD400" s="775">
        <f t="shared" si="316"/>
        <v>0</v>
      </c>
      <c r="AE400" s="775">
        <f t="shared" si="309"/>
        <v>0</v>
      </c>
      <c r="AF400" s="775">
        <f t="shared" ref="AF400:AF463" si="332">AD400-AE400</f>
        <v>0</v>
      </c>
      <c r="AG400" s="775">
        <f t="shared" ref="AG400:AG463" si="333">AC400-AF400</f>
        <v>0</v>
      </c>
      <c r="AI400" s="773">
        <v>388</v>
      </c>
      <c r="AJ400" s="774">
        <f t="shared" ref="AJ400:AJ463" si="334">DATE(IF(MONTH(AJ399)=12,YEAR(AJ399)+1,YEAR(AJ399)),IF(MONTH(AJ399)=12,1,MONTH(AJ399)+1),1)</f>
        <v>11780</v>
      </c>
      <c r="AK400" s="775">
        <f t="shared" ref="AK400:AK463" si="335">AO399</f>
        <v>0</v>
      </c>
      <c r="AL400" s="775">
        <f t="shared" si="317"/>
        <v>0</v>
      </c>
      <c r="AM400" s="775">
        <f t="shared" si="310"/>
        <v>0</v>
      </c>
      <c r="AN400" s="775">
        <f t="shared" ref="AN400:AN463" si="336">AL400-AM400</f>
        <v>0</v>
      </c>
      <c r="AO400" s="775">
        <f t="shared" ref="AO400:AO463" si="337">AK400-AN400</f>
        <v>0</v>
      </c>
      <c r="AQ400" s="773">
        <v>388</v>
      </c>
      <c r="AR400" s="774">
        <f t="shared" ref="AR400:AR463" si="338">DATE(IF(MONTH(AR399)=12,YEAR(AR399)+1,YEAR(AR399)),IF(MONTH(AR399)=12,1,MONTH(AR399)+1),1)</f>
        <v>11780</v>
      </c>
      <c r="AS400" s="775">
        <f t="shared" ref="AS400:AS463" si="339">AW399</f>
        <v>0</v>
      </c>
      <c r="AT400" s="775">
        <f t="shared" si="318"/>
        <v>0</v>
      </c>
      <c r="AU400" s="775">
        <f t="shared" si="311"/>
        <v>0</v>
      </c>
      <c r="AV400" s="775">
        <f t="shared" ref="AV400:AV463" si="340">AT400-AU400</f>
        <v>0</v>
      </c>
      <c r="AW400" s="775">
        <f t="shared" ref="AW400:AW463" si="341">AS400-AV400</f>
        <v>0</v>
      </c>
      <c r="AY400" s="773">
        <v>388</v>
      </c>
      <c r="AZ400" s="774">
        <f t="shared" ref="AZ400:AZ463" si="342">DATE(IF(MONTH(AZ399)=12,YEAR(AZ399)+1,YEAR(AZ399)),IF(MONTH(AZ399)=12,1,MONTH(AZ399)+1),1)</f>
        <v>11780</v>
      </c>
      <c r="BA400" s="775">
        <f t="shared" ref="BA400:BA463" si="343">BE399</f>
        <v>0</v>
      </c>
      <c r="BB400" s="775">
        <f t="shared" si="319"/>
        <v>0</v>
      </c>
      <c r="BC400" s="775">
        <f t="shared" si="312"/>
        <v>0</v>
      </c>
      <c r="BD400" s="775">
        <f t="shared" ref="BD400:BD463" si="344">BB400-BC400</f>
        <v>0</v>
      </c>
      <c r="BE400" s="775">
        <f t="shared" ref="BE400:BE463" si="345">BA400-BD400</f>
        <v>0</v>
      </c>
      <c r="BG400" s="773">
        <v>388</v>
      </c>
      <c r="BH400" s="774">
        <f t="shared" ref="BH400:BH463" si="346">DATE(IF(MONTH(BH399)=12,YEAR(BH399)+1,YEAR(BH399)),IF(MONTH(BH399)=12,1,MONTH(BH399)+1),1)</f>
        <v>11780</v>
      </c>
      <c r="BI400" s="775">
        <f t="shared" ref="BI400:BI463" si="347">BM399</f>
        <v>0</v>
      </c>
      <c r="BJ400" s="775">
        <f t="shared" si="320"/>
        <v>0</v>
      </c>
      <c r="BK400" s="775">
        <f t="shared" si="313"/>
        <v>0</v>
      </c>
      <c r="BL400" s="775">
        <f t="shared" ref="BL400:BL463" si="348">BJ400-BK400</f>
        <v>0</v>
      </c>
      <c r="BM400" s="775">
        <f t="shared" ref="BM400:BM463" si="349">BI400-BL400</f>
        <v>0</v>
      </c>
    </row>
    <row r="401" spans="1:65">
      <c r="A401" s="11">
        <f t="shared" si="306"/>
        <v>1932</v>
      </c>
      <c r="B401" s="773">
        <v>389</v>
      </c>
      <c r="C401" s="774">
        <f t="shared" si="321"/>
        <v>11810</v>
      </c>
      <c r="D401" s="775">
        <f t="shared" si="300"/>
        <v>0</v>
      </c>
      <c r="E401" s="775">
        <f t="shared" si="301"/>
        <v>0</v>
      </c>
      <c r="F401" s="775">
        <f t="shared" si="302"/>
        <v>0</v>
      </c>
      <c r="G401" s="775">
        <f t="shared" si="303"/>
        <v>0</v>
      </c>
      <c r="H401" s="775">
        <f t="shared" si="304"/>
        <v>0</v>
      </c>
      <c r="I401" s="775">
        <f t="shared" si="305"/>
        <v>0</v>
      </c>
      <c r="K401" s="773">
        <v>389</v>
      </c>
      <c r="L401" s="774">
        <f t="shared" si="322"/>
        <v>11810</v>
      </c>
      <c r="M401" s="775">
        <f t="shared" si="323"/>
        <v>0</v>
      </c>
      <c r="N401" s="775">
        <f t="shared" si="314"/>
        <v>0</v>
      </c>
      <c r="O401" s="775">
        <f t="shared" si="307"/>
        <v>0</v>
      </c>
      <c r="P401" s="775">
        <f t="shared" si="324"/>
        <v>0</v>
      </c>
      <c r="Q401" s="775">
        <f t="shared" si="325"/>
        <v>0</v>
      </c>
      <c r="S401" s="773">
        <v>389</v>
      </c>
      <c r="T401" s="774">
        <f t="shared" si="326"/>
        <v>11810</v>
      </c>
      <c r="U401" s="775">
        <f t="shared" si="327"/>
        <v>0</v>
      </c>
      <c r="V401" s="775">
        <f t="shared" si="315"/>
        <v>0</v>
      </c>
      <c r="W401" s="775">
        <f t="shared" si="308"/>
        <v>0</v>
      </c>
      <c r="X401" s="775">
        <f t="shared" si="328"/>
        <v>0</v>
      </c>
      <c r="Y401" s="775">
        <f t="shared" si="329"/>
        <v>0</v>
      </c>
      <c r="AA401" s="773">
        <v>389</v>
      </c>
      <c r="AB401" s="774">
        <f t="shared" si="330"/>
        <v>11810</v>
      </c>
      <c r="AC401" s="775">
        <f t="shared" si="331"/>
        <v>0</v>
      </c>
      <c r="AD401" s="775">
        <f t="shared" si="316"/>
        <v>0</v>
      </c>
      <c r="AE401" s="775">
        <f t="shared" si="309"/>
        <v>0</v>
      </c>
      <c r="AF401" s="775">
        <f t="shared" si="332"/>
        <v>0</v>
      </c>
      <c r="AG401" s="775">
        <f t="shared" si="333"/>
        <v>0</v>
      </c>
      <c r="AI401" s="773">
        <v>389</v>
      </c>
      <c r="AJ401" s="774">
        <f t="shared" si="334"/>
        <v>11810</v>
      </c>
      <c r="AK401" s="775">
        <f t="shared" si="335"/>
        <v>0</v>
      </c>
      <c r="AL401" s="775">
        <f t="shared" si="317"/>
        <v>0</v>
      </c>
      <c r="AM401" s="775">
        <f t="shared" si="310"/>
        <v>0</v>
      </c>
      <c r="AN401" s="775">
        <f t="shared" si="336"/>
        <v>0</v>
      </c>
      <c r="AO401" s="775">
        <f t="shared" si="337"/>
        <v>0</v>
      </c>
      <c r="AQ401" s="773">
        <v>389</v>
      </c>
      <c r="AR401" s="774">
        <f t="shared" si="338"/>
        <v>11810</v>
      </c>
      <c r="AS401" s="775">
        <f t="shared" si="339"/>
        <v>0</v>
      </c>
      <c r="AT401" s="775">
        <f t="shared" si="318"/>
        <v>0</v>
      </c>
      <c r="AU401" s="775">
        <f t="shared" si="311"/>
        <v>0</v>
      </c>
      <c r="AV401" s="775">
        <f t="shared" si="340"/>
        <v>0</v>
      </c>
      <c r="AW401" s="775">
        <f t="shared" si="341"/>
        <v>0</v>
      </c>
      <c r="AY401" s="773">
        <v>389</v>
      </c>
      <c r="AZ401" s="774">
        <f t="shared" si="342"/>
        <v>11810</v>
      </c>
      <c r="BA401" s="775">
        <f t="shared" si="343"/>
        <v>0</v>
      </c>
      <c r="BB401" s="775">
        <f t="shared" si="319"/>
        <v>0</v>
      </c>
      <c r="BC401" s="775">
        <f t="shared" si="312"/>
        <v>0</v>
      </c>
      <c r="BD401" s="775">
        <f t="shared" si="344"/>
        <v>0</v>
      </c>
      <c r="BE401" s="775">
        <f t="shared" si="345"/>
        <v>0</v>
      </c>
      <c r="BG401" s="773">
        <v>389</v>
      </c>
      <c r="BH401" s="774">
        <f t="shared" si="346"/>
        <v>11810</v>
      </c>
      <c r="BI401" s="775">
        <f t="shared" si="347"/>
        <v>0</v>
      </c>
      <c r="BJ401" s="775">
        <f t="shared" si="320"/>
        <v>0</v>
      </c>
      <c r="BK401" s="775">
        <f t="shared" si="313"/>
        <v>0</v>
      </c>
      <c r="BL401" s="775">
        <f t="shared" si="348"/>
        <v>0</v>
      </c>
      <c r="BM401" s="775">
        <f t="shared" si="349"/>
        <v>0</v>
      </c>
    </row>
    <row r="402" spans="1:65">
      <c r="A402" s="11">
        <f t="shared" si="306"/>
        <v>1932</v>
      </c>
      <c r="B402" s="773">
        <v>390</v>
      </c>
      <c r="C402" s="774">
        <f t="shared" si="321"/>
        <v>11841</v>
      </c>
      <c r="D402" s="775">
        <f t="shared" si="300"/>
        <v>0</v>
      </c>
      <c r="E402" s="775">
        <f t="shared" si="301"/>
        <v>0</v>
      </c>
      <c r="F402" s="775">
        <f t="shared" si="302"/>
        <v>0</v>
      </c>
      <c r="G402" s="775">
        <f t="shared" si="303"/>
        <v>0</v>
      </c>
      <c r="H402" s="775">
        <f t="shared" si="304"/>
        <v>0</v>
      </c>
      <c r="I402" s="775">
        <f t="shared" si="305"/>
        <v>0</v>
      </c>
      <c r="K402" s="773">
        <v>390</v>
      </c>
      <c r="L402" s="774">
        <f t="shared" si="322"/>
        <v>11841</v>
      </c>
      <c r="M402" s="775">
        <f t="shared" si="323"/>
        <v>0</v>
      </c>
      <c r="N402" s="775">
        <f t="shared" si="314"/>
        <v>0</v>
      </c>
      <c r="O402" s="775">
        <f t="shared" si="307"/>
        <v>0</v>
      </c>
      <c r="P402" s="775">
        <f t="shared" si="324"/>
        <v>0</v>
      </c>
      <c r="Q402" s="775">
        <f t="shared" si="325"/>
        <v>0</v>
      </c>
      <c r="S402" s="773">
        <v>390</v>
      </c>
      <c r="T402" s="774">
        <f t="shared" si="326"/>
        <v>11841</v>
      </c>
      <c r="U402" s="775">
        <f t="shared" si="327"/>
        <v>0</v>
      </c>
      <c r="V402" s="775">
        <f t="shared" si="315"/>
        <v>0</v>
      </c>
      <c r="W402" s="775">
        <f t="shared" si="308"/>
        <v>0</v>
      </c>
      <c r="X402" s="775">
        <f t="shared" si="328"/>
        <v>0</v>
      </c>
      <c r="Y402" s="775">
        <f t="shared" si="329"/>
        <v>0</v>
      </c>
      <c r="AA402" s="773">
        <v>390</v>
      </c>
      <c r="AB402" s="774">
        <f t="shared" si="330"/>
        <v>11841</v>
      </c>
      <c r="AC402" s="775">
        <f t="shared" si="331"/>
        <v>0</v>
      </c>
      <c r="AD402" s="775">
        <f t="shared" si="316"/>
        <v>0</v>
      </c>
      <c r="AE402" s="775">
        <f t="shared" si="309"/>
        <v>0</v>
      </c>
      <c r="AF402" s="775">
        <f t="shared" si="332"/>
        <v>0</v>
      </c>
      <c r="AG402" s="775">
        <f t="shared" si="333"/>
        <v>0</v>
      </c>
      <c r="AI402" s="773">
        <v>390</v>
      </c>
      <c r="AJ402" s="774">
        <f t="shared" si="334"/>
        <v>11841</v>
      </c>
      <c r="AK402" s="775">
        <f t="shared" si="335"/>
        <v>0</v>
      </c>
      <c r="AL402" s="775">
        <f t="shared" si="317"/>
        <v>0</v>
      </c>
      <c r="AM402" s="775">
        <f t="shared" si="310"/>
        <v>0</v>
      </c>
      <c r="AN402" s="775">
        <f t="shared" si="336"/>
        <v>0</v>
      </c>
      <c r="AO402" s="775">
        <f t="shared" si="337"/>
        <v>0</v>
      </c>
      <c r="AQ402" s="773">
        <v>390</v>
      </c>
      <c r="AR402" s="774">
        <f t="shared" si="338"/>
        <v>11841</v>
      </c>
      <c r="AS402" s="775">
        <f t="shared" si="339"/>
        <v>0</v>
      </c>
      <c r="AT402" s="775">
        <f t="shared" si="318"/>
        <v>0</v>
      </c>
      <c r="AU402" s="775">
        <f t="shared" si="311"/>
        <v>0</v>
      </c>
      <c r="AV402" s="775">
        <f t="shared" si="340"/>
        <v>0</v>
      </c>
      <c r="AW402" s="775">
        <f t="shared" si="341"/>
        <v>0</v>
      </c>
      <c r="AY402" s="773">
        <v>390</v>
      </c>
      <c r="AZ402" s="774">
        <f t="shared" si="342"/>
        <v>11841</v>
      </c>
      <c r="BA402" s="775">
        <f t="shared" si="343"/>
        <v>0</v>
      </c>
      <c r="BB402" s="775">
        <f t="shared" si="319"/>
        <v>0</v>
      </c>
      <c r="BC402" s="775">
        <f t="shared" si="312"/>
        <v>0</v>
      </c>
      <c r="BD402" s="775">
        <f t="shared" si="344"/>
        <v>0</v>
      </c>
      <c r="BE402" s="775">
        <f t="shared" si="345"/>
        <v>0</v>
      </c>
      <c r="BG402" s="773">
        <v>390</v>
      </c>
      <c r="BH402" s="774">
        <f t="shared" si="346"/>
        <v>11841</v>
      </c>
      <c r="BI402" s="775">
        <f t="shared" si="347"/>
        <v>0</v>
      </c>
      <c r="BJ402" s="775">
        <f t="shared" si="320"/>
        <v>0</v>
      </c>
      <c r="BK402" s="775">
        <f t="shared" si="313"/>
        <v>0</v>
      </c>
      <c r="BL402" s="775">
        <f t="shared" si="348"/>
        <v>0</v>
      </c>
      <c r="BM402" s="775">
        <f t="shared" si="349"/>
        <v>0</v>
      </c>
    </row>
    <row r="403" spans="1:65">
      <c r="A403" s="11">
        <f t="shared" si="306"/>
        <v>1932</v>
      </c>
      <c r="B403" s="773">
        <v>391</v>
      </c>
      <c r="C403" s="774">
        <f t="shared" si="321"/>
        <v>11871</v>
      </c>
      <c r="D403" s="775">
        <f t="shared" si="300"/>
        <v>0</v>
      </c>
      <c r="E403" s="775">
        <f t="shared" si="301"/>
        <v>0</v>
      </c>
      <c r="F403" s="775">
        <f t="shared" si="302"/>
        <v>0</v>
      </c>
      <c r="G403" s="775">
        <f t="shared" si="303"/>
        <v>0</v>
      </c>
      <c r="H403" s="775">
        <f t="shared" si="304"/>
        <v>0</v>
      </c>
      <c r="I403" s="775">
        <f t="shared" si="305"/>
        <v>0</v>
      </c>
      <c r="K403" s="773">
        <v>391</v>
      </c>
      <c r="L403" s="774">
        <f t="shared" si="322"/>
        <v>11871</v>
      </c>
      <c r="M403" s="775">
        <f t="shared" si="323"/>
        <v>0</v>
      </c>
      <c r="N403" s="775">
        <f t="shared" si="314"/>
        <v>0</v>
      </c>
      <c r="O403" s="775">
        <f t="shared" si="307"/>
        <v>0</v>
      </c>
      <c r="P403" s="775">
        <f t="shared" si="324"/>
        <v>0</v>
      </c>
      <c r="Q403" s="775">
        <f t="shared" si="325"/>
        <v>0</v>
      </c>
      <c r="S403" s="773">
        <v>391</v>
      </c>
      <c r="T403" s="774">
        <f t="shared" si="326"/>
        <v>11871</v>
      </c>
      <c r="U403" s="775">
        <f t="shared" si="327"/>
        <v>0</v>
      </c>
      <c r="V403" s="775">
        <f t="shared" si="315"/>
        <v>0</v>
      </c>
      <c r="W403" s="775">
        <f t="shared" si="308"/>
        <v>0</v>
      </c>
      <c r="X403" s="775">
        <f t="shared" si="328"/>
        <v>0</v>
      </c>
      <c r="Y403" s="775">
        <f t="shared" si="329"/>
        <v>0</v>
      </c>
      <c r="AA403" s="773">
        <v>391</v>
      </c>
      <c r="AB403" s="774">
        <f t="shared" si="330"/>
        <v>11871</v>
      </c>
      <c r="AC403" s="775">
        <f t="shared" si="331"/>
        <v>0</v>
      </c>
      <c r="AD403" s="775">
        <f t="shared" si="316"/>
        <v>0</v>
      </c>
      <c r="AE403" s="775">
        <f t="shared" si="309"/>
        <v>0</v>
      </c>
      <c r="AF403" s="775">
        <f t="shared" si="332"/>
        <v>0</v>
      </c>
      <c r="AG403" s="775">
        <f t="shared" si="333"/>
        <v>0</v>
      </c>
      <c r="AI403" s="773">
        <v>391</v>
      </c>
      <c r="AJ403" s="774">
        <f t="shared" si="334"/>
        <v>11871</v>
      </c>
      <c r="AK403" s="775">
        <f t="shared" si="335"/>
        <v>0</v>
      </c>
      <c r="AL403" s="775">
        <f t="shared" si="317"/>
        <v>0</v>
      </c>
      <c r="AM403" s="775">
        <f t="shared" si="310"/>
        <v>0</v>
      </c>
      <c r="AN403" s="775">
        <f t="shared" si="336"/>
        <v>0</v>
      </c>
      <c r="AO403" s="775">
        <f t="shared" si="337"/>
        <v>0</v>
      </c>
      <c r="AQ403" s="773">
        <v>391</v>
      </c>
      <c r="AR403" s="774">
        <f t="shared" si="338"/>
        <v>11871</v>
      </c>
      <c r="AS403" s="775">
        <f t="shared" si="339"/>
        <v>0</v>
      </c>
      <c r="AT403" s="775">
        <f t="shared" si="318"/>
        <v>0</v>
      </c>
      <c r="AU403" s="775">
        <f t="shared" si="311"/>
        <v>0</v>
      </c>
      <c r="AV403" s="775">
        <f t="shared" si="340"/>
        <v>0</v>
      </c>
      <c r="AW403" s="775">
        <f t="shared" si="341"/>
        <v>0</v>
      </c>
      <c r="AY403" s="773">
        <v>391</v>
      </c>
      <c r="AZ403" s="774">
        <f t="shared" si="342"/>
        <v>11871</v>
      </c>
      <c r="BA403" s="775">
        <f t="shared" si="343"/>
        <v>0</v>
      </c>
      <c r="BB403" s="775">
        <f t="shared" si="319"/>
        <v>0</v>
      </c>
      <c r="BC403" s="775">
        <f t="shared" si="312"/>
        <v>0</v>
      </c>
      <c r="BD403" s="775">
        <f t="shared" si="344"/>
        <v>0</v>
      </c>
      <c r="BE403" s="775">
        <f t="shared" si="345"/>
        <v>0</v>
      </c>
      <c r="BG403" s="773">
        <v>391</v>
      </c>
      <c r="BH403" s="774">
        <f t="shared" si="346"/>
        <v>11871</v>
      </c>
      <c r="BI403" s="775">
        <f t="shared" si="347"/>
        <v>0</v>
      </c>
      <c r="BJ403" s="775">
        <f t="shared" si="320"/>
        <v>0</v>
      </c>
      <c r="BK403" s="775">
        <f t="shared" si="313"/>
        <v>0</v>
      </c>
      <c r="BL403" s="775">
        <f t="shared" si="348"/>
        <v>0</v>
      </c>
      <c r="BM403" s="775">
        <f t="shared" si="349"/>
        <v>0</v>
      </c>
    </row>
    <row r="404" spans="1:65">
      <c r="A404" s="11">
        <f t="shared" si="306"/>
        <v>1932</v>
      </c>
      <c r="B404" s="773">
        <v>392</v>
      </c>
      <c r="C404" s="774">
        <f t="shared" si="321"/>
        <v>11902</v>
      </c>
      <c r="D404" s="775">
        <f t="shared" si="300"/>
        <v>0</v>
      </c>
      <c r="E404" s="775">
        <f t="shared" si="301"/>
        <v>0</v>
      </c>
      <c r="F404" s="775">
        <f t="shared" si="302"/>
        <v>0</v>
      </c>
      <c r="G404" s="775">
        <f t="shared" si="303"/>
        <v>0</v>
      </c>
      <c r="H404" s="775">
        <f t="shared" si="304"/>
        <v>0</v>
      </c>
      <c r="I404" s="775">
        <f t="shared" si="305"/>
        <v>0</v>
      </c>
      <c r="K404" s="773">
        <v>392</v>
      </c>
      <c r="L404" s="774">
        <f t="shared" si="322"/>
        <v>11902</v>
      </c>
      <c r="M404" s="775">
        <f t="shared" si="323"/>
        <v>0</v>
      </c>
      <c r="N404" s="775">
        <f t="shared" si="314"/>
        <v>0</v>
      </c>
      <c r="O404" s="775">
        <f t="shared" si="307"/>
        <v>0</v>
      </c>
      <c r="P404" s="775">
        <f t="shared" si="324"/>
        <v>0</v>
      </c>
      <c r="Q404" s="775">
        <f t="shared" si="325"/>
        <v>0</v>
      </c>
      <c r="S404" s="773">
        <v>392</v>
      </c>
      <c r="T404" s="774">
        <f t="shared" si="326"/>
        <v>11902</v>
      </c>
      <c r="U404" s="775">
        <f t="shared" si="327"/>
        <v>0</v>
      </c>
      <c r="V404" s="775">
        <f t="shared" si="315"/>
        <v>0</v>
      </c>
      <c r="W404" s="775">
        <f t="shared" si="308"/>
        <v>0</v>
      </c>
      <c r="X404" s="775">
        <f t="shared" si="328"/>
        <v>0</v>
      </c>
      <c r="Y404" s="775">
        <f t="shared" si="329"/>
        <v>0</v>
      </c>
      <c r="AA404" s="773">
        <v>392</v>
      </c>
      <c r="AB404" s="774">
        <f t="shared" si="330"/>
        <v>11902</v>
      </c>
      <c r="AC404" s="775">
        <f t="shared" si="331"/>
        <v>0</v>
      </c>
      <c r="AD404" s="775">
        <f t="shared" si="316"/>
        <v>0</v>
      </c>
      <c r="AE404" s="775">
        <f t="shared" si="309"/>
        <v>0</v>
      </c>
      <c r="AF404" s="775">
        <f t="shared" si="332"/>
        <v>0</v>
      </c>
      <c r="AG404" s="775">
        <f t="shared" si="333"/>
        <v>0</v>
      </c>
      <c r="AI404" s="773">
        <v>392</v>
      </c>
      <c r="AJ404" s="774">
        <f t="shared" si="334"/>
        <v>11902</v>
      </c>
      <c r="AK404" s="775">
        <f t="shared" si="335"/>
        <v>0</v>
      </c>
      <c r="AL404" s="775">
        <f t="shared" si="317"/>
        <v>0</v>
      </c>
      <c r="AM404" s="775">
        <f t="shared" si="310"/>
        <v>0</v>
      </c>
      <c r="AN404" s="775">
        <f t="shared" si="336"/>
        <v>0</v>
      </c>
      <c r="AO404" s="775">
        <f t="shared" si="337"/>
        <v>0</v>
      </c>
      <c r="AQ404" s="773">
        <v>392</v>
      </c>
      <c r="AR404" s="774">
        <f t="shared" si="338"/>
        <v>11902</v>
      </c>
      <c r="AS404" s="775">
        <f t="shared" si="339"/>
        <v>0</v>
      </c>
      <c r="AT404" s="775">
        <f t="shared" si="318"/>
        <v>0</v>
      </c>
      <c r="AU404" s="775">
        <f t="shared" si="311"/>
        <v>0</v>
      </c>
      <c r="AV404" s="775">
        <f t="shared" si="340"/>
        <v>0</v>
      </c>
      <c r="AW404" s="775">
        <f t="shared" si="341"/>
        <v>0</v>
      </c>
      <c r="AY404" s="773">
        <v>392</v>
      </c>
      <c r="AZ404" s="774">
        <f t="shared" si="342"/>
        <v>11902</v>
      </c>
      <c r="BA404" s="775">
        <f t="shared" si="343"/>
        <v>0</v>
      </c>
      <c r="BB404" s="775">
        <f t="shared" si="319"/>
        <v>0</v>
      </c>
      <c r="BC404" s="775">
        <f t="shared" si="312"/>
        <v>0</v>
      </c>
      <c r="BD404" s="775">
        <f t="shared" si="344"/>
        <v>0</v>
      </c>
      <c r="BE404" s="775">
        <f t="shared" si="345"/>
        <v>0</v>
      </c>
      <c r="BG404" s="773">
        <v>392</v>
      </c>
      <c r="BH404" s="774">
        <f t="shared" si="346"/>
        <v>11902</v>
      </c>
      <c r="BI404" s="775">
        <f t="shared" si="347"/>
        <v>0</v>
      </c>
      <c r="BJ404" s="775">
        <f t="shared" si="320"/>
        <v>0</v>
      </c>
      <c r="BK404" s="775">
        <f t="shared" si="313"/>
        <v>0</v>
      </c>
      <c r="BL404" s="775">
        <f t="shared" si="348"/>
        <v>0</v>
      </c>
      <c r="BM404" s="775">
        <f t="shared" si="349"/>
        <v>0</v>
      </c>
    </row>
    <row r="405" spans="1:65">
      <c r="A405" s="11">
        <f t="shared" si="306"/>
        <v>1932</v>
      </c>
      <c r="B405" s="773">
        <v>393</v>
      </c>
      <c r="C405" s="774">
        <f t="shared" si="321"/>
        <v>11933</v>
      </c>
      <c r="D405" s="775">
        <f t="shared" si="300"/>
        <v>0</v>
      </c>
      <c r="E405" s="775">
        <f t="shared" si="301"/>
        <v>0</v>
      </c>
      <c r="F405" s="775">
        <f t="shared" si="302"/>
        <v>0</v>
      </c>
      <c r="G405" s="775">
        <f t="shared" si="303"/>
        <v>0</v>
      </c>
      <c r="H405" s="775">
        <f t="shared" si="304"/>
        <v>0</v>
      </c>
      <c r="I405" s="775">
        <f t="shared" si="305"/>
        <v>0</v>
      </c>
      <c r="K405" s="773">
        <v>393</v>
      </c>
      <c r="L405" s="774">
        <f t="shared" si="322"/>
        <v>11933</v>
      </c>
      <c r="M405" s="775">
        <f t="shared" si="323"/>
        <v>0</v>
      </c>
      <c r="N405" s="775">
        <f t="shared" si="314"/>
        <v>0</v>
      </c>
      <c r="O405" s="775">
        <f t="shared" si="307"/>
        <v>0</v>
      </c>
      <c r="P405" s="775">
        <f t="shared" si="324"/>
        <v>0</v>
      </c>
      <c r="Q405" s="775">
        <f t="shared" si="325"/>
        <v>0</v>
      </c>
      <c r="S405" s="773">
        <v>393</v>
      </c>
      <c r="T405" s="774">
        <f t="shared" si="326"/>
        <v>11933</v>
      </c>
      <c r="U405" s="775">
        <f t="shared" si="327"/>
        <v>0</v>
      </c>
      <c r="V405" s="775">
        <f t="shared" si="315"/>
        <v>0</v>
      </c>
      <c r="W405" s="775">
        <f t="shared" si="308"/>
        <v>0</v>
      </c>
      <c r="X405" s="775">
        <f t="shared" si="328"/>
        <v>0</v>
      </c>
      <c r="Y405" s="775">
        <f t="shared" si="329"/>
        <v>0</v>
      </c>
      <c r="AA405" s="773">
        <v>393</v>
      </c>
      <c r="AB405" s="774">
        <f t="shared" si="330"/>
        <v>11933</v>
      </c>
      <c r="AC405" s="775">
        <f t="shared" si="331"/>
        <v>0</v>
      </c>
      <c r="AD405" s="775">
        <f t="shared" si="316"/>
        <v>0</v>
      </c>
      <c r="AE405" s="775">
        <f t="shared" si="309"/>
        <v>0</v>
      </c>
      <c r="AF405" s="775">
        <f t="shared" si="332"/>
        <v>0</v>
      </c>
      <c r="AG405" s="775">
        <f t="shared" si="333"/>
        <v>0</v>
      </c>
      <c r="AI405" s="773">
        <v>393</v>
      </c>
      <c r="AJ405" s="774">
        <f t="shared" si="334"/>
        <v>11933</v>
      </c>
      <c r="AK405" s="775">
        <f t="shared" si="335"/>
        <v>0</v>
      </c>
      <c r="AL405" s="775">
        <f t="shared" si="317"/>
        <v>0</v>
      </c>
      <c r="AM405" s="775">
        <f t="shared" si="310"/>
        <v>0</v>
      </c>
      <c r="AN405" s="775">
        <f t="shared" si="336"/>
        <v>0</v>
      </c>
      <c r="AO405" s="775">
        <f t="shared" si="337"/>
        <v>0</v>
      </c>
      <c r="AQ405" s="773">
        <v>393</v>
      </c>
      <c r="AR405" s="774">
        <f t="shared" si="338"/>
        <v>11933</v>
      </c>
      <c r="AS405" s="775">
        <f t="shared" si="339"/>
        <v>0</v>
      </c>
      <c r="AT405" s="775">
        <f t="shared" si="318"/>
        <v>0</v>
      </c>
      <c r="AU405" s="775">
        <f t="shared" si="311"/>
        <v>0</v>
      </c>
      <c r="AV405" s="775">
        <f t="shared" si="340"/>
        <v>0</v>
      </c>
      <c r="AW405" s="775">
        <f t="shared" si="341"/>
        <v>0</v>
      </c>
      <c r="AY405" s="773">
        <v>393</v>
      </c>
      <c r="AZ405" s="774">
        <f t="shared" si="342"/>
        <v>11933</v>
      </c>
      <c r="BA405" s="775">
        <f t="shared" si="343"/>
        <v>0</v>
      </c>
      <c r="BB405" s="775">
        <f t="shared" si="319"/>
        <v>0</v>
      </c>
      <c r="BC405" s="775">
        <f t="shared" si="312"/>
        <v>0</v>
      </c>
      <c r="BD405" s="775">
        <f t="shared" si="344"/>
        <v>0</v>
      </c>
      <c r="BE405" s="775">
        <f t="shared" si="345"/>
        <v>0</v>
      </c>
      <c r="BG405" s="773">
        <v>393</v>
      </c>
      <c r="BH405" s="774">
        <f t="shared" si="346"/>
        <v>11933</v>
      </c>
      <c r="BI405" s="775">
        <f t="shared" si="347"/>
        <v>0</v>
      </c>
      <c r="BJ405" s="775">
        <f t="shared" si="320"/>
        <v>0</v>
      </c>
      <c r="BK405" s="775">
        <f t="shared" si="313"/>
        <v>0</v>
      </c>
      <c r="BL405" s="775">
        <f t="shared" si="348"/>
        <v>0</v>
      </c>
      <c r="BM405" s="775">
        <f t="shared" si="349"/>
        <v>0</v>
      </c>
    </row>
    <row r="406" spans="1:65">
      <c r="A406" s="11">
        <f t="shared" si="306"/>
        <v>1932</v>
      </c>
      <c r="B406" s="773">
        <v>394</v>
      </c>
      <c r="C406" s="774">
        <f t="shared" si="321"/>
        <v>11963</v>
      </c>
      <c r="D406" s="775">
        <f t="shared" si="300"/>
        <v>0</v>
      </c>
      <c r="E406" s="775">
        <f t="shared" si="301"/>
        <v>0</v>
      </c>
      <c r="F406" s="775">
        <f t="shared" si="302"/>
        <v>0</v>
      </c>
      <c r="G406" s="775">
        <f t="shared" si="303"/>
        <v>0</v>
      </c>
      <c r="H406" s="775">
        <f t="shared" si="304"/>
        <v>0</v>
      </c>
      <c r="I406" s="775">
        <f t="shared" si="305"/>
        <v>0</v>
      </c>
      <c r="K406" s="773">
        <v>394</v>
      </c>
      <c r="L406" s="774">
        <f t="shared" si="322"/>
        <v>11963</v>
      </c>
      <c r="M406" s="775">
        <f t="shared" si="323"/>
        <v>0</v>
      </c>
      <c r="N406" s="775">
        <f t="shared" si="314"/>
        <v>0</v>
      </c>
      <c r="O406" s="775">
        <f t="shared" si="307"/>
        <v>0</v>
      </c>
      <c r="P406" s="775">
        <f t="shared" si="324"/>
        <v>0</v>
      </c>
      <c r="Q406" s="775">
        <f t="shared" si="325"/>
        <v>0</v>
      </c>
      <c r="S406" s="773">
        <v>394</v>
      </c>
      <c r="T406" s="774">
        <f t="shared" si="326"/>
        <v>11963</v>
      </c>
      <c r="U406" s="775">
        <f t="shared" si="327"/>
        <v>0</v>
      </c>
      <c r="V406" s="775">
        <f t="shared" si="315"/>
        <v>0</v>
      </c>
      <c r="W406" s="775">
        <f t="shared" si="308"/>
        <v>0</v>
      </c>
      <c r="X406" s="775">
        <f t="shared" si="328"/>
        <v>0</v>
      </c>
      <c r="Y406" s="775">
        <f t="shared" si="329"/>
        <v>0</v>
      </c>
      <c r="AA406" s="773">
        <v>394</v>
      </c>
      <c r="AB406" s="774">
        <f t="shared" si="330"/>
        <v>11963</v>
      </c>
      <c r="AC406" s="775">
        <f t="shared" si="331"/>
        <v>0</v>
      </c>
      <c r="AD406" s="775">
        <f t="shared" si="316"/>
        <v>0</v>
      </c>
      <c r="AE406" s="775">
        <f t="shared" si="309"/>
        <v>0</v>
      </c>
      <c r="AF406" s="775">
        <f t="shared" si="332"/>
        <v>0</v>
      </c>
      <c r="AG406" s="775">
        <f t="shared" si="333"/>
        <v>0</v>
      </c>
      <c r="AI406" s="773">
        <v>394</v>
      </c>
      <c r="AJ406" s="774">
        <f t="shared" si="334"/>
        <v>11963</v>
      </c>
      <c r="AK406" s="775">
        <f t="shared" si="335"/>
        <v>0</v>
      </c>
      <c r="AL406" s="775">
        <f t="shared" si="317"/>
        <v>0</v>
      </c>
      <c r="AM406" s="775">
        <f t="shared" si="310"/>
        <v>0</v>
      </c>
      <c r="AN406" s="775">
        <f t="shared" si="336"/>
        <v>0</v>
      </c>
      <c r="AO406" s="775">
        <f t="shared" si="337"/>
        <v>0</v>
      </c>
      <c r="AQ406" s="773">
        <v>394</v>
      </c>
      <c r="AR406" s="774">
        <f t="shared" si="338"/>
        <v>11963</v>
      </c>
      <c r="AS406" s="775">
        <f t="shared" si="339"/>
        <v>0</v>
      </c>
      <c r="AT406" s="775">
        <f t="shared" si="318"/>
        <v>0</v>
      </c>
      <c r="AU406" s="775">
        <f t="shared" si="311"/>
        <v>0</v>
      </c>
      <c r="AV406" s="775">
        <f t="shared" si="340"/>
        <v>0</v>
      </c>
      <c r="AW406" s="775">
        <f t="shared" si="341"/>
        <v>0</v>
      </c>
      <c r="AY406" s="773">
        <v>394</v>
      </c>
      <c r="AZ406" s="774">
        <f t="shared" si="342"/>
        <v>11963</v>
      </c>
      <c r="BA406" s="775">
        <f t="shared" si="343"/>
        <v>0</v>
      </c>
      <c r="BB406" s="775">
        <f t="shared" si="319"/>
        <v>0</v>
      </c>
      <c r="BC406" s="775">
        <f t="shared" si="312"/>
        <v>0</v>
      </c>
      <c r="BD406" s="775">
        <f t="shared" si="344"/>
        <v>0</v>
      </c>
      <c r="BE406" s="775">
        <f t="shared" si="345"/>
        <v>0</v>
      </c>
      <c r="BG406" s="773">
        <v>394</v>
      </c>
      <c r="BH406" s="774">
        <f t="shared" si="346"/>
        <v>11963</v>
      </c>
      <c r="BI406" s="775">
        <f t="shared" si="347"/>
        <v>0</v>
      </c>
      <c r="BJ406" s="775">
        <f t="shared" si="320"/>
        <v>0</v>
      </c>
      <c r="BK406" s="775">
        <f t="shared" si="313"/>
        <v>0</v>
      </c>
      <c r="BL406" s="775">
        <f t="shared" si="348"/>
        <v>0</v>
      </c>
      <c r="BM406" s="775">
        <f t="shared" si="349"/>
        <v>0</v>
      </c>
    </row>
    <row r="407" spans="1:65">
      <c r="A407" s="11">
        <f t="shared" si="306"/>
        <v>1932</v>
      </c>
      <c r="B407" s="773">
        <v>395</v>
      </c>
      <c r="C407" s="774">
        <f t="shared" si="321"/>
        <v>11994</v>
      </c>
      <c r="D407" s="775">
        <f t="shared" si="300"/>
        <v>0</v>
      </c>
      <c r="E407" s="775">
        <f t="shared" si="301"/>
        <v>0</v>
      </c>
      <c r="F407" s="775">
        <f t="shared" si="302"/>
        <v>0</v>
      </c>
      <c r="G407" s="775">
        <f t="shared" si="303"/>
        <v>0</v>
      </c>
      <c r="H407" s="775">
        <f t="shared" si="304"/>
        <v>0</v>
      </c>
      <c r="I407" s="775">
        <f t="shared" si="305"/>
        <v>0</v>
      </c>
      <c r="K407" s="773">
        <v>395</v>
      </c>
      <c r="L407" s="774">
        <f t="shared" si="322"/>
        <v>11994</v>
      </c>
      <c r="M407" s="775">
        <f t="shared" si="323"/>
        <v>0</v>
      </c>
      <c r="N407" s="775">
        <f t="shared" si="314"/>
        <v>0</v>
      </c>
      <c r="O407" s="775">
        <f t="shared" si="307"/>
        <v>0</v>
      </c>
      <c r="P407" s="775">
        <f t="shared" si="324"/>
        <v>0</v>
      </c>
      <c r="Q407" s="775">
        <f t="shared" si="325"/>
        <v>0</v>
      </c>
      <c r="S407" s="773">
        <v>395</v>
      </c>
      <c r="T407" s="774">
        <f t="shared" si="326"/>
        <v>11994</v>
      </c>
      <c r="U407" s="775">
        <f t="shared" si="327"/>
        <v>0</v>
      </c>
      <c r="V407" s="775">
        <f t="shared" si="315"/>
        <v>0</v>
      </c>
      <c r="W407" s="775">
        <f t="shared" si="308"/>
        <v>0</v>
      </c>
      <c r="X407" s="775">
        <f t="shared" si="328"/>
        <v>0</v>
      </c>
      <c r="Y407" s="775">
        <f t="shared" si="329"/>
        <v>0</v>
      </c>
      <c r="AA407" s="773">
        <v>395</v>
      </c>
      <c r="AB407" s="774">
        <f t="shared" si="330"/>
        <v>11994</v>
      </c>
      <c r="AC407" s="775">
        <f t="shared" si="331"/>
        <v>0</v>
      </c>
      <c r="AD407" s="775">
        <f t="shared" si="316"/>
        <v>0</v>
      </c>
      <c r="AE407" s="775">
        <f t="shared" si="309"/>
        <v>0</v>
      </c>
      <c r="AF407" s="775">
        <f t="shared" si="332"/>
        <v>0</v>
      </c>
      <c r="AG407" s="775">
        <f t="shared" si="333"/>
        <v>0</v>
      </c>
      <c r="AI407" s="773">
        <v>395</v>
      </c>
      <c r="AJ407" s="774">
        <f t="shared" si="334"/>
        <v>11994</v>
      </c>
      <c r="AK407" s="775">
        <f t="shared" si="335"/>
        <v>0</v>
      </c>
      <c r="AL407" s="775">
        <f t="shared" si="317"/>
        <v>0</v>
      </c>
      <c r="AM407" s="775">
        <f t="shared" si="310"/>
        <v>0</v>
      </c>
      <c r="AN407" s="775">
        <f t="shared" si="336"/>
        <v>0</v>
      </c>
      <c r="AO407" s="775">
        <f t="shared" si="337"/>
        <v>0</v>
      </c>
      <c r="AQ407" s="773">
        <v>395</v>
      </c>
      <c r="AR407" s="774">
        <f t="shared" si="338"/>
        <v>11994</v>
      </c>
      <c r="AS407" s="775">
        <f t="shared" si="339"/>
        <v>0</v>
      </c>
      <c r="AT407" s="775">
        <f t="shared" si="318"/>
        <v>0</v>
      </c>
      <c r="AU407" s="775">
        <f t="shared" si="311"/>
        <v>0</v>
      </c>
      <c r="AV407" s="775">
        <f t="shared" si="340"/>
        <v>0</v>
      </c>
      <c r="AW407" s="775">
        <f t="shared" si="341"/>
        <v>0</v>
      </c>
      <c r="AY407" s="773">
        <v>395</v>
      </c>
      <c r="AZ407" s="774">
        <f t="shared" si="342"/>
        <v>11994</v>
      </c>
      <c r="BA407" s="775">
        <f t="shared" si="343"/>
        <v>0</v>
      </c>
      <c r="BB407" s="775">
        <f t="shared" si="319"/>
        <v>0</v>
      </c>
      <c r="BC407" s="775">
        <f t="shared" si="312"/>
        <v>0</v>
      </c>
      <c r="BD407" s="775">
        <f t="shared" si="344"/>
        <v>0</v>
      </c>
      <c r="BE407" s="775">
        <f t="shared" si="345"/>
        <v>0</v>
      </c>
      <c r="BG407" s="773">
        <v>395</v>
      </c>
      <c r="BH407" s="774">
        <f t="shared" si="346"/>
        <v>11994</v>
      </c>
      <c r="BI407" s="775">
        <f t="shared" si="347"/>
        <v>0</v>
      </c>
      <c r="BJ407" s="775">
        <f t="shared" si="320"/>
        <v>0</v>
      </c>
      <c r="BK407" s="775">
        <f t="shared" si="313"/>
        <v>0</v>
      </c>
      <c r="BL407" s="775">
        <f t="shared" si="348"/>
        <v>0</v>
      </c>
      <c r="BM407" s="775">
        <f t="shared" si="349"/>
        <v>0</v>
      </c>
    </row>
    <row r="408" spans="1:65">
      <c r="A408" s="11">
        <f t="shared" si="306"/>
        <v>1932</v>
      </c>
      <c r="B408" s="773">
        <v>396</v>
      </c>
      <c r="C408" s="774">
        <f t="shared" si="321"/>
        <v>12024</v>
      </c>
      <c r="D408" s="775">
        <f t="shared" si="300"/>
        <v>0</v>
      </c>
      <c r="E408" s="775">
        <f t="shared" si="301"/>
        <v>0</v>
      </c>
      <c r="F408" s="775">
        <f t="shared" si="302"/>
        <v>0</v>
      </c>
      <c r="G408" s="775">
        <f t="shared" si="303"/>
        <v>0</v>
      </c>
      <c r="H408" s="775">
        <f t="shared" si="304"/>
        <v>0</v>
      </c>
      <c r="I408" s="775">
        <f t="shared" si="305"/>
        <v>0</v>
      </c>
      <c r="K408" s="773">
        <v>396</v>
      </c>
      <c r="L408" s="774">
        <f t="shared" si="322"/>
        <v>12024</v>
      </c>
      <c r="M408" s="775">
        <f t="shared" si="323"/>
        <v>0</v>
      </c>
      <c r="N408" s="775">
        <f t="shared" si="314"/>
        <v>0</v>
      </c>
      <c r="O408" s="775">
        <f t="shared" si="307"/>
        <v>0</v>
      </c>
      <c r="P408" s="775">
        <f t="shared" si="324"/>
        <v>0</v>
      </c>
      <c r="Q408" s="775">
        <f t="shared" si="325"/>
        <v>0</v>
      </c>
      <c r="S408" s="773">
        <v>396</v>
      </c>
      <c r="T408" s="774">
        <f t="shared" si="326"/>
        <v>12024</v>
      </c>
      <c r="U408" s="775">
        <f t="shared" si="327"/>
        <v>0</v>
      </c>
      <c r="V408" s="775">
        <f t="shared" si="315"/>
        <v>0</v>
      </c>
      <c r="W408" s="775">
        <f t="shared" si="308"/>
        <v>0</v>
      </c>
      <c r="X408" s="775">
        <f t="shared" si="328"/>
        <v>0</v>
      </c>
      <c r="Y408" s="775">
        <f t="shared" si="329"/>
        <v>0</v>
      </c>
      <c r="AA408" s="773">
        <v>396</v>
      </c>
      <c r="AB408" s="774">
        <f t="shared" si="330"/>
        <v>12024</v>
      </c>
      <c r="AC408" s="775">
        <f t="shared" si="331"/>
        <v>0</v>
      </c>
      <c r="AD408" s="775">
        <f t="shared" si="316"/>
        <v>0</v>
      </c>
      <c r="AE408" s="775">
        <f t="shared" si="309"/>
        <v>0</v>
      </c>
      <c r="AF408" s="775">
        <f t="shared" si="332"/>
        <v>0</v>
      </c>
      <c r="AG408" s="775">
        <f t="shared" si="333"/>
        <v>0</v>
      </c>
      <c r="AI408" s="773">
        <v>396</v>
      </c>
      <c r="AJ408" s="774">
        <f t="shared" si="334"/>
        <v>12024</v>
      </c>
      <c r="AK408" s="775">
        <f t="shared" si="335"/>
        <v>0</v>
      </c>
      <c r="AL408" s="775">
        <f t="shared" si="317"/>
        <v>0</v>
      </c>
      <c r="AM408" s="775">
        <f t="shared" si="310"/>
        <v>0</v>
      </c>
      <c r="AN408" s="775">
        <f t="shared" si="336"/>
        <v>0</v>
      </c>
      <c r="AO408" s="775">
        <f t="shared" si="337"/>
        <v>0</v>
      </c>
      <c r="AQ408" s="773">
        <v>396</v>
      </c>
      <c r="AR408" s="774">
        <f t="shared" si="338"/>
        <v>12024</v>
      </c>
      <c r="AS408" s="775">
        <f t="shared" si="339"/>
        <v>0</v>
      </c>
      <c r="AT408" s="775">
        <f t="shared" si="318"/>
        <v>0</v>
      </c>
      <c r="AU408" s="775">
        <f t="shared" si="311"/>
        <v>0</v>
      </c>
      <c r="AV408" s="775">
        <f t="shared" si="340"/>
        <v>0</v>
      </c>
      <c r="AW408" s="775">
        <f t="shared" si="341"/>
        <v>0</v>
      </c>
      <c r="AY408" s="773">
        <v>396</v>
      </c>
      <c r="AZ408" s="774">
        <f t="shared" si="342"/>
        <v>12024</v>
      </c>
      <c r="BA408" s="775">
        <f t="shared" si="343"/>
        <v>0</v>
      </c>
      <c r="BB408" s="775">
        <f t="shared" si="319"/>
        <v>0</v>
      </c>
      <c r="BC408" s="775">
        <f t="shared" si="312"/>
        <v>0</v>
      </c>
      <c r="BD408" s="775">
        <f t="shared" si="344"/>
        <v>0</v>
      </c>
      <c r="BE408" s="775">
        <f t="shared" si="345"/>
        <v>0</v>
      </c>
      <c r="BG408" s="773">
        <v>396</v>
      </c>
      <c r="BH408" s="774">
        <f t="shared" si="346"/>
        <v>12024</v>
      </c>
      <c r="BI408" s="775">
        <f t="shared" si="347"/>
        <v>0</v>
      </c>
      <c r="BJ408" s="775">
        <f t="shared" si="320"/>
        <v>0</v>
      </c>
      <c r="BK408" s="775">
        <f t="shared" si="313"/>
        <v>0</v>
      </c>
      <c r="BL408" s="775">
        <f t="shared" si="348"/>
        <v>0</v>
      </c>
      <c r="BM408" s="775">
        <f t="shared" si="349"/>
        <v>0</v>
      </c>
    </row>
    <row r="409" spans="1:65">
      <c r="A409" s="11">
        <f t="shared" si="306"/>
        <v>1933</v>
      </c>
      <c r="B409" s="773">
        <v>397</v>
      </c>
      <c r="C409" s="774">
        <f t="shared" si="321"/>
        <v>12055</v>
      </c>
      <c r="D409" s="775">
        <f t="shared" si="300"/>
        <v>0</v>
      </c>
      <c r="E409" s="775">
        <f t="shared" si="301"/>
        <v>0</v>
      </c>
      <c r="F409" s="775">
        <f t="shared" si="302"/>
        <v>0</v>
      </c>
      <c r="G409" s="775">
        <f t="shared" si="303"/>
        <v>0</v>
      </c>
      <c r="H409" s="775">
        <f t="shared" si="304"/>
        <v>0</v>
      </c>
      <c r="I409" s="775">
        <f t="shared" si="305"/>
        <v>0</v>
      </c>
      <c r="K409" s="773">
        <v>397</v>
      </c>
      <c r="L409" s="774">
        <f t="shared" si="322"/>
        <v>12055</v>
      </c>
      <c r="M409" s="775">
        <f t="shared" si="323"/>
        <v>0</v>
      </c>
      <c r="N409" s="775">
        <f t="shared" si="314"/>
        <v>0</v>
      </c>
      <c r="O409" s="775">
        <f t="shared" si="307"/>
        <v>0</v>
      </c>
      <c r="P409" s="775">
        <f t="shared" si="324"/>
        <v>0</v>
      </c>
      <c r="Q409" s="775">
        <f t="shared" si="325"/>
        <v>0</v>
      </c>
      <c r="S409" s="773">
        <v>397</v>
      </c>
      <c r="T409" s="774">
        <f t="shared" si="326"/>
        <v>12055</v>
      </c>
      <c r="U409" s="775">
        <f t="shared" si="327"/>
        <v>0</v>
      </c>
      <c r="V409" s="775">
        <f t="shared" si="315"/>
        <v>0</v>
      </c>
      <c r="W409" s="775">
        <f t="shared" si="308"/>
        <v>0</v>
      </c>
      <c r="X409" s="775">
        <f t="shared" si="328"/>
        <v>0</v>
      </c>
      <c r="Y409" s="775">
        <f t="shared" si="329"/>
        <v>0</v>
      </c>
      <c r="AA409" s="773">
        <v>397</v>
      </c>
      <c r="AB409" s="774">
        <f t="shared" si="330"/>
        <v>12055</v>
      </c>
      <c r="AC409" s="775">
        <f t="shared" si="331"/>
        <v>0</v>
      </c>
      <c r="AD409" s="775">
        <f t="shared" si="316"/>
        <v>0</v>
      </c>
      <c r="AE409" s="775">
        <f t="shared" si="309"/>
        <v>0</v>
      </c>
      <c r="AF409" s="775">
        <f t="shared" si="332"/>
        <v>0</v>
      </c>
      <c r="AG409" s="775">
        <f t="shared" si="333"/>
        <v>0</v>
      </c>
      <c r="AI409" s="773">
        <v>397</v>
      </c>
      <c r="AJ409" s="774">
        <f t="shared" si="334"/>
        <v>12055</v>
      </c>
      <c r="AK409" s="775">
        <f t="shared" si="335"/>
        <v>0</v>
      </c>
      <c r="AL409" s="775">
        <f t="shared" si="317"/>
        <v>0</v>
      </c>
      <c r="AM409" s="775">
        <f t="shared" si="310"/>
        <v>0</v>
      </c>
      <c r="AN409" s="775">
        <f t="shared" si="336"/>
        <v>0</v>
      </c>
      <c r="AO409" s="775">
        <f t="shared" si="337"/>
        <v>0</v>
      </c>
      <c r="AQ409" s="773">
        <v>397</v>
      </c>
      <c r="AR409" s="774">
        <f t="shared" si="338"/>
        <v>12055</v>
      </c>
      <c r="AS409" s="775">
        <f t="shared" si="339"/>
        <v>0</v>
      </c>
      <c r="AT409" s="775">
        <f t="shared" si="318"/>
        <v>0</v>
      </c>
      <c r="AU409" s="775">
        <f t="shared" si="311"/>
        <v>0</v>
      </c>
      <c r="AV409" s="775">
        <f t="shared" si="340"/>
        <v>0</v>
      </c>
      <c r="AW409" s="775">
        <f t="shared" si="341"/>
        <v>0</v>
      </c>
      <c r="AY409" s="773">
        <v>397</v>
      </c>
      <c r="AZ409" s="774">
        <f t="shared" si="342"/>
        <v>12055</v>
      </c>
      <c r="BA409" s="775">
        <f t="shared" si="343"/>
        <v>0</v>
      </c>
      <c r="BB409" s="775">
        <f t="shared" si="319"/>
        <v>0</v>
      </c>
      <c r="BC409" s="775">
        <f t="shared" si="312"/>
        <v>0</v>
      </c>
      <c r="BD409" s="775">
        <f t="shared" si="344"/>
        <v>0</v>
      </c>
      <c r="BE409" s="775">
        <f t="shared" si="345"/>
        <v>0</v>
      </c>
      <c r="BG409" s="773">
        <v>397</v>
      </c>
      <c r="BH409" s="774">
        <f t="shared" si="346"/>
        <v>12055</v>
      </c>
      <c r="BI409" s="775">
        <f t="shared" si="347"/>
        <v>0</v>
      </c>
      <c r="BJ409" s="775">
        <f t="shared" si="320"/>
        <v>0</v>
      </c>
      <c r="BK409" s="775">
        <f t="shared" si="313"/>
        <v>0</v>
      </c>
      <c r="BL409" s="775">
        <f t="shared" si="348"/>
        <v>0</v>
      </c>
      <c r="BM409" s="775">
        <f t="shared" si="349"/>
        <v>0</v>
      </c>
    </row>
    <row r="410" spans="1:65">
      <c r="A410" s="11">
        <f t="shared" si="306"/>
        <v>1933</v>
      </c>
      <c r="B410" s="773">
        <v>398</v>
      </c>
      <c r="C410" s="774">
        <f t="shared" si="321"/>
        <v>12086</v>
      </c>
      <c r="D410" s="775">
        <f t="shared" si="300"/>
        <v>0</v>
      </c>
      <c r="E410" s="775">
        <f t="shared" si="301"/>
        <v>0</v>
      </c>
      <c r="F410" s="775">
        <f t="shared" si="302"/>
        <v>0</v>
      </c>
      <c r="G410" s="775">
        <f t="shared" si="303"/>
        <v>0</v>
      </c>
      <c r="H410" s="775">
        <f t="shared" si="304"/>
        <v>0</v>
      </c>
      <c r="I410" s="775">
        <f t="shared" si="305"/>
        <v>0</v>
      </c>
      <c r="K410" s="773">
        <v>398</v>
      </c>
      <c r="L410" s="774">
        <f t="shared" si="322"/>
        <v>12086</v>
      </c>
      <c r="M410" s="775">
        <f t="shared" si="323"/>
        <v>0</v>
      </c>
      <c r="N410" s="775">
        <f t="shared" si="314"/>
        <v>0</v>
      </c>
      <c r="O410" s="775">
        <f t="shared" si="307"/>
        <v>0</v>
      </c>
      <c r="P410" s="775">
        <f t="shared" si="324"/>
        <v>0</v>
      </c>
      <c r="Q410" s="775">
        <f t="shared" si="325"/>
        <v>0</v>
      </c>
      <c r="S410" s="773">
        <v>398</v>
      </c>
      <c r="T410" s="774">
        <f t="shared" si="326"/>
        <v>12086</v>
      </c>
      <c r="U410" s="775">
        <f t="shared" si="327"/>
        <v>0</v>
      </c>
      <c r="V410" s="775">
        <f t="shared" si="315"/>
        <v>0</v>
      </c>
      <c r="W410" s="775">
        <f t="shared" si="308"/>
        <v>0</v>
      </c>
      <c r="X410" s="775">
        <f t="shared" si="328"/>
        <v>0</v>
      </c>
      <c r="Y410" s="775">
        <f t="shared" si="329"/>
        <v>0</v>
      </c>
      <c r="AA410" s="773">
        <v>398</v>
      </c>
      <c r="AB410" s="774">
        <f t="shared" si="330"/>
        <v>12086</v>
      </c>
      <c r="AC410" s="775">
        <f t="shared" si="331"/>
        <v>0</v>
      </c>
      <c r="AD410" s="775">
        <f t="shared" si="316"/>
        <v>0</v>
      </c>
      <c r="AE410" s="775">
        <f t="shared" si="309"/>
        <v>0</v>
      </c>
      <c r="AF410" s="775">
        <f t="shared" si="332"/>
        <v>0</v>
      </c>
      <c r="AG410" s="775">
        <f t="shared" si="333"/>
        <v>0</v>
      </c>
      <c r="AI410" s="773">
        <v>398</v>
      </c>
      <c r="AJ410" s="774">
        <f t="shared" si="334"/>
        <v>12086</v>
      </c>
      <c r="AK410" s="775">
        <f t="shared" si="335"/>
        <v>0</v>
      </c>
      <c r="AL410" s="775">
        <f t="shared" si="317"/>
        <v>0</v>
      </c>
      <c r="AM410" s="775">
        <f t="shared" si="310"/>
        <v>0</v>
      </c>
      <c r="AN410" s="775">
        <f t="shared" si="336"/>
        <v>0</v>
      </c>
      <c r="AO410" s="775">
        <f t="shared" si="337"/>
        <v>0</v>
      </c>
      <c r="AQ410" s="773">
        <v>398</v>
      </c>
      <c r="AR410" s="774">
        <f t="shared" si="338"/>
        <v>12086</v>
      </c>
      <c r="AS410" s="775">
        <f t="shared" si="339"/>
        <v>0</v>
      </c>
      <c r="AT410" s="775">
        <f t="shared" si="318"/>
        <v>0</v>
      </c>
      <c r="AU410" s="775">
        <f t="shared" si="311"/>
        <v>0</v>
      </c>
      <c r="AV410" s="775">
        <f t="shared" si="340"/>
        <v>0</v>
      </c>
      <c r="AW410" s="775">
        <f t="shared" si="341"/>
        <v>0</v>
      </c>
      <c r="AY410" s="773">
        <v>398</v>
      </c>
      <c r="AZ410" s="774">
        <f t="shared" si="342"/>
        <v>12086</v>
      </c>
      <c r="BA410" s="775">
        <f t="shared" si="343"/>
        <v>0</v>
      </c>
      <c r="BB410" s="775">
        <f t="shared" si="319"/>
        <v>0</v>
      </c>
      <c r="BC410" s="775">
        <f t="shared" si="312"/>
        <v>0</v>
      </c>
      <c r="BD410" s="775">
        <f t="shared" si="344"/>
        <v>0</v>
      </c>
      <c r="BE410" s="775">
        <f t="shared" si="345"/>
        <v>0</v>
      </c>
      <c r="BG410" s="773">
        <v>398</v>
      </c>
      <c r="BH410" s="774">
        <f t="shared" si="346"/>
        <v>12086</v>
      </c>
      <c r="BI410" s="775">
        <f t="shared" si="347"/>
        <v>0</v>
      </c>
      <c r="BJ410" s="775">
        <f t="shared" si="320"/>
        <v>0</v>
      </c>
      <c r="BK410" s="775">
        <f t="shared" si="313"/>
        <v>0</v>
      </c>
      <c r="BL410" s="775">
        <f t="shared" si="348"/>
        <v>0</v>
      </c>
      <c r="BM410" s="775">
        <f t="shared" si="349"/>
        <v>0</v>
      </c>
    </row>
    <row r="411" spans="1:65">
      <c r="A411" s="11">
        <f t="shared" si="306"/>
        <v>1933</v>
      </c>
      <c r="B411" s="773">
        <v>399</v>
      </c>
      <c r="C411" s="774">
        <f t="shared" si="321"/>
        <v>12114</v>
      </c>
      <c r="D411" s="775">
        <f t="shared" si="300"/>
        <v>0</v>
      </c>
      <c r="E411" s="775">
        <f t="shared" si="301"/>
        <v>0</v>
      </c>
      <c r="F411" s="775">
        <f t="shared" si="302"/>
        <v>0</v>
      </c>
      <c r="G411" s="775">
        <f t="shared" si="303"/>
        <v>0</v>
      </c>
      <c r="H411" s="775">
        <f t="shared" si="304"/>
        <v>0</v>
      </c>
      <c r="I411" s="775">
        <f t="shared" si="305"/>
        <v>0</v>
      </c>
      <c r="K411" s="773">
        <v>399</v>
      </c>
      <c r="L411" s="774">
        <f t="shared" si="322"/>
        <v>12114</v>
      </c>
      <c r="M411" s="775">
        <f t="shared" si="323"/>
        <v>0</v>
      </c>
      <c r="N411" s="775">
        <f t="shared" si="314"/>
        <v>0</v>
      </c>
      <c r="O411" s="775">
        <f t="shared" si="307"/>
        <v>0</v>
      </c>
      <c r="P411" s="775">
        <f t="shared" si="324"/>
        <v>0</v>
      </c>
      <c r="Q411" s="775">
        <f t="shared" si="325"/>
        <v>0</v>
      </c>
      <c r="S411" s="773">
        <v>399</v>
      </c>
      <c r="T411" s="774">
        <f t="shared" si="326"/>
        <v>12114</v>
      </c>
      <c r="U411" s="775">
        <f t="shared" si="327"/>
        <v>0</v>
      </c>
      <c r="V411" s="775">
        <f t="shared" si="315"/>
        <v>0</v>
      </c>
      <c r="W411" s="775">
        <f t="shared" si="308"/>
        <v>0</v>
      </c>
      <c r="X411" s="775">
        <f t="shared" si="328"/>
        <v>0</v>
      </c>
      <c r="Y411" s="775">
        <f t="shared" si="329"/>
        <v>0</v>
      </c>
      <c r="AA411" s="773">
        <v>399</v>
      </c>
      <c r="AB411" s="774">
        <f t="shared" si="330"/>
        <v>12114</v>
      </c>
      <c r="AC411" s="775">
        <f t="shared" si="331"/>
        <v>0</v>
      </c>
      <c r="AD411" s="775">
        <f t="shared" si="316"/>
        <v>0</v>
      </c>
      <c r="AE411" s="775">
        <f t="shared" si="309"/>
        <v>0</v>
      </c>
      <c r="AF411" s="775">
        <f t="shared" si="332"/>
        <v>0</v>
      </c>
      <c r="AG411" s="775">
        <f t="shared" si="333"/>
        <v>0</v>
      </c>
      <c r="AI411" s="773">
        <v>399</v>
      </c>
      <c r="AJ411" s="774">
        <f t="shared" si="334"/>
        <v>12114</v>
      </c>
      <c r="AK411" s="775">
        <f t="shared" si="335"/>
        <v>0</v>
      </c>
      <c r="AL411" s="775">
        <f t="shared" si="317"/>
        <v>0</v>
      </c>
      <c r="AM411" s="775">
        <f t="shared" si="310"/>
        <v>0</v>
      </c>
      <c r="AN411" s="775">
        <f t="shared" si="336"/>
        <v>0</v>
      </c>
      <c r="AO411" s="775">
        <f t="shared" si="337"/>
        <v>0</v>
      </c>
      <c r="AQ411" s="773">
        <v>399</v>
      </c>
      <c r="AR411" s="774">
        <f t="shared" si="338"/>
        <v>12114</v>
      </c>
      <c r="AS411" s="775">
        <f t="shared" si="339"/>
        <v>0</v>
      </c>
      <c r="AT411" s="775">
        <f t="shared" si="318"/>
        <v>0</v>
      </c>
      <c r="AU411" s="775">
        <f t="shared" si="311"/>
        <v>0</v>
      </c>
      <c r="AV411" s="775">
        <f t="shared" si="340"/>
        <v>0</v>
      </c>
      <c r="AW411" s="775">
        <f t="shared" si="341"/>
        <v>0</v>
      </c>
      <c r="AY411" s="773">
        <v>399</v>
      </c>
      <c r="AZ411" s="774">
        <f t="shared" si="342"/>
        <v>12114</v>
      </c>
      <c r="BA411" s="775">
        <f t="shared" si="343"/>
        <v>0</v>
      </c>
      <c r="BB411" s="775">
        <f t="shared" si="319"/>
        <v>0</v>
      </c>
      <c r="BC411" s="775">
        <f t="shared" si="312"/>
        <v>0</v>
      </c>
      <c r="BD411" s="775">
        <f t="shared" si="344"/>
        <v>0</v>
      </c>
      <c r="BE411" s="775">
        <f t="shared" si="345"/>
        <v>0</v>
      </c>
      <c r="BG411" s="773">
        <v>399</v>
      </c>
      <c r="BH411" s="774">
        <f t="shared" si="346"/>
        <v>12114</v>
      </c>
      <c r="BI411" s="775">
        <f t="shared" si="347"/>
        <v>0</v>
      </c>
      <c r="BJ411" s="775">
        <f t="shared" si="320"/>
        <v>0</v>
      </c>
      <c r="BK411" s="775">
        <f t="shared" si="313"/>
        <v>0</v>
      </c>
      <c r="BL411" s="775">
        <f t="shared" si="348"/>
        <v>0</v>
      </c>
      <c r="BM411" s="775">
        <f t="shared" si="349"/>
        <v>0</v>
      </c>
    </row>
    <row r="412" spans="1:65">
      <c r="A412" s="11">
        <f t="shared" si="306"/>
        <v>1933</v>
      </c>
      <c r="B412" s="773">
        <v>400</v>
      </c>
      <c r="C412" s="774">
        <f t="shared" si="321"/>
        <v>12145</v>
      </c>
      <c r="D412" s="775">
        <f t="shared" si="300"/>
        <v>0</v>
      </c>
      <c r="E412" s="775">
        <f t="shared" si="301"/>
        <v>0</v>
      </c>
      <c r="F412" s="775">
        <f t="shared" si="302"/>
        <v>0</v>
      </c>
      <c r="G412" s="775">
        <f t="shared" si="303"/>
        <v>0</v>
      </c>
      <c r="H412" s="775">
        <f t="shared" si="304"/>
        <v>0</v>
      </c>
      <c r="I412" s="775">
        <f t="shared" si="305"/>
        <v>0</v>
      </c>
      <c r="K412" s="773">
        <v>400</v>
      </c>
      <c r="L412" s="774">
        <f t="shared" si="322"/>
        <v>12145</v>
      </c>
      <c r="M412" s="775">
        <f t="shared" si="323"/>
        <v>0</v>
      </c>
      <c r="N412" s="775">
        <f t="shared" si="314"/>
        <v>0</v>
      </c>
      <c r="O412" s="775">
        <f t="shared" si="307"/>
        <v>0</v>
      </c>
      <c r="P412" s="775">
        <f t="shared" si="324"/>
        <v>0</v>
      </c>
      <c r="Q412" s="775">
        <f t="shared" si="325"/>
        <v>0</v>
      </c>
      <c r="S412" s="773">
        <v>400</v>
      </c>
      <c r="T412" s="774">
        <f t="shared" si="326"/>
        <v>12145</v>
      </c>
      <c r="U412" s="775">
        <f t="shared" si="327"/>
        <v>0</v>
      </c>
      <c r="V412" s="775">
        <f t="shared" si="315"/>
        <v>0</v>
      </c>
      <c r="W412" s="775">
        <f t="shared" si="308"/>
        <v>0</v>
      </c>
      <c r="X412" s="775">
        <f t="shared" si="328"/>
        <v>0</v>
      </c>
      <c r="Y412" s="775">
        <f t="shared" si="329"/>
        <v>0</v>
      </c>
      <c r="AA412" s="773">
        <v>400</v>
      </c>
      <c r="AB412" s="774">
        <f t="shared" si="330"/>
        <v>12145</v>
      </c>
      <c r="AC412" s="775">
        <f t="shared" si="331"/>
        <v>0</v>
      </c>
      <c r="AD412" s="775">
        <f t="shared" si="316"/>
        <v>0</v>
      </c>
      <c r="AE412" s="775">
        <f t="shared" si="309"/>
        <v>0</v>
      </c>
      <c r="AF412" s="775">
        <f t="shared" si="332"/>
        <v>0</v>
      </c>
      <c r="AG412" s="775">
        <f t="shared" si="333"/>
        <v>0</v>
      </c>
      <c r="AI412" s="773">
        <v>400</v>
      </c>
      <c r="AJ412" s="774">
        <f t="shared" si="334"/>
        <v>12145</v>
      </c>
      <c r="AK412" s="775">
        <f t="shared" si="335"/>
        <v>0</v>
      </c>
      <c r="AL412" s="775">
        <f t="shared" si="317"/>
        <v>0</v>
      </c>
      <c r="AM412" s="775">
        <f t="shared" si="310"/>
        <v>0</v>
      </c>
      <c r="AN412" s="775">
        <f t="shared" si="336"/>
        <v>0</v>
      </c>
      <c r="AO412" s="775">
        <f t="shared" si="337"/>
        <v>0</v>
      </c>
      <c r="AQ412" s="773">
        <v>400</v>
      </c>
      <c r="AR412" s="774">
        <f t="shared" si="338"/>
        <v>12145</v>
      </c>
      <c r="AS412" s="775">
        <f t="shared" si="339"/>
        <v>0</v>
      </c>
      <c r="AT412" s="775">
        <f t="shared" si="318"/>
        <v>0</v>
      </c>
      <c r="AU412" s="775">
        <f t="shared" si="311"/>
        <v>0</v>
      </c>
      <c r="AV412" s="775">
        <f t="shared" si="340"/>
        <v>0</v>
      </c>
      <c r="AW412" s="775">
        <f t="shared" si="341"/>
        <v>0</v>
      </c>
      <c r="AY412" s="773">
        <v>400</v>
      </c>
      <c r="AZ412" s="774">
        <f t="shared" si="342"/>
        <v>12145</v>
      </c>
      <c r="BA412" s="775">
        <f t="shared" si="343"/>
        <v>0</v>
      </c>
      <c r="BB412" s="775">
        <f t="shared" si="319"/>
        <v>0</v>
      </c>
      <c r="BC412" s="775">
        <f t="shared" si="312"/>
        <v>0</v>
      </c>
      <c r="BD412" s="775">
        <f t="shared" si="344"/>
        <v>0</v>
      </c>
      <c r="BE412" s="775">
        <f t="shared" si="345"/>
        <v>0</v>
      </c>
      <c r="BG412" s="773">
        <v>400</v>
      </c>
      <c r="BH412" s="774">
        <f t="shared" si="346"/>
        <v>12145</v>
      </c>
      <c r="BI412" s="775">
        <f t="shared" si="347"/>
        <v>0</v>
      </c>
      <c r="BJ412" s="775">
        <f t="shared" si="320"/>
        <v>0</v>
      </c>
      <c r="BK412" s="775">
        <f t="shared" si="313"/>
        <v>0</v>
      </c>
      <c r="BL412" s="775">
        <f t="shared" si="348"/>
        <v>0</v>
      </c>
      <c r="BM412" s="775">
        <f t="shared" si="349"/>
        <v>0</v>
      </c>
    </row>
    <row r="413" spans="1:65">
      <c r="A413" s="11">
        <f t="shared" si="306"/>
        <v>1933</v>
      </c>
      <c r="B413" s="773">
        <v>401</v>
      </c>
      <c r="C413" s="774">
        <f t="shared" si="321"/>
        <v>12175</v>
      </c>
      <c r="D413" s="775">
        <f t="shared" si="300"/>
        <v>0</v>
      </c>
      <c r="E413" s="775">
        <f t="shared" si="301"/>
        <v>0</v>
      </c>
      <c r="F413" s="775">
        <f t="shared" si="302"/>
        <v>0</v>
      </c>
      <c r="G413" s="775">
        <f t="shared" si="303"/>
        <v>0</v>
      </c>
      <c r="H413" s="775">
        <f t="shared" si="304"/>
        <v>0</v>
      </c>
      <c r="I413" s="775">
        <f t="shared" si="305"/>
        <v>0</v>
      </c>
      <c r="K413" s="773">
        <v>401</v>
      </c>
      <c r="L413" s="774">
        <f t="shared" si="322"/>
        <v>12175</v>
      </c>
      <c r="M413" s="775">
        <f t="shared" si="323"/>
        <v>0</v>
      </c>
      <c r="N413" s="775">
        <f t="shared" si="314"/>
        <v>0</v>
      </c>
      <c r="O413" s="775">
        <f t="shared" si="307"/>
        <v>0</v>
      </c>
      <c r="P413" s="775">
        <f t="shared" si="324"/>
        <v>0</v>
      </c>
      <c r="Q413" s="775">
        <f t="shared" si="325"/>
        <v>0</v>
      </c>
      <c r="S413" s="773">
        <v>401</v>
      </c>
      <c r="T413" s="774">
        <f t="shared" si="326"/>
        <v>12175</v>
      </c>
      <c r="U413" s="775">
        <f t="shared" si="327"/>
        <v>0</v>
      </c>
      <c r="V413" s="775">
        <f t="shared" si="315"/>
        <v>0</v>
      </c>
      <c r="W413" s="775">
        <f t="shared" si="308"/>
        <v>0</v>
      </c>
      <c r="X413" s="775">
        <f t="shared" si="328"/>
        <v>0</v>
      </c>
      <c r="Y413" s="775">
        <f t="shared" si="329"/>
        <v>0</v>
      </c>
      <c r="AA413" s="773">
        <v>401</v>
      </c>
      <c r="AB413" s="774">
        <f t="shared" si="330"/>
        <v>12175</v>
      </c>
      <c r="AC413" s="775">
        <f t="shared" si="331"/>
        <v>0</v>
      </c>
      <c r="AD413" s="775">
        <f t="shared" si="316"/>
        <v>0</v>
      </c>
      <c r="AE413" s="775">
        <f t="shared" si="309"/>
        <v>0</v>
      </c>
      <c r="AF413" s="775">
        <f t="shared" si="332"/>
        <v>0</v>
      </c>
      <c r="AG413" s="775">
        <f t="shared" si="333"/>
        <v>0</v>
      </c>
      <c r="AI413" s="773">
        <v>401</v>
      </c>
      <c r="AJ413" s="774">
        <f t="shared" si="334"/>
        <v>12175</v>
      </c>
      <c r="AK413" s="775">
        <f t="shared" si="335"/>
        <v>0</v>
      </c>
      <c r="AL413" s="775">
        <f t="shared" si="317"/>
        <v>0</v>
      </c>
      <c r="AM413" s="775">
        <f t="shared" si="310"/>
        <v>0</v>
      </c>
      <c r="AN413" s="775">
        <f t="shared" si="336"/>
        <v>0</v>
      </c>
      <c r="AO413" s="775">
        <f t="shared" si="337"/>
        <v>0</v>
      </c>
      <c r="AQ413" s="773">
        <v>401</v>
      </c>
      <c r="AR413" s="774">
        <f t="shared" si="338"/>
        <v>12175</v>
      </c>
      <c r="AS413" s="775">
        <f t="shared" si="339"/>
        <v>0</v>
      </c>
      <c r="AT413" s="775">
        <f t="shared" si="318"/>
        <v>0</v>
      </c>
      <c r="AU413" s="775">
        <f t="shared" si="311"/>
        <v>0</v>
      </c>
      <c r="AV413" s="775">
        <f t="shared" si="340"/>
        <v>0</v>
      </c>
      <c r="AW413" s="775">
        <f t="shared" si="341"/>
        <v>0</v>
      </c>
      <c r="AY413" s="773">
        <v>401</v>
      </c>
      <c r="AZ413" s="774">
        <f t="shared" si="342"/>
        <v>12175</v>
      </c>
      <c r="BA413" s="775">
        <f t="shared" si="343"/>
        <v>0</v>
      </c>
      <c r="BB413" s="775">
        <f t="shared" si="319"/>
        <v>0</v>
      </c>
      <c r="BC413" s="775">
        <f t="shared" si="312"/>
        <v>0</v>
      </c>
      <c r="BD413" s="775">
        <f t="shared" si="344"/>
        <v>0</v>
      </c>
      <c r="BE413" s="775">
        <f t="shared" si="345"/>
        <v>0</v>
      </c>
      <c r="BG413" s="773">
        <v>401</v>
      </c>
      <c r="BH413" s="774">
        <f t="shared" si="346"/>
        <v>12175</v>
      </c>
      <c r="BI413" s="775">
        <f t="shared" si="347"/>
        <v>0</v>
      </c>
      <c r="BJ413" s="775">
        <f t="shared" si="320"/>
        <v>0</v>
      </c>
      <c r="BK413" s="775">
        <f t="shared" si="313"/>
        <v>0</v>
      </c>
      <c r="BL413" s="775">
        <f t="shared" si="348"/>
        <v>0</v>
      </c>
      <c r="BM413" s="775">
        <f t="shared" si="349"/>
        <v>0</v>
      </c>
    </row>
    <row r="414" spans="1:65">
      <c r="A414" s="11">
        <f t="shared" si="306"/>
        <v>1933</v>
      </c>
      <c r="B414" s="773">
        <v>402</v>
      </c>
      <c r="C414" s="774">
        <f t="shared" si="321"/>
        <v>12206</v>
      </c>
      <c r="D414" s="775">
        <f t="shared" si="300"/>
        <v>0</v>
      </c>
      <c r="E414" s="775">
        <f t="shared" si="301"/>
        <v>0</v>
      </c>
      <c r="F414" s="775">
        <f t="shared" si="302"/>
        <v>0</v>
      </c>
      <c r="G414" s="775">
        <f t="shared" si="303"/>
        <v>0</v>
      </c>
      <c r="H414" s="775">
        <f t="shared" si="304"/>
        <v>0</v>
      </c>
      <c r="I414" s="775">
        <f t="shared" si="305"/>
        <v>0</v>
      </c>
      <c r="K414" s="773">
        <v>402</v>
      </c>
      <c r="L414" s="774">
        <f t="shared" si="322"/>
        <v>12206</v>
      </c>
      <c r="M414" s="775">
        <f t="shared" si="323"/>
        <v>0</v>
      </c>
      <c r="N414" s="775">
        <f t="shared" si="314"/>
        <v>0</v>
      </c>
      <c r="O414" s="775">
        <f t="shared" si="307"/>
        <v>0</v>
      </c>
      <c r="P414" s="775">
        <f t="shared" si="324"/>
        <v>0</v>
      </c>
      <c r="Q414" s="775">
        <f t="shared" si="325"/>
        <v>0</v>
      </c>
      <c r="S414" s="773">
        <v>402</v>
      </c>
      <c r="T414" s="774">
        <f t="shared" si="326"/>
        <v>12206</v>
      </c>
      <c r="U414" s="775">
        <f t="shared" si="327"/>
        <v>0</v>
      </c>
      <c r="V414" s="775">
        <f t="shared" si="315"/>
        <v>0</v>
      </c>
      <c r="W414" s="775">
        <f t="shared" si="308"/>
        <v>0</v>
      </c>
      <c r="X414" s="775">
        <f t="shared" si="328"/>
        <v>0</v>
      </c>
      <c r="Y414" s="775">
        <f t="shared" si="329"/>
        <v>0</v>
      </c>
      <c r="AA414" s="773">
        <v>402</v>
      </c>
      <c r="AB414" s="774">
        <f t="shared" si="330"/>
        <v>12206</v>
      </c>
      <c r="AC414" s="775">
        <f t="shared" si="331"/>
        <v>0</v>
      </c>
      <c r="AD414" s="775">
        <f t="shared" si="316"/>
        <v>0</v>
      </c>
      <c r="AE414" s="775">
        <f t="shared" si="309"/>
        <v>0</v>
      </c>
      <c r="AF414" s="775">
        <f t="shared" si="332"/>
        <v>0</v>
      </c>
      <c r="AG414" s="775">
        <f t="shared" si="333"/>
        <v>0</v>
      </c>
      <c r="AI414" s="773">
        <v>402</v>
      </c>
      <c r="AJ414" s="774">
        <f t="shared" si="334"/>
        <v>12206</v>
      </c>
      <c r="AK414" s="775">
        <f t="shared" si="335"/>
        <v>0</v>
      </c>
      <c r="AL414" s="775">
        <f t="shared" si="317"/>
        <v>0</v>
      </c>
      <c r="AM414" s="775">
        <f t="shared" si="310"/>
        <v>0</v>
      </c>
      <c r="AN414" s="775">
        <f t="shared" si="336"/>
        <v>0</v>
      </c>
      <c r="AO414" s="775">
        <f t="shared" si="337"/>
        <v>0</v>
      </c>
      <c r="AQ414" s="773">
        <v>402</v>
      </c>
      <c r="AR414" s="774">
        <f t="shared" si="338"/>
        <v>12206</v>
      </c>
      <c r="AS414" s="775">
        <f t="shared" si="339"/>
        <v>0</v>
      </c>
      <c r="AT414" s="775">
        <f t="shared" si="318"/>
        <v>0</v>
      </c>
      <c r="AU414" s="775">
        <f t="shared" si="311"/>
        <v>0</v>
      </c>
      <c r="AV414" s="775">
        <f t="shared" si="340"/>
        <v>0</v>
      </c>
      <c r="AW414" s="775">
        <f t="shared" si="341"/>
        <v>0</v>
      </c>
      <c r="AY414" s="773">
        <v>402</v>
      </c>
      <c r="AZ414" s="774">
        <f t="shared" si="342"/>
        <v>12206</v>
      </c>
      <c r="BA414" s="775">
        <f t="shared" si="343"/>
        <v>0</v>
      </c>
      <c r="BB414" s="775">
        <f t="shared" si="319"/>
        <v>0</v>
      </c>
      <c r="BC414" s="775">
        <f t="shared" si="312"/>
        <v>0</v>
      </c>
      <c r="BD414" s="775">
        <f t="shared" si="344"/>
        <v>0</v>
      </c>
      <c r="BE414" s="775">
        <f t="shared" si="345"/>
        <v>0</v>
      </c>
      <c r="BG414" s="773">
        <v>402</v>
      </c>
      <c r="BH414" s="774">
        <f t="shared" si="346"/>
        <v>12206</v>
      </c>
      <c r="BI414" s="775">
        <f t="shared" si="347"/>
        <v>0</v>
      </c>
      <c r="BJ414" s="775">
        <f t="shared" si="320"/>
        <v>0</v>
      </c>
      <c r="BK414" s="775">
        <f t="shared" si="313"/>
        <v>0</v>
      </c>
      <c r="BL414" s="775">
        <f t="shared" si="348"/>
        <v>0</v>
      </c>
      <c r="BM414" s="775">
        <f t="shared" si="349"/>
        <v>0</v>
      </c>
    </row>
    <row r="415" spans="1:65">
      <c r="A415" s="11">
        <f t="shared" si="306"/>
        <v>1933</v>
      </c>
      <c r="B415" s="773">
        <v>403</v>
      </c>
      <c r="C415" s="774">
        <f t="shared" si="321"/>
        <v>12236</v>
      </c>
      <c r="D415" s="775">
        <f t="shared" si="300"/>
        <v>0</v>
      </c>
      <c r="E415" s="775">
        <f t="shared" si="301"/>
        <v>0</v>
      </c>
      <c r="F415" s="775">
        <f t="shared" si="302"/>
        <v>0</v>
      </c>
      <c r="G415" s="775">
        <f t="shared" si="303"/>
        <v>0</v>
      </c>
      <c r="H415" s="775">
        <f t="shared" si="304"/>
        <v>0</v>
      </c>
      <c r="I415" s="775">
        <f t="shared" si="305"/>
        <v>0</v>
      </c>
      <c r="K415" s="773">
        <v>403</v>
      </c>
      <c r="L415" s="774">
        <f t="shared" si="322"/>
        <v>12236</v>
      </c>
      <c r="M415" s="775">
        <f t="shared" si="323"/>
        <v>0</v>
      </c>
      <c r="N415" s="775">
        <f t="shared" si="314"/>
        <v>0</v>
      </c>
      <c r="O415" s="775">
        <f t="shared" si="307"/>
        <v>0</v>
      </c>
      <c r="P415" s="775">
        <f t="shared" si="324"/>
        <v>0</v>
      </c>
      <c r="Q415" s="775">
        <f t="shared" si="325"/>
        <v>0</v>
      </c>
      <c r="S415" s="773">
        <v>403</v>
      </c>
      <c r="T415" s="774">
        <f t="shared" si="326"/>
        <v>12236</v>
      </c>
      <c r="U415" s="775">
        <f t="shared" si="327"/>
        <v>0</v>
      </c>
      <c r="V415" s="775">
        <f t="shared" si="315"/>
        <v>0</v>
      </c>
      <c r="W415" s="775">
        <f t="shared" si="308"/>
        <v>0</v>
      </c>
      <c r="X415" s="775">
        <f t="shared" si="328"/>
        <v>0</v>
      </c>
      <c r="Y415" s="775">
        <f t="shared" si="329"/>
        <v>0</v>
      </c>
      <c r="AA415" s="773">
        <v>403</v>
      </c>
      <c r="AB415" s="774">
        <f t="shared" si="330"/>
        <v>12236</v>
      </c>
      <c r="AC415" s="775">
        <f t="shared" si="331"/>
        <v>0</v>
      </c>
      <c r="AD415" s="775">
        <f t="shared" si="316"/>
        <v>0</v>
      </c>
      <c r="AE415" s="775">
        <f t="shared" si="309"/>
        <v>0</v>
      </c>
      <c r="AF415" s="775">
        <f t="shared" si="332"/>
        <v>0</v>
      </c>
      <c r="AG415" s="775">
        <f t="shared" si="333"/>
        <v>0</v>
      </c>
      <c r="AI415" s="773">
        <v>403</v>
      </c>
      <c r="AJ415" s="774">
        <f t="shared" si="334"/>
        <v>12236</v>
      </c>
      <c r="AK415" s="775">
        <f t="shared" si="335"/>
        <v>0</v>
      </c>
      <c r="AL415" s="775">
        <f t="shared" si="317"/>
        <v>0</v>
      </c>
      <c r="AM415" s="775">
        <f t="shared" si="310"/>
        <v>0</v>
      </c>
      <c r="AN415" s="775">
        <f t="shared" si="336"/>
        <v>0</v>
      </c>
      <c r="AO415" s="775">
        <f t="shared" si="337"/>
        <v>0</v>
      </c>
      <c r="AQ415" s="773">
        <v>403</v>
      </c>
      <c r="AR415" s="774">
        <f t="shared" si="338"/>
        <v>12236</v>
      </c>
      <c r="AS415" s="775">
        <f t="shared" si="339"/>
        <v>0</v>
      </c>
      <c r="AT415" s="775">
        <f t="shared" si="318"/>
        <v>0</v>
      </c>
      <c r="AU415" s="775">
        <f t="shared" si="311"/>
        <v>0</v>
      </c>
      <c r="AV415" s="775">
        <f t="shared" si="340"/>
        <v>0</v>
      </c>
      <c r="AW415" s="775">
        <f t="shared" si="341"/>
        <v>0</v>
      </c>
      <c r="AY415" s="773">
        <v>403</v>
      </c>
      <c r="AZ415" s="774">
        <f t="shared" si="342"/>
        <v>12236</v>
      </c>
      <c r="BA415" s="775">
        <f t="shared" si="343"/>
        <v>0</v>
      </c>
      <c r="BB415" s="775">
        <f t="shared" si="319"/>
        <v>0</v>
      </c>
      <c r="BC415" s="775">
        <f t="shared" si="312"/>
        <v>0</v>
      </c>
      <c r="BD415" s="775">
        <f t="shared" si="344"/>
        <v>0</v>
      </c>
      <c r="BE415" s="775">
        <f t="shared" si="345"/>
        <v>0</v>
      </c>
      <c r="BG415" s="773">
        <v>403</v>
      </c>
      <c r="BH415" s="774">
        <f t="shared" si="346"/>
        <v>12236</v>
      </c>
      <c r="BI415" s="775">
        <f t="shared" si="347"/>
        <v>0</v>
      </c>
      <c r="BJ415" s="775">
        <f t="shared" si="320"/>
        <v>0</v>
      </c>
      <c r="BK415" s="775">
        <f t="shared" si="313"/>
        <v>0</v>
      </c>
      <c r="BL415" s="775">
        <f t="shared" si="348"/>
        <v>0</v>
      </c>
      <c r="BM415" s="775">
        <f t="shared" si="349"/>
        <v>0</v>
      </c>
    </row>
    <row r="416" spans="1:65">
      <c r="A416" s="11">
        <f t="shared" si="306"/>
        <v>1933</v>
      </c>
      <c r="B416" s="773">
        <v>404</v>
      </c>
      <c r="C416" s="774">
        <f t="shared" si="321"/>
        <v>12267</v>
      </c>
      <c r="D416" s="775">
        <f t="shared" si="300"/>
        <v>0</v>
      </c>
      <c r="E416" s="775">
        <f t="shared" si="301"/>
        <v>0</v>
      </c>
      <c r="F416" s="775">
        <f t="shared" si="302"/>
        <v>0</v>
      </c>
      <c r="G416" s="775">
        <f t="shared" si="303"/>
        <v>0</v>
      </c>
      <c r="H416" s="775">
        <f t="shared" si="304"/>
        <v>0</v>
      </c>
      <c r="I416" s="775">
        <f t="shared" si="305"/>
        <v>0</v>
      </c>
      <c r="K416" s="773">
        <v>404</v>
      </c>
      <c r="L416" s="774">
        <f t="shared" si="322"/>
        <v>12267</v>
      </c>
      <c r="M416" s="775">
        <f t="shared" si="323"/>
        <v>0</v>
      </c>
      <c r="N416" s="775">
        <f t="shared" si="314"/>
        <v>0</v>
      </c>
      <c r="O416" s="775">
        <f t="shared" si="307"/>
        <v>0</v>
      </c>
      <c r="P416" s="775">
        <f t="shared" si="324"/>
        <v>0</v>
      </c>
      <c r="Q416" s="775">
        <f t="shared" si="325"/>
        <v>0</v>
      </c>
      <c r="S416" s="773">
        <v>404</v>
      </c>
      <c r="T416" s="774">
        <f t="shared" si="326"/>
        <v>12267</v>
      </c>
      <c r="U416" s="775">
        <f t="shared" si="327"/>
        <v>0</v>
      </c>
      <c r="V416" s="775">
        <f t="shared" si="315"/>
        <v>0</v>
      </c>
      <c r="W416" s="775">
        <f t="shared" si="308"/>
        <v>0</v>
      </c>
      <c r="X416" s="775">
        <f t="shared" si="328"/>
        <v>0</v>
      </c>
      <c r="Y416" s="775">
        <f t="shared" si="329"/>
        <v>0</v>
      </c>
      <c r="AA416" s="773">
        <v>404</v>
      </c>
      <c r="AB416" s="774">
        <f t="shared" si="330"/>
        <v>12267</v>
      </c>
      <c r="AC416" s="775">
        <f t="shared" si="331"/>
        <v>0</v>
      </c>
      <c r="AD416" s="775">
        <f t="shared" si="316"/>
        <v>0</v>
      </c>
      <c r="AE416" s="775">
        <f t="shared" si="309"/>
        <v>0</v>
      </c>
      <c r="AF416" s="775">
        <f t="shared" si="332"/>
        <v>0</v>
      </c>
      <c r="AG416" s="775">
        <f t="shared" si="333"/>
        <v>0</v>
      </c>
      <c r="AI416" s="773">
        <v>404</v>
      </c>
      <c r="AJ416" s="774">
        <f t="shared" si="334"/>
        <v>12267</v>
      </c>
      <c r="AK416" s="775">
        <f t="shared" si="335"/>
        <v>0</v>
      </c>
      <c r="AL416" s="775">
        <f t="shared" si="317"/>
        <v>0</v>
      </c>
      <c r="AM416" s="775">
        <f t="shared" si="310"/>
        <v>0</v>
      </c>
      <c r="AN416" s="775">
        <f t="shared" si="336"/>
        <v>0</v>
      </c>
      <c r="AO416" s="775">
        <f t="shared" si="337"/>
        <v>0</v>
      </c>
      <c r="AQ416" s="773">
        <v>404</v>
      </c>
      <c r="AR416" s="774">
        <f t="shared" si="338"/>
        <v>12267</v>
      </c>
      <c r="AS416" s="775">
        <f t="shared" si="339"/>
        <v>0</v>
      </c>
      <c r="AT416" s="775">
        <f t="shared" si="318"/>
        <v>0</v>
      </c>
      <c r="AU416" s="775">
        <f t="shared" si="311"/>
        <v>0</v>
      </c>
      <c r="AV416" s="775">
        <f t="shared" si="340"/>
        <v>0</v>
      </c>
      <c r="AW416" s="775">
        <f t="shared" si="341"/>
        <v>0</v>
      </c>
      <c r="AY416" s="773">
        <v>404</v>
      </c>
      <c r="AZ416" s="774">
        <f t="shared" si="342"/>
        <v>12267</v>
      </c>
      <c r="BA416" s="775">
        <f t="shared" si="343"/>
        <v>0</v>
      </c>
      <c r="BB416" s="775">
        <f t="shared" si="319"/>
        <v>0</v>
      </c>
      <c r="BC416" s="775">
        <f t="shared" si="312"/>
        <v>0</v>
      </c>
      <c r="BD416" s="775">
        <f t="shared" si="344"/>
        <v>0</v>
      </c>
      <c r="BE416" s="775">
        <f t="shared" si="345"/>
        <v>0</v>
      </c>
      <c r="BG416" s="773">
        <v>404</v>
      </c>
      <c r="BH416" s="774">
        <f t="shared" si="346"/>
        <v>12267</v>
      </c>
      <c r="BI416" s="775">
        <f t="shared" si="347"/>
        <v>0</v>
      </c>
      <c r="BJ416" s="775">
        <f t="shared" si="320"/>
        <v>0</v>
      </c>
      <c r="BK416" s="775">
        <f t="shared" si="313"/>
        <v>0</v>
      </c>
      <c r="BL416" s="775">
        <f t="shared" si="348"/>
        <v>0</v>
      </c>
      <c r="BM416" s="775">
        <f t="shared" si="349"/>
        <v>0</v>
      </c>
    </row>
    <row r="417" spans="1:65">
      <c r="A417" s="11">
        <f t="shared" si="306"/>
        <v>1933</v>
      </c>
      <c r="B417" s="773">
        <v>405</v>
      </c>
      <c r="C417" s="774">
        <f t="shared" si="321"/>
        <v>12298</v>
      </c>
      <c r="D417" s="775">
        <f t="shared" si="300"/>
        <v>0</v>
      </c>
      <c r="E417" s="775">
        <f t="shared" si="301"/>
        <v>0</v>
      </c>
      <c r="F417" s="775">
        <f t="shared" si="302"/>
        <v>0</v>
      </c>
      <c r="G417" s="775">
        <f t="shared" si="303"/>
        <v>0</v>
      </c>
      <c r="H417" s="775">
        <f t="shared" si="304"/>
        <v>0</v>
      </c>
      <c r="I417" s="775">
        <f t="shared" si="305"/>
        <v>0</v>
      </c>
      <c r="K417" s="773">
        <v>405</v>
      </c>
      <c r="L417" s="774">
        <f t="shared" si="322"/>
        <v>12298</v>
      </c>
      <c r="M417" s="775">
        <f t="shared" si="323"/>
        <v>0</v>
      </c>
      <c r="N417" s="775">
        <f t="shared" si="314"/>
        <v>0</v>
      </c>
      <c r="O417" s="775">
        <f t="shared" si="307"/>
        <v>0</v>
      </c>
      <c r="P417" s="775">
        <f t="shared" si="324"/>
        <v>0</v>
      </c>
      <c r="Q417" s="775">
        <f t="shared" si="325"/>
        <v>0</v>
      </c>
      <c r="S417" s="773">
        <v>405</v>
      </c>
      <c r="T417" s="774">
        <f t="shared" si="326"/>
        <v>12298</v>
      </c>
      <c r="U417" s="775">
        <f t="shared" si="327"/>
        <v>0</v>
      </c>
      <c r="V417" s="775">
        <f t="shared" si="315"/>
        <v>0</v>
      </c>
      <c r="W417" s="775">
        <f t="shared" si="308"/>
        <v>0</v>
      </c>
      <c r="X417" s="775">
        <f t="shared" si="328"/>
        <v>0</v>
      </c>
      <c r="Y417" s="775">
        <f t="shared" si="329"/>
        <v>0</v>
      </c>
      <c r="AA417" s="773">
        <v>405</v>
      </c>
      <c r="AB417" s="774">
        <f t="shared" si="330"/>
        <v>12298</v>
      </c>
      <c r="AC417" s="775">
        <f t="shared" si="331"/>
        <v>0</v>
      </c>
      <c r="AD417" s="775">
        <f t="shared" si="316"/>
        <v>0</v>
      </c>
      <c r="AE417" s="775">
        <f t="shared" si="309"/>
        <v>0</v>
      </c>
      <c r="AF417" s="775">
        <f t="shared" si="332"/>
        <v>0</v>
      </c>
      <c r="AG417" s="775">
        <f t="shared" si="333"/>
        <v>0</v>
      </c>
      <c r="AI417" s="773">
        <v>405</v>
      </c>
      <c r="AJ417" s="774">
        <f t="shared" si="334"/>
        <v>12298</v>
      </c>
      <c r="AK417" s="775">
        <f t="shared" si="335"/>
        <v>0</v>
      </c>
      <c r="AL417" s="775">
        <f t="shared" si="317"/>
        <v>0</v>
      </c>
      <c r="AM417" s="775">
        <f t="shared" si="310"/>
        <v>0</v>
      </c>
      <c r="AN417" s="775">
        <f t="shared" si="336"/>
        <v>0</v>
      </c>
      <c r="AO417" s="775">
        <f t="shared" si="337"/>
        <v>0</v>
      </c>
      <c r="AQ417" s="773">
        <v>405</v>
      </c>
      <c r="AR417" s="774">
        <f t="shared" si="338"/>
        <v>12298</v>
      </c>
      <c r="AS417" s="775">
        <f t="shared" si="339"/>
        <v>0</v>
      </c>
      <c r="AT417" s="775">
        <f t="shared" si="318"/>
        <v>0</v>
      </c>
      <c r="AU417" s="775">
        <f t="shared" si="311"/>
        <v>0</v>
      </c>
      <c r="AV417" s="775">
        <f t="shared" si="340"/>
        <v>0</v>
      </c>
      <c r="AW417" s="775">
        <f t="shared" si="341"/>
        <v>0</v>
      </c>
      <c r="AY417" s="773">
        <v>405</v>
      </c>
      <c r="AZ417" s="774">
        <f t="shared" si="342"/>
        <v>12298</v>
      </c>
      <c r="BA417" s="775">
        <f t="shared" si="343"/>
        <v>0</v>
      </c>
      <c r="BB417" s="775">
        <f t="shared" si="319"/>
        <v>0</v>
      </c>
      <c r="BC417" s="775">
        <f t="shared" si="312"/>
        <v>0</v>
      </c>
      <c r="BD417" s="775">
        <f t="shared" si="344"/>
        <v>0</v>
      </c>
      <c r="BE417" s="775">
        <f t="shared" si="345"/>
        <v>0</v>
      </c>
      <c r="BG417" s="773">
        <v>405</v>
      </c>
      <c r="BH417" s="774">
        <f t="shared" si="346"/>
        <v>12298</v>
      </c>
      <c r="BI417" s="775">
        <f t="shared" si="347"/>
        <v>0</v>
      </c>
      <c r="BJ417" s="775">
        <f t="shared" si="320"/>
        <v>0</v>
      </c>
      <c r="BK417" s="775">
        <f t="shared" si="313"/>
        <v>0</v>
      </c>
      <c r="BL417" s="775">
        <f t="shared" si="348"/>
        <v>0</v>
      </c>
      <c r="BM417" s="775">
        <f t="shared" si="349"/>
        <v>0</v>
      </c>
    </row>
    <row r="418" spans="1:65">
      <c r="A418" s="11">
        <f t="shared" si="306"/>
        <v>1933</v>
      </c>
      <c r="B418" s="773">
        <v>406</v>
      </c>
      <c r="C418" s="774">
        <f t="shared" si="321"/>
        <v>12328</v>
      </c>
      <c r="D418" s="775">
        <f t="shared" si="300"/>
        <v>0</v>
      </c>
      <c r="E418" s="775">
        <f t="shared" si="301"/>
        <v>0</v>
      </c>
      <c r="F418" s="775">
        <f t="shared" si="302"/>
        <v>0</v>
      </c>
      <c r="G418" s="775">
        <f t="shared" si="303"/>
        <v>0</v>
      </c>
      <c r="H418" s="775">
        <f t="shared" si="304"/>
        <v>0</v>
      </c>
      <c r="I418" s="775">
        <f t="shared" si="305"/>
        <v>0</v>
      </c>
      <c r="K418" s="773">
        <v>406</v>
      </c>
      <c r="L418" s="774">
        <f t="shared" si="322"/>
        <v>12328</v>
      </c>
      <c r="M418" s="775">
        <f t="shared" si="323"/>
        <v>0</v>
      </c>
      <c r="N418" s="775">
        <f t="shared" si="314"/>
        <v>0</v>
      </c>
      <c r="O418" s="775">
        <f t="shared" si="307"/>
        <v>0</v>
      </c>
      <c r="P418" s="775">
        <f t="shared" si="324"/>
        <v>0</v>
      </c>
      <c r="Q418" s="775">
        <f t="shared" si="325"/>
        <v>0</v>
      </c>
      <c r="S418" s="773">
        <v>406</v>
      </c>
      <c r="T418" s="774">
        <f t="shared" si="326"/>
        <v>12328</v>
      </c>
      <c r="U418" s="775">
        <f t="shared" si="327"/>
        <v>0</v>
      </c>
      <c r="V418" s="775">
        <f t="shared" si="315"/>
        <v>0</v>
      </c>
      <c r="W418" s="775">
        <f t="shared" si="308"/>
        <v>0</v>
      </c>
      <c r="X418" s="775">
        <f t="shared" si="328"/>
        <v>0</v>
      </c>
      <c r="Y418" s="775">
        <f t="shared" si="329"/>
        <v>0</v>
      </c>
      <c r="AA418" s="773">
        <v>406</v>
      </c>
      <c r="AB418" s="774">
        <f t="shared" si="330"/>
        <v>12328</v>
      </c>
      <c r="AC418" s="775">
        <f t="shared" si="331"/>
        <v>0</v>
      </c>
      <c r="AD418" s="775">
        <f t="shared" si="316"/>
        <v>0</v>
      </c>
      <c r="AE418" s="775">
        <f t="shared" si="309"/>
        <v>0</v>
      </c>
      <c r="AF418" s="775">
        <f t="shared" si="332"/>
        <v>0</v>
      </c>
      <c r="AG418" s="775">
        <f t="shared" si="333"/>
        <v>0</v>
      </c>
      <c r="AI418" s="773">
        <v>406</v>
      </c>
      <c r="AJ418" s="774">
        <f t="shared" si="334"/>
        <v>12328</v>
      </c>
      <c r="AK418" s="775">
        <f t="shared" si="335"/>
        <v>0</v>
      </c>
      <c r="AL418" s="775">
        <f t="shared" si="317"/>
        <v>0</v>
      </c>
      <c r="AM418" s="775">
        <f t="shared" si="310"/>
        <v>0</v>
      </c>
      <c r="AN418" s="775">
        <f t="shared" si="336"/>
        <v>0</v>
      </c>
      <c r="AO418" s="775">
        <f t="shared" si="337"/>
        <v>0</v>
      </c>
      <c r="AQ418" s="773">
        <v>406</v>
      </c>
      <c r="AR418" s="774">
        <f t="shared" si="338"/>
        <v>12328</v>
      </c>
      <c r="AS418" s="775">
        <f t="shared" si="339"/>
        <v>0</v>
      </c>
      <c r="AT418" s="775">
        <f t="shared" si="318"/>
        <v>0</v>
      </c>
      <c r="AU418" s="775">
        <f t="shared" si="311"/>
        <v>0</v>
      </c>
      <c r="AV418" s="775">
        <f t="shared" si="340"/>
        <v>0</v>
      </c>
      <c r="AW418" s="775">
        <f t="shared" si="341"/>
        <v>0</v>
      </c>
      <c r="AY418" s="773">
        <v>406</v>
      </c>
      <c r="AZ418" s="774">
        <f t="shared" si="342"/>
        <v>12328</v>
      </c>
      <c r="BA418" s="775">
        <f t="shared" si="343"/>
        <v>0</v>
      </c>
      <c r="BB418" s="775">
        <f t="shared" si="319"/>
        <v>0</v>
      </c>
      <c r="BC418" s="775">
        <f t="shared" si="312"/>
        <v>0</v>
      </c>
      <c r="BD418" s="775">
        <f t="shared" si="344"/>
        <v>0</v>
      </c>
      <c r="BE418" s="775">
        <f t="shared" si="345"/>
        <v>0</v>
      </c>
      <c r="BG418" s="773">
        <v>406</v>
      </c>
      <c r="BH418" s="774">
        <f t="shared" si="346"/>
        <v>12328</v>
      </c>
      <c r="BI418" s="775">
        <f t="shared" si="347"/>
        <v>0</v>
      </c>
      <c r="BJ418" s="775">
        <f t="shared" si="320"/>
        <v>0</v>
      </c>
      <c r="BK418" s="775">
        <f t="shared" si="313"/>
        <v>0</v>
      </c>
      <c r="BL418" s="775">
        <f t="shared" si="348"/>
        <v>0</v>
      </c>
      <c r="BM418" s="775">
        <f t="shared" si="349"/>
        <v>0</v>
      </c>
    </row>
    <row r="419" spans="1:65">
      <c r="A419" s="11">
        <f t="shared" si="306"/>
        <v>1933</v>
      </c>
      <c r="B419" s="773">
        <v>407</v>
      </c>
      <c r="C419" s="774">
        <f t="shared" si="321"/>
        <v>12359</v>
      </c>
      <c r="D419" s="775">
        <f t="shared" si="300"/>
        <v>0</v>
      </c>
      <c r="E419" s="775">
        <f t="shared" si="301"/>
        <v>0</v>
      </c>
      <c r="F419" s="775">
        <f t="shared" si="302"/>
        <v>0</v>
      </c>
      <c r="G419" s="775">
        <f t="shared" si="303"/>
        <v>0</v>
      </c>
      <c r="H419" s="775">
        <f t="shared" si="304"/>
        <v>0</v>
      </c>
      <c r="I419" s="775">
        <f t="shared" si="305"/>
        <v>0</v>
      </c>
      <c r="K419" s="773">
        <v>407</v>
      </c>
      <c r="L419" s="774">
        <f t="shared" si="322"/>
        <v>12359</v>
      </c>
      <c r="M419" s="775">
        <f t="shared" si="323"/>
        <v>0</v>
      </c>
      <c r="N419" s="775">
        <f t="shared" si="314"/>
        <v>0</v>
      </c>
      <c r="O419" s="775">
        <f t="shared" si="307"/>
        <v>0</v>
      </c>
      <c r="P419" s="775">
        <f t="shared" si="324"/>
        <v>0</v>
      </c>
      <c r="Q419" s="775">
        <f t="shared" si="325"/>
        <v>0</v>
      </c>
      <c r="S419" s="773">
        <v>407</v>
      </c>
      <c r="T419" s="774">
        <f t="shared" si="326"/>
        <v>12359</v>
      </c>
      <c r="U419" s="775">
        <f t="shared" si="327"/>
        <v>0</v>
      </c>
      <c r="V419" s="775">
        <f t="shared" si="315"/>
        <v>0</v>
      </c>
      <c r="W419" s="775">
        <f t="shared" si="308"/>
        <v>0</v>
      </c>
      <c r="X419" s="775">
        <f t="shared" si="328"/>
        <v>0</v>
      </c>
      <c r="Y419" s="775">
        <f t="shared" si="329"/>
        <v>0</v>
      </c>
      <c r="AA419" s="773">
        <v>407</v>
      </c>
      <c r="AB419" s="774">
        <f t="shared" si="330"/>
        <v>12359</v>
      </c>
      <c r="AC419" s="775">
        <f t="shared" si="331"/>
        <v>0</v>
      </c>
      <c r="AD419" s="775">
        <f t="shared" si="316"/>
        <v>0</v>
      </c>
      <c r="AE419" s="775">
        <f t="shared" si="309"/>
        <v>0</v>
      </c>
      <c r="AF419" s="775">
        <f t="shared" si="332"/>
        <v>0</v>
      </c>
      <c r="AG419" s="775">
        <f t="shared" si="333"/>
        <v>0</v>
      </c>
      <c r="AI419" s="773">
        <v>407</v>
      </c>
      <c r="AJ419" s="774">
        <f t="shared" si="334"/>
        <v>12359</v>
      </c>
      <c r="AK419" s="775">
        <f t="shared" si="335"/>
        <v>0</v>
      </c>
      <c r="AL419" s="775">
        <f t="shared" si="317"/>
        <v>0</v>
      </c>
      <c r="AM419" s="775">
        <f t="shared" si="310"/>
        <v>0</v>
      </c>
      <c r="AN419" s="775">
        <f t="shared" si="336"/>
        <v>0</v>
      </c>
      <c r="AO419" s="775">
        <f t="shared" si="337"/>
        <v>0</v>
      </c>
      <c r="AQ419" s="773">
        <v>407</v>
      </c>
      <c r="AR419" s="774">
        <f t="shared" si="338"/>
        <v>12359</v>
      </c>
      <c r="AS419" s="775">
        <f t="shared" si="339"/>
        <v>0</v>
      </c>
      <c r="AT419" s="775">
        <f t="shared" si="318"/>
        <v>0</v>
      </c>
      <c r="AU419" s="775">
        <f t="shared" si="311"/>
        <v>0</v>
      </c>
      <c r="AV419" s="775">
        <f t="shared" si="340"/>
        <v>0</v>
      </c>
      <c r="AW419" s="775">
        <f t="shared" si="341"/>
        <v>0</v>
      </c>
      <c r="AY419" s="773">
        <v>407</v>
      </c>
      <c r="AZ419" s="774">
        <f t="shared" si="342"/>
        <v>12359</v>
      </c>
      <c r="BA419" s="775">
        <f t="shared" si="343"/>
        <v>0</v>
      </c>
      <c r="BB419" s="775">
        <f t="shared" si="319"/>
        <v>0</v>
      </c>
      <c r="BC419" s="775">
        <f t="shared" si="312"/>
        <v>0</v>
      </c>
      <c r="BD419" s="775">
        <f t="shared" si="344"/>
        <v>0</v>
      </c>
      <c r="BE419" s="775">
        <f t="shared" si="345"/>
        <v>0</v>
      </c>
      <c r="BG419" s="773">
        <v>407</v>
      </c>
      <c r="BH419" s="774">
        <f t="shared" si="346"/>
        <v>12359</v>
      </c>
      <c r="BI419" s="775">
        <f t="shared" si="347"/>
        <v>0</v>
      </c>
      <c r="BJ419" s="775">
        <f t="shared" si="320"/>
        <v>0</v>
      </c>
      <c r="BK419" s="775">
        <f t="shared" si="313"/>
        <v>0</v>
      </c>
      <c r="BL419" s="775">
        <f t="shared" si="348"/>
        <v>0</v>
      </c>
      <c r="BM419" s="775">
        <f t="shared" si="349"/>
        <v>0</v>
      </c>
    </row>
    <row r="420" spans="1:65">
      <c r="A420" s="11">
        <f t="shared" si="306"/>
        <v>1933</v>
      </c>
      <c r="B420" s="773">
        <v>408</v>
      </c>
      <c r="C420" s="774">
        <f t="shared" si="321"/>
        <v>12389</v>
      </c>
      <c r="D420" s="775">
        <f t="shared" si="300"/>
        <v>0</v>
      </c>
      <c r="E420" s="775">
        <f t="shared" si="301"/>
        <v>0</v>
      </c>
      <c r="F420" s="775">
        <f t="shared" si="302"/>
        <v>0</v>
      </c>
      <c r="G420" s="775">
        <f t="shared" si="303"/>
        <v>0</v>
      </c>
      <c r="H420" s="775">
        <f t="shared" si="304"/>
        <v>0</v>
      </c>
      <c r="I420" s="775">
        <f t="shared" si="305"/>
        <v>0</v>
      </c>
      <c r="K420" s="773">
        <v>408</v>
      </c>
      <c r="L420" s="774">
        <f t="shared" si="322"/>
        <v>12389</v>
      </c>
      <c r="M420" s="775">
        <f t="shared" si="323"/>
        <v>0</v>
      </c>
      <c r="N420" s="775">
        <f t="shared" si="314"/>
        <v>0</v>
      </c>
      <c r="O420" s="775">
        <f t="shared" si="307"/>
        <v>0</v>
      </c>
      <c r="P420" s="775">
        <f t="shared" si="324"/>
        <v>0</v>
      </c>
      <c r="Q420" s="775">
        <f t="shared" si="325"/>
        <v>0</v>
      </c>
      <c r="S420" s="773">
        <v>408</v>
      </c>
      <c r="T420" s="774">
        <f t="shared" si="326"/>
        <v>12389</v>
      </c>
      <c r="U420" s="775">
        <f t="shared" si="327"/>
        <v>0</v>
      </c>
      <c r="V420" s="775">
        <f t="shared" si="315"/>
        <v>0</v>
      </c>
      <c r="W420" s="775">
        <f t="shared" si="308"/>
        <v>0</v>
      </c>
      <c r="X420" s="775">
        <f t="shared" si="328"/>
        <v>0</v>
      </c>
      <c r="Y420" s="775">
        <f t="shared" si="329"/>
        <v>0</v>
      </c>
      <c r="AA420" s="773">
        <v>408</v>
      </c>
      <c r="AB420" s="774">
        <f t="shared" si="330"/>
        <v>12389</v>
      </c>
      <c r="AC420" s="775">
        <f t="shared" si="331"/>
        <v>0</v>
      </c>
      <c r="AD420" s="775">
        <f t="shared" si="316"/>
        <v>0</v>
      </c>
      <c r="AE420" s="775">
        <f t="shared" si="309"/>
        <v>0</v>
      </c>
      <c r="AF420" s="775">
        <f t="shared" si="332"/>
        <v>0</v>
      </c>
      <c r="AG420" s="775">
        <f t="shared" si="333"/>
        <v>0</v>
      </c>
      <c r="AI420" s="773">
        <v>408</v>
      </c>
      <c r="AJ420" s="774">
        <f t="shared" si="334"/>
        <v>12389</v>
      </c>
      <c r="AK420" s="775">
        <f t="shared" si="335"/>
        <v>0</v>
      </c>
      <c r="AL420" s="775">
        <f t="shared" si="317"/>
        <v>0</v>
      </c>
      <c r="AM420" s="775">
        <f t="shared" si="310"/>
        <v>0</v>
      </c>
      <c r="AN420" s="775">
        <f t="shared" si="336"/>
        <v>0</v>
      </c>
      <c r="AO420" s="775">
        <f t="shared" si="337"/>
        <v>0</v>
      </c>
      <c r="AQ420" s="773">
        <v>408</v>
      </c>
      <c r="AR420" s="774">
        <f t="shared" si="338"/>
        <v>12389</v>
      </c>
      <c r="AS420" s="775">
        <f t="shared" si="339"/>
        <v>0</v>
      </c>
      <c r="AT420" s="775">
        <f t="shared" si="318"/>
        <v>0</v>
      </c>
      <c r="AU420" s="775">
        <f t="shared" si="311"/>
        <v>0</v>
      </c>
      <c r="AV420" s="775">
        <f t="shared" si="340"/>
        <v>0</v>
      </c>
      <c r="AW420" s="775">
        <f t="shared" si="341"/>
        <v>0</v>
      </c>
      <c r="AY420" s="773">
        <v>408</v>
      </c>
      <c r="AZ420" s="774">
        <f t="shared" si="342"/>
        <v>12389</v>
      </c>
      <c r="BA420" s="775">
        <f t="shared" si="343"/>
        <v>0</v>
      </c>
      <c r="BB420" s="775">
        <f t="shared" si="319"/>
        <v>0</v>
      </c>
      <c r="BC420" s="775">
        <f t="shared" si="312"/>
        <v>0</v>
      </c>
      <c r="BD420" s="775">
        <f t="shared" si="344"/>
        <v>0</v>
      </c>
      <c r="BE420" s="775">
        <f t="shared" si="345"/>
        <v>0</v>
      </c>
      <c r="BG420" s="773">
        <v>408</v>
      </c>
      <c r="BH420" s="774">
        <f t="shared" si="346"/>
        <v>12389</v>
      </c>
      <c r="BI420" s="775">
        <f t="shared" si="347"/>
        <v>0</v>
      </c>
      <c r="BJ420" s="775">
        <f t="shared" si="320"/>
        <v>0</v>
      </c>
      <c r="BK420" s="775">
        <f t="shared" si="313"/>
        <v>0</v>
      </c>
      <c r="BL420" s="775">
        <f t="shared" si="348"/>
        <v>0</v>
      </c>
      <c r="BM420" s="775">
        <f t="shared" si="349"/>
        <v>0</v>
      </c>
    </row>
    <row r="421" spans="1:65">
      <c r="A421" s="11">
        <f t="shared" si="306"/>
        <v>1934</v>
      </c>
      <c r="B421" s="773">
        <v>409</v>
      </c>
      <c r="C421" s="774">
        <f t="shared" si="321"/>
        <v>12420</v>
      </c>
      <c r="D421" s="775">
        <f t="shared" si="300"/>
        <v>0</v>
      </c>
      <c r="E421" s="775">
        <f t="shared" si="301"/>
        <v>0</v>
      </c>
      <c r="F421" s="775">
        <f t="shared" si="302"/>
        <v>0</v>
      </c>
      <c r="G421" s="775">
        <f t="shared" si="303"/>
        <v>0</v>
      </c>
      <c r="H421" s="775">
        <f t="shared" si="304"/>
        <v>0</v>
      </c>
      <c r="I421" s="775">
        <f t="shared" si="305"/>
        <v>0</v>
      </c>
      <c r="K421" s="773">
        <v>409</v>
      </c>
      <c r="L421" s="774">
        <f t="shared" si="322"/>
        <v>12420</v>
      </c>
      <c r="M421" s="775">
        <f t="shared" si="323"/>
        <v>0</v>
      </c>
      <c r="N421" s="775">
        <f t="shared" si="314"/>
        <v>0</v>
      </c>
      <c r="O421" s="775">
        <f t="shared" si="307"/>
        <v>0</v>
      </c>
      <c r="P421" s="775">
        <f t="shared" si="324"/>
        <v>0</v>
      </c>
      <c r="Q421" s="775">
        <f t="shared" si="325"/>
        <v>0</v>
      </c>
      <c r="S421" s="773">
        <v>409</v>
      </c>
      <c r="T421" s="774">
        <f t="shared" si="326"/>
        <v>12420</v>
      </c>
      <c r="U421" s="775">
        <f t="shared" si="327"/>
        <v>0</v>
      </c>
      <c r="V421" s="775">
        <f t="shared" si="315"/>
        <v>0</v>
      </c>
      <c r="W421" s="775">
        <f t="shared" si="308"/>
        <v>0</v>
      </c>
      <c r="X421" s="775">
        <f t="shared" si="328"/>
        <v>0</v>
      </c>
      <c r="Y421" s="775">
        <f t="shared" si="329"/>
        <v>0</v>
      </c>
      <c r="AA421" s="773">
        <v>409</v>
      </c>
      <c r="AB421" s="774">
        <f t="shared" si="330"/>
        <v>12420</v>
      </c>
      <c r="AC421" s="775">
        <f t="shared" si="331"/>
        <v>0</v>
      </c>
      <c r="AD421" s="775">
        <f t="shared" si="316"/>
        <v>0</v>
      </c>
      <c r="AE421" s="775">
        <f t="shared" si="309"/>
        <v>0</v>
      </c>
      <c r="AF421" s="775">
        <f t="shared" si="332"/>
        <v>0</v>
      </c>
      <c r="AG421" s="775">
        <f t="shared" si="333"/>
        <v>0</v>
      </c>
      <c r="AI421" s="773">
        <v>409</v>
      </c>
      <c r="AJ421" s="774">
        <f t="shared" si="334"/>
        <v>12420</v>
      </c>
      <c r="AK421" s="775">
        <f t="shared" si="335"/>
        <v>0</v>
      </c>
      <c r="AL421" s="775">
        <f t="shared" si="317"/>
        <v>0</v>
      </c>
      <c r="AM421" s="775">
        <f t="shared" si="310"/>
        <v>0</v>
      </c>
      <c r="AN421" s="775">
        <f t="shared" si="336"/>
        <v>0</v>
      </c>
      <c r="AO421" s="775">
        <f t="shared" si="337"/>
        <v>0</v>
      </c>
      <c r="AQ421" s="773">
        <v>409</v>
      </c>
      <c r="AR421" s="774">
        <f t="shared" si="338"/>
        <v>12420</v>
      </c>
      <c r="AS421" s="775">
        <f t="shared" si="339"/>
        <v>0</v>
      </c>
      <c r="AT421" s="775">
        <f t="shared" si="318"/>
        <v>0</v>
      </c>
      <c r="AU421" s="775">
        <f t="shared" si="311"/>
        <v>0</v>
      </c>
      <c r="AV421" s="775">
        <f t="shared" si="340"/>
        <v>0</v>
      </c>
      <c r="AW421" s="775">
        <f t="shared" si="341"/>
        <v>0</v>
      </c>
      <c r="AY421" s="773">
        <v>409</v>
      </c>
      <c r="AZ421" s="774">
        <f t="shared" si="342"/>
        <v>12420</v>
      </c>
      <c r="BA421" s="775">
        <f t="shared" si="343"/>
        <v>0</v>
      </c>
      <c r="BB421" s="775">
        <f t="shared" si="319"/>
        <v>0</v>
      </c>
      <c r="BC421" s="775">
        <f t="shared" si="312"/>
        <v>0</v>
      </c>
      <c r="BD421" s="775">
        <f t="shared" si="344"/>
        <v>0</v>
      </c>
      <c r="BE421" s="775">
        <f t="shared" si="345"/>
        <v>0</v>
      </c>
      <c r="BG421" s="773">
        <v>409</v>
      </c>
      <c r="BH421" s="774">
        <f t="shared" si="346"/>
        <v>12420</v>
      </c>
      <c r="BI421" s="775">
        <f t="shared" si="347"/>
        <v>0</v>
      </c>
      <c r="BJ421" s="775">
        <f t="shared" si="320"/>
        <v>0</v>
      </c>
      <c r="BK421" s="775">
        <f t="shared" si="313"/>
        <v>0</v>
      </c>
      <c r="BL421" s="775">
        <f t="shared" si="348"/>
        <v>0</v>
      </c>
      <c r="BM421" s="775">
        <f t="shared" si="349"/>
        <v>0</v>
      </c>
    </row>
    <row r="422" spans="1:65">
      <c r="A422" s="11">
        <f t="shared" si="306"/>
        <v>1934</v>
      </c>
      <c r="B422" s="773">
        <v>410</v>
      </c>
      <c r="C422" s="774">
        <f t="shared" si="321"/>
        <v>12451</v>
      </c>
      <c r="D422" s="775">
        <f t="shared" si="300"/>
        <v>0</v>
      </c>
      <c r="E422" s="775">
        <f t="shared" si="301"/>
        <v>0</v>
      </c>
      <c r="F422" s="775">
        <f t="shared" si="302"/>
        <v>0</v>
      </c>
      <c r="G422" s="775">
        <f t="shared" si="303"/>
        <v>0</v>
      </c>
      <c r="H422" s="775">
        <f t="shared" si="304"/>
        <v>0</v>
      </c>
      <c r="I422" s="775">
        <f t="shared" si="305"/>
        <v>0</v>
      </c>
      <c r="K422" s="773">
        <v>410</v>
      </c>
      <c r="L422" s="774">
        <f t="shared" si="322"/>
        <v>12451</v>
      </c>
      <c r="M422" s="775">
        <f t="shared" si="323"/>
        <v>0</v>
      </c>
      <c r="N422" s="775">
        <f t="shared" si="314"/>
        <v>0</v>
      </c>
      <c r="O422" s="775">
        <f t="shared" si="307"/>
        <v>0</v>
      </c>
      <c r="P422" s="775">
        <f t="shared" si="324"/>
        <v>0</v>
      </c>
      <c r="Q422" s="775">
        <f t="shared" si="325"/>
        <v>0</v>
      </c>
      <c r="S422" s="773">
        <v>410</v>
      </c>
      <c r="T422" s="774">
        <f t="shared" si="326"/>
        <v>12451</v>
      </c>
      <c r="U422" s="775">
        <f t="shared" si="327"/>
        <v>0</v>
      </c>
      <c r="V422" s="775">
        <f t="shared" si="315"/>
        <v>0</v>
      </c>
      <c r="W422" s="775">
        <f t="shared" si="308"/>
        <v>0</v>
      </c>
      <c r="X422" s="775">
        <f t="shared" si="328"/>
        <v>0</v>
      </c>
      <c r="Y422" s="775">
        <f t="shared" si="329"/>
        <v>0</v>
      </c>
      <c r="AA422" s="773">
        <v>410</v>
      </c>
      <c r="AB422" s="774">
        <f t="shared" si="330"/>
        <v>12451</v>
      </c>
      <c r="AC422" s="775">
        <f t="shared" si="331"/>
        <v>0</v>
      </c>
      <c r="AD422" s="775">
        <f t="shared" si="316"/>
        <v>0</v>
      </c>
      <c r="AE422" s="775">
        <f t="shared" si="309"/>
        <v>0</v>
      </c>
      <c r="AF422" s="775">
        <f t="shared" si="332"/>
        <v>0</v>
      </c>
      <c r="AG422" s="775">
        <f t="shared" si="333"/>
        <v>0</v>
      </c>
      <c r="AI422" s="773">
        <v>410</v>
      </c>
      <c r="AJ422" s="774">
        <f t="shared" si="334"/>
        <v>12451</v>
      </c>
      <c r="AK422" s="775">
        <f t="shared" si="335"/>
        <v>0</v>
      </c>
      <c r="AL422" s="775">
        <f t="shared" si="317"/>
        <v>0</v>
      </c>
      <c r="AM422" s="775">
        <f t="shared" si="310"/>
        <v>0</v>
      </c>
      <c r="AN422" s="775">
        <f t="shared" si="336"/>
        <v>0</v>
      </c>
      <c r="AO422" s="775">
        <f t="shared" si="337"/>
        <v>0</v>
      </c>
      <c r="AQ422" s="773">
        <v>410</v>
      </c>
      <c r="AR422" s="774">
        <f t="shared" si="338"/>
        <v>12451</v>
      </c>
      <c r="AS422" s="775">
        <f t="shared" si="339"/>
        <v>0</v>
      </c>
      <c r="AT422" s="775">
        <f t="shared" si="318"/>
        <v>0</v>
      </c>
      <c r="AU422" s="775">
        <f t="shared" si="311"/>
        <v>0</v>
      </c>
      <c r="AV422" s="775">
        <f t="shared" si="340"/>
        <v>0</v>
      </c>
      <c r="AW422" s="775">
        <f t="shared" si="341"/>
        <v>0</v>
      </c>
      <c r="AY422" s="773">
        <v>410</v>
      </c>
      <c r="AZ422" s="774">
        <f t="shared" si="342"/>
        <v>12451</v>
      </c>
      <c r="BA422" s="775">
        <f t="shared" si="343"/>
        <v>0</v>
      </c>
      <c r="BB422" s="775">
        <f t="shared" si="319"/>
        <v>0</v>
      </c>
      <c r="BC422" s="775">
        <f t="shared" si="312"/>
        <v>0</v>
      </c>
      <c r="BD422" s="775">
        <f t="shared" si="344"/>
        <v>0</v>
      </c>
      <c r="BE422" s="775">
        <f t="shared" si="345"/>
        <v>0</v>
      </c>
      <c r="BG422" s="773">
        <v>410</v>
      </c>
      <c r="BH422" s="774">
        <f t="shared" si="346"/>
        <v>12451</v>
      </c>
      <c r="BI422" s="775">
        <f t="shared" si="347"/>
        <v>0</v>
      </c>
      <c r="BJ422" s="775">
        <f t="shared" si="320"/>
        <v>0</v>
      </c>
      <c r="BK422" s="775">
        <f t="shared" si="313"/>
        <v>0</v>
      </c>
      <c r="BL422" s="775">
        <f t="shared" si="348"/>
        <v>0</v>
      </c>
      <c r="BM422" s="775">
        <f t="shared" si="349"/>
        <v>0</v>
      </c>
    </row>
    <row r="423" spans="1:65">
      <c r="A423" s="11">
        <f t="shared" si="306"/>
        <v>1934</v>
      </c>
      <c r="B423" s="773">
        <v>411</v>
      </c>
      <c r="C423" s="774">
        <f t="shared" si="321"/>
        <v>12479</v>
      </c>
      <c r="D423" s="775">
        <f t="shared" si="300"/>
        <v>0</v>
      </c>
      <c r="E423" s="775">
        <f t="shared" si="301"/>
        <v>0</v>
      </c>
      <c r="F423" s="775">
        <f t="shared" si="302"/>
        <v>0</v>
      </c>
      <c r="G423" s="775">
        <f t="shared" si="303"/>
        <v>0</v>
      </c>
      <c r="H423" s="775">
        <f t="shared" si="304"/>
        <v>0</v>
      </c>
      <c r="I423" s="775">
        <f t="shared" si="305"/>
        <v>0</v>
      </c>
      <c r="K423" s="773">
        <v>411</v>
      </c>
      <c r="L423" s="774">
        <f t="shared" si="322"/>
        <v>12479</v>
      </c>
      <c r="M423" s="775">
        <f t="shared" si="323"/>
        <v>0</v>
      </c>
      <c r="N423" s="775">
        <f t="shared" si="314"/>
        <v>0</v>
      </c>
      <c r="O423" s="775">
        <f t="shared" si="307"/>
        <v>0</v>
      </c>
      <c r="P423" s="775">
        <f t="shared" si="324"/>
        <v>0</v>
      </c>
      <c r="Q423" s="775">
        <f t="shared" si="325"/>
        <v>0</v>
      </c>
      <c r="S423" s="773">
        <v>411</v>
      </c>
      <c r="T423" s="774">
        <f t="shared" si="326"/>
        <v>12479</v>
      </c>
      <c r="U423" s="775">
        <f t="shared" si="327"/>
        <v>0</v>
      </c>
      <c r="V423" s="775">
        <f t="shared" si="315"/>
        <v>0</v>
      </c>
      <c r="W423" s="775">
        <f t="shared" si="308"/>
        <v>0</v>
      </c>
      <c r="X423" s="775">
        <f t="shared" si="328"/>
        <v>0</v>
      </c>
      <c r="Y423" s="775">
        <f t="shared" si="329"/>
        <v>0</v>
      </c>
      <c r="AA423" s="773">
        <v>411</v>
      </c>
      <c r="AB423" s="774">
        <f t="shared" si="330"/>
        <v>12479</v>
      </c>
      <c r="AC423" s="775">
        <f t="shared" si="331"/>
        <v>0</v>
      </c>
      <c r="AD423" s="775">
        <f t="shared" si="316"/>
        <v>0</v>
      </c>
      <c r="AE423" s="775">
        <f t="shared" si="309"/>
        <v>0</v>
      </c>
      <c r="AF423" s="775">
        <f t="shared" si="332"/>
        <v>0</v>
      </c>
      <c r="AG423" s="775">
        <f t="shared" si="333"/>
        <v>0</v>
      </c>
      <c r="AI423" s="773">
        <v>411</v>
      </c>
      <c r="AJ423" s="774">
        <f t="shared" si="334"/>
        <v>12479</v>
      </c>
      <c r="AK423" s="775">
        <f t="shared" si="335"/>
        <v>0</v>
      </c>
      <c r="AL423" s="775">
        <f t="shared" si="317"/>
        <v>0</v>
      </c>
      <c r="AM423" s="775">
        <f t="shared" si="310"/>
        <v>0</v>
      </c>
      <c r="AN423" s="775">
        <f t="shared" si="336"/>
        <v>0</v>
      </c>
      <c r="AO423" s="775">
        <f t="shared" si="337"/>
        <v>0</v>
      </c>
      <c r="AQ423" s="773">
        <v>411</v>
      </c>
      <c r="AR423" s="774">
        <f t="shared" si="338"/>
        <v>12479</v>
      </c>
      <c r="AS423" s="775">
        <f t="shared" si="339"/>
        <v>0</v>
      </c>
      <c r="AT423" s="775">
        <f t="shared" si="318"/>
        <v>0</v>
      </c>
      <c r="AU423" s="775">
        <f t="shared" si="311"/>
        <v>0</v>
      </c>
      <c r="AV423" s="775">
        <f t="shared" si="340"/>
        <v>0</v>
      </c>
      <c r="AW423" s="775">
        <f t="shared" si="341"/>
        <v>0</v>
      </c>
      <c r="AY423" s="773">
        <v>411</v>
      </c>
      <c r="AZ423" s="774">
        <f t="shared" si="342"/>
        <v>12479</v>
      </c>
      <c r="BA423" s="775">
        <f t="shared" si="343"/>
        <v>0</v>
      </c>
      <c r="BB423" s="775">
        <f t="shared" si="319"/>
        <v>0</v>
      </c>
      <c r="BC423" s="775">
        <f t="shared" si="312"/>
        <v>0</v>
      </c>
      <c r="BD423" s="775">
        <f t="shared" si="344"/>
        <v>0</v>
      </c>
      <c r="BE423" s="775">
        <f t="shared" si="345"/>
        <v>0</v>
      </c>
      <c r="BG423" s="773">
        <v>411</v>
      </c>
      <c r="BH423" s="774">
        <f t="shared" si="346"/>
        <v>12479</v>
      </c>
      <c r="BI423" s="775">
        <f t="shared" si="347"/>
        <v>0</v>
      </c>
      <c r="BJ423" s="775">
        <f t="shared" si="320"/>
        <v>0</v>
      </c>
      <c r="BK423" s="775">
        <f t="shared" si="313"/>
        <v>0</v>
      </c>
      <c r="BL423" s="775">
        <f t="shared" si="348"/>
        <v>0</v>
      </c>
      <c r="BM423" s="775">
        <f t="shared" si="349"/>
        <v>0</v>
      </c>
    </row>
    <row r="424" spans="1:65">
      <c r="A424" s="11">
        <f t="shared" si="306"/>
        <v>1934</v>
      </c>
      <c r="B424" s="773">
        <v>412</v>
      </c>
      <c r="C424" s="774">
        <f t="shared" si="321"/>
        <v>12510</v>
      </c>
      <c r="D424" s="775">
        <f t="shared" si="300"/>
        <v>0</v>
      </c>
      <c r="E424" s="775">
        <f t="shared" si="301"/>
        <v>0</v>
      </c>
      <c r="F424" s="775">
        <f t="shared" si="302"/>
        <v>0</v>
      </c>
      <c r="G424" s="775">
        <f t="shared" si="303"/>
        <v>0</v>
      </c>
      <c r="H424" s="775">
        <f t="shared" si="304"/>
        <v>0</v>
      </c>
      <c r="I424" s="775">
        <f t="shared" si="305"/>
        <v>0</v>
      </c>
      <c r="K424" s="773">
        <v>412</v>
      </c>
      <c r="L424" s="774">
        <f t="shared" si="322"/>
        <v>12510</v>
      </c>
      <c r="M424" s="775">
        <f t="shared" si="323"/>
        <v>0</v>
      </c>
      <c r="N424" s="775">
        <f t="shared" si="314"/>
        <v>0</v>
      </c>
      <c r="O424" s="775">
        <f t="shared" si="307"/>
        <v>0</v>
      </c>
      <c r="P424" s="775">
        <f t="shared" si="324"/>
        <v>0</v>
      </c>
      <c r="Q424" s="775">
        <f t="shared" si="325"/>
        <v>0</v>
      </c>
      <c r="S424" s="773">
        <v>412</v>
      </c>
      <c r="T424" s="774">
        <f t="shared" si="326"/>
        <v>12510</v>
      </c>
      <c r="U424" s="775">
        <f t="shared" si="327"/>
        <v>0</v>
      </c>
      <c r="V424" s="775">
        <f t="shared" si="315"/>
        <v>0</v>
      </c>
      <c r="W424" s="775">
        <f t="shared" si="308"/>
        <v>0</v>
      </c>
      <c r="X424" s="775">
        <f t="shared" si="328"/>
        <v>0</v>
      </c>
      <c r="Y424" s="775">
        <f t="shared" si="329"/>
        <v>0</v>
      </c>
      <c r="AA424" s="773">
        <v>412</v>
      </c>
      <c r="AB424" s="774">
        <f t="shared" si="330"/>
        <v>12510</v>
      </c>
      <c r="AC424" s="775">
        <f t="shared" si="331"/>
        <v>0</v>
      </c>
      <c r="AD424" s="775">
        <f t="shared" si="316"/>
        <v>0</v>
      </c>
      <c r="AE424" s="775">
        <f t="shared" si="309"/>
        <v>0</v>
      </c>
      <c r="AF424" s="775">
        <f t="shared" si="332"/>
        <v>0</v>
      </c>
      <c r="AG424" s="775">
        <f t="shared" si="333"/>
        <v>0</v>
      </c>
      <c r="AI424" s="773">
        <v>412</v>
      </c>
      <c r="AJ424" s="774">
        <f t="shared" si="334"/>
        <v>12510</v>
      </c>
      <c r="AK424" s="775">
        <f t="shared" si="335"/>
        <v>0</v>
      </c>
      <c r="AL424" s="775">
        <f t="shared" si="317"/>
        <v>0</v>
      </c>
      <c r="AM424" s="775">
        <f t="shared" si="310"/>
        <v>0</v>
      </c>
      <c r="AN424" s="775">
        <f t="shared" si="336"/>
        <v>0</v>
      </c>
      <c r="AO424" s="775">
        <f t="shared" si="337"/>
        <v>0</v>
      </c>
      <c r="AQ424" s="773">
        <v>412</v>
      </c>
      <c r="AR424" s="774">
        <f t="shared" si="338"/>
        <v>12510</v>
      </c>
      <c r="AS424" s="775">
        <f t="shared" si="339"/>
        <v>0</v>
      </c>
      <c r="AT424" s="775">
        <f t="shared" si="318"/>
        <v>0</v>
      </c>
      <c r="AU424" s="775">
        <f t="shared" si="311"/>
        <v>0</v>
      </c>
      <c r="AV424" s="775">
        <f t="shared" si="340"/>
        <v>0</v>
      </c>
      <c r="AW424" s="775">
        <f t="shared" si="341"/>
        <v>0</v>
      </c>
      <c r="AY424" s="773">
        <v>412</v>
      </c>
      <c r="AZ424" s="774">
        <f t="shared" si="342"/>
        <v>12510</v>
      </c>
      <c r="BA424" s="775">
        <f t="shared" si="343"/>
        <v>0</v>
      </c>
      <c r="BB424" s="775">
        <f t="shared" si="319"/>
        <v>0</v>
      </c>
      <c r="BC424" s="775">
        <f t="shared" si="312"/>
        <v>0</v>
      </c>
      <c r="BD424" s="775">
        <f t="shared" si="344"/>
        <v>0</v>
      </c>
      <c r="BE424" s="775">
        <f t="shared" si="345"/>
        <v>0</v>
      </c>
      <c r="BG424" s="773">
        <v>412</v>
      </c>
      <c r="BH424" s="774">
        <f t="shared" si="346"/>
        <v>12510</v>
      </c>
      <c r="BI424" s="775">
        <f t="shared" si="347"/>
        <v>0</v>
      </c>
      <c r="BJ424" s="775">
        <f t="shared" si="320"/>
        <v>0</v>
      </c>
      <c r="BK424" s="775">
        <f t="shared" si="313"/>
        <v>0</v>
      </c>
      <c r="BL424" s="775">
        <f t="shared" si="348"/>
        <v>0</v>
      </c>
      <c r="BM424" s="775">
        <f t="shared" si="349"/>
        <v>0</v>
      </c>
    </row>
    <row r="425" spans="1:65">
      <c r="A425" s="11">
        <f t="shared" si="306"/>
        <v>1934</v>
      </c>
      <c r="B425" s="773">
        <v>413</v>
      </c>
      <c r="C425" s="774">
        <f t="shared" si="321"/>
        <v>12540</v>
      </c>
      <c r="D425" s="775">
        <f t="shared" si="300"/>
        <v>0</v>
      </c>
      <c r="E425" s="775">
        <f t="shared" si="301"/>
        <v>0</v>
      </c>
      <c r="F425" s="775">
        <f t="shared" si="302"/>
        <v>0</v>
      </c>
      <c r="G425" s="775">
        <f t="shared" si="303"/>
        <v>0</v>
      </c>
      <c r="H425" s="775">
        <f t="shared" si="304"/>
        <v>0</v>
      </c>
      <c r="I425" s="775">
        <f t="shared" si="305"/>
        <v>0</v>
      </c>
      <c r="K425" s="773">
        <v>413</v>
      </c>
      <c r="L425" s="774">
        <f t="shared" si="322"/>
        <v>12540</v>
      </c>
      <c r="M425" s="775">
        <f t="shared" si="323"/>
        <v>0</v>
      </c>
      <c r="N425" s="775">
        <f t="shared" si="314"/>
        <v>0</v>
      </c>
      <c r="O425" s="775">
        <f t="shared" si="307"/>
        <v>0</v>
      </c>
      <c r="P425" s="775">
        <f t="shared" si="324"/>
        <v>0</v>
      </c>
      <c r="Q425" s="775">
        <f t="shared" si="325"/>
        <v>0</v>
      </c>
      <c r="S425" s="773">
        <v>413</v>
      </c>
      <c r="T425" s="774">
        <f t="shared" si="326"/>
        <v>12540</v>
      </c>
      <c r="U425" s="775">
        <f t="shared" si="327"/>
        <v>0</v>
      </c>
      <c r="V425" s="775">
        <f t="shared" si="315"/>
        <v>0</v>
      </c>
      <c r="W425" s="775">
        <f t="shared" si="308"/>
        <v>0</v>
      </c>
      <c r="X425" s="775">
        <f t="shared" si="328"/>
        <v>0</v>
      </c>
      <c r="Y425" s="775">
        <f t="shared" si="329"/>
        <v>0</v>
      </c>
      <c r="AA425" s="773">
        <v>413</v>
      </c>
      <c r="AB425" s="774">
        <f t="shared" si="330"/>
        <v>12540</v>
      </c>
      <c r="AC425" s="775">
        <f t="shared" si="331"/>
        <v>0</v>
      </c>
      <c r="AD425" s="775">
        <f t="shared" si="316"/>
        <v>0</v>
      </c>
      <c r="AE425" s="775">
        <f t="shared" si="309"/>
        <v>0</v>
      </c>
      <c r="AF425" s="775">
        <f t="shared" si="332"/>
        <v>0</v>
      </c>
      <c r="AG425" s="775">
        <f t="shared" si="333"/>
        <v>0</v>
      </c>
      <c r="AI425" s="773">
        <v>413</v>
      </c>
      <c r="AJ425" s="774">
        <f t="shared" si="334"/>
        <v>12540</v>
      </c>
      <c r="AK425" s="775">
        <f t="shared" si="335"/>
        <v>0</v>
      </c>
      <c r="AL425" s="775">
        <f t="shared" si="317"/>
        <v>0</v>
      </c>
      <c r="AM425" s="775">
        <f t="shared" si="310"/>
        <v>0</v>
      </c>
      <c r="AN425" s="775">
        <f t="shared" si="336"/>
        <v>0</v>
      </c>
      <c r="AO425" s="775">
        <f t="shared" si="337"/>
        <v>0</v>
      </c>
      <c r="AQ425" s="773">
        <v>413</v>
      </c>
      <c r="AR425" s="774">
        <f t="shared" si="338"/>
        <v>12540</v>
      </c>
      <c r="AS425" s="775">
        <f t="shared" si="339"/>
        <v>0</v>
      </c>
      <c r="AT425" s="775">
        <f t="shared" si="318"/>
        <v>0</v>
      </c>
      <c r="AU425" s="775">
        <f t="shared" si="311"/>
        <v>0</v>
      </c>
      <c r="AV425" s="775">
        <f t="shared" si="340"/>
        <v>0</v>
      </c>
      <c r="AW425" s="775">
        <f t="shared" si="341"/>
        <v>0</v>
      </c>
      <c r="AY425" s="773">
        <v>413</v>
      </c>
      <c r="AZ425" s="774">
        <f t="shared" si="342"/>
        <v>12540</v>
      </c>
      <c r="BA425" s="775">
        <f t="shared" si="343"/>
        <v>0</v>
      </c>
      <c r="BB425" s="775">
        <f t="shared" si="319"/>
        <v>0</v>
      </c>
      <c r="BC425" s="775">
        <f t="shared" si="312"/>
        <v>0</v>
      </c>
      <c r="BD425" s="775">
        <f t="shared" si="344"/>
        <v>0</v>
      </c>
      <c r="BE425" s="775">
        <f t="shared" si="345"/>
        <v>0</v>
      </c>
      <c r="BG425" s="773">
        <v>413</v>
      </c>
      <c r="BH425" s="774">
        <f t="shared" si="346"/>
        <v>12540</v>
      </c>
      <c r="BI425" s="775">
        <f t="shared" si="347"/>
        <v>0</v>
      </c>
      <c r="BJ425" s="775">
        <f t="shared" si="320"/>
        <v>0</v>
      </c>
      <c r="BK425" s="775">
        <f t="shared" si="313"/>
        <v>0</v>
      </c>
      <c r="BL425" s="775">
        <f t="shared" si="348"/>
        <v>0</v>
      </c>
      <c r="BM425" s="775">
        <f t="shared" si="349"/>
        <v>0</v>
      </c>
    </row>
    <row r="426" spans="1:65">
      <c r="A426" s="11">
        <f t="shared" si="306"/>
        <v>1934</v>
      </c>
      <c r="B426" s="773">
        <v>414</v>
      </c>
      <c r="C426" s="774">
        <f t="shared" si="321"/>
        <v>12571</v>
      </c>
      <c r="D426" s="775">
        <f t="shared" si="300"/>
        <v>0</v>
      </c>
      <c r="E426" s="775">
        <f t="shared" si="301"/>
        <v>0</v>
      </c>
      <c r="F426" s="775">
        <f t="shared" si="302"/>
        <v>0</v>
      </c>
      <c r="G426" s="775">
        <f t="shared" si="303"/>
        <v>0</v>
      </c>
      <c r="H426" s="775">
        <f t="shared" si="304"/>
        <v>0</v>
      </c>
      <c r="I426" s="775">
        <f t="shared" si="305"/>
        <v>0</v>
      </c>
      <c r="K426" s="773">
        <v>414</v>
      </c>
      <c r="L426" s="774">
        <f t="shared" si="322"/>
        <v>12571</v>
      </c>
      <c r="M426" s="775">
        <f t="shared" si="323"/>
        <v>0</v>
      </c>
      <c r="N426" s="775">
        <f t="shared" si="314"/>
        <v>0</v>
      </c>
      <c r="O426" s="775">
        <f t="shared" si="307"/>
        <v>0</v>
      </c>
      <c r="P426" s="775">
        <f t="shared" si="324"/>
        <v>0</v>
      </c>
      <c r="Q426" s="775">
        <f t="shared" si="325"/>
        <v>0</v>
      </c>
      <c r="S426" s="773">
        <v>414</v>
      </c>
      <c r="T426" s="774">
        <f t="shared" si="326"/>
        <v>12571</v>
      </c>
      <c r="U426" s="775">
        <f t="shared" si="327"/>
        <v>0</v>
      </c>
      <c r="V426" s="775">
        <f t="shared" si="315"/>
        <v>0</v>
      </c>
      <c r="W426" s="775">
        <f t="shared" si="308"/>
        <v>0</v>
      </c>
      <c r="X426" s="775">
        <f t="shared" si="328"/>
        <v>0</v>
      </c>
      <c r="Y426" s="775">
        <f t="shared" si="329"/>
        <v>0</v>
      </c>
      <c r="AA426" s="773">
        <v>414</v>
      </c>
      <c r="AB426" s="774">
        <f t="shared" si="330"/>
        <v>12571</v>
      </c>
      <c r="AC426" s="775">
        <f t="shared" si="331"/>
        <v>0</v>
      </c>
      <c r="AD426" s="775">
        <f t="shared" si="316"/>
        <v>0</v>
      </c>
      <c r="AE426" s="775">
        <f t="shared" si="309"/>
        <v>0</v>
      </c>
      <c r="AF426" s="775">
        <f t="shared" si="332"/>
        <v>0</v>
      </c>
      <c r="AG426" s="775">
        <f t="shared" si="333"/>
        <v>0</v>
      </c>
      <c r="AI426" s="773">
        <v>414</v>
      </c>
      <c r="AJ426" s="774">
        <f t="shared" si="334"/>
        <v>12571</v>
      </c>
      <c r="AK426" s="775">
        <f t="shared" si="335"/>
        <v>0</v>
      </c>
      <c r="AL426" s="775">
        <f t="shared" si="317"/>
        <v>0</v>
      </c>
      <c r="AM426" s="775">
        <f t="shared" si="310"/>
        <v>0</v>
      </c>
      <c r="AN426" s="775">
        <f t="shared" si="336"/>
        <v>0</v>
      </c>
      <c r="AO426" s="775">
        <f t="shared" si="337"/>
        <v>0</v>
      </c>
      <c r="AQ426" s="773">
        <v>414</v>
      </c>
      <c r="AR426" s="774">
        <f t="shared" si="338"/>
        <v>12571</v>
      </c>
      <c r="AS426" s="775">
        <f t="shared" si="339"/>
        <v>0</v>
      </c>
      <c r="AT426" s="775">
        <f t="shared" si="318"/>
        <v>0</v>
      </c>
      <c r="AU426" s="775">
        <f t="shared" si="311"/>
        <v>0</v>
      </c>
      <c r="AV426" s="775">
        <f t="shared" si="340"/>
        <v>0</v>
      </c>
      <c r="AW426" s="775">
        <f t="shared" si="341"/>
        <v>0</v>
      </c>
      <c r="AY426" s="773">
        <v>414</v>
      </c>
      <c r="AZ426" s="774">
        <f t="shared" si="342"/>
        <v>12571</v>
      </c>
      <c r="BA426" s="775">
        <f t="shared" si="343"/>
        <v>0</v>
      </c>
      <c r="BB426" s="775">
        <f t="shared" si="319"/>
        <v>0</v>
      </c>
      <c r="BC426" s="775">
        <f t="shared" si="312"/>
        <v>0</v>
      </c>
      <c r="BD426" s="775">
        <f t="shared" si="344"/>
        <v>0</v>
      </c>
      <c r="BE426" s="775">
        <f t="shared" si="345"/>
        <v>0</v>
      </c>
      <c r="BG426" s="773">
        <v>414</v>
      </c>
      <c r="BH426" s="774">
        <f t="shared" si="346"/>
        <v>12571</v>
      </c>
      <c r="BI426" s="775">
        <f t="shared" si="347"/>
        <v>0</v>
      </c>
      <c r="BJ426" s="775">
        <f t="shared" si="320"/>
        <v>0</v>
      </c>
      <c r="BK426" s="775">
        <f t="shared" si="313"/>
        <v>0</v>
      </c>
      <c r="BL426" s="775">
        <f t="shared" si="348"/>
        <v>0</v>
      </c>
      <c r="BM426" s="775">
        <f t="shared" si="349"/>
        <v>0</v>
      </c>
    </row>
    <row r="427" spans="1:65">
      <c r="A427" s="11">
        <f t="shared" si="306"/>
        <v>1934</v>
      </c>
      <c r="B427" s="773">
        <v>415</v>
      </c>
      <c r="C427" s="774">
        <f t="shared" si="321"/>
        <v>12601</v>
      </c>
      <c r="D427" s="775">
        <f t="shared" si="300"/>
        <v>0</v>
      </c>
      <c r="E427" s="775">
        <f t="shared" si="301"/>
        <v>0</v>
      </c>
      <c r="F427" s="775">
        <f t="shared" si="302"/>
        <v>0</v>
      </c>
      <c r="G427" s="775">
        <f t="shared" si="303"/>
        <v>0</v>
      </c>
      <c r="H427" s="775">
        <f t="shared" si="304"/>
        <v>0</v>
      </c>
      <c r="I427" s="775">
        <f t="shared" si="305"/>
        <v>0</v>
      </c>
      <c r="K427" s="773">
        <v>415</v>
      </c>
      <c r="L427" s="774">
        <f t="shared" si="322"/>
        <v>12601</v>
      </c>
      <c r="M427" s="775">
        <f t="shared" si="323"/>
        <v>0</v>
      </c>
      <c r="N427" s="775">
        <f t="shared" si="314"/>
        <v>0</v>
      </c>
      <c r="O427" s="775">
        <f t="shared" si="307"/>
        <v>0</v>
      </c>
      <c r="P427" s="775">
        <f t="shared" si="324"/>
        <v>0</v>
      </c>
      <c r="Q427" s="775">
        <f t="shared" si="325"/>
        <v>0</v>
      </c>
      <c r="S427" s="773">
        <v>415</v>
      </c>
      <c r="T427" s="774">
        <f t="shared" si="326"/>
        <v>12601</v>
      </c>
      <c r="U427" s="775">
        <f t="shared" si="327"/>
        <v>0</v>
      </c>
      <c r="V427" s="775">
        <f t="shared" si="315"/>
        <v>0</v>
      </c>
      <c r="W427" s="775">
        <f t="shared" si="308"/>
        <v>0</v>
      </c>
      <c r="X427" s="775">
        <f t="shared" si="328"/>
        <v>0</v>
      </c>
      <c r="Y427" s="775">
        <f t="shared" si="329"/>
        <v>0</v>
      </c>
      <c r="AA427" s="773">
        <v>415</v>
      </c>
      <c r="AB427" s="774">
        <f t="shared" si="330"/>
        <v>12601</v>
      </c>
      <c r="AC427" s="775">
        <f t="shared" si="331"/>
        <v>0</v>
      </c>
      <c r="AD427" s="775">
        <f t="shared" si="316"/>
        <v>0</v>
      </c>
      <c r="AE427" s="775">
        <f t="shared" si="309"/>
        <v>0</v>
      </c>
      <c r="AF427" s="775">
        <f t="shared" si="332"/>
        <v>0</v>
      </c>
      <c r="AG427" s="775">
        <f t="shared" si="333"/>
        <v>0</v>
      </c>
      <c r="AI427" s="773">
        <v>415</v>
      </c>
      <c r="AJ427" s="774">
        <f t="shared" si="334"/>
        <v>12601</v>
      </c>
      <c r="AK427" s="775">
        <f t="shared" si="335"/>
        <v>0</v>
      </c>
      <c r="AL427" s="775">
        <f t="shared" si="317"/>
        <v>0</v>
      </c>
      <c r="AM427" s="775">
        <f t="shared" si="310"/>
        <v>0</v>
      </c>
      <c r="AN427" s="775">
        <f t="shared" si="336"/>
        <v>0</v>
      </c>
      <c r="AO427" s="775">
        <f t="shared" si="337"/>
        <v>0</v>
      </c>
      <c r="AQ427" s="773">
        <v>415</v>
      </c>
      <c r="AR427" s="774">
        <f t="shared" si="338"/>
        <v>12601</v>
      </c>
      <c r="AS427" s="775">
        <f t="shared" si="339"/>
        <v>0</v>
      </c>
      <c r="AT427" s="775">
        <f t="shared" si="318"/>
        <v>0</v>
      </c>
      <c r="AU427" s="775">
        <f t="shared" si="311"/>
        <v>0</v>
      </c>
      <c r="AV427" s="775">
        <f t="shared" si="340"/>
        <v>0</v>
      </c>
      <c r="AW427" s="775">
        <f t="shared" si="341"/>
        <v>0</v>
      </c>
      <c r="AY427" s="773">
        <v>415</v>
      </c>
      <c r="AZ427" s="774">
        <f t="shared" si="342"/>
        <v>12601</v>
      </c>
      <c r="BA427" s="775">
        <f t="shared" si="343"/>
        <v>0</v>
      </c>
      <c r="BB427" s="775">
        <f t="shared" si="319"/>
        <v>0</v>
      </c>
      <c r="BC427" s="775">
        <f t="shared" si="312"/>
        <v>0</v>
      </c>
      <c r="BD427" s="775">
        <f t="shared" si="344"/>
        <v>0</v>
      </c>
      <c r="BE427" s="775">
        <f t="shared" si="345"/>
        <v>0</v>
      </c>
      <c r="BG427" s="773">
        <v>415</v>
      </c>
      <c r="BH427" s="774">
        <f t="shared" si="346"/>
        <v>12601</v>
      </c>
      <c r="BI427" s="775">
        <f t="shared" si="347"/>
        <v>0</v>
      </c>
      <c r="BJ427" s="775">
        <f t="shared" si="320"/>
        <v>0</v>
      </c>
      <c r="BK427" s="775">
        <f t="shared" si="313"/>
        <v>0</v>
      </c>
      <c r="BL427" s="775">
        <f t="shared" si="348"/>
        <v>0</v>
      </c>
      <c r="BM427" s="775">
        <f t="shared" si="349"/>
        <v>0</v>
      </c>
    </row>
    <row r="428" spans="1:65">
      <c r="A428" s="11">
        <f t="shared" si="306"/>
        <v>1934</v>
      </c>
      <c r="B428" s="773">
        <v>416</v>
      </c>
      <c r="C428" s="774">
        <f t="shared" si="321"/>
        <v>12632</v>
      </c>
      <c r="D428" s="775">
        <f t="shared" si="300"/>
        <v>0</v>
      </c>
      <c r="E428" s="775">
        <f t="shared" si="301"/>
        <v>0</v>
      </c>
      <c r="F428" s="775">
        <f t="shared" si="302"/>
        <v>0</v>
      </c>
      <c r="G428" s="775">
        <f t="shared" si="303"/>
        <v>0</v>
      </c>
      <c r="H428" s="775">
        <f t="shared" si="304"/>
        <v>0</v>
      </c>
      <c r="I428" s="775">
        <f t="shared" si="305"/>
        <v>0</v>
      </c>
      <c r="K428" s="773">
        <v>416</v>
      </c>
      <c r="L428" s="774">
        <f t="shared" si="322"/>
        <v>12632</v>
      </c>
      <c r="M428" s="775">
        <f t="shared" si="323"/>
        <v>0</v>
      </c>
      <c r="N428" s="775">
        <f t="shared" si="314"/>
        <v>0</v>
      </c>
      <c r="O428" s="775">
        <f t="shared" si="307"/>
        <v>0</v>
      </c>
      <c r="P428" s="775">
        <f t="shared" si="324"/>
        <v>0</v>
      </c>
      <c r="Q428" s="775">
        <f t="shared" si="325"/>
        <v>0</v>
      </c>
      <c r="S428" s="773">
        <v>416</v>
      </c>
      <c r="T428" s="774">
        <f t="shared" si="326"/>
        <v>12632</v>
      </c>
      <c r="U428" s="775">
        <f t="shared" si="327"/>
        <v>0</v>
      </c>
      <c r="V428" s="775">
        <f t="shared" si="315"/>
        <v>0</v>
      </c>
      <c r="W428" s="775">
        <f t="shared" si="308"/>
        <v>0</v>
      </c>
      <c r="X428" s="775">
        <f t="shared" si="328"/>
        <v>0</v>
      </c>
      <c r="Y428" s="775">
        <f t="shared" si="329"/>
        <v>0</v>
      </c>
      <c r="AA428" s="773">
        <v>416</v>
      </c>
      <c r="AB428" s="774">
        <f t="shared" si="330"/>
        <v>12632</v>
      </c>
      <c r="AC428" s="775">
        <f t="shared" si="331"/>
        <v>0</v>
      </c>
      <c r="AD428" s="775">
        <f t="shared" si="316"/>
        <v>0</v>
      </c>
      <c r="AE428" s="775">
        <f t="shared" si="309"/>
        <v>0</v>
      </c>
      <c r="AF428" s="775">
        <f t="shared" si="332"/>
        <v>0</v>
      </c>
      <c r="AG428" s="775">
        <f t="shared" si="333"/>
        <v>0</v>
      </c>
      <c r="AI428" s="773">
        <v>416</v>
      </c>
      <c r="AJ428" s="774">
        <f t="shared" si="334"/>
        <v>12632</v>
      </c>
      <c r="AK428" s="775">
        <f t="shared" si="335"/>
        <v>0</v>
      </c>
      <c r="AL428" s="775">
        <f t="shared" si="317"/>
        <v>0</v>
      </c>
      <c r="AM428" s="775">
        <f t="shared" si="310"/>
        <v>0</v>
      </c>
      <c r="AN428" s="775">
        <f t="shared" si="336"/>
        <v>0</v>
      </c>
      <c r="AO428" s="775">
        <f t="shared" si="337"/>
        <v>0</v>
      </c>
      <c r="AQ428" s="773">
        <v>416</v>
      </c>
      <c r="AR428" s="774">
        <f t="shared" si="338"/>
        <v>12632</v>
      </c>
      <c r="AS428" s="775">
        <f t="shared" si="339"/>
        <v>0</v>
      </c>
      <c r="AT428" s="775">
        <f t="shared" si="318"/>
        <v>0</v>
      </c>
      <c r="AU428" s="775">
        <f t="shared" si="311"/>
        <v>0</v>
      </c>
      <c r="AV428" s="775">
        <f t="shared" si="340"/>
        <v>0</v>
      </c>
      <c r="AW428" s="775">
        <f t="shared" si="341"/>
        <v>0</v>
      </c>
      <c r="AY428" s="773">
        <v>416</v>
      </c>
      <c r="AZ428" s="774">
        <f t="shared" si="342"/>
        <v>12632</v>
      </c>
      <c r="BA428" s="775">
        <f t="shared" si="343"/>
        <v>0</v>
      </c>
      <c r="BB428" s="775">
        <f t="shared" si="319"/>
        <v>0</v>
      </c>
      <c r="BC428" s="775">
        <f t="shared" si="312"/>
        <v>0</v>
      </c>
      <c r="BD428" s="775">
        <f t="shared" si="344"/>
        <v>0</v>
      </c>
      <c r="BE428" s="775">
        <f t="shared" si="345"/>
        <v>0</v>
      </c>
      <c r="BG428" s="773">
        <v>416</v>
      </c>
      <c r="BH428" s="774">
        <f t="shared" si="346"/>
        <v>12632</v>
      </c>
      <c r="BI428" s="775">
        <f t="shared" si="347"/>
        <v>0</v>
      </c>
      <c r="BJ428" s="775">
        <f t="shared" si="320"/>
        <v>0</v>
      </c>
      <c r="BK428" s="775">
        <f t="shared" si="313"/>
        <v>0</v>
      </c>
      <c r="BL428" s="775">
        <f t="shared" si="348"/>
        <v>0</v>
      </c>
      <c r="BM428" s="775">
        <f t="shared" si="349"/>
        <v>0</v>
      </c>
    </row>
    <row r="429" spans="1:65">
      <c r="A429" s="11">
        <f t="shared" si="306"/>
        <v>1934</v>
      </c>
      <c r="B429" s="773">
        <v>417</v>
      </c>
      <c r="C429" s="774">
        <f t="shared" si="321"/>
        <v>12663</v>
      </c>
      <c r="D429" s="775">
        <f t="shared" si="300"/>
        <v>0</v>
      </c>
      <c r="E429" s="775">
        <f t="shared" si="301"/>
        <v>0</v>
      </c>
      <c r="F429" s="775">
        <f t="shared" si="302"/>
        <v>0</v>
      </c>
      <c r="G429" s="775">
        <f t="shared" si="303"/>
        <v>0</v>
      </c>
      <c r="H429" s="775">
        <f t="shared" si="304"/>
        <v>0</v>
      </c>
      <c r="I429" s="775">
        <f t="shared" si="305"/>
        <v>0</v>
      </c>
      <c r="K429" s="773">
        <v>417</v>
      </c>
      <c r="L429" s="774">
        <f t="shared" si="322"/>
        <v>12663</v>
      </c>
      <c r="M429" s="775">
        <f t="shared" si="323"/>
        <v>0</v>
      </c>
      <c r="N429" s="775">
        <f t="shared" si="314"/>
        <v>0</v>
      </c>
      <c r="O429" s="775">
        <f t="shared" si="307"/>
        <v>0</v>
      </c>
      <c r="P429" s="775">
        <f t="shared" si="324"/>
        <v>0</v>
      </c>
      <c r="Q429" s="775">
        <f t="shared" si="325"/>
        <v>0</v>
      </c>
      <c r="S429" s="773">
        <v>417</v>
      </c>
      <c r="T429" s="774">
        <f t="shared" si="326"/>
        <v>12663</v>
      </c>
      <c r="U429" s="775">
        <f t="shared" si="327"/>
        <v>0</v>
      </c>
      <c r="V429" s="775">
        <f t="shared" si="315"/>
        <v>0</v>
      </c>
      <c r="W429" s="775">
        <f t="shared" si="308"/>
        <v>0</v>
      </c>
      <c r="X429" s="775">
        <f t="shared" si="328"/>
        <v>0</v>
      </c>
      <c r="Y429" s="775">
        <f t="shared" si="329"/>
        <v>0</v>
      </c>
      <c r="AA429" s="773">
        <v>417</v>
      </c>
      <c r="AB429" s="774">
        <f t="shared" si="330"/>
        <v>12663</v>
      </c>
      <c r="AC429" s="775">
        <f t="shared" si="331"/>
        <v>0</v>
      </c>
      <c r="AD429" s="775">
        <f t="shared" si="316"/>
        <v>0</v>
      </c>
      <c r="AE429" s="775">
        <f t="shared" si="309"/>
        <v>0</v>
      </c>
      <c r="AF429" s="775">
        <f t="shared" si="332"/>
        <v>0</v>
      </c>
      <c r="AG429" s="775">
        <f t="shared" si="333"/>
        <v>0</v>
      </c>
      <c r="AI429" s="773">
        <v>417</v>
      </c>
      <c r="AJ429" s="774">
        <f t="shared" si="334"/>
        <v>12663</v>
      </c>
      <c r="AK429" s="775">
        <f t="shared" si="335"/>
        <v>0</v>
      </c>
      <c r="AL429" s="775">
        <f t="shared" si="317"/>
        <v>0</v>
      </c>
      <c r="AM429" s="775">
        <f t="shared" si="310"/>
        <v>0</v>
      </c>
      <c r="AN429" s="775">
        <f t="shared" si="336"/>
        <v>0</v>
      </c>
      <c r="AO429" s="775">
        <f t="shared" si="337"/>
        <v>0</v>
      </c>
      <c r="AQ429" s="773">
        <v>417</v>
      </c>
      <c r="AR429" s="774">
        <f t="shared" si="338"/>
        <v>12663</v>
      </c>
      <c r="AS429" s="775">
        <f t="shared" si="339"/>
        <v>0</v>
      </c>
      <c r="AT429" s="775">
        <f t="shared" si="318"/>
        <v>0</v>
      </c>
      <c r="AU429" s="775">
        <f t="shared" si="311"/>
        <v>0</v>
      </c>
      <c r="AV429" s="775">
        <f t="shared" si="340"/>
        <v>0</v>
      </c>
      <c r="AW429" s="775">
        <f t="shared" si="341"/>
        <v>0</v>
      </c>
      <c r="AY429" s="773">
        <v>417</v>
      </c>
      <c r="AZ429" s="774">
        <f t="shared" si="342"/>
        <v>12663</v>
      </c>
      <c r="BA429" s="775">
        <f t="shared" si="343"/>
        <v>0</v>
      </c>
      <c r="BB429" s="775">
        <f t="shared" si="319"/>
        <v>0</v>
      </c>
      <c r="BC429" s="775">
        <f t="shared" si="312"/>
        <v>0</v>
      </c>
      <c r="BD429" s="775">
        <f t="shared" si="344"/>
        <v>0</v>
      </c>
      <c r="BE429" s="775">
        <f t="shared" si="345"/>
        <v>0</v>
      </c>
      <c r="BG429" s="773">
        <v>417</v>
      </c>
      <c r="BH429" s="774">
        <f t="shared" si="346"/>
        <v>12663</v>
      </c>
      <c r="BI429" s="775">
        <f t="shared" si="347"/>
        <v>0</v>
      </c>
      <c r="BJ429" s="775">
        <f t="shared" si="320"/>
        <v>0</v>
      </c>
      <c r="BK429" s="775">
        <f t="shared" si="313"/>
        <v>0</v>
      </c>
      <c r="BL429" s="775">
        <f t="shared" si="348"/>
        <v>0</v>
      </c>
      <c r="BM429" s="775">
        <f t="shared" si="349"/>
        <v>0</v>
      </c>
    </row>
    <row r="430" spans="1:65">
      <c r="A430" s="11">
        <f t="shared" si="306"/>
        <v>1934</v>
      </c>
      <c r="B430" s="773">
        <v>418</v>
      </c>
      <c r="C430" s="774">
        <f t="shared" si="321"/>
        <v>12693</v>
      </c>
      <c r="D430" s="775">
        <f t="shared" si="300"/>
        <v>0</v>
      </c>
      <c r="E430" s="775">
        <f t="shared" si="301"/>
        <v>0</v>
      </c>
      <c r="F430" s="775">
        <f t="shared" si="302"/>
        <v>0</v>
      </c>
      <c r="G430" s="775">
        <f t="shared" si="303"/>
        <v>0</v>
      </c>
      <c r="H430" s="775">
        <f t="shared" si="304"/>
        <v>0</v>
      </c>
      <c r="I430" s="775">
        <f t="shared" si="305"/>
        <v>0</v>
      </c>
      <c r="K430" s="773">
        <v>418</v>
      </c>
      <c r="L430" s="774">
        <f t="shared" si="322"/>
        <v>12693</v>
      </c>
      <c r="M430" s="775">
        <f t="shared" si="323"/>
        <v>0</v>
      </c>
      <c r="N430" s="775">
        <f t="shared" si="314"/>
        <v>0</v>
      </c>
      <c r="O430" s="775">
        <f t="shared" si="307"/>
        <v>0</v>
      </c>
      <c r="P430" s="775">
        <f t="shared" si="324"/>
        <v>0</v>
      </c>
      <c r="Q430" s="775">
        <f t="shared" si="325"/>
        <v>0</v>
      </c>
      <c r="S430" s="773">
        <v>418</v>
      </c>
      <c r="T430" s="774">
        <f t="shared" si="326"/>
        <v>12693</v>
      </c>
      <c r="U430" s="775">
        <f t="shared" si="327"/>
        <v>0</v>
      </c>
      <c r="V430" s="775">
        <f t="shared" si="315"/>
        <v>0</v>
      </c>
      <c r="W430" s="775">
        <f t="shared" si="308"/>
        <v>0</v>
      </c>
      <c r="X430" s="775">
        <f t="shared" si="328"/>
        <v>0</v>
      </c>
      <c r="Y430" s="775">
        <f t="shared" si="329"/>
        <v>0</v>
      </c>
      <c r="AA430" s="773">
        <v>418</v>
      </c>
      <c r="AB430" s="774">
        <f t="shared" si="330"/>
        <v>12693</v>
      </c>
      <c r="AC430" s="775">
        <f t="shared" si="331"/>
        <v>0</v>
      </c>
      <c r="AD430" s="775">
        <f t="shared" si="316"/>
        <v>0</v>
      </c>
      <c r="AE430" s="775">
        <f t="shared" si="309"/>
        <v>0</v>
      </c>
      <c r="AF430" s="775">
        <f t="shared" si="332"/>
        <v>0</v>
      </c>
      <c r="AG430" s="775">
        <f t="shared" si="333"/>
        <v>0</v>
      </c>
      <c r="AI430" s="773">
        <v>418</v>
      </c>
      <c r="AJ430" s="774">
        <f t="shared" si="334"/>
        <v>12693</v>
      </c>
      <c r="AK430" s="775">
        <f t="shared" si="335"/>
        <v>0</v>
      </c>
      <c r="AL430" s="775">
        <f t="shared" si="317"/>
        <v>0</v>
      </c>
      <c r="AM430" s="775">
        <f t="shared" si="310"/>
        <v>0</v>
      </c>
      <c r="AN430" s="775">
        <f t="shared" si="336"/>
        <v>0</v>
      </c>
      <c r="AO430" s="775">
        <f t="shared" si="337"/>
        <v>0</v>
      </c>
      <c r="AQ430" s="773">
        <v>418</v>
      </c>
      <c r="AR430" s="774">
        <f t="shared" si="338"/>
        <v>12693</v>
      </c>
      <c r="AS430" s="775">
        <f t="shared" si="339"/>
        <v>0</v>
      </c>
      <c r="AT430" s="775">
        <f t="shared" si="318"/>
        <v>0</v>
      </c>
      <c r="AU430" s="775">
        <f t="shared" si="311"/>
        <v>0</v>
      </c>
      <c r="AV430" s="775">
        <f t="shared" si="340"/>
        <v>0</v>
      </c>
      <c r="AW430" s="775">
        <f t="shared" si="341"/>
        <v>0</v>
      </c>
      <c r="AY430" s="773">
        <v>418</v>
      </c>
      <c r="AZ430" s="774">
        <f t="shared" si="342"/>
        <v>12693</v>
      </c>
      <c r="BA430" s="775">
        <f t="shared" si="343"/>
        <v>0</v>
      </c>
      <c r="BB430" s="775">
        <f t="shared" si="319"/>
        <v>0</v>
      </c>
      <c r="BC430" s="775">
        <f t="shared" si="312"/>
        <v>0</v>
      </c>
      <c r="BD430" s="775">
        <f t="shared" si="344"/>
        <v>0</v>
      </c>
      <c r="BE430" s="775">
        <f t="shared" si="345"/>
        <v>0</v>
      </c>
      <c r="BG430" s="773">
        <v>418</v>
      </c>
      <c r="BH430" s="774">
        <f t="shared" si="346"/>
        <v>12693</v>
      </c>
      <c r="BI430" s="775">
        <f t="shared" si="347"/>
        <v>0</v>
      </c>
      <c r="BJ430" s="775">
        <f t="shared" si="320"/>
        <v>0</v>
      </c>
      <c r="BK430" s="775">
        <f t="shared" si="313"/>
        <v>0</v>
      </c>
      <c r="BL430" s="775">
        <f t="shared" si="348"/>
        <v>0</v>
      </c>
      <c r="BM430" s="775">
        <f t="shared" si="349"/>
        <v>0</v>
      </c>
    </row>
    <row r="431" spans="1:65">
      <c r="A431" s="11">
        <f t="shared" si="306"/>
        <v>1934</v>
      </c>
      <c r="B431" s="773">
        <v>419</v>
      </c>
      <c r="C431" s="774">
        <f t="shared" si="321"/>
        <v>12724</v>
      </c>
      <c r="D431" s="775">
        <f t="shared" si="300"/>
        <v>0</v>
      </c>
      <c r="E431" s="775">
        <f t="shared" si="301"/>
        <v>0</v>
      </c>
      <c r="F431" s="775">
        <f t="shared" si="302"/>
        <v>0</v>
      </c>
      <c r="G431" s="775">
        <f t="shared" si="303"/>
        <v>0</v>
      </c>
      <c r="H431" s="775">
        <f t="shared" si="304"/>
        <v>0</v>
      </c>
      <c r="I431" s="775">
        <f t="shared" si="305"/>
        <v>0</v>
      </c>
      <c r="K431" s="773">
        <v>419</v>
      </c>
      <c r="L431" s="774">
        <f t="shared" si="322"/>
        <v>12724</v>
      </c>
      <c r="M431" s="775">
        <f t="shared" si="323"/>
        <v>0</v>
      </c>
      <c r="N431" s="775">
        <f t="shared" si="314"/>
        <v>0</v>
      </c>
      <c r="O431" s="775">
        <f t="shared" si="307"/>
        <v>0</v>
      </c>
      <c r="P431" s="775">
        <f t="shared" si="324"/>
        <v>0</v>
      </c>
      <c r="Q431" s="775">
        <f t="shared" si="325"/>
        <v>0</v>
      </c>
      <c r="S431" s="773">
        <v>419</v>
      </c>
      <c r="T431" s="774">
        <f t="shared" si="326"/>
        <v>12724</v>
      </c>
      <c r="U431" s="775">
        <f t="shared" si="327"/>
        <v>0</v>
      </c>
      <c r="V431" s="775">
        <f t="shared" si="315"/>
        <v>0</v>
      </c>
      <c r="W431" s="775">
        <f t="shared" si="308"/>
        <v>0</v>
      </c>
      <c r="X431" s="775">
        <f t="shared" si="328"/>
        <v>0</v>
      </c>
      <c r="Y431" s="775">
        <f t="shared" si="329"/>
        <v>0</v>
      </c>
      <c r="AA431" s="773">
        <v>419</v>
      </c>
      <c r="AB431" s="774">
        <f t="shared" si="330"/>
        <v>12724</v>
      </c>
      <c r="AC431" s="775">
        <f t="shared" si="331"/>
        <v>0</v>
      </c>
      <c r="AD431" s="775">
        <f t="shared" si="316"/>
        <v>0</v>
      </c>
      <c r="AE431" s="775">
        <f t="shared" si="309"/>
        <v>0</v>
      </c>
      <c r="AF431" s="775">
        <f t="shared" si="332"/>
        <v>0</v>
      </c>
      <c r="AG431" s="775">
        <f t="shared" si="333"/>
        <v>0</v>
      </c>
      <c r="AI431" s="773">
        <v>419</v>
      </c>
      <c r="AJ431" s="774">
        <f t="shared" si="334"/>
        <v>12724</v>
      </c>
      <c r="AK431" s="775">
        <f t="shared" si="335"/>
        <v>0</v>
      </c>
      <c r="AL431" s="775">
        <f t="shared" si="317"/>
        <v>0</v>
      </c>
      <c r="AM431" s="775">
        <f t="shared" si="310"/>
        <v>0</v>
      </c>
      <c r="AN431" s="775">
        <f t="shared" si="336"/>
        <v>0</v>
      </c>
      <c r="AO431" s="775">
        <f t="shared" si="337"/>
        <v>0</v>
      </c>
      <c r="AQ431" s="773">
        <v>419</v>
      </c>
      <c r="AR431" s="774">
        <f t="shared" si="338"/>
        <v>12724</v>
      </c>
      <c r="AS431" s="775">
        <f t="shared" si="339"/>
        <v>0</v>
      </c>
      <c r="AT431" s="775">
        <f t="shared" si="318"/>
        <v>0</v>
      </c>
      <c r="AU431" s="775">
        <f t="shared" si="311"/>
        <v>0</v>
      </c>
      <c r="AV431" s="775">
        <f t="shared" si="340"/>
        <v>0</v>
      </c>
      <c r="AW431" s="775">
        <f t="shared" si="341"/>
        <v>0</v>
      </c>
      <c r="AY431" s="773">
        <v>419</v>
      </c>
      <c r="AZ431" s="774">
        <f t="shared" si="342"/>
        <v>12724</v>
      </c>
      <c r="BA431" s="775">
        <f t="shared" si="343"/>
        <v>0</v>
      </c>
      <c r="BB431" s="775">
        <f t="shared" si="319"/>
        <v>0</v>
      </c>
      <c r="BC431" s="775">
        <f t="shared" si="312"/>
        <v>0</v>
      </c>
      <c r="BD431" s="775">
        <f t="shared" si="344"/>
        <v>0</v>
      </c>
      <c r="BE431" s="775">
        <f t="shared" si="345"/>
        <v>0</v>
      </c>
      <c r="BG431" s="773">
        <v>419</v>
      </c>
      <c r="BH431" s="774">
        <f t="shared" si="346"/>
        <v>12724</v>
      </c>
      <c r="BI431" s="775">
        <f t="shared" si="347"/>
        <v>0</v>
      </c>
      <c r="BJ431" s="775">
        <f t="shared" si="320"/>
        <v>0</v>
      </c>
      <c r="BK431" s="775">
        <f t="shared" si="313"/>
        <v>0</v>
      </c>
      <c r="BL431" s="775">
        <f t="shared" si="348"/>
        <v>0</v>
      </c>
      <c r="BM431" s="775">
        <f t="shared" si="349"/>
        <v>0</v>
      </c>
    </row>
    <row r="432" spans="1:65">
      <c r="A432" s="11">
        <f t="shared" si="306"/>
        <v>1934</v>
      </c>
      <c r="B432" s="773">
        <v>420</v>
      </c>
      <c r="C432" s="774">
        <f t="shared" si="321"/>
        <v>12754</v>
      </c>
      <c r="D432" s="775">
        <f t="shared" si="300"/>
        <v>0</v>
      </c>
      <c r="E432" s="775">
        <f t="shared" si="301"/>
        <v>0</v>
      </c>
      <c r="F432" s="775">
        <f t="shared" si="302"/>
        <v>0</v>
      </c>
      <c r="G432" s="775">
        <f t="shared" si="303"/>
        <v>0</v>
      </c>
      <c r="H432" s="775">
        <f t="shared" si="304"/>
        <v>0</v>
      </c>
      <c r="I432" s="775">
        <f t="shared" si="305"/>
        <v>0</v>
      </c>
      <c r="K432" s="773">
        <v>420</v>
      </c>
      <c r="L432" s="774">
        <f t="shared" si="322"/>
        <v>12754</v>
      </c>
      <c r="M432" s="775">
        <f t="shared" si="323"/>
        <v>0</v>
      </c>
      <c r="N432" s="775">
        <f t="shared" si="314"/>
        <v>0</v>
      </c>
      <c r="O432" s="775">
        <f t="shared" si="307"/>
        <v>0</v>
      </c>
      <c r="P432" s="775">
        <f t="shared" si="324"/>
        <v>0</v>
      </c>
      <c r="Q432" s="775">
        <f t="shared" si="325"/>
        <v>0</v>
      </c>
      <c r="S432" s="773">
        <v>420</v>
      </c>
      <c r="T432" s="774">
        <f t="shared" si="326"/>
        <v>12754</v>
      </c>
      <c r="U432" s="775">
        <f t="shared" si="327"/>
        <v>0</v>
      </c>
      <c r="V432" s="775">
        <f t="shared" si="315"/>
        <v>0</v>
      </c>
      <c r="W432" s="775">
        <f t="shared" si="308"/>
        <v>0</v>
      </c>
      <c r="X432" s="775">
        <f t="shared" si="328"/>
        <v>0</v>
      </c>
      <c r="Y432" s="775">
        <f t="shared" si="329"/>
        <v>0</v>
      </c>
      <c r="AA432" s="773">
        <v>420</v>
      </c>
      <c r="AB432" s="774">
        <f t="shared" si="330"/>
        <v>12754</v>
      </c>
      <c r="AC432" s="775">
        <f t="shared" si="331"/>
        <v>0</v>
      </c>
      <c r="AD432" s="775">
        <f t="shared" si="316"/>
        <v>0</v>
      </c>
      <c r="AE432" s="775">
        <f t="shared" si="309"/>
        <v>0</v>
      </c>
      <c r="AF432" s="775">
        <f t="shared" si="332"/>
        <v>0</v>
      </c>
      <c r="AG432" s="775">
        <f t="shared" si="333"/>
        <v>0</v>
      </c>
      <c r="AI432" s="773">
        <v>420</v>
      </c>
      <c r="AJ432" s="774">
        <f t="shared" si="334"/>
        <v>12754</v>
      </c>
      <c r="AK432" s="775">
        <f t="shared" si="335"/>
        <v>0</v>
      </c>
      <c r="AL432" s="775">
        <f t="shared" si="317"/>
        <v>0</v>
      </c>
      <c r="AM432" s="775">
        <f t="shared" si="310"/>
        <v>0</v>
      </c>
      <c r="AN432" s="775">
        <f t="shared" si="336"/>
        <v>0</v>
      </c>
      <c r="AO432" s="775">
        <f t="shared" si="337"/>
        <v>0</v>
      </c>
      <c r="AQ432" s="773">
        <v>420</v>
      </c>
      <c r="AR432" s="774">
        <f t="shared" si="338"/>
        <v>12754</v>
      </c>
      <c r="AS432" s="775">
        <f t="shared" si="339"/>
        <v>0</v>
      </c>
      <c r="AT432" s="775">
        <f t="shared" si="318"/>
        <v>0</v>
      </c>
      <c r="AU432" s="775">
        <f t="shared" si="311"/>
        <v>0</v>
      </c>
      <c r="AV432" s="775">
        <f t="shared" si="340"/>
        <v>0</v>
      </c>
      <c r="AW432" s="775">
        <f t="shared" si="341"/>
        <v>0</v>
      </c>
      <c r="AY432" s="773">
        <v>420</v>
      </c>
      <c r="AZ432" s="774">
        <f t="shared" si="342"/>
        <v>12754</v>
      </c>
      <c r="BA432" s="775">
        <f t="shared" si="343"/>
        <v>0</v>
      </c>
      <c r="BB432" s="775">
        <f t="shared" si="319"/>
        <v>0</v>
      </c>
      <c r="BC432" s="775">
        <f t="shared" si="312"/>
        <v>0</v>
      </c>
      <c r="BD432" s="775">
        <f t="shared" si="344"/>
        <v>0</v>
      </c>
      <c r="BE432" s="775">
        <f t="shared" si="345"/>
        <v>0</v>
      </c>
      <c r="BG432" s="773">
        <v>420</v>
      </c>
      <c r="BH432" s="774">
        <f t="shared" si="346"/>
        <v>12754</v>
      </c>
      <c r="BI432" s="775">
        <f t="shared" si="347"/>
        <v>0</v>
      </c>
      <c r="BJ432" s="775">
        <f t="shared" si="320"/>
        <v>0</v>
      </c>
      <c r="BK432" s="775">
        <f t="shared" si="313"/>
        <v>0</v>
      </c>
      <c r="BL432" s="775">
        <f t="shared" si="348"/>
        <v>0</v>
      </c>
      <c r="BM432" s="775">
        <f t="shared" si="349"/>
        <v>0</v>
      </c>
    </row>
    <row r="433" spans="1:65">
      <c r="A433" s="11">
        <f t="shared" si="306"/>
        <v>1935</v>
      </c>
      <c r="B433" s="773">
        <v>421</v>
      </c>
      <c r="C433" s="774">
        <f t="shared" si="321"/>
        <v>12785</v>
      </c>
      <c r="D433" s="775">
        <f t="shared" si="300"/>
        <v>0</v>
      </c>
      <c r="E433" s="775">
        <f t="shared" si="301"/>
        <v>0</v>
      </c>
      <c r="F433" s="775">
        <f t="shared" si="302"/>
        <v>0</v>
      </c>
      <c r="G433" s="775">
        <f t="shared" si="303"/>
        <v>0</v>
      </c>
      <c r="H433" s="775">
        <f t="shared" si="304"/>
        <v>0</v>
      </c>
      <c r="I433" s="775">
        <f t="shared" si="305"/>
        <v>0</v>
      </c>
      <c r="K433" s="773">
        <v>421</v>
      </c>
      <c r="L433" s="774">
        <f t="shared" si="322"/>
        <v>12785</v>
      </c>
      <c r="M433" s="775">
        <f t="shared" si="323"/>
        <v>0</v>
      </c>
      <c r="N433" s="775">
        <f t="shared" si="314"/>
        <v>0</v>
      </c>
      <c r="O433" s="775">
        <f t="shared" si="307"/>
        <v>0</v>
      </c>
      <c r="P433" s="775">
        <f t="shared" si="324"/>
        <v>0</v>
      </c>
      <c r="Q433" s="775">
        <f t="shared" si="325"/>
        <v>0</v>
      </c>
      <c r="S433" s="773">
        <v>421</v>
      </c>
      <c r="T433" s="774">
        <f t="shared" si="326"/>
        <v>12785</v>
      </c>
      <c r="U433" s="775">
        <f t="shared" si="327"/>
        <v>0</v>
      </c>
      <c r="V433" s="775">
        <f t="shared" si="315"/>
        <v>0</v>
      </c>
      <c r="W433" s="775">
        <f t="shared" si="308"/>
        <v>0</v>
      </c>
      <c r="X433" s="775">
        <f t="shared" si="328"/>
        <v>0</v>
      </c>
      <c r="Y433" s="775">
        <f t="shared" si="329"/>
        <v>0</v>
      </c>
      <c r="AA433" s="773">
        <v>421</v>
      </c>
      <c r="AB433" s="774">
        <f t="shared" si="330"/>
        <v>12785</v>
      </c>
      <c r="AC433" s="775">
        <f t="shared" si="331"/>
        <v>0</v>
      </c>
      <c r="AD433" s="775">
        <f t="shared" si="316"/>
        <v>0</v>
      </c>
      <c r="AE433" s="775">
        <f t="shared" si="309"/>
        <v>0</v>
      </c>
      <c r="AF433" s="775">
        <f t="shared" si="332"/>
        <v>0</v>
      </c>
      <c r="AG433" s="775">
        <f t="shared" si="333"/>
        <v>0</v>
      </c>
      <c r="AI433" s="773">
        <v>421</v>
      </c>
      <c r="AJ433" s="774">
        <f t="shared" si="334"/>
        <v>12785</v>
      </c>
      <c r="AK433" s="775">
        <f t="shared" si="335"/>
        <v>0</v>
      </c>
      <c r="AL433" s="775">
        <f t="shared" si="317"/>
        <v>0</v>
      </c>
      <c r="AM433" s="775">
        <f t="shared" si="310"/>
        <v>0</v>
      </c>
      <c r="AN433" s="775">
        <f t="shared" si="336"/>
        <v>0</v>
      </c>
      <c r="AO433" s="775">
        <f t="shared" si="337"/>
        <v>0</v>
      </c>
      <c r="AQ433" s="773">
        <v>421</v>
      </c>
      <c r="AR433" s="774">
        <f t="shared" si="338"/>
        <v>12785</v>
      </c>
      <c r="AS433" s="775">
        <f t="shared" si="339"/>
        <v>0</v>
      </c>
      <c r="AT433" s="775">
        <f t="shared" si="318"/>
        <v>0</v>
      </c>
      <c r="AU433" s="775">
        <f t="shared" si="311"/>
        <v>0</v>
      </c>
      <c r="AV433" s="775">
        <f t="shared" si="340"/>
        <v>0</v>
      </c>
      <c r="AW433" s="775">
        <f t="shared" si="341"/>
        <v>0</v>
      </c>
      <c r="AY433" s="773">
        <v>421</v>
      </c>
      <c r="AZ433" s="774">
        <f t="shared" si="342"/>
        <v>12785</v>
      </c>
      <c r="BA433" s="775">
        <f t="shared" si="343"/>
        <v>0</v>
      </c>
      <c r="BB433" s="775">
        <f t="shared" si="319"/>
        <v>0</v>
      </c>
      <c r="BC433" s="775">
        <f t="shared" si="312"/>
        <v>0</v>
      </c>
      <c r="BD433" s="775">
        <f t="shared" si="344"/>
        <v>0</v>
      </c>
      <c r="BE433" s="775">
        <f t="shared" si="345"/>
        <v>0</v>
      </c>
      <c r="BG433" s="773">
        <v>421</v>
      </c>
      <c r="BH433" s="774">
        <f t="shared" si="346"/>
        <v>12785</v>
      </c>
      <c r="BI433" s="775">
        <f t="shared" si="347"/>
        <v>0</v>
      </c>
      <c r="BJ433" s="775">
        <f t="shared" si="320"/>
        <v>0</v>
      </c>
      <c r="BK433" s="775">
        <f t="shared" si="313"/>
        <v>0</v>
      </c>
      <c r="BL433" s="775">
        <f t="shared" si="348"/>
        <v>0</v>
      </c>
      <c r="BM433" s="775">
        <f t="shared" si="349"/>
        <v>0</v>
      </c>
    </row>
    <row r="434" spans="1:65">
      <c r="A434" s="11">
        <f t="shared" si="306"/>
        <v>1935</v>
      </c>
      <c r="B434" s="773">
        <v>422</v>
      </c>
      <c r="C434" s="774">
        <f t="shared" si="321"/>
        <v>12816</v>
      </c>
      <c r="D434" s="775">
        <f t="shared" si="300"/>
        <v>0</v>
      </c>
      <c r="E434" s="775">
        <f t="shared" si="301"/>
        <v>0</v>
      </c>
      <c r="F434" s="775">
        <f t="shared" si="302"/>
        <v>0</v>
      </c>
      <c r="G434" s="775">
        <f t="shared" si="303"/>
        <v>0</v>
      </c>
      <c r="H434" s="775">
        <f t="shared" si="304"/>
        <v>0</v>
      </c>
      <c r="I434" s="775">
        <f t="shared" si="305"/>
        <v>0</v>
      </c>
      <c r="K434" s="773">
        <v>422</v>
      </c>
      <c r="L434" s="774">
        <f t="shared" si="322"/>
        <v>12816</v>
      </c>
      <c r="M434" s="775">
        <f t="shared" si="323"/>
        <v>0</v>
      </c>
      <c r="N434" s="775">
        <f t="shared" si="314"/>
        <v>0</v>
      </c>
      <c r="O434" s="775">
        <f t="shared" si="307"/>
        <v>0</v>
      </c>
      <c r="P434" s="775">
        <f t="shared" si="324"/>
        <v>0</v>
      </c>
      <c r="Q434" s="775">
        <f t="shared" si="325"/>
        <v>0</v>
      </c>
      <c r="S434" s="773">
        <v>422</v>
      </c>
      <c r="T434" s="774">
        <f t="shared" si="326"/>
        <v>12816</v>
      </c>
      <c r="U434" s="775">
        <f t="shared" si="327"/>
        <v>0</v>
      </c>
      <c r="V434" s="775">
        <f t="shared" si="315"/>
        <v>0</v>
      </c>
      <c r="W434" s="775">
        <f t="shared" si="308"/>
        <v>0</v>
      </c>
      <c r="X434" s="775">
        <f t="shared" si="328"/>
        <v>0</v>
      </c>
      <c r="Y434" s="775">
        <f t="shared" si="329"/>
        <v>0</v>
      </c>
      <c r="AA434" s="773">
        <v>422</v>
      </c>
      <c r="AB434" s="774">
        <f t="shared" si="330"/>
        <v>12816</v>
      </c>
      <c r="AC434" s="775">
        <f t="shared" si="331"/>
        <v>0</v>
      </c>
      <c r="AD434" s="775">
        <f t="shared" si="316"/>
        <v>0</v>
      </c>
      <c r="AE434" s="775">
        <f t="shared" si="309"/>
        <v>0</v>
      </c>
      <c r="AF434" s="775">
        <f t="shared" si="332"/>
        <v>0</v>
      </c>
      <c r="AG434" s="775">
        <f t="shared" si="333"/>
        <v>0</v>
      </c>
      <c r="AI434" s="773">
        <v>422</v>
      </c>
      <c r="AJ434" s="774">
        <f t="shared" si="334"/>
        <v>12816</v>
      </c>
      <c r="AK434" s="775">
        <f t="shared" si="335"/>
        <v>0</v>
      </c>
      <c r="AL434" s="775">
        <f t="shared" si="317"/>
        <v>0</v>
      </c>
      <c r="AM434" s="775">
        <f t="shared" si="310"/>
        <v>0</v>
      </c>
      <c r="AN434" s="775">
        <f t="shared" si="336"/>
        <v>0</v>
      </c>
      <c r="AO434" s="775">
        <f t="shared" si="337"/>
        <v>0</v>
      </c>
      <c r="AQ434" s="773">
        <v>422</v>
      </c>
      <c r="AR434" s="774">
        <f t="shared" si="338"/>
        <v>12816</v>
      </c>
      <c r="AS434" s="775">
        <f t="shared" si="339"/>
        <v>0</v>
      </c>
      <c r="AT434" s="775">
        <f t="shared" si="318"/>
        <v>0</v>
      </c>
      <c r="AU434" s="775">
        <f t="shared" si="311"/>
        <v>0</v>
      </c>
      <c r="AV434" s="775">
        <f t="shared" si="340"/>
        <v>0</v>
      </c>
      <c r="AW434" s="775">
        <f t="shared" si="341"/>
        <v>0</v>
      </c>
      <c r="AY434" s="773">
        <v>422</v>
      </c>
      <c r="AZ434" s="774">
        <f t="shared" si="342"/>
        <v>12816</v>
      </c>
      <c r="BA434" s="775">
        <f t="shared" si="343"/>
        <v>0</v>
      </c>
      <c r="BB434" s="775">
        <f t="shared" si="319"/>
        <v>0</v>
      </c>
      <c r="BC434" s="775">
        <f t="shared" si="312"/>
        <v>0</v>
      </c>
      <c r="BD434" s="775">
        <f t="shared" si="344"/>
        <v>0</v>
      </c>
      <c r="BE434" s="775">
        <f t="shared" si="345"/>
        <v>0</v>
      </c>
      <c r="BG434" s="773">
        <v>422</v>
      </c>
      <c r="BH434" s="774">
        <f t="shared" si="346"/>
        <v>12816</v>
      </c>
      <c r="BI434" s="775">
        <f t="shared" si="347"/>
        <v>0</v>
      </c>
      <c r="BJ434" s="775">
        <f t="shared" si="320"/>
        <v>0</v>
      </c>
      <c r="BK434" s="775">
        <f t="shared" si="313"/>
        <v>0</v>
      </c>
      <c r="BL434" s="775">
        <f t="shared" si="348"/>
        <v>0</v>
      </c>
      <c r="BM434" s="775">
        <f t="shared" si="349"/>
        <v>0</v>
      </c>
    </row>
    <row r="435" spans="1:65">
      <c r="A435" s="11">
        <f t="shared" si="306"/>
        <v>1935</v>
      </c>
      <c r="B435" s="773">
        <v>423</v>
      </c>
      <c r="C435" s="774">
        <f t="shared" si="321"/>
        <v>12844</v>
      </c>
      <c r="D435" s="775">
        <f t="shared" si="300"/>
        <v>0</v>
      </c>
      <c r="E435" s="775">
        <f t="shared" si="301"/>
        <v>0</v>
      </c>
      <c r="F435" s="775">
        <f t="shared" si="302"/>
        <v>0</v>
      </c>
      <c r="G435" s="775">
        <f t="shared" si="303"/>
        <v>0</v>
      </c>
      <c r="H435" s="775">
        <f t="shared" si="304"/>
        <v>0</v>
      </c>
      <c r="I435" s="775">
        <f t="shared" si="305"/>
        <v>0</v>
      </c>
      <c r="K435" s="773">
        <v>423</v>
      </c>
      <c r="L435" s="774">
        <f t="shared" si="322"/>
        <v>12844</v>
      </c>
      <c r="M435" s="775">
        <f t="shared" si="323"/>
        <v>0</v>
      </c>
      <c r="N435" s="775">
        <f t="shared" si="314"/>
        <v>0</v>
      </c>
      <c r="O435" s="775">
        <f t="shared" si="307"/>
        <v>0</v>
      </c>
      <c r="P435" s="775">
        <f t="shared" si="324"/>
        <v>0</v>
      </c>
      <c r="Q435" s="775">
        <f t="shared" si="325"/>
        <v>0</v>
      </c>
      <c r="S435" s="773">
        <v>423</v>
      </c>
      <c r="T435" s="774">
        <f t="shared" si="326"/>
        <v>12844</v>
      </c>
      <c r="U435" s="775">
        <f t="shared" si="327"/>
        <v>0</v>
      </c>
      <c r="V435" s="775">
        <f t="shared" si="315"/>
        <v>0</v>
      </c>
      <c r="W435" s="775">
        <f t="shared" si="308"/>
        <v>0</v>
      </c>
      <c r="X435" s="775">
        <f t="shared" si="328"/>
        <v>0</v>
      </c>
      <c r="Y435" s="775">
        <f t="shared" si="329"/>
        <v>0</v>
      </c>
      <c r="AA435" s="773">
        <v>423</v>
      </c>
      <c r="AB435" s="774">
        <f t="shared" si="330"/>
        <v>12844</v>
      </c>
      <c r="AC435" s="775">
        <f t="shared" si="331"/>
        <v>0</v>
      </c>
      <c r="AD435" s="775">
        <f t="shared" si="316"/>
        <v>0</v>
      </c>
      <c r="AE435" s="775">
        <f t="shared" si="309"/>
        <v>0</v>
      </c>
      <c r="AF435" s="775">
        <f t="shared" si="332"/>
        <v>0</v>
      </c>
      <c r="AG435" s="775">
        <f t="shared" si="333"/>
        <v>0</v>
      </c>
      <c r="AI435" s="773">
        <v>423</v>
      </c>
      <c r="AJ435" s="774">
        <f t="shared" si="334"/>
        <v>12844</v>
      </c>
      <c r="AK435" s="775">
        <f t="shared" si="335"/>
        <v>0</v>
      </c>
      <c r="AL435" s="775">
        <f t="shared" si="317"/>
        <v>0</v>
      </c>
      <c r="AM435" s="775">
        <f t="shared" si="310"/>
        <v>0</v>
      </c>
      <c r="AN435" s="775">
        <f t="shared" si="336"/>
        <v>0</v>
      </c>
      <c r="AO435" s="775">
        <f t="shared" si="337"/>
        <v>0</v>
      </c>
      <c r="AQ435" s="773">
        <v>423</v>
      </c>
      <c r="AR435" s="774">
        <f t="shared" si="338"/>
        <v>12844</v>
      </c>
      <c r="AS435" s="775">
        <f t="shared" si="339"/>
        <v>0</v>
      </c>
      <c r="AT435" s="775">
        <f t="shared" si="318"/>
        <v>0</v>
      </c>
      <c r="AU435" s="775">
        <f t="shared" si="311"/>
        <v>0</v>
      </c>
      <c r="AV435" s="775">
        <f t="shared" si="340"/>
        <v>0</v>
      </c>
      <c r="AW435" s="775">
        <f t="shared" si="341"/>
        <v>0</v>
      </c>
      <c r="AY435" s="773">
        <v>423</v>
      </c>
      <c r="AZ435" s="774">
        <f t="shared" si="342"/>
        <v>12844</v>
      </c>
      <c r="BA435" s="775">
        <f t="shared" si="343"/>
        <v>0</v>
      </c>
      <c r="BB435" s="775">
        <f t="shared" si="319"/>
        <v>0</v>
      </c>
      <c r="BC435" s="775">
        <f t="shared" si="312"/>
        <v>0</v>
      </c>
      <c r="BD435" s="775">
        <f t="shared" si="344"/>
        <v>0</v>
      </c>
      <c r="BE435" s="775">
        <f t="shared" si="345"/>
        <v>0</v>
      </c>
      <c r="BG435" s="773">
        <v>423</v>
      </c>
      <c r="BH435" s="774">
        <f t="shared" si="346"/>
        <v>12844</v>
      </c>
      <c r="BI435" s="775">
        <f t="shared" si="347"/>
        <v>0</v>
      </c>
      <c r="BJ435" s="775">
        <f t="shared" si="320"/>
        <v>0</v>
      </c>
      <c r="BK435" s="775">
        <f t="shared" si="313"/>
        <v>0</v>
      </c>
      <c r="BL435" s="775">
        <f t="shared" si="348"/>
        <v>0</v>
      </c>
      <c r="BM435" s="775">
        <f t="shared" si="349"/>
        <v>0</v>
      </c>
    </row>
    <row r="436" spans="1:65">
      <c r="A436" s="11">
        <f t="shared" si="306"/>
        <v>1935</v>
      </c>
      <c r="B436" s="773">
        <v>424</v>
      </c>
      <c r="C436" s="774">
        <f t="shared" si="321"/>
        <v>12875</v>
      </c>
      <c r="D436" s="775">
        <f t="shared" si="300"/>
        <v>0</v>
      </c>
      <c r="E436" s="775">
        <f t="shared" si="301"/>
        <v>0</v>
      </c>
      <c r="F436" s="775">
        <f t="shared" si="302"/>
        <v>0</v>
      </c>
      <c r="G436" s="775">
        <f t="shared" si="303"/>
        <v>0</v>
      </c>
      <c r="H436" s="775">
        <f t="shared" si="304"/>
        <v>0</v>
      </c>
      <c r="I436" s="775">
        <f t="shared" si="305"/>
        <v>0</v>
      </c>
      <c r="K436" s="773">
        <v>424</v>
      </c>
      <c r="L436" s="774">
        <f t="shared" si="322"/>
        <v>12875</v>
      </c>
      <c r="M436" s="775">
        <f t="shared" si="323"/>
        <v>0</v>
      </c>
      <c r="N436" s="775">
        <f t="shared" si="314"/>
        <v>0</v>
      </c>
      <c r="O436" s="775">
        <f t="shared" si="307"/>
        <v>0</v>
      </c>
      <c r="P436" s="775">
        <f t="shared" si="324"/>
        <v>0</v>
      </c>
      <c r="Q436" s="775">
        <f t="shared" si="325"/>
        <v>0</v>
      </c>
      <c r="S436" s="773">
        <v>424</v>
      </c>
      <c r="T436" s="774">
        <f t="shared" si="326"/>
        <v>12875</v>
      </c>
      <c r="U436" s="775">
        <f t="shared" si="327"/>
        <v>0</v>
      </c>
      <c r="V436" s="775">
        <f t="shared" si="315"/>
        <v>0</v>
      </c>
      <c r="W436" s="775">
        <f t="shared" si="308"/>
        <v>0</v>
      </c>
      <c r="X436" s="775">
        <f t="shared" si="328"/>
        <v>0</v>
      </c>
      <c r="Y436" s="775">
        <f t="shared" si="329"/>
        <v>0</v>
      </c>
      <c r="AA436" s="773">
        <v>424</v>
      </c>
      <c r="AB436" s="774">
        <f t="shared" si="330"/>
        <v>12875</v>
      </c>
      <c r="AC436" s="775">
        <f t="shared" si="331"/>
        <v>0</v>
      </c>
      <c r="AD436" s="775">
        <f t="shared" si="316"/>
        <v>0</v>
      </c>
      <c r="AE436" s="775">
        <f t="shared" si="309"/>
        <v>0</v>
      </c>
      <c r="AF436" s="775">
        <f t="shared" si="332"/>
        <v>0</v>
      </c>
      <c r="AG436" s="775">
        <f t="shared" si="333"/>
        <v>0</v>
      </c>
      <c r="AI436" s="773">
        <v>424</v>
      </c>
      <c r="AJ436" s="774">
        <f t="shared" si="334"/>
        <v>12875</v>
      </c>
      <c r="AK436" s="775">
        <f t="shared" si="335"/>
        <v>0</v>
      </c>
      <c r="AL436" s="775">
        <f t="shared" si="317"/>
        <v>0</v>
      </c>
      <c r="AM436" s="775">
        <f t="shared" si="310"/>
        <v>0</v>
      </c>
      <c r="AN436" s="775">
        <f t="shared" si="336"/>
        <v>0</v>
      </c>
      <c r="AO436" s="775">
        <f t="shared" si="337"/>
        <v>0</v>
      </c>
      <c r="AQ436" s="773">
        <v>424</v>
      </c>
      <c r="AR436" s="774">
        <f t="shared" si="338"/>
        <v>12875</v>
      </c>
      <c r="AS436" s="775">
        <f t="shared" si="339"/>
        <v>0</v>
      </c>
      <c r="AT436" s="775">
        <f t="shared" si="318"/>
        <v>0</v>
      </c>
      <c r="AU436" s="775">
        <f t="shared" si="311"/>
        <v>0</v>
      </c>
      <c r="AV436" s="775">
        <f t="shared" si="340"/>
        <v>0</v>
      </c>
      <c r="AW436" s="775">
        <f t="shared" si="341"/>
        <v>0</v>
      </c>
      <c r="AY436" s="773">
        <v>424</v>
      </c>
      <c r="AZ436" s="774">
        <f t="shared" si="342"/>
        <v>12875</v>
      </c>
      <c r="BA436" s="775">
        <f t="shared" si="343"/>
        <v>0</v>
      </c>
      <c r="BB436" s="775">
        <f t="shared" si="319"/>
        <v>0</v>
      </c>
      <c r="BC436" s="775">
        <f t="shared" si="312"/>
        <v>0</v>
      </c>
      <c r="BD436" s="775">
        <f t="shared" si="344"/>
        <v>0</v>
      </c>
      <c r="BE436" s="775">
        <f t="shared" si="345"/>
        <v>0</v>
      </c>
      <c r="BG436" s="773">
        <v>424</v>
      </c>
      <c r="BH436" s="774">
        <f t="shared" si="346"/>
        <v>12875</v>
      </c>
      <c r="BI436" s="775">
        <f t="shared" si="347"/>
        <v>0</v>
      </c>
      <c r="BJ436" s="775">
        <f t="shared" si="320"/>
        <v>0</v>
      </c>
      <c r="BK436" s="775">
        <f t="shared" si="313"/>
        <v>0</v>
      </c>
      <c r="BL436" s="775">
        <f t="shared" si="348"/>
        <v>0</v>
      </c>
      <c r="BM436" s="775">
        <f t="shared" si="349"/>
        <v>0</v>
      </c>
    </row>
    <row r="437" spans="1:65">
      <c r="A437" s="11">
        <f t="shared" si="306"/>
        <v>1935</v>
      </c>
      <c r="B437" s="773">
        <v>425</v>
      </c>
      <c r="C437" s="774">
        <f t="shared" si="321"/>
        <v>12905</v>
      </c>
      <c r="D437" s="775">
        <f t="shared" ref="D437:D492" si="350">H436</f>
        <v>0</v>
      </c>
      <c r="E437" s="775">
        <f t="shared" ref="E437:E492" si="351">IF(ROUND(D437,0)&gt;0,E436,0)</f>
        <v>0</v>
      </c>
      <c r="F437" s="775">
        <f t="shared" ref="F437:F492" si="352">D437*$E$7/12</f>
        <v>0</v>
      </c>
      <c r="G437" s="775">
        <f t="shared" ref="G437:G492" si="353">E437-F437</f>
        <v>0</v>
      </c>
      <c r="H437" s="775">
        <f t="shared" ref="H437:H492" si="354">D437-G437</f>
        <v>0</v>
      </c>
      <c r="I437" s="775">
        <f t="shared" si="305"/>
        <v>0</v>
      </c>
      <c r="K437" s="773">
        <v>425</v>
      </c>
      <c r="L437" s="774">
        <f t="shared" si="322"/>
        <v>12905</v>
      </c>
      <c r="M437" s="775">
        <f t="shared" si="323"/>
        <v>0</v>
      </c>
      <c r="N437" s="775">
        <f t="shared" si="314"/>
        <v>0</v>
      </c>
      <c r="O437" s="775">
        <f t="shared" si="307"/>
        <v>0</v>
      </c>
      <c r="P437" s="775">
        <f t="shared" si="324"/>
        <v>0</v>
      </c>
      <c r="Q437" s="775">
        <f t="shared" si="325"/>
        <v>0</v>
      </c>
      <c r="S437" s="773">
        <v>425</v>
      </c>
      <c r="T437" s="774">
        <f t="shared" si="326"/>
        <v>12905</v>
      </c>
      <c r="U437" s="775">
        <f t="shared" si="327"/>
        <v>0</v>
      </c>
      <c r="V437" s="775">
        <f t="shared" si="315"/>
        <v>0</v>
      </c>
      <c r="W437" s="775">
        <f t="shared" si="308"/>
        <v>0</v>
      </c>
      <c r="X437" s="775">
        <f t="shared" si="328"/>
        <v>0</v>
      </c>
      <c r="Y437" s="775">
        <f t="shared" si="329"/>
        <v>0</v>
      </c>
      <c r="AA437" s="773">
        <v>425</v>
      </c>
      <c r="AB437" s="774">
        <f t="shared" si="330"/>
        <v>12905</v>
      </c>
      <c r="AC437" s="775">
        <f t="shared" si="331"/>
        <v>0</v>
      </c>
      <c r="AD437" s="775">
        <f t="shared" si="316"/>
        <v>0</v>
      </c>
      <c r="AE437" s="775">
        <f t="shared" si="309"/>
        <v>0</v>
      </c>
      <c r="AF437" s="775">
        <f t="shared" si="332"/>
        <v>0</v>
      </c>
      <c r="AG437" s="775">
        <f t="shared" si="333"/>
        <v>0</v>
      </c>
      <c r="AI437" s="773">
        <v>425</v>
      </c>
      <c r="AJ437" s="774">
        <f t="shared" si="334"/>
        <v>12905</v>
      </c>
      <c r="AK437" s="775">
        <f t="shared" si="335"/>
        <v>0</v>
      </c>
      <c r="AL437" s="775">
        <f t="shared" si="317"/>
        <v>0</v>
      </c>
      <c r="AM437" s="775">
        <f t="shared" si="310"/>
        <v>0</v>
      </c>
      <c r="AN437" s="775">
        <f t="shared" si="336"/>
        <v>0</v>
      </c>
      <c r="AO437" s="775">
        <f t="shared" si="337"/>
        <v>0</v>
      </c>
      <c r="AQ437" s="773">
        <v>425</v>
      </c>
      <c r="AR437" s="774">
        <f t="shared" si="338"/>
        <v>12905</v>
      </c>
      <c r="AS437" s="775">
        <f t="shared" si="339"/>
        <v>0</v>
      </c>
      <c r="AT437" s="775">
        <f t="shared" si="318"/>
        <v>0</v>
      </c>
      <c r="AU437" s="775">
        <f t="shared" si="311"/>
        <v>0</v>
      </c>
      <c r="AV437" s="775">
        <f t="shared" si="340"/>
        <v>0</v>
      </c>
      <c r="AW437" s="775">
        <f t="shared" si="341"/>
        <v>0</v>
      </c>
      <c r="AY437" s="773">
        <v>425</v>
      </c>
      <c r="AZ437" s="774">
        <f t="shared" si="342"/>
        <v>12905</v>
      </c>
      <c r="BA437" s="775">
        <f t="shared" si="343"/>
        <v>0</v>
      </c>
      <c r="BB437" s="775">
        <f t="shared" si="319"/>
        <v>0</v>
      </c>
      <c r="BC437" s="775">
        <f t="shared" si="312"/>
        <v>0</v>
      </c>
      <c r="BD437" s="775">
        <f t="shared" si="344"/>
        <v>0</v>
      </c>
      <c r="BE437" s="775">
        <f t="shared" si="345"/>
        <v>0</v>
      </c>
      <c r="BG437" s="773">
        <v>425</v>
      </c>
      <c r="BH437" s="774">
        <f t="shared" si="346"/>
        <v>12905</v>
      </c>
      <c r="BI437" s="775">
        <f t="shared" si="347"/>
        <v>0</v>
      </c>
      <c r="BJ437" s="775">
        <f t="shared" si="320"/>
        <v>0</v>
      </c>
      <c r="BK437" s="775">
        <f t="shared" si="313"/>
        <v>0</v>
      </c>
      <c r="BL437" s="775">
        <f t="shared" si="348"/>
        <v>0</v>
      </c>
      <c r="BM437" s="775">
        <f t="shared" si="349"/>
        <v>0</v>
      </c>
    </row>
    <row r="438" spans="1:65">
      <c r="A438" s="11">
        <f t="shared" si="306"/>
        <v>1935</v>
      </c>
      <c r="B438" s="773">
        <v>426</v>
      </c>
      <c r="C438" s="774">
        <f t="shared" si="321"/>
        <v>12936</v>
      </c>
      <c r="D438" s="775">
        <f t="shared" si="350"/>
        <v>0</v>
      </c>
      <c r="E438" s="775">
        <f t="shared" si="351"/>
        <v>0</v>
      </c>
      <c r="F438" s="775">
        <f t="shared" si="352"/>
        <v>0</v>
      </c>
      <c r="G438" s="775">
        <f t="shared" si="353"/>
        <v>0</v>
      </c>
      <c r="H438" s="775">
        <f t="shared" si="354"/>
        <v>0</v>
      </c>
      <c r="I438" s="775">
        <f t="shared" si="305"/>
        <v>0</v>
      </c>
      <c r="K438" s="773">
        <v>426</v>
      </c>
      <c r="L438" s="774">
        <f t="shared" si="322"/>
        <v>12936</v>
      </c>
      <c r="M438" s="775">
        <f t="shared" si="323"/>
        <v>0</v>
      </c>
      <c r="N438" s="775">
        <f t="shared" si="314"/>
        <v>0</v>
      </c>
      <c r="O438" s="775">
        <f t="shared" si="307"/>
        <v>0</v>
      </c>
      <c r="P438" s="775">
        <f t="shared" si="324"/>
        <v>0</v>
      </c>
      <c r="Q438" s="775">
        <f t="shared" si="325"/>
        <v>0</v>
      </c>
      <c r="S438" s="773">
        <v>426</v>
      </c>
      <c r="T438" s="774">
        <f t="shared" si="326"/>
        <v>12936</v>
      </c>
      <c r="U438" s="775">
        <f t="shared" si="327"/>
        <v>0</v>
      </c>
      <c r="V438" s="775">
        <f t="shared" si="315"/>
        <v>0</v>
      </c>
      <c r="W438" s="775">
        <f t="shared" si="308"/>
        <v>0</v>
      </c>
      <c r="X438" s="775">
        <f t="shared" si="328"/>
        <v>0</v>
      </c>
      <c r="Y438" s="775">
        <f t="shared" si="329"/>
        <v>0</v>
      </c>
      <c r="AA438" s="773">
        <v>426</v>
      </c>
      <c r="AB438" s="774">
        <f t="shared" si="330"/>
        <v>12936</v>
      </c>
      <c r="AC438" s="775">
        <f t="shared" si="331"/>
        <v>0</v>
      </c>
      <c r="AD438" s="775">
        <f t="shared" si="316"/>
        <v>0</v>
      </c>
      <c r="AE438" s="775">
        <f t="shared" si="309"/>
        <v>0</v>
      </c>
      <c r="AF438" s="775">
        <f t="shared" si="332"/>
        <v>0</v>
      </c>
      <c r="AG438" s="775">
        <f t="shared" si="333"/>
        <v>0</v>
      </c>
      <c r="AI438" s="773">
        <v>426</v>
      </c>
      <c r="AJ438" s="774">
        <f t="shared" si="334"/>
        <v>12936</v>
      </c>
      <c r="AK438" s="775">
        <f t="shared" si="335"/>
        <v>0</v>
      </c>
      <c r="AL438" s="775">
        <f t="shared" si="317"/>
        <v>0</v>
      </c>
      <c r="AM438" s="775">
        <f t="shared" si="310"/>
        <v>0</v>
      </c>
      <c r="AN438" s="775">
        <f t="shared" si="336"/>
        <v>0</v>
      </c>
      <c r="AO438" s="775">
        <f t="shared" si="337"/>
        <v>0</v>
      </c>
      <c r="AQ438" s="773">
        <v>426</v>
      </c>
      <c r="AR438" s="774">
        <f t="shared" si="338"/>
        <v>12936</v>
      </c>
      <c r="AS438" s="775">
        <f t="shared" si="339"/>
        <v>0</v>
      </c>
      <c r="AT438" s="775">
        <f t="shared" si="318"/>
        <v>0</v>
      </c>
      <c r="AU438" s="775">
        <f t="shared" si="311"/>
        <v>0</v>
      </c>
      <c r="AV438" s="775">
        <f t="shared" si="340"/>
        <v>0</v>
      </c>
      <c r="AW438" s="775">
        <f t="shared" si="341"/>
        <v>0</v>
      </c>
      <c r="AY438" s="773">
        <v>426</v>
      </c>
      <c r="AZ438" s="774">
        <f t="shared" si="342"/>
        <v>12936</v>
      </c>
      <c r="BA438" s="775">
        <f t="shared" si="343"/>
        <v>0</v>
      </c>
      <c r="BB438" s="775">
        <f t="shared" si="319"/>
        <v>0</v>
      </c>
      <c r="BC438" s="775">
        <f t="shared" si="312"/>
        <v>0</v>
      </c>
      <c r="BD438" s="775">
        <f t="shared" si="344"/>
        <v>0</v>
      </c>
      <c r="BE438" s="775">
        <f t="shared" si="345"/>
        <v>0</v>
      </c>
      <c r="BG438" s="773">
        <v>426</v>
      </c>
      <c r="BH438" s="774">
        <f t="shared" si="346"/>
        <v>12936</v>
      </c>
      <c r="BI438" s="775">
        <f t="shared" si="347"/>
        <v>0</v>
      </c>
      <c r="BJ438" s="775">
        <f t="shared" si="320"/>
        <v>0</v>
      </c>
      <c r="BK438" s="775">
        <f t="shared" si="313"/>
        <v>0</v>
      </c>
      <c r="BL438" s="775">
        <f t="shared" si="348"/>
        <v>0</v>
      </c>
      <c r="BM438" s="775">
        <f t="shared" si="349"/>
        <v>0</v>
      </c>
    </row>
    <row r="439" spans="1:65">
      <c r="A439" s="11">
        <f t="shared" si="306"/>
        <v>1935</v>
      </c>
      <c r="B439" s="773">
        <v>427</v>
      </c>
      <c r="C439" s="774">
        <f t="shared" si="321"/>
        <v>12966</v>
      </c>
      <c r="D439" s="775">
        <f t="shared" si="350"/>
        <v>0</v>
      </c>
      <c r="E439" s="775">
        <f t="shared" si="351"/>
        <v>0</v>
      </c>
      <c r="F439" s="775">
        <f t="shared" si="352"/>
        <v>0</v>
      </c>
      <c r="G439" s="775">
        <f t="shared" si="353"/>
        <v>0</v>
      </c>
      <c r="H439" s="775">
        <f t="shared" si="354"/>
        <v>0</v>
      </c>
      <c r="I439" s="775">
        <f t="shared" si="305"/>
        <v>0</v>
      </c>
      <c r="K439" s="773">
        <v>427</v>
      </c>
      <c r="L439" s="774">
        <f t="shared" si="322"/>
        <v>12966</v>
      </c>
      <c r="M439" s="775">
        <f t="shared" si="323"/>
        <v>0</v>
      </c>
      <c r="N439" s="775">
        <f t="shared" si="314"/>
        <v>0</v>
      </c>
      <c r="O439" s="775">
        <f t="shared" si="307"/>
        <v>0</v>
      </c>
      <c r="P439" s="775">
        <f t="shared" si="324"/>
        <v>0</v>
      </c>
      <c r="Q439" s="775">
        <f t="shared" si="325"/>
        <v>0</v>
      </c>
      <c r="S439" s="773">
        <v>427</v>
      </c>
      <c r="T439" s="774">
        <f t="shared" si="326"/>
        <v>12966</v>
      </c>
      <c r="U439" s="775">
        <f t="shared" si="327"/>
        <v>0</v>
      </c>
      <c r="V439" s="775">
        <f t="shared" si="315"/>
        <v>0</v>
      </c>
      <c r="W439" s="775">
        <f t="shared" si="308"/>
        <v>0</v>
      </c>
      <c r="X439" s="775">
        <f t="shared" si="328"/>
        <v>0</v>
      </c>
      <c r="Y439" s="775">
        <f t="shared" si="329"/>
        <v>0</v>
      </c>
      <c r="AA439" s="773">
        <v>427</v>
      </c>
      <c r="AB439" s="774">
        <f t="shared" si="330"/>
        <v>12966</v>
      </c>
      <c r="AC439" s="775">
        <f t="shared" si="331"/>
        <v>0</v>
      </c>
      <c r="AD439" s="775">
        <f t="shared" si="316"/>
        <v>0</v>
      </c>
      <c r="AE439" s="775">
        <f t="shared" si="309"/>
        <v>0</v>
      </c>
      <c r="AF439" s="775">
        <f t="shared" si="332"/>
        <v>0</v>
      </c>
      <c r="AG439" s="775">
        <f t="shared" si="333"/>
        <v>0</v>
      </c>
      <c r="AI439" s="773">
        <v>427</v>
      </c>
      <c r="AJ439" s="774">
        <f t="shared" si="334"/>
        <v>12966</v>
      </c>
      <c r="AK439" s="775">
        <f t="shared" si="335"/>
        <v>0</v>
      </c>
      <c r="AL439" s="775">
        <f t="shared" si="317"/>
        <v>0</v>
      </c>
      <c r="AM439" s="775">
        <f t="shared" si="310"/>
        <v>0</v>
      </c>
      <c r="AN439" s="775">
        <f t="shared" si="336"/>
        <v>0</v>
      </c>
      <c r="AO439" s="775">
        <f t="shared" si="337"/>
        <v>0</v>
      </c>
      <c r="AQ439" s="773">
        <v>427</v>
      </c>
      <c r="AR439" s="774">
        <f t="shared" si="338"/>
        <v>12966</v>
      </c>
      <c r="AS439" s="775">
        <f t="shared" si="339"/>
        <v>0</v>
      </c>
      <c r="AT439" s="775">
        <f t="shared" si="318"/>
        <v>0</v>
      </c>
      <c r="AU439" s="775">
        <f t="shared" si="311"/>
        <v>0</v>
      </c>
      <c r="AV439" s="775">
        <f t="shared" si="340"/>
        <v>0</v>
      </c>
      <c r="AW439" s="775">
        <f t="shared" si="341"/>
        <v>0</v>
      </c>
      <c r="AY439" s="773">
        <v>427</v>
      </c>
      <c r="AZ439" s="774">
        <f t="shared" si="342"/>
        <v>12966</v>
      </c>
      <c r="BA439" s="775">
        <f t="shared" si="343"/>
        <v>0</v>
      </c>
      <c r="BB439" s="775">
        <f t="shared" si="319"/>
        <v>0</v>
      </c>
      <c r="BC439" s="775">
        <f t="shared" si="312"/>
        <v>0</v>
      </c>
      <c r="BD439" s="775">
        <f t="shared" si="344"/>
        <v>0</v>
      </c>
      <c r="BE439" s="775">
        <f t="shared" si="345"/>
        <v>0</v>
      </c>
      <c r="BG439" s="773">
        <v>427</v>
      </c>
      <c r="BH439" s="774">
        <f t="shared" si="346"/>
        <v>12966</v>
      </c>
      <c r="BI439" s="775">
        <f t="shared" si="347"/>
        <v>0</v>
      </c>
      <c r="BJ439" s="775">
        <f t="shared" si="320"/>
        <v>0</v>
      </c>
      <c r="BK439" s="775">
        <f t="shared" si="313"/>
        <v>0</v>
      </c>
      <c r="BL439" s="775">
        <f t="shared" si="348"/>
        <v>0</v>
      </c>
      <c r="BM439" s="775">
        <f t="shared" si="349"/>
        <v>0</v>
      </c>
    </row>
    <row r="440" spans="1:65">
      <c r="A440" s="11">
        <f t="shared" si="306"/>
        <v>1935</v>
      </c>
      <c r="B440" s="773">
        <v>428</v>
      </c>
      <c r="C440" s="774">
        <f t="shared" si="321"/>
        <v>12997</v>
      </c>
      <c r="D440" s="775">
        <f t="shared" si="350"/>
        <v>0</v>
      </c>
      <c r="E440" s="775">
        <f t="shared" si="351"/>
        <v>0</v>
      </c>
      <c r="F440" s="775">
        <f t="shared" si="352"/>
        <v>0</v>
      </c>
      <c r="G440" s="775">
        <f t="shared" si="353"/>
        <v>0</v>
      </c>
      <c r="H440" s="775">
        <f t="shared" si="354"/>
        <v>0</v>
      </c>
      <c r="I440" s="775">
        <f t="shared" si="305"/>
        <v>0</v>
      </c>
      <c r="K440" s="773">
        <v>428</v>
      </c>
      <c r="L440" s="774">
        <f t="shared" si="322"/>
        <v>12997</v>
      </c>
      <c r="M440" s="775">
        <f t="shared" si="323"/>
        <v>0</v>
      </c>
      <c r="N440" s="775">
        <f t="shared" si="314"/>
        <v>0</v>
      </c>
      <c r="O440" s="775">
        <f t="shared" si="307"/>
        <v>0</v>
      </c>
      <c r="P440" s="775">
        <f t="shared" si="324"/>
        <v>0</v>
      </c>
      <c r="Q440" s="775">
        <f t="shared" si="325"/>
        <v>0</v>
      </c>
      <c r="S440" s="773">
        <v>428</v>
      </c>
      <c r="T440" s="774">
        <f t="shared" si="326"/>
        <v>12997</v>
      </c>
      <c r="U440" s="775">
        <f t="shared" si="327"/>
        <v>0</v>
      </c>
      <c r="V440" s="775">
        <f t="shared" si="315"/>
        <v>0</v>
      </c>
      <c r="W440" s="775">
        <f t="shared" si="308"/>
        <v>0</v>
      </c>
      <c r="X440" s="775">
        <f t="shared" si="328"/>
        <v>0</v>
      </c>
      <c r="Y440" s="775">
        <f t="shared" si="329"/>
        <v>0</v>
      </c>
      <c r="AA440" s="773">
        <v>428</v>
      </c>
      <c r="AB440" s="774">
        <f t="shared" si="330"/>
        <v>12997</v>
      </c>
      <c r="AC440" s="775">
        <f t="shared" si="331"/>
        <v>0</v>
      </c>
      <c r="AD440" s="775">
        <f t="shared" si="316"/>
        <v>0</v>
      </c>
      <c r="AE440" s="775">
        <f t="shared" si="309"/>
        <v>0</v>
      </c>
      <c r="AF440" s="775">
        <f t="shared" si="332"/>
        <v>0</v>
      </c>
      <c r="AG440" s="775">
        <f t="shared" si="333"/>
        <v>0</v>
      </c>
      <c r="AI440" s="773">
        <v>428</v>
      </c>
      <c r="AJ440" s="774">
        <f t="shared" si="334"/>
        <v>12997</v>
      </c>
      <c r="AK440" s="775">
        <f t="shared" si="335"/>
        <v>0</v>
      </c>
      <c r="AL440" s="775">
        <f t="shared" si="317"/>
        <v>0</v>
      </c>
      <c r="AM440" s="775">
        <f t="shared" si="310"/>
        <v>0</v>
      </c>
      <c r="AN440" s="775">
        <f t="shared" si="336"/>
        <v>0</v>
      </c>
      <c r="AO440" s="775">
        <f t="shared" si="337"/>
        <v>0</v>
      </c>
      <c r="AQ440" s="773">
        <v>428</v>
      </c>
      <c r="AR440" s="774">
        <f t="shared" si="338"/>
        <v>12997</v>
      </c>
      <c r="AS440" s="775">
        <f t="shared" si="339"/>
        <v>0</v>
      </c>
      <c r="AT440" s="775">
        <f t="shared" si="318"/>
        <v>0</v>
      </c>
      <c r="AU440" s="775">
        <f t="shared" si="311"/>
        <v>0</v>
      </c>
      <c r="AV440" s="775">
        <f t="shared" si="340"/>
        <v>0</v>
      </c>
      <c r="AW440" s="775">
        <f t="shared" si="341"/>
        <v>0</v>
      </c>
      <c r="AY440" s="773">
        <v>428</v>
      </c>
      <c r="AZ440" s="774">
        <f t="shared" si="342"/>
        <v>12997</v>
      </c>
      <c r="BA440" s="775">
        <f t="shared" si="343"/>
        <v>0</v>
      </c>
      <c r="BB440" s="775">
        <f t="shared" si="319"/>
        <v>0</v>
      </c>
      <c r="BC440" s="775">
        <f t="shared" si="312"/>
        <v>0</v>
      </c>
      <c r="BD440" s="775">
        <f t="shared" si="344"/>
        <v>0</v>
      </c>
      <c r="BE440" s="775">
        <f t="shared" si="345"/>
        <v>0</v>
      </c>
      <c r="BG440" s="773">
        <v>428</v>
      </c>
      <c r="BH440" s="774">
        <f t="shared" si="346"/>
        <v>12997</v>
      </c>
      <c r="BI440" s="775">
        <f t="shared" si="347"/>
        <v>0</v>
      </c>
      <c r="BJ440" s="775">
        <f t="shared" si="320"/>
        <v>0</v>
      </c>
      <c r="BK440" s="775">
        <f t="shared" si="313"/>
        <v>0</v>
      </c>
      <c r="BL440" s="775">
        <f t="shared" si="348"/>
        <v>0</v>
      </c>
      <c r="BM440" s="775">
        <f t="shared" si="349"/>
        <v>0</v>
      </c>
    </row>
    <row r="441" spans="1:65">
      <c r="A441" s="11">
        <f t="shared" si="306"/>
        <v>1935</v>
      </c>
      <c r="B441" s="773">
        <v>429</v>
      </c>
      <c r="C441" s="774">
        <f t="shared" si="321"/>
        <v>13028</v>
      </c>
      <c r="D441" s="775">
        <f t="shared" si="350"/>
        <v>0</v>
      </c>
      <c r="E441" s="775">
        <f t="shared" si="351"/>
        <v>0</v>
      </c>
      <c r="F441" s="775">
        <f t="shared" si="352"/>
        <v>0</v>
      </c>
      <c r="G441" s="775">
        <f t="shared" si="353"/>
        <v>0</v>
      </c>
      <c r="H441" s="775">
        <f t="shared" si="354"/>
        <v>0</v>
      </c>
      <c r="I441" s="775">
        <f t="shared" si="305"/>
        <v>0</v>
      </c>
      <c r="K441" s="773">
        <v>429</v>
      </c>
      <c r="L441" s="774">
        <f t="shared" si="322"/>
        <v>13028</v>
      </c>
      <c r="M441" s="775">
        <f t="shared" si="323"/>
        <v>0</v>
      </c>
      <c r="N441" s="775">
        <f t="shared" si="314"/>
        <v>0</v>
      </c>
      <c r="O441" s="775">
        <f t="shared" si="307"/>
        <v>0</v>
      </c>
      <c r="P441" s="775">
        <f t="shared" si="324"/>
        <v>0</v>
      </c>
      <c r="Q441" s="775">
        <f t="shared" si="325"/>
        <v>0</v>
      </c>
      <c r="S441" s="773">
        <v>429</v>
      </c>
      <c r="T441" s="774">
        <f t="shared" si="326"/>
        <v>13028</v>
      </c>
      <c r="U441" s="775">
        <f t="shared" si="327"/>
        <v>0</v>
      </c>
      <c r="V441" s="775">
        <f t="shared" si="315"/>
        <v>0</v>
      </c>
      <c r="W441" s="775">
        <f t="shared" si="308"/>
        <v>0</v>
      </c>
      <c r="X441" s="775">
        <f t="shared" si="328"/>
        <v>0</v>
      </c>
      <c r="Y441" s="775">
        <f t="shared" si="329"/>
        <v>0</v>
      </c>
      <c r="AA441" s="773">
        <v>429</v>
      </c>
      <c r="AB441" s="774">
        <f t="shared" si="330"/>
        <v>13028</v>
      </c>
      <c r="AC441" s="775">
        <f t="shared" si="331"/>
        <v>0</v>
      </c>
      <c r="AD441" s="775">
        <f t="shared" si="316"/>
        <v>0</v>
      </c>
      <c r="AE441" s="775">
        <f t="shared" si="309"/>
        <v>0</v>
      </c>
      <c r="AF441" s="775">
        <f t="shared" si="332"/>
        <v>0</v>
      </c>
      <c r="AG441" s="775">
        <f t="shared" si="333"/>
        <v>0</v>
      </c>
      <c r="AI441" s="773">
        <v>429</v>
      </c>
      <c r="AJ441" s="774">
        <f t="shared" si="334"/>
        <v>13028</v>
      </c>
      <c r="AK441" s="775">
        <f t="shared" si="335"/>
        <v>0</v>
      </c>
      <c r="AL441" s="775">
        <f t="shared" si="317"/>
        <v>0</v>
      </c>
      <c r="AM441" s="775">
        <f t="shared" si="310"/>
        <v>0</v>
      </c>
      <c r="AN441" s="775">
        <f t="shared" si="336"/>
        <v>0</v>
      </c>
      <c r="AO441" s="775">
        <f t="shared" si="337"/>
        <v>0</v>
      </c>
      <c r="AQ441" s="773">
        <v>429</v>
      </c>
      <c r="AR441" s="774">
        <f t="shared" si="338"/>
        <v>13028</v>
      </c>
      <c r="AS441" s="775">
        <f t="shared" si="339"/>
        <v>0</v>
      </c>
      <c r="AT441" s="775">
        <f t="shared" si="318"/>
        <v>0</v>
      </c>
      <c r="AU441" s="775">
        <f t="shared" si="311"/>
        <v>0</v>
      </c>
      <c r="AV441" s="775">
        <f t="shared" si="340"/>
        <v>0</v>
      </c>
      <c r="AW441" s="775">
        <f t="shared" si="341"/>
        <v>0</v>
      </c>
      <c r="AY441" s="773">
        <v>429</v>
      </c>
      <c r="AZ441" s="774">
        <f t="shared" si="342"/>
        <v>13028</v>
      </c>
      <c r="BA441" s="775">
        <f t="shared" si="343"/>
        <v>0</v>
      </c>
      <c r="BB441" s="775">
        <f t="shared" si="319"/>
        <v>0</v>
      </c>
      <c r="BC441" s="775">
        <f t="shared" si="312"/>
        <v>0</v>
      </c>
      <c r="BD441" s="775">
        <f t="shared" si="344"/>
        <v>0</v>
      </c>
      <c r="BE441" s="775">
        <f t="shared" si="345"/>
        <v>0</v>
      </c>
      <c r="BG441" s="773">
        <v>429</v>
      </c>
      <c r="BH441" s="774">
        <f t="shared" si="346"/>
        <v>13028</v>
      </c>
      <c r="BI441" s="775">
        <f t="shared" si="347"/>
        <v>0</v>
      </c>
      <c r="BJ441" s="775">
        <f t="shared" si="320"/>
        <v>0</v>
      </c>
      <c r="BK441" s="775">
        <f t="shared" si="313"/>
        <v>0</v>
      </c>
      <c r="BL441" s="775">
        <f t="shared" si="348"/>
        <v>0</v>
      </c>
      <c r="BM441" s="775">
        <f t="shared" si="349"/>
        <v>0</v>
      </c>
    </row>
    <row r="442" spans="1:65">
      <c r="A442" s="11">
        <f t="shared" si="306"/>
        <v>1935</v>
      </c>
      <c r="B442" s="773">
        <v>430</v>
      </c>
      <c r="C442" s="774">
        <f t="shared" si="321"/>
        <v>13058</v>
      </c>
      <c r="D442" s="775">
        <f t="shared" si="350"/>
        <v>0</v>
      </c>
      <c r="E442" s="775">
        <f t="shared" si="351"/>
        <v>0</v>
      </c>
      <c r="F442" s="775">
        <f t="shared" si="352"/>
        <v>0</v>
      </c>
      <c r="G442" s="775">
        <f t="shared" si="353"/>
        <v>0</v>
      </c>
      <c r="H442" s="775">
        <f t="shared" si="354"/>
        <v>0</v>
      </c>
      <c r="I442" s="775">
        <f t="shared" si="305"/>
        <v>0</v>
      </c>
      <c r="K442" s="773">
        <v>430</v>
      </c>
      <c r="L442" s="774">
        <f t="shared" si="322"/>
        <v>13058</v>
      </c>
      <c r="M442" s="775">
        <f t="shared" si="323"/>
        <v>0</v>
      </c>
      <c r="N442" s="775">
        <f t="shared" si="314"/>
        <v>0</v>
      </c>
      <c r="O442" s="775">
        <f t="shared" si="307"/>
        <v>0</v>
      </c>
      <c r="P442" s="775">
        <f t="shared" si="324"/>
        <v>0</v>
      </c>
      <c r="Q442" s="775">
        <f t="shared" si="325"/>
        <v>0</v>
      </c>
      <c r="S442" s="773">
        <v>430</v>
      </c>
      <c r="T442" s="774">
        <f t="shared" si="326"/>
        <v>13058</v>
      </c>
      <c r="U442" s="775">
        <f t="shared" si="327"/>
        <v>0</v>
      </c>
      <c r="V442" s="775">
        <f t="shared" si="315"/>
        <v>0</v>
      </c>
      <c r="W442" s="775">
        <f t="shared" si="308"/>
        <v>0</v>
      </c>
      <c r="X442" s="775">
        <f t="shared" si="328"/>
        <v>0</v>
      </c>
      <c r="Y442" s="775">
        <f t="shared" si="329"/>
        <v>0</v>
      </c>
      <c r="AA442" s="773">
        <v>430</v>
      </c>
      <c r="AB442" s="774">
        <f t="shared" si="330"/>
        <v>13058</v>
      </c>
      <c r="AC442" s="775">
        <f t="shared" si="331"/>
        <v>0</v>
      </c>
      <c r="AD442" s="775">
        <f t="shared" si="316"/>
        <v>0</v>
      </c>
      <c r="AE442" s="775">
        <f t="shared" si="309"/>
        <v>0</v>
      </c>
      <c r="AF442" s="775">
        <f t="shared" si="332"/>
        <v>0</v>
      </c>
      <c r="AG442" s="775">
        <f t="shared" si="333"/>
        <v>0</v>
      </c>
      <c r="AI442" s="773">
        <v>430</v>
      </c>
      <c r="AJ442" s="774">
        <f t="shared" si="334"/>
        <v>13058</v>
      </c>
      <c r="AK442" s="775">
        <f t="shared" si="335"/>
        <v>0</v>
      </c>
      <c r="AL442" s="775">
        <f t="shared" si="317"/>
        <v>0</v>
      </c>
      <c r="AM442" s="775">
        <f t="shared" si="310"/>
        <v>0</v>
      </c>
      <c r="AN442" s="775">
        <f t="shared" si="336"/>
        <v>0</v>
      </c>
      <c r="AO442" s="775">
        <f t="shared" si="337"/>
        <v>0</v>
      </c>
      <c r="AQ442" s="773">
        <v>430</v>
      </c>
      <c r="AR442" s="774">
        <f t="shared" si="338"/>
        <v>13058</v>
      </c>
      <c r="AS442" s="775">
        <f t="shared" si="339"/>
        <v>0</v>
      </c>
      <c r="AT442" s="775">
        <f t="shared" si="318"/>
        <v>0</v>
      </c>
      <c r="AU442" s="775">
        <f t="shared" si="311"/>
        <v>0</v>
      </c>
      <c r="AV442" s="775">
        <f t="shared" si="340"/>
        <v>0</v>
      </c>
      <c r="AW442" s="775">
        <f t="shared" si="341"/>
        <v>0</v>
      </c>
      <c r="AY442" s="773">
        <v>430</v>
      </c>
      <c r="AZ442" s="774">
        <f t="shared" si="342"/>
        <v>13058</v>
      </c>
      <c r="BA442" s="775">
        <f t="shared" si="343"/>
        <v>0</v>
      </c>
      <c r="BB442" s="775">
        <f t="shared" si="319"/>
        <v>0</v>
      </c>
      <c r="BC442" s="775">
        <f t="shared" si="312"/>
        <v>0</v>
      </c>
      <c r="BD442" s="775">
        <f t="shared" si="344"/>
        <v>0</v>
      </c>
      <c r="BE442" s="775">
        <f t="shared" si="345"/>
        <v>0</v>
      </c>
      <c r="BG442" s="773">
        <v>430</v>
      </c>
      <c r="BH442" s="774">
        <f t="shared" si="346"/>
        <v>13058</v>
      </c>
      <c r="BI442" s="775">
        <f t="shared" si="347"/>
        <v>0</v>
      </c>
      <c r="BJ442" s="775">
        <f t="shared" si="320"/>
        <v>0</v>
      </c>
      <c r="BK442" s="775">
        <f t="shared" si="313"/>
        <v>0</v>
      </c>
      <c r="BL442" s="775">
        <f t="shared" si="348"/>
        <v>0</v>
      </c>
      <c r="BM442" s="775">
        <f t="shared" si="349"/>
        <v>0</v>
      </c>
    </row>
    <row r="443" spans="1:65">
      <c r="A443" s="11">
        <f t="shared" si="306"/>
        <v>1935</v>
      </c>
      <c r="B443" s="773">
        <v>431</v>
      </c>
      <c r="C443" s="774">
        <f t="shared" si="321"/>
        <v>13089</v>
      </c>
      <c r="D443" s="775">
        <f t="shared" si="350"/>
        <v>0</v>
      </c>
      <c r="E443" s="775">
        <f t="shared" si="351"/>
        <v>0</v>
      </c>
      <c r="F443" s="775">
        <f t="shared" si="352"/>
        <v>0</v>
      </c>
      <c r="G443" s="775">
        <f t="shared" si="353"/>
        <v>0</v>
      </c>
      <c r="H443" s="775">
        <f t="shared" si="354"/>
        <v>0</v>
      </c>
      <c r="I443" s="775">
        <f t="shared" si="305"/>
        <v>0</v>
      </c>
      <c r="K443" s="773">
        <v>431</v>
      </c>
      <c r="L443" s="774">
        <f t="shared" si="322"/>
        <v>13089</v>
      </c>
      <c r="M443" s="775">
        <f t="shared" si="323"/>
        <v>0</v>
      </c>
      <c r="N443" s="775">
        <f t="shared" si="314"/>
        <v>0</v>
      </c>
      <c r="O443" s="775">
        <f t="shared" si="307"/>
        <v>0</v>
      </c>
      <c r="P443" s="775">
        <f t="shared" si="324"/>
        <v>0</v>
      </c>
      <c r="Q443" s="775">
        <f t="shared" si="325"/>
        <v>0</v>
      </c>
      <c r="S443" s="773">
        <v>431</v>
      </c>
      <c r="T443" s="774">
        <f t="shared" si="326"/>
        <v>13089</v>
      </c>
      <c r="U443" s="775">
        <f t="shared" si="327"/>
        <v>0</v>
      </c>
      <c r="V443" s="775">
        <f t="shared" si="315"/>
        <v>0</v>
      </c>
      <c r="W443" s="775">
        <f t="shared" si="308"/>
        <v>0</v>
      </c>
      <c r="X443" s="775">
        <f t="shared" si="328"/>
        <v>0</v>
      </c>
      <c r="Y443" s="775">
        <f t="shared" si="329"/>
        <v>0</v>
      </c>
      <c r="AA443" s="773">
        <v>431</v>
      </c>
      <c r="AB443" s="774">
        <f t="shared" si="330"/>
        <v>13089</v>
      </c>
      <c r="AC443" s="775">
        <f t="shared" si="331"/>
        <v>0</v>
      </c>
      <c r="AD443" s="775">
        <f t="shared" si="316"/>
        <v>0</v>
      </c>
      <c r="AE443" s="775">
        <f t="shared" si="309"/>
        <v>0</v>
      </c>
      <c r="AF443" s="775">
        <f t="shared" si="332"/>
        <v>0</v>
      </c>
      <c r="AG443" s="775">
        <f t="shared" si="333"/>
        <v>0</v>
      </c>
      <c r="AI443" s="773">
        <v>431</v>
      </c>
      <c r="AJ443" s="774">
        <f t="shared" si="334"/>
        <v>13089</v>
      </c>
      <c r="AK443" s="775">
        <f t="shared" si="335"/>
        <v>0</v>
      </c>
      <c r="AL443" s="775">
        <f t="shared" si="317"/>
        <v>0</v>
      </c>
      <c r="AM443" s="775">
        <f t="shared" si="310"/>
        <v>0</v>
      </c>
      <c r="AN443" s="775">
        <f t="shared" si="336"/>
        <v>0</v>
      </c>
      <c r="AO443" s="775">
        <f t="shared" si="337"/>
        <v>0</v>
      </c>
      <c r="AQ443" s="773">
        <v>431</v>
      </c>
      <c r="AR443" s="774">
        <f t="shared" si="338"/>
        <v>13089</v>
      </c>
      <c r="AS443" s="775">
        <f t="shared" si="339"/>
        <v>0</v>
      </c>
      <c r="AT443" s="775">
        <f t="shared" si="318"/>
        <v>0</v>
      </c>
      <c r="AU443" s="775">
        <f t="shared" si="311"/>
        <v>0</v>
      </c>
      <c r="AV443" s="775">
        <f t="shared" si="340"/>
        <v>0</v>
      </c>
      <c r="AW443" s="775">
        <f t="shared" si="341"/>
        <v>0</v>
      </c>
      <c r="AY443" s="773">
        <v>431</v>
      </c>
      <c r="AZ443" s="774">
        <f t="shared" si="342"/>
        <v>13089</v>
      </c>
      <c r="BA443" s="775">
        <f t="shared" si="343"/>
        <v>0</v>
      </c>
      <c r="BB443" s="775">
        <f t="shared" si="319"/>
        <v>0</v>
      </c>
      <c r="BC443" s="775">
        <f t="shared" si="312"/>
        <v>0</v>
      </c>
      <c r="BD443" s="775">
        <f t="shared" si="344"/>
        <v>0</v>
      </c>
      <c r="BE443" s="775">
        <f t="shared" si="345"/>
        <v>0</v>
      </c>
      <c r="BG443" s="773">
        <v>431</v>
      </c>
      <c r="BH443" s="774">
        <f t="shared" si="346"/>
        <v>13089</v>
      </c>
      <c r="BI443" s="775">
        <f t="shared" si="347"/>
        <v>0</v>
      </c>
      <c r="BJ443" s="775">
        <f t="shared" si="320"/>
        <v>0</v>
      </c>
      <c r="BK443" s="775">
        <f t="shared" si="313"/>
        <v>0</v>
      </c>
      <c r="BL443" s="775">
        <f t="shared" si="348"/>
        <v>0</v>
      </c>
      <c r="BM443" s="775">
        <f t="shared" si="349"/>
        <v>0</v>
      </c>
    </row>
    <row r="444" spans="1:65">
      <c r="A444" s="11">
        <f t="shared" si="306"/>
        <v>1935</v>
      </c>
      <c r="B444" s="773">
        <v>432</v>
      </c>
      <c r="C444" s="774">
        <f t="shared" si="321"/>
        <v>13119</v>
      </c>
      <c r="D444" s="775">
        <f t="shared" si="350"/>
        <v>0</v>
      </c>
      <c r="E444" s="775">
        <f t="shared" si="351"/>
        <v>0</v>
      </c>
      <c r="F444" s="775">
        <f t="shared" si="352"/>
        <v>0</v>
      </c>
      <c r="G444" s="775">
        <f t="shared" si="353"/>
        <v>0</v>
      </c>
      <c r="H444" s="775">
        <f t="shared" si="354"/>
        <v>0</v>
      </c>
      <c r="I444" s="775">
        <f t="shared" si="305"/>
        <v>0</v>
      </c>
      <c r="K444" s="773">
        <v>432</v>
      </c>
      <c r="L444" s="774">
        <f t="shared" si="322"/>
        <v>13119</v>
      </c>
      <c r="M444" s="775">
        <f t="shared" si="323"/>
        <v>0</v>
      </c>
      <c r="N444" s="775">
        <f t="shared" si="314"/>
        <v>0</v>
      </c>
      <c r="O444" s="775">
        <f t="shared" si="307"/>
        <v>0</v>
      </c>
      <c r="P444" s="775">
        <f t="shared" si="324"/>
        <v>0</v>
      </c>
      <c r="Q444" s="775">
        <f t="shared" si="325"/>
        <v>0</v>
      </c>
      <c r="S444" s="773">
        <v>432</v>
      </c>
      <c r="T444" s="774">
        <f t="shared" si="326"/>
        <v>13119</v>
      </c>
      <c r="U444" s="775">
        <f t="shared" si="327"/>
        <v>0</v>
      </c>
      <c r="V444" s="775">
        <f t="shared" si="315"/>
        <v>0</v>
      </c>
      <c r="W444" s="775">
        <f t="shared" si="308"/>
        <v>0</v>
      </c>
      <c r="X444" s="775">
        <f t="shared" si="328"/>
        <v>0</v>
      </c>
      <c r="Y444" s="775">
        <f t="shared" si="329"/>
        <v>0</v>
      </c>
      <c r="AA444" s="773">
        <v>432</v>
      </c>
      <c r="AB444" s="774">
        <f t="shared" si="330"/>
        <v>13119</v>
      </c>
      <c r="AC444" s="775">
        <f t="shared" si="331"/>
        <v>0</v>
      </c>
      <c r="AD444" s="775">
        <f t="shared" si="316"/>
        <v>0</v>
      </c>
      <c r="AE444" s="775">
        <f t="shared" si="309"/>
        <v>0</v>
      </c>
      <c r="AF444" s="775">
        <f t="shared" si="332"/>
        <v>0</v>
      </c>
      <c r="AG444" s="775">
        <f t="shared" si="333"/>
        <v>0</v>
      </c>
      <c r="AI444" s="773">
        <v>432</v>
      </c>
      <c r="AJ444" s="774">
        <f t="shared" si="334"/>
        <v>13119</v>
      </c>
      <c r="AK444" s="775">
        <f t="shared" si="335"/>
        <v>0</v>
      </c>
      <c r="AL444" s="775">
        <f t="shared" si="317"/>
        <v>0</v>
      </c>
      <c r="AM444" s="775">
        <f t="shared" si="310"/>
        <v>0</v>
      </c>
      <c r="AN444" s="775">
        <f t="shared" si="336"/>
        <v>0</v>
      </c>
      <c r="AO444" s="775">
        <f t="shared" si="337"/>
        <v>0</v>
      </c>
      <c r="AQ444" s="773">
        <v>432</v>
      </c>
      <c r="AR444" s="774">
        <f t="shared" si="338"/>
        <v>13119</v>
      </c>
      <c r="AS444" s="775">
        <f t="shared" si="339"/>
        <v>0</v>
      </c>
      <c r="AT444" s="775">
        <f t="shared" si="318"/>
        <v>0</v>
      </c>
      <c r="AU444" s="775">
        <f t="shared" si="311"/>
        <v>0</v>
      </c>
      <c r="AV444" s="775">
        <f t="shared" si="340"/>
        <v>0</v>
      </c>
      <c r="AW444" s="775">
        <f t="shared" si="341"/>
        <v>0</v>
      </c>
      <c r="AY444" s="773">
        <v>432</v>
      </c>
      <c r="AZ444" s="774">
        <f t="shared" si="342"/>
        <v>13119</v>
      </c>
      <c r="BA444" s="775">
        <f t="shared" si="343"/>
        <v>0</v>
      </c>
      <c r="BB444" s="775">
        <f t="shared" si="319"/>
        <v>0</v>
      </c>
      <c r="BC444" s="775">
        <f t="shared" si="312"/>
        <v>0</v>
      </c>
      <c r="BD444" s="775">
        <f t="shared" si="344"/>
        <v>0</v>
      </c>
      <c r="BE444" s="775">
        <f t="shared" si="345"/>
        <v>0</v>
      </c>
      <c r="BG444" s="773">
        <v>432</v>
      </c>
      <c r="BH444" s="774">
        <f t="shared" si="346"/>
        <v>13119</v>
      </c>
      <c r="BI444" s="775">
        <f t="shared" si="347"/>
        <v>0</v>
      </c>
      <c r="BJ444" s="775">
        <f t="shared" si="320"/>
        <v>0</v>
      </c>
      <c r="BK444" s="775">
        <f t="shared" si="313"/>
        <v>0</v>
      </c>
      <c r="BL444" s="775">
        <f t="shared" si="348"/>
        <v>0</v>
      </c>
      <c r="BM444" s="775">
        <f t="shared" si="349"/>
        <v>0</v>
      </c>
    </row>
    <row r="445" spans="1:65">
      <c r="A445" s="11">
        <f t="shared" si="306"/>
        <v>1936</v>
      </c>
      <c r="B445" s="773">
        <v>433</v>
      </c>
      <c r="C445" s="774">
        <f t="shared" si="321"/>
        <v>13150</v>
      </c>
      <c r="D445" s="775">
        <f t="shared" si="350"/>
        <v>0</v>
      </c>
      <c r="E445" s="775">
        <f t="shared" si="351"/>
        <v>0</v>
      </c>
      <c r="F445" s="775">
        <f t="shared" si="352"/>
        <v>0</v>
      </c>
      <c r="G445" s="775">
        <f t="shared" si="353"/>
        <v>0</v>
      </c>
      <c r="H445" s="775">
        <f t="shared" si="354"/>
        <v>0</v>
      </c>
      <c r="I445" s="775">
        <f t="shared" si="305"/>
        <v>0</v>
      </c>
      <c r="K445" s="773">
        <v>433</v>
      </c>
      <c r="L445" s="774">
        <f t="shared" si="322"/>
        <v>13150</v>
      </c>
      <c r="M445" s="775">
        <f t="shared" si="323"/>
        <v>0</v>
      </c>
      <c r="N445" s="775">
        <f t="shared" si="314"/>
        <v>0</v>
      </c>
      <c r="O445" s="775">
        <f t="shared" si="307"/>
        <v>0</v>
      </c>
      <c r="P445" s="775">
        <f t="shared" si="324"/>
        <v>0</v>
      </c>
      <c r="Q445" s="775">
        <f t="shared" si="325"/>
        <v>0</v>
      </c>
      <c r="S445" s="773">
        <v>433</v>
      </c>
      <c r="T445" s="774">
        <f t="shared" si="326"/>
        <v>13150</v>
      </c>
      <c r="U445" s="775">
        <f t="shared" si="327"/>
        <v>0</v>
      </c>
      <c r="V445" s="775">
        <f t="shared" si="315"/>
        <v>0</v>
      </c>
      <c r="W445" s="775">
        <f t="shared" si="308"/>
        <v>0</v>
      </c>
      <c r="X445" s="775">
        <f t="shared" si="328"/>
        <v>0</v>
      </c>
      <c r="Y445" s="775">
        <f t="shared" si="329"/>
        <v>0</v>
      </c>
      <c r="AA445" s="773">
        <v>433</v>
      </c>
      <c r="AB445" s="774">
        <f t="shared" si="330"/>
        <v>13150</v>
      </c>
      <c r="AC445" s="775">
        <f t="shared" si="331"/>
        <v>0</v>
      </c>
      <c r="AD445" s="775">
        <f t="shared" si="316"/>
        <v>0</v>
      </c>
      <c r="AE445" s="775">
        <f t="shared" si="309"/>
        <v>0</v>
      </c>
      <c r="AF445" s="775">
        <f t="shared" si="332"/>
        <v>0</v>
      </c>
      <c r="AG445" s="775">
        <f t="shared" si="333"/>
        <v>0</v>
      </c>
      <c r="AI445" s="773">
        <v>433</v>
      </c>
      <c r="AJ445" s="774">
        <f t="shared" si="334"/>
        <v>13150</v>
      </c>
      <c r="AK445" s="775">
        <f t="shared" si="335"/>
        <v>0</v>
      </c>
      <c r="AL445" s="775">
        <f t="shared" si="317"/>
        <v>0</v>
      </c>
      <c r="AM445" s="775">
        <f t="shared" si="310"/>
        <v>0</v>
      </c>
      <c r="AN445" s="775">
        <f t="shared" si="336"/>
        <v>0</v>
      </c>
      <c r="AO445" s="775">
        <f t="shared" si="337"/>
        <v>0</v>
      </c>
      <c r="AQ445" s="773">
        <v>433</v>
      </c>
      <c r="AR445" s="774">
        <f t="shared" si="338"/>
        <v>13150</v>
      </c>
      <c r="AS445" s="775">
        <f t="shared" si="339"/>
        <v>0</v>
      </c>
      <c r="AT445" s="775">
        <f t="shared" si="318"/>
        <v>0</v>
      </c>
      <c r="AU445" s="775">
        <f t="shared" si="311"/>
        <v>0</v>
      </c>
      <c r="AV445" s="775">
        <f t="shared" si="340"/>
        <v>0</v>
      </c>
      <c r="AW445" s="775">
        <f t="shared" si="341"/>
        <v>0</v>
      </c>
      <c r="AY445" s="773">
        <v>433</v>
      </c>
      <c r="AZ445" s="774">
        <f t="shared" si="342"/>
        <v>13150</v>
      </c>
      <c r="BA445" s="775">
        <f t="shared" si="343"/>
        <v>0</v>
      </c>
      <c r="BB445" s="775">
        <f t="shared" si="319"/>
        <v>0</v>
      </c>
      <c r="BC445" s="775">
        <f t="shared" si="312"/>
        <v>0</v>
      </c>
      <c r="BD445" s="775">
        <f t="shared" si="344"/>
        <v>0</v>
      </c>
      <c r="BE445" s="775">
        <f t="shared" si="345"/>
        <v>0</v>
      </c>
      <c r="BG445" s="773">
        <v>433</v>
      </c>
      <c r="BH445" s="774">
        <f t="shared" si="346"/>
        <v>13150</v>
      </c>
      <c r="BI445" s="775">
        <f t="shared" si="347"/>
        <v>0</v>
      </c>
      <c r="BJ445" s="775">
        <f t="shared" si="320"/>
        <v>0</v>
      </c>
      <c r="BK445" s="775">
        <f t="shared" si="313"/>
        <v>0</v>
      </c>
      <c r="BL445" s="775">
        <f t="shared" si="348"/>
        <v>0</v>
      </c>
      <c r="BM445" s="775">
        <f t="shared" si="349"/>
        <v>0</v>
      </c>
    </row>
    <row r="446" spans="1:65">
      <c r="A446" s="11">
        <f t="shared" si="306"/>
        <v>1936</v>
      </c>
      <c r="B446" s="773">
        <v>434</v>
      </c>
      <c r="C446" s="774">
        <f t="shared" si="321"/>
        <v>13181</v>
      </c>
      <c r="D446" s="775">
        <f t="shared" si="350"/>
        <v>0</v>
      </c>
      <c r="E446" s="775">
        <f t="shared" si="351"/>
        <v>0</v>
      </c>
      <c r="F446" s="775">
        <f t="shared" si="352"/>
        <v>0</v>
      </c>
      <c r="G446" s="775">
        <f t="shared" si="353"/>
        <v>0</v>
      </c>
      <c r="H446" s="775">
        <f t="shared" si="354"/>
        <v>0</v>
      </c>
      <c r="I446" s="775">
        <f t="shared" si="305"/>
        <v>0</v>
      </c>
      <c r="K446" s="773">
        <v>434</v>
      </c>
      <c r="L446" s="774">
        <f t="shared" si="322"/>
        <v>13181</v>
      </c>
      <c r="M446" s="775">
        <f t="shared" si="323"/>
        <v>0</v>
      </c>
      <c r="N446" s="775">
        <f t="shared" si="314"/>
        <v>0</v>
      </c>
      <c r="O446" s="775">
        <f t="shared" si="307"/>
        <v>0</v>
      </c>
      <c r="P446" s="775">
        <f t="shared" si="324"/>
        <v>0</v>
      </c>
      <c r="Q446" s="775">
        <f t="shared" si="325"/>
        <v>0</v>
      </c>
      <c r="S446" s="773">
        <v>434</v>
      </c>
      <c r="T446" s="774">
        <f t="shared" si="326"/>
        <v>13181</v>
      </c>
      <c r="U446" s="775">
        <f t="shared" si="327"/>
        <v>0</v>
      </c>
      <c r="V446" s="775">
        <f t="shared" si="315"/>
        <v>0</v>
      </c>
      <c r="W446" s="775">
        <f t="shared" si="308"/>
        <v>0</v>
      </c>
      <c r="X446" s="775">
        <f t="shared" si="328"/>
        <v>0</v>
      </c>
      <c r="Y446" s="775">
        <f t="shared" si="329"/>
        <v>0</v>
      </c>
      <c r="AA446" s="773">
        <v>434</v>
      </c>
      <c r="AB446" s="774">
        <f t="shared" si="330"/>
        <v>13181</v>
      </c>
      <c r="AC446" s="775">
        <f t="shared" si="331"/>
        <v>0</v>
      </c>
      <c r="AD446" s="775">
        <f t="shared" si="316"/>
        <v>0</v>
      </c>
      <c r="AE446" s="775">
        <f t="shared" si="309"/>
        <v>0</v>
      </c>
      <c r="AF446" s="775">
        <f t="shared" si="332"/>
        <v>0</v>
      </c>
      <c r="AG446" s="775">
        <f t="shared" si="333"/>
        <v>0</v>
      </c>
      <c r="AI446" s="773">
        <v>434</v>
      </c>
      <c r="AJ446" s="774">
        <f t="shared" si="334"/>
        <v>13181</v>
      </c>
      <c r="AK446" s="775">
        <f t="shared" si="335"/>
        <v>0</v>
      </c>
      <c r="AL446" s="775">
        <f t="shared" si="317"/>
        <v>0</v>
      </c>
      <c r="AM446" s="775">
        <f t="shared" si="310"/>
        <v>0</v>
      </c>
      <c r="AN446" s="775">
        <f t="shared" si="336"/>
        <v>0</v>
      </c>
      <c r="AO446" s="775">
        <f t="shared" si="337"/>
        <v>0</v>
      </c>
      <c r="AQ446" s="773">
        <v>434</v>
      </c>
      <c r="AR446" s="774">
        <f t="shared" si="338"/>
        <v>13181</v>
      </c>
      <c r="AS446" s="775">
        <f t="shared" si="339"/>
        <v>0</v>
      </c>
      <c r="AT446" s="775">
        <f t="shared" si="318"/>
        <v>0</v>
      </c>
      <c r="AU446" s="775">
        <f t="shared" si="311"/>
        <v>0</v>
      </c>
      <c r="AV446" s="775">
        <f t="shared" si="340"/>
        <v>0</v>
      </c>
      <c r="AW446" s="775">
        <f t="shared" si="341"/>
        <v>0</v>
      </c>
      <c r="AY446" s="773">
        <v>434</v>
      </c>
      <c r="AZ446" s="774">
        <f t="shared" si="342"/>
        <v>13181</v>
      </c>
      <c r="BA446" s="775">
        <f t="shared" si="343"/>
        <v>0</v>
      </c>
      <c r="BB446" s="775">
        <f t="shared" si="319"/>
        <v>0</v>
      </c>
      <c r="BC446" s="775">
        <f t="shared" si="312"/>
        <v>0</v>
      </c>
      <c r="BD446" s="775">
        <f t="shared" si="344"/>
        <v>0</v>
      </c>
      <c r="BE446" s="775">
        <f t="shared" si="345"/>
        <v>0</v>
      </c>
      <c r="BG446" s="773">
        <v>434</v>
      </c>
      <c r="BH446" s="774">
        <f t="shared" si="346"/>
        <v>13181</v>
      </c>
      <c r="BI446" s="775">
        <f t="shared" si="347"/>
        <v>0</v>
      </c>
      <c r="BJ446" s="775">
        <f t="shared" si="320"/>
        <v>0</v>
      </c>
      <c r="BK446" s="775">
        <f t="shared" si="313"/>
        <v>0</v>
      </c>
      <c r="BL446" s="775">
        <f t="shared" si="348"/>
        <v>0</v>
      </c>
      <c r="BM446" s="775">
        <f t="shared" si="349"/>
        <v>0</v>
      </c>
    </row>
    <row r="447" spans="1:65">
      <c r="A447" s="11">
        <f t="shared" si="306"/>
        <v>1936</v>
      </c>
      <c r="B447" s="773">
        <v>435</v>
      </c>
      <c r="C447" s="774">
        <f t="shared" si="321"/>
        <v>13210</v>
      </c>
      <c r="D447" s="775">
        <f t="shared" si="350"/>
        <v>0</v>
      </c>
      <c r="E447" s="775">
        <f t="shared" si="351"/>
        <v>0</v>
      </c>
      <c r="F447" s="775">
        <f t="shared" si="352"/>
        <v>0</v>
      </c>
      <c r="G447" s="775">
        <f t="shared" si="353"/>
        <v>0</v>
      </c>
      <c r="H447" s="775">
        <f t="shared" si="354"/>
        <v>0</v>
      </c>
      <c r="I447" s="775">
        <f t="shared" si="305"/>
        <v>0</v>
      </c>
      <c r="K447" s="773">
        <v>435</v>
      </c>
      <c r="L447" s="774">
        <f t="shared" si="322"/>
        <v>13210</v>
      </c>
      <c r="M447" s="775">
        <f t="shared" si="323"/>
        <v>0</v>
      </c>
      <c r="N447" s="775">
        <f t="shared" si="314"/>
        <v>0</v>
      </c>
      <c r="O447" s="775">
        <f t="shared" si="307"/>
        <v>0</v>
      </c>
      <c r="P447" s="775">
        <f t="shared" si="324"/>
        <v>0</v>
      </c>
      <c r="Q447" s="775">
        <f t="shared" si="325"/>
        <v>0</v>
      </c>
      <c r="S447" s="773">
        <v>435</v>
      </c>
      <c r="T447" s="774">
        <f t="shared" si="326"/>
        <v>13210</v>
      </c>
      <c r="U447" s="775">
        <f t="shared" si="327"/>
        <v>0</v>
      </c>
      <c r="V447" s="775">
        <f t="shared" si="315"/>
        <v>0</v>
      </c>
      <c r="W447" s="775">
        <f t="shared" si="308"/>
        <v>0</v>
      </c>
      <c r="X447" s="775">
        <f t="shared" si="328"/>
        <v>0</v>
      </c>
      <c r="Y447" s="775">
        <f t="shared" si="329"/>
        <v>0</v>
      </c>
      <c r="AA447" s="773">
        <v>435</v>
      </c>
      <c r="AB447" s="774">
        <f t="shared" si="330"/>
        <v>13210</v>
      </c>
      <c r="AC447" s="775">
        <f t="shared" si="331"/>
        <v>0</v>
      </c>
      <c r="AD447" s="775">
        <f t="shared" si="316"/>
        <v>0</v>
      </c>
      <c r="AE447" s="775">
        <f t="shared" si="309"/>
        <v>0</v>
      </c>
      <c r="AF447" s="775">
        <f t="shared" si="332"/>
        <v>0</v>
      </c>
      <c r="AG447" s="775">
        <f t="shared" si="333"/>
        <v>0</v>
      </c>
      <c r="AI447" s="773">
        <v>435</v>
      </c>
      <c r="AJ447" s="774">
        <f t="shared" si="334"/>
        <v>13210</v>
      </c>
      <c r="AK447" s="775">
        <f t="shared" si="335"/>
        <v>0</v>
      </c>
      <c r="AL447" s="775">
        <f t="shared" si="317"/>
        <v>0</v>
      </c>
      <c r="AM447" s="775">
        <f t="shared" si="310"/>
        <v>0</v>
      </c>
      <c r="AN447" s="775">
        <f t="shared" si="336"/>
        <v>0</v>
      </c>
      <c r="AO447" s="775">
        <f t="shared" si="337"/>
        <v>0</v>
      </c>
      <c r="AQ447" s="773">
        <v>435</v>
      </c>
      <c r="AR447" s="774">
        <f t="shared" si="338"/>
        <v>13210</v>
      </c>
      <c r="AS447" s="775">
        <f t="shared" si="339"/>
        <v>0</v>
      </c>
      <c r="AT447" s="775">
        <f t="shared" si="318"/>
        <v>0</v>
      </c>
      <c r="AU447" s="775">
        <f t="shared" si="311"/>
        <v>0</v>
      </c>
      <c r="AV447" s="775">
        <f t="shared" si="340"/>
        <v>0</v>
      </c>
      <c r="AW447" s="775">
        <f t="shared" si="341"/>
        <v>0</v>
      </c>
      <c r="AY447" s="773">
        <v>435</v>
      </c>
      <c r="AZ447" s="774">
        <f t="shared" si="342"/>
        <v>13210</v>
      </c>
      <c r="BA447" s="775">
        <f t="shared" si="343"/>
        <v>0</v>
      </c>
      <c r="BB447" s="775">
        <f t="shared" si="319"/>
        <v>0</v>
      </c>
      <c r="BC447" s="775">
        <f t="shared" si="312"/>
        <v>0</v>
      </c>
      <c r="BD447" s="775">
        <f t="shared" si="344"/>
        <v>0</v>
      </c>
      <c r="BE447" s="775">
        <f t="shared" si="345"/>
        <v>0</v>
      </c>
      <c r="BG447" s="773">
        <v>435</v>
      </c>
      <c r="BH447" s="774">
        <f t="shared" si="346"/>
        <v>13210</v>
      </c>
      <c r="BI447" s="775">
        <f t="shared" si="347"/>
        <v>0</v>
      </c>
      <c r="BJ447" s="775">
        <f t="shared" si="320"/>
        <v>0</v>
      </c>
      <c r="BK447" s="775">
        <f t="shared" si="313"/>
        <v>0</v>
      </c>
      <c r="BL447" s="775">
        <f t="shared" si="348"/>
        <v>0</v>
      </c>
      <c r="BM447" s="775">
        <f t="shared" si="349"/>
        <v>0</v>
      </c>
    </row>
    <row r="448" spans="1:65">
      <c r="A448" s="11">
        <f t="shared" si="306"/>
        <v>1936</v>
      </c>
      <c r="B448" s="773">
        <v>436</v>
      </c>
      <c r="C448" s="774">
        <f t="shared" si="321"/>
        <v>13241</v>
      </c>
      <c r="D448" s="775">
        <f t="shared" si="350"/>
        <v>0</v>
      </c>
      <c r="E448" s="775">
        <f t="shared" si="351"/>
        <v>0</v>
      </c>
      <c r="F448" s="775">
        <f t="shared" si="352"/>
        <v>0</v>
      </c>
      <c r="G448" s="775">
        <f t="shared" si="353"/>
        <v>0</v>
      </c>
      <c r="H448" s="775">
        <f t="shared" si="354"/>
        <v>0</v>
      </c>
      <c r="I448" s="775">
        <f t="shared" si="305"/>
        <v>0</v>
      </c>
      <c r="K448" s="773">
        <v>436</v>
      </c>
      <c r="L448" s="774">
        <f t="shared" si="322"/>
        <v>13241</v>
      </c>
      <c r="M448" s="775">
        <f t="shared" si="323"/>
        <v>0</v>
      </c>
      <c r="N448" s="775">
        <f t="shared" si="314"/>
        <v>0</v>
      </c>
      <c r="O448" s="775">
        <f t="shared" si="307"/>
        <v>0</v>
      </c>
      <c r="P448" s="775">
        <f t="shared" si="324"/>
        <v>0</v>
      </c>
      <c r="Q448" s="775">
        <f t="shared" si="325"/>
        <v>0</v>
      </c>
      <c r="S448" s="773">
        <v>436</v>
      </c>
      <c r="T448" s="774">
        <f t="shared" si="326"/>
        <v>13241</v>
      </c>
      <c r="U448" s="775">
        <f t="shared" si="327"/>
        <v>0</v>
      </c>
      <c r="V448" s="775">
        <f t="shared" si="315"/>
        <v>0</v>
      </c>
      <c r="W448" s="775">
        <f t="shared" si="308"/>
        <v>0</v>
      </c>
      <c r="X448" s="775">
        <f t="shared" si="328"/>
        <v>0</v>
      </c>
      <c r="Y448" s="775">
        <f t="shared" si="329"/>
        <v>0</v>
      </c>
      <c r="AA448" s="773">
        <v>436</v>
      </c>
      <c r="AB448" s="774">
        <f t="shared" si="330"/>
        <v>13241</v>
      </c>
      <c r="AC448" s="775">
        <f t="shared" si="331"/>
        <v>0</v>
      </c>
      <c r="AD448" s="775">
        <f t="shared" si="316"/>
        <v>0</v>
      </c>
      <c r="AE448" s="775">
        <f t="shared" si="309"/>
        <v>0</v>
      </c>
      <c r="AF448" s="775">
        <f t="shared" si="332"/>
        <v>0</v>
      </c>
      <c r="AG448" s="775">
        <f t="shared" si="333"/>
        <v>0</v>
      </c>
      <c r="AI448" s="773">
        <v>436</v>
      </c>
      <c r="AJ448" s="774">
        <f t="shared" si="334"/>
        <v>13241</v>
      </c>
      <c r="AK448" s="775">
        <f t="shared" si="335"/>
        <v>0</v>
      </c>
      <c r="AL448" s="775">
        <f t="shared" si="317"/>
        <v>0</v>
      </c>
      <c r="AM448" s="775">
        <f t="shared" si="310"/>
        <v>0</v>
      </c>
      <c r="AN448" s="775">
        <f t="shared" si="336"/>
        <v>0</v>
      </c>
      <c r="AO448" s="775">
        <f t="shared" si="337"/>
        <v>0</v>
      </c>
      <c r="AQ448" s="773">
        <v>436</v>
      </c>
      <c r="AR448" s="774">
        <f t="shared" si="338"/>
        <v>13241</v>
      </c>
      <c r="AS448" s="775">
        <f t="shared" si="339"/>
        <v>0</v>
      </c>
      <c r="AT448" s="775">
        <f t="shared" si="318"/>
        <v>0</v>
      </c>
      <c r="AU448" s="775">
        <f t="shared" si="311"/>
        <v>0</v>
      </c>
      <c r="AV448" s="775">
        <f t="shared" si="340"/>
        <v>0</v>
      </c>
      <c r="AW448" s="775">
        <f t="shared" si="341"/>
        <v>0</v>
      </c>
      <c r="AY448" s="773">
        <v>436</v>
      </c>
      <c r="AZ448" s="774">
        <f t="shared" si="342"/>
        <v>13241</v>
      </c>
      <c r="BA448" s="775">
        <f t="shared" si="343"/>
        <v>0</v>
      </c>
      <c r="BB448" s="775">
        <f t="shared" si="319"/>
        <v>0</v>
      </c>
      <c r="BC448" s="775">
        <f t="shared" si="312"/>
        <v>0</v>
      </c>
      <c r="BD448" s="775">
        <f t="shared" si="344"/>
        <v>0</v>
      </c>
      <c r="BE448" s="775">
        <f t="shared" si="345"/>
        <v>0</v>
      </c>
      <c r="BG448" s="773">
        <v>436</v>
      </c>
      <c r="BH448" s="774">
        <f t="shared" si="346"/>
        <v>13241</v>
      </c>
      <c r="BI448" s="775">
        <f t="shared" si="347"/>
        <v>0</v>
      </c>
      <c r="BJ448" s="775">
        <f t="shared" si="320"/>
        <v>0</v>
      </c>
      <c r="BK448" s="775">
        <f t="shared" si="313"/>
        <v>0</v>
      </c>
      <c r="BL448" s="775">
        <f t="shared" si="348"/>
        <v>0</v>
      </c>
      <c r="BM448" s="775">
        <f t="shared" si="349"/>
        <v>0</v>
      </c>
    </row>
    <row r="449" spans="1:65">
      <c r="A449" s="11">
        <f t="shared" si="306"/>
        <v>1936</v>
      </c>
      <c r="B449" s="773">
        <v>437</v>
      </c>
      <c r="C449" s="774">
        <f t="shared" si="321"/>
        <v>13271</v>
      </c>
      <c r="D449" s="775">
        <f t="shared" si="350"/>
        <v>0</v>
      </c>
      <c r="E449" s="775">
        <f t="shared" si="351"/>
        <v>0</v>
      </c>
      <c r="F449" s="775">
        <f t="shared" si="352"/>
        <v>0</v>
      </c>
      <c r="G449" s="775">
        <f t="shared" si="353"/>
        <v>0</v>
      </c>
      <c r="H449" s="775">
        <f t="shared" si="354"/>
        <v>0</v>
      </c>
      <c r="I449" s="775">
        <f t="shared" si="305"/>
        <v>0</v>
      </c>
      <c r="K449" s="773">
        <v>437</v>
      </c>
      <c r="L449" s="774">
        <f t="shared" si="322"/>
        <v>13271</v>
      </c>
      <c r="M449" s="775">
        <f t="shared" si="323"/>
        <v>0</v>
      </c>
      <c r="N449" s="775">
        <f t="shared" si="314"/>
        <v>0</v>
      </c>
      <c r="O449" s="775">
        <f t="shared" si="307"/>
        <v>0</v>
      </c>
      <c r="P449" s="775">
        <f t="shared" si="324"/>
        <v>0</v>
      </c>
      <c r="Q449" s="775">
        <f t="shared" si="325"/>
        <v>0</v>
      </c>
      <c r="S449" s="773">
        <v>437</v>
      </c>
      <c r="T449" s="774">
        <f t="shared" si="326"/>
        <v>13271</v>
      </c>
      <c r="U449" s="775">
        <f t="shared" si="327"/>
        <v>0</v>
      </c>
      <c r="V449" s="775">
        <f t="shared" si="315"/>
        <v>0</v>
      </c>
      <c r="W449" s="775">
        <f t="shared" si="308"/>
        <v>0</v>
      </c>
      <c r="X449" s="775">
        <f t="shared" si="328"/>
        <v>0</v>
      </c>
      <c r="Y449" s="775">
        <f t="shared" si="329"/>
        <v>0</v>
      </c>
      <c r="AA449" s="773">
        <v>437</v>
      </c>
      <c r="AB449" s="774">
        <f t="shared" si="330"/>
        <v>13271</v>
      </c>
      <c r="AC449" s="775">
        <f t="shared" si="331"/>
        <v>0</v>
      </c>
      <c r="AD449" s="775">
        <f t="shared" si="316"/>
        <v>0</v>
      </c>
      <c r="AE449" s="775">
        <f t="shared" si="309"/>
        <v>0</v>
      </c>
      <c r="AF449" s="775">
        <f t="shared" si="332"/>
        <v>0</v>
      </c>
      <c r="AG449" s="775">
        <f t="shared" si="333"/>
        <v>0</v>
      </c>
      <c r="AI449" s="773">
        <v>437</v>
      </c>
      <c r="AJ449" s="774">
        <f t="shared" si="334"/>
        <v>13271</v>
      </c>
      <c r="AK449" s="775">
        <f t="shared" si="335"/>
        <v>0</v>
      </c>
      <c r="AL449" s="775">
        <f t="shared" si="317"/>
        <v>0</v>
      </c>
      <c r="AM449" s="775">
        <f t="shared" si="310"/>
        <v>0</v>
      </c>
      <c r="AN449" s="775">
        <f t="shared" si="336"/>
        <v>0</v>
      </c>
      <c r="AO449" s="775">
        <f t="shared" si="337"/>
        <v>0</v>
      </c>
      <c r="AQ449" s="773">
        <v>437</v>
      </c>
      <c r="AR449" s="774">
        <f t="shared" si="338"/>
        <v>13271</v>
      </c>
      <c r="AS449" s="775">
        <f t="shared" si="339"/>
        <v>0</v>
      </c>
      <c r="AT449" s="775">
        <f t="shared" si="318"/>
        <v>0</v>
      </c>
      <c r="AU449" s="775">
        <f t="shared" si="311"/>
        <v>0</v>
      </c>
      <c r="AV449" s="775">
        <f t="shared" si="340"/>
        <v>0</v>
      </c>
      <c r="AW449" s="775">
        <f t="shared" si="341"/>
        <v>0</v>
      </c>
      <c r="AY449" s="773">
        <v>437</v>
      </c>
      <c r="AZ449" s="774">
        <f t="shared" si="342"/>
        <v>13271</v>
      </c>
      <c r="BA449" s="775">
        <f t="shared" si="343"/>
        <v>0</v>
      </c>
      <c r="BB449" s="775">
        <f t="shared" si="319"/>
        <v>0</v>
      </c>
      <c r="BC449" s="775">
        <f t="shared" si="312"/>
        <v>0</v>
      </c>
      <c r="BD449" s="775">
        <f t="shared" si="344"/>
        <v>0</v>
      </c>
      <c r="BE449" s="775">
        <f t="shared" si="345"/>
        <v>0</v>
      </c>
      <c r="BG449" s="773">
        <v>437</v>
      </c>
      <c r="BH449" s="774">
        <f t="shared" si="346"/>
        <v>13271</v>
      </c>
      <c r="BI449" s="775">
        <f t="shared" si="347"/>
        <v>0</v>
      </c>
      <c r="BJ449" s="775">
        <f t="shared" si="320"/>
        <v>0</v>
      </c>
      <c r="BK449" s="775">
        <f t="shared" si="313"/>
        <v>0</v>
      </c>
      <c r="BL449" s="775">
        <f t="shared" si="348"/>
        <v>0</v>
      </c>
      <c r="BM449" s="775">
        <f t="shared" si="349"/>
        <v>0</v>
      </c>
    </row>
    <row r="450" spans="1:65">
      <c r="A450" s="11">
        <f t="shared" si="306"/>
        <v>1936</v>
      </c>
      <c r="B450" s="773">
        <v>438</v>
      </c>
      <c r="C450" s="774">
        <f t="shared" si="321"/>
        <v>13302</v>
      </c>
      <c r="D450" s="775">
        <f t="shared" si="350"/>
        <v>0</v>
      </c>
      <c r="E450" s="775">
        <f t="shared" si="351"/>
        <v>0</v>
      </c>
      <c r="F450" s="775">
        <f t="shared" si="352"/>
        <v>0</v>
      </c>
      <c r="G450" s="775">
        <f t="shared" si="353"/>
        <v>0</v>
      </c>
      <c r="H450" s="775">
        <f t="shared" si="354"/>
        <v>0</v>
      </c>
      <c r="I450" s="775">
        <f t="shared" si="305"/>
        <v>0</v>
      </c>
      <c r="K450" s="773">
        <v>438</v>
      </c>
      <c r="L450" s="774">
        <f t="shared" si="322"/>
        <v>13302</v>
      </c>
      <c r="M450" s="775">
        <f t="shared" si="323"/>
        <v>0</v>
      </c>
      <c r="N450" s="775">
        <f t="shared" si="314"/>
        <v>0</v>
      </c>
      <c r="O450" s="775">
        <f t="shared" si="307"/>
        <v>0</v>
      </c>
      <c r="P450" s="775">
        <f t="shared" si="324"/>
        <v>0</v>
      </c>
      <c r="Q450" s="775">
        <f t="shared" si="325"/>
        <v>0</v>
      </c>
      <c r="S450" s="773">
        <v>438</v>
      </c>
      <c r="T450" s="774">
        <f t="shared" si="326"/>
        <v>13302</v>
      </c>
      <c r="U450" s="775">
        <f t="shared" si="327"/>
        <v>0</v>
      </c>
      <c r="V450" s="775">
        <f t="shared" si="315"/>
        <v>0</v>
      </c>
      <c r="W450" s="775">
        <f t="shared" si="308"/>
        <v>0</v>
      </c>
      <c r="X450" s="775">
        <f t="shared" si="328"/>
        <v>0</v>
      </c>
      <c r="Y450" s="775">
        <f t="shared" si="329"/>
        <v>0</v>
      </c>
      <c r="AA450" s="773">
        <v>438</v>
      </c>
      <c r="AB450" s="774">
        <f t="shared" si="330"/>
        <v>13302</v>
      </c>
      <c r="AC450" s="775">
        <f t="shared" si="331"/>
        <v>0</v>
      </c>
      <c r="AD450" s="775">
        <f t="shared" si="316"/>
        <v>0</v>
      </c>
      <c r="AE450" s="775">
        <f t="shared" si="309"/>
        <v>0</v>
      </c>
      <c r="AF450" s="775">
        <f t="shared" si="332"/>
        <v>0</v>
      </c>
      <c r="AG450" s="775">
        <f t="shared" si="333"/>
        <v>0</v>
      </c>
      <c r="AI450" s="773">
        <v>438</v>
      </c>
      <c r="AJ450" s="774">
        <f t="shared" si="334"/>
        <v>13302</v>
      </c>
      <c r="AK450" s="775">
        <f t="shared" si="335"/>
        <v>0</v>
      </c>
      <c r="AL450" s="775">
        <f t="shared" si="317"/>
        <v>0</v>
      </c>
      <c r="AM450" s="775">
        <f t="shared" si="310"/>
        <v>0</v>
      </c>
      <c r="AN450" s="775">
        <f t="shared" si="336"/>
        <v>0</v>
      </c>
      <c r="AO450" s="775">
        <f t="shared" si="337"/>
        <v>0</v>
      </c>
      <c r="AQ450" s="773">
        <v>438</v>
      </c>
      <c r="AR450" s="774">
        <f t="shared" si="338"/>
        <v>13302</v>
      </c>
      <c r="AS450" s="775">
        <f t="shared" si="339"/>
        <v>0</v>
      </c>
      <c r="AT450" s="775">
        <f t="shared" si="318"/>
        <v>0</v>
      </c>
      <c r="AU450" s="775">
        <f t="shared" si="311"/>
        <v>0</v>
      </c>
      <c r="AV450" s="775">
        <f t="shared" si="340"/>
        <v>0</v>
      </c>
      <c r="AW450" s="775">
        <f t="shared" si="341"/>
        <v>0</v>
      </c>
      <c r="AY450" s="773">
        <v>438</v>
      </c>
      <c r="AZ450" s="774">
        <f t="shared" si="342"/>
        <v>13302</v>
      </c>
      <c r="BA450" s="775">
        <f t="shared" si="343"/>
        <v>0</v>
      </c>
      <c r="BB450" s="775">
        <f t="shared" si="319"/>
        <v>0</v>
      </c>
      <c r="BC450" s="775">
        <f t="shared" si="312"/>
        <v>0</v>
      </c>
      <c r="BD450" s="775">
        <f t="shared" si="344"/>
        <v>0</v>
      </c>
      <c r="BE450" s="775">
        <f t="shared" si="345"/>
        <v>0</v>
      </c>
      <c r="BG450" s="773">
        <v>438</v>
      </c>
      <c r="BH450" s="774">
        <f t="shared" si="346"/>
        <v>13302</v>
      </c>
      <c r="BI450" s="775">
        <f t="shared" si="347"/>
        <v>0</v>
      </c>
      <c r="BJ450" s="775">
        <f t="shared" si="320"/>
        <v>0</v>
      </c>
      <c r="BK450" s="775">
        <f t="shared" si="313"/>
        <v>0</v>
      </c>
      <c r="BL450" s="775">
        <f t="shared" si="348"/>
        <v>0</v>
      </c>
      <c r="BM450" s="775">
        <f t="shared" si="349"/>
        <v>0</v>
      </c>
    </row>
    <row r="451" spans="1:65">
      <c r="A451" s="11">
        <f t="shared" si="306"/>
        <v>1936</v>
      </c>
      <c r="B451" s="773">
        <v>439</v>
      </c>
      <c r="C451" s="774">
        <f t="shared" si="321"/>
        <v>13332</v>
      </c>
      <c r="D451" s="775">
        <f t="shared" si="350"/>
        <v>0</v>
      </c>
      <c r="E451" s="775">
        <f t="shared" si="351"/>
        <v>0</v>
      </c>
      <c r="F451" s="775">
        <f t="shared" si="352"/>
        <v>0</v>
      </c>
      <c r="G451" s="775">
        <f t="shared" si="353"/>
        <v>0</v>
      </c>
      <c r="H451" s="775">
        <f t="shared" si="354"/>
        <v>0</v>
      </c>
      <c r="I451" s="775">
        <f t="shared" si="305"/>
        <v>0</v>
      </c>
      <c r="K451" s="773">
        <v>439</v>
      </c>
      <c r="L451" s="774">
        <f t="shared" si="322"/>
        <v>13332</v>
      </c>
      <c r="M451" s="775">
        <f t="shared" si="323"/>
        <v>0</v>
      </c>
      <c r="N451" s="775">
        <f t="shared" si="314"/>
        <v>0</v>
      </c>
      <c r="O451" s="775">
        <f t="shared" si="307"/>
        <v>0</v>
      </c>
      <c r="P451" s="775">
        <f t="shared" si="324"/>
        <v>0</v>
      </c>
      <c r="Q451" s="775">
        <f t="shared" si="325"/>
        <v>0</v>
      </c>
      <c r="S451" s="773">
        <v>439</v>
      </c>
      <c r="T451" s="774">
        <f t="shared" si="326"/>
        <v>13332</v>
      </c>
      <c r="U451" s="775">
        <f t="shared" si="327"/>
        <v>0</v>
      </c>
      <c r="V451" s="775">
        <f t="shared" si="315"/>
        <v>0</v>
      </c>
      <c r="W451" s="775">
        <f t="shared" si="308"/>
        <v>0</v>
      </c>
      <c r="X451" s="775">
        <f t="shared" si="328"/>
        <v>0</v>
      </c>
      <c r="Y451" s="775">
        <f t="shared" si="329"/>
        <v>0</v>
      </c>
      <c r="AA451" s="773">
        <v>439</v>
      </c>
      <c r="AB451" s="774">
        <f t="shared" si="330"/>
        <v>13332</v>
      </c>
      <c r="AC451" s="775">
        <f t="shared" si="331"/>
        <v>0</v>
      </c>
      <c r="AD451" s="775">
        <f t="shared" si="316"/>
        <v>0</v>
      </c>
      <c r="AE451" s="775">
        <f t="shared" si="309"/>
        <v>0</v>
      </c>
      <c r="AF451" s="775">
        <f t="shared" si="332"/>
        <v>0</v>
      </c>
      <c r="AG451" s="775">
        <f t="shared" si="333"/>
        <v>0</v>
      </c>
      <c r="AI451" s="773">
        <v>439</v>
      </c>
      <c r="AJ451" s="774">
        <f t="shared" si="334"/>
        <v>13332</v>
      </c>
      <c r="AK451" s="775">
        <f t="shared" si="335"/>
        <v>0</v>
      </c>
      <c r="AL451" s="775">
        <f t="shared" si="317"/>
        <v>0</v>
      </c>
      <c r="AM451" s="775">
        <f t="shared" si="310"/>
        <v>0</v>
      </c>
      <c r="AN451" s="775">
        <f t="shared" si="336"/>
        <v>0</v>
      </c>
      <c r="AO451" s="775">
        <f t="shared" si="337"/>
        <v>0</v>
      </c>
      <c r="AQ451" s="773">
        <v>439</v>
      </c>
      <c r="AR451" s="774">
        <f t="shared" si="338"/>
        <v>13332</v>
      </c>
      <c r="AS451" s="775">
        <f t="shared" si="339"/>
        <v>0</v>
      </c>
      <c r="AT451" s="775">
        <f t="shared" si="318"/>
        <v>0</v>
      </c>
      <c r="AU451" s="775">
        <f t="shared" si="311"/>
        <v>0</v>
      </c>
      <c r="AV451" s="775">
        <f t="shared" si="340"/>
        <v>0</v>
      </c>
      <c r="AW451" s="775">
        <f t="shared" si="341"/>
        <v>0</v>
      </c>
      <c r="AY451" s="773">
        <v>439</v>
      </c>
      <c r="AZ451" s="774">
        <f t="shared" si="342"/>
        <v>13332</v>
      </c>
      <c r="BA451" s="775">
        <f t="shared" si="343"/>
        <v>0</v>
      </c>
      <c r="BB451" s="775">
        <f t="shared" si="319"/>
        <v>0</v>
      </c>
      <c r="BC451" s="775">
        <f t="shared" si="312"/>
        <v>0</v>
      </c>
      <c r="BD451" s="775">
        <f t="shared" si="344"/>
        <v>0</v>
      </c>
      <c r="BE451" s="775">
        <f t="shared" si="345"/>
        <v>0</v>
      </c>
      <c r="BG451" s="773">
        <v>439</v>
      </c>
      <c r="BH451" s="774">
        <f t="shared" si="346"/>
        <v>13332</v>
      </c>
      <c r="BI451" s="775">
        <f t="shared" si="347"/>
        <v>0</v>
      </c>
      <c r="BJ451" s="775">
        <f t="shared" si="320"/>
        <v>0</v>
      </c>
      <c r="BK451" s="775">
        <f t="shared" si="313"/>
        <v>0</v>
      </c>
      <c r="BL451" s="775">
        <f t="shared" si="348"/>
        <v>0</v>
      </c>
      <c r="BM451" s="775">
        <f t="shared" si="349"/>
        <v>0</v>
      </c>
    </row>
    <row r="452" spans="1:65">
      <c r="A452" s="11">
        <f t="shared" si="306"/>
        <v>1936</v>
      </c>
      <c r="B452" s="773">
        <v>440</v>
      </c>
      <c r="C452" s="774">
        <f t="shared" si="321"/>
        <v>13363</v>
      </c>
      <c r="D452" s="775">
        <f t="shared" si="350"/>
        <v>0</v>
      </c>
      <c r="E452" s="775">
        <f t="shared" si="351"/>
        <v>0</v>
      </c>
      <c r="F452" s="775">
        <f t="shared" si="352"/>
        <v>0</v>
      </c>
      <c r="G452" s="775">
        <f t="shared" si="353"/>
        <v>0</v>
      </c>
      <c r="H452" s="775">
        <f t="shared" si="354"/>
        <v>0</v>
      </c>
      <c r="I452" s="775">
        <f t="shared" si="305"/>
        <v>0</v>
      </c>
      <c r="K452" s="773">
        <v>440</v>
      </c>
      <c r="L452" s="774">
        <f t="shared" si="322"/>
        <v>13363</v>
      </c>
      <c r="M452" s="775">
        <f t="shared" si="323"/>
        <v>0</v>
      </c>
      <c r="N452" s="775">
        <f t="shared" si="314"/>
        <v>0</v>
      </c>
      <c r="O452" s="775">
        <f t="shared" si="307"/>
        <v>0</v>
      </c>
      <c r="P452" s="775">
        <f t="shared" si="324"/>
        <v>0</v>
      </c>
      <c r="Q452" s="775">
        <f t="shared" si="325"/>
        <v>0</v>
      </c>
      <c r="S452" s="773">
        <v>440</v>
      </c>
      <c r="T452" s="774">
        <f t="shared" si="326"/>
        <v>13363</v>
      </c>
      <c r="U452" s="775">
        <f t="shared" si="327"/>
        <v>0</v>
      </c>
      <c r="V452" s="775">
        <f t="shared" si="315"/>
        <v>0</v>
      </c>
      <c r="W452" s="775">
        <f t="shared" si="308"/>
        <v>0</v>
      </c>
      <c r="X452" s="775">
        <f t="shared" si="328"/>
        <v>0</v>
      </c>
      <c r="Y452" s="775">
        <f t="shared" si="329"/>
        <v>0</v>
      </c>
      <c r="AA452" s="773">
        <v>440</v>
      </c>
      <c r="AB452" s="774">
        <f t="shared" si="330"/>
        <v>13363</v>
      </c>
      <c r="AC452" s="775">
        <f t="shared" si="331"/>
        <v>0</v>
      </c>
      <c r="AD452" s="775">
        <f t="shared" si="316"/>
        <v>0</v>
      </c>
      <c r="AE452" s="775">
        <f t="shared" si="309"/>
        <v>0</v>
      </c>
      <c r="AF452" s="775">
        <f t="shared" si="332"/>
        <v>0</v>
      </c>
      <c r="AG452" s="775">
        <f t="shared" si="333"/>
        <v>0</v>
      </c>
      <c r="AI452" s="773">
        <v>440</v>
      </c>
      <c r="AJ452" s="774">
        <f t="shared" si="334"/>
        <v>13363</v>
      </c>
      <c r="AK452" s="775">
        <f t="shared" si="335"/>
        <v>0</v>
      </c>
      <c r="AL452" s="775">
        <f t="shared" si="317"/>
        <v>0</v>
      </c>
      <c r="AM452" s="775">
        <f t="shared" si="310"/>
        <v>0</v>
      </c>
      <c r="AN452" s="775">
        <f t="shared" si="336"/>
        <v>0</v>
      </c>
      <c r="AO452" s="775">
        <f t="shared" si="337"/>
        <v>0</v>
      </c>
      <c r="AQ452" s="773">
        <v>440</v>
      </c>
      <c r="AR452" s="774">
        <f t="shared" si="338"/>
        <v>13363</v>
      </c>
      <c r="AS452" s="775">
        <f t="shared" si="339"/>
        <v>0</v>
      </c>
      <c r="AT452" s="775">
        <f t="shared" si="318"/>
        <v>0</v>
      </c>
      <c r="AU452" s="775">
        <f t="shared" si="311"/>
        <v>0</v>
      </c>
      <c r="AV452" s="775">
        <f t="shared" si="340"/>
        <v>0</v>
      </c>
      <c r="AW452" s="775">
        <f t="shared" si="341"/>
        <v>0</v>
      </c>
      <c r="AY452" s="773">
        <v>440</v>
      </c>
      <c r="AZ452" s="774">
        <f t="shared" si="342"/>
        <v>13363</v>
      </c>
      <c r="BA452" s="775">
        <f t="shared" si="343"/>
        <v>0</v>
      </c>
      <c r="BB452" s="775">
        <f t="shared" si="319"/>
        <v>0</v>
      </c>
      <c r="BC452" s="775">
        <f t="shared" si="312"/>
        <v>0</v>
      </c>
      <c r="BD452" s="775">
        <f t="shared" si="344"/>
        <v>0</v>
      </c>
      <c r="BE452" s="775">
        <f t="shared" si="345"/>
        <v>0</v>
      </c>
      <c r="BG452" s="773">
        <v>440</v>
      </c>
      <c r="BH452" s="774">
        <f t="shared" si="346"/>
        <v>13363</v>
      </c>
      <c r="BI452" s="775">
        <f t="shared" si="347"/>
        <v>0</v>
      </c>
      <c r="BJ452" s="775">
        <f t="shared" si="320"/>
        <v>0</v>
      </c>
      <c r="BK452" s="775">
        <f t="shared" si="313"/>
        <v>0</v>
      </c>
      <c r="BL452" s="775">
        <f t="shared" si="348"/>
        <v>0</v>
      </c>
      <c r="BM452" s="775">
        <f t="shared" si="349"/>
        <v>0</v>
      </c>
    </row>
    <row r="453" spans="1:65">
      <c r="A453" s="11">
        <f t="shared" si="306"/>
        <v>1936</v>
      </c>
      <c r="B453" s="773">
        <v>441</v>
      </c>
      <c r="C453" s="774">
        <f t="shared" si="321"/>
        <v>13394</v>
      </c>
      <c r="D453" s="775">
        <f t="shared" si="350"/>
        <v>0</v>
      </c>
      <c r="E453" s="775">
        <f t="shared" si="351"/>
        <v>0</v>
      </c>
      <c r="F453" s="775">
        <f t="shared" si="352"/>
        <v>0</v>
      </c>
      <c r="G453" s="775">
        <f t="shared" si="353"/>
        <v>0</v>
      </c>
      <c r="H453" s="775">
        <f t="shared" si="354"/>
        <v>0</v>
      </c>
      <c r="I453" s="775">
        <f t="shared" si="305"/>
        <v>0</v>
      </c>
      <c r="K453" s="773">
        <v>441</v>
      </c>
      <c r="L453" s="774">
        <f t="shared" si="322"/>
        <v>13394</v>
      </c>
      <c r="M453" s="775">
        <f t="shared" si="323"/>
        <v>0</v>
      </c>
      <c r="N453" s="775">
        <f t="shared" si="314"/>
        <v>0</v>
      </c>
      <c r="O453" s="775">
        <f t="shared" si="307"/>
        <v>0</v>
      </c>
      <c r="P453" s="775">
        <f t="shared" si="324"/>
        <v>0</v>
      </c>
      <c r="Q453" s="775">
        <f t="shared" si="325"/>
        <v>0</v>
      </c>
      <c r="S453" s="773">
        <v>441</v>
      </c>
      <c r="T453" s="774">
        <f t="shared" si="326"/>
        <v>13394</v>
      </c>
      <c r="U453" s="775">
        <f t="shared" si="327"/>
        <v>0</v>
      </c>
      <c r="V453" s="775">
        <f t="shared" si="315"/>
        <v>0</v>
      </c>
      <c r="W453" s="775">
        <f t="shared" si="308"/>
        <v>0</v>
      </c>
      <c r="X453" s="775">
        <f t="shared" si="328"/>
        <v>0</v>
      </c>
      <c r="Y453" s="775">
        <f t="shared" si="329"/>
        <v>0</v>
      </c>
      <c r="AA453" s="773">
        <v>441</v>
      </c>
      <c r="AB453" s="774">
        <f t="shared" si="330"/>
        <v>13394</v>
      </c>
      <c r="AC453" s="775">
        <f t="shared" si="331"/>
        <v>0</v>
      </c>
      <c r="AD453" s="775">
        <f t="shared" si="316"/>
        <v>0</v>
      </c>
      <c r="AE453" s="775">
        <f t="shared" si="309"/>
        <v>0</v>
      </c>
      <c r="AF453" s="775">
        <f t="shared" si="332"/>
        <v>0</v>
      </c>
      <c r="AG453" s="775">
        <f t="shared" si="333"/>
        <v>0</v>
      </c>
      <c r="AI453" s="773">
        <v>441</v>
      </c>
      <c r="AJ453" s="774">
        <f t="shared" si="334"/>
        <v>13394</v>
      </c>
      <c r="AK453" s="775">
        <f t="shared" si="335"/>
        <v>0</v>
      </c>
      <c r="AL453" s="775">
        <f t="shared" si="317"/>
        <v>0</v>
      </c>
      <c r="AM453" s="775">
        <f t="shared" si="310"/>
        <v>0</v>
      </c>
      <c r="AN453" s="775">
        <f t="shared" si="336"/>
        <v>0</v>
      </c>
      <c r="AO453" s="775">
        <f t="shared" si="337"/>
        <v>0</v>
      </c>
      <c r="AQ453" s="773">
        <v>441</v>
      </c>
      <c r="AR453" s="774">
        <f t="shared" si="338"/>
        <v>13394</v>
      </c>
      <c r="AS453" s="775">
        <f t="shared" si="339"/>
        <v>0</v>
      </c>
      <c r="AT453" s="775">
        <f t="shared" si="318"/>
        <v>0</v>
      </c>
      <c r="AU453" s="775">
        <f t="shared" si="311"/>
        <v>0</v>
      </c>
      <c r="AV453" s="775">
        <f t="shared" si="340"/>
        <v>0</v>
      </c>
      <c r="AW453" s="775">
        <f t="shared" si="341"/>
        <v>0</v>
      </c>
      <c r="AY453" s="773">
        <v>441</v>
      </c>
      <c r="AZ453" s="774">
        <f t="shared" si="342"/>
        <v>13394</v>
      </c>
      <c r="BA453" s="775">
        <f t="shared" si="343"/>
        <v>0</v>
      </c>
      <c r="BB453" s="775">
        <f t="shared" si="319"/>
        <v>0</v>
      </c>
      <c r="BC453" s="775">
        <f t="shared" si="312"/>
        <v>0</v>
      </c>
      <c r="BD453" s="775">
        <f t="shared" si="344"/>
        <v>0</v>
      </c>
      <c r="BE453" s="775">
        <f t="shared" si="345"/>
        <v>0</v>
      </c>
      <c r="BG453" s="773">
        <v>441</v>
      </c>
      <c r="BH453" s="774">
        <f t="shared" si="346"/>
        <v>13394</v>
      </c>
      <c r="BI453" s="775">
        <f t="shared" si="347"/>
        <v>0</v>
      </c>
      <c r="BJ453" s="775">
        <f t="shared" si="320"/>
        <v>0</v>
      </c>
      <c r="BK453" s="775">
        <f t="shared" si="313"/>
        <v>0</v>
      </c>
      <c r="BL453" s="775">
        <f t="shared" si="348"/>
        <v>0</v>
      </c>
      <c r="BM453" s="775">
        <f t="shared" si="349"/>
        <v>0</v>
      </c>
    </row>
    <row r="454" spans="1:65">
      <c r="A454" s="11">
        <f t="shared" si="306"/>
        <v>1936</v>
      </c>
      <c r="B454" s="773">
        <v>442</v>
      </c>
      <c r="C454" s="774">
        <f t="shared" si="321"/>
        <v>13424</v>
      </c>
      <c r="D454" s="775">
        <f t="shared" si="350"/>
        <v>0</v>
      </c>
      <c r="E454" s="775">
        <f t="shared" si="351"/>
        <v>0</v>
      </c>
      <c r="F454" s="775">
        <f t="shared" si="352"/>
        <v>0</v>
      </c>
      <c r="G454" s="775">
        <f t="shared" si="353"/>
        <v>0</v>
      </c>
      <c r="H454" s="775">
        <f t="shared" si="354"/>
        <v>0</v>
      </c>
      <c r="I454" s="775">
        <f t="shared" si="305"/>
        <v>0</v>
      </c>
      <c r="K454" s="773">
        <v>442</v>
      </c>
      <c r="L454" s="774">
        <f t="shared" si="322"/>
        <v>13424</v>
      </c>
      <c r="M454" s="775">
        <f t="shared" si="323"/>
        <v>0</v>
      </c>
      <c r="N454" s="775">
        <f t="shared" si="314"/>
        <v>0</v>
      </c>
      <c r="O454" s="775">
        <f t="shared" si="307"/>
        <v>0</v>
      </c>
      <c r="P454" s="775">
        <f t="shared" si="324"/>
        <v>0</v>
      </c>
      <c r="Q454" s="775">
        <f t="shared" si="325"/>
        <v>0</v>
      </c>
      <c r="S454" s="773">
        <v>442</v>
      </c>
      <c r="T454" s="774">
        <f t="shared" si="326"/>
        <v>13424</v>
      </c>
      <c r="U454" s="775">
        <f t="shared" si="327"/>
        <v>0</v>
      </c>
      <c r="V454" s="775">
        <f t="shared" si="315"/>
        <v>0</v>
      </c>
      <c r="W454" s="775">
        <f t="shared" si="308"/>
        <v>0</v>
      </c>
      <c r="X454" s="775">
        <f t="shared" si="328"/>
        <v>0</v>
      </c>
      <c r="Y454" s="775">
        <f t="shared" si="329"/>
        <v>0</v>
      </c>
      <c r="AA454" s="773">
        <v>442</v>
      </c>
      <c r="AB454" s="774">
        <f t="shared" si="330"/>
        <v>13424</v>
      </c>
      <c r="AC454" s="775">
        <f t="shared" si="331"/>
        <v>0</v>
      </c>
      <c r="AD454" s="775">
        <f t="shared" si="316"/>
        <v>0</v>
      </c>
      <c r="AE454" s="775">
        <f t="shared" si="309"/>
        <v>0</v>
      </c>
      <c r="AF454" s="775">
        <f t="shared" si="332"/>
        <v>0</v>
      </c>
      <c r="AG454" s="775">
        <f t="shared" si="333"/>
        <v>0</v>
      </c>
      <c r="AI454" s="773">
        <v>442</v>
      </c>
      <c r="AJ454" s="774">
        <f t="shared" si="334"/>
        <v>13424</v>
      </c>
      <c r="AK454" s="775">
        <f t="shared" si="335"/>
        <v>0</v>
      </c>
      <c r="AL454" s="775">
        <f t="shared" si="317"/>
        <v>0</v>
      </c>
      <c r="AM454" s="775">
        <f t="shared" si="310"/>
        <v>0</v>
      </c>
      <c r="AN454" s="775">
        <f t="shared" si="336"/>
        <v>0</v>
      </c>
      <c r="AO454" s="775">
        <f t="shared" si="337"/>
        <v>0</v>
      </c>
      <c r="AQ454" s="773">
        <v>442</v>
      </c>
      <c r="AR454" s="774">
        <f t="shared" si="338"/>
        <v>13424</v>
      </c>
      <c r="AS454" s="775">
        <f t="shared" si="339"/>
        <v>0</v>
      </c>
      <c r="AT454" s="775">
        <f t="shared" si="318"/>
        <v>0</v>
      </c>
      <c r="AU454" s="775">
        <f t="shared" si="311"/>
        <v>0</v>
      </c>
      <c r="AV454" s="775">
        <f t="shared" si="340"/>
        <v>0</v>
      </c>
      <c r="AW454" s="775">
        <f t="shared" si="341"/>
        <v>0</v>
      </c>
      <c r="AY454" s="773">
        <v>442</v>
      </c>
      <c r="AZ454" s="774">
        <f t="shared" si="342"/>
        <v>13424</v>
      </c>
      <c r="BA454" s="775">
        <f t="shared" si="343"/>
        <v>0</v>
      </c>
      <c r="BB454" s="775">
        <f t="shared" si="319"/>
        <v>0</v>
      </c>
      <c r="BC454" s="775">
        <f t="shared" si="312"/>
        <v>0</v>
      </c>
      <c r="BD454" s="775">
        <f t="shared" si="344"/>
        <v>0</v>
      </c>
      <c r="BE454" s="775">
        <f t="shared" si="345"/>
        <v>0</v>
      </c>
      <c r="BG454" s="773">
        <v>442</v>
      </c>
      <c r="BH454" s="774">
        <f t="shared" si="346"/>
        <v>13424</v>
      </c>
      <c r="BI454" s="775">
        <f t="shared" si="347"/>
        <v>0</v>
      </c>
      <c r="BJ454" s="775">
        <f t="shared" si="320"/>
        <v>0</v>
      </c>
      <c r="BK454" s="775">
        <f t="shared" si="313"/>
        <v>0</v>
      </c>
      <c r="BL454" s="775">
        <f t="shared" si="348"/>
        <v>0</v>
      </c>
      <c r="BM454" s="775">
        <f t="shared" si="349"/>
        <v>0</v>
      </c>
    </row>
    <row r="455" spans="1:65">
      <c r="A455" s="11">
        <f t="shared" si="306"/>
        <v>1936</v>
      </c>
      <c r="B455" s="773">
        <v>443</v>
      </c>
      <c r="C455" s="774">
        <f t="shared" si="321"/>
        <v>13455</v>
      </c>
      <c r="D455" s="775">
        <f t="shared" si="350"/>
        <v>0</v>
      </c>
      <c r="E455" s="775">
        <f t="shared" si="351"/>
        <v>0</v>
      </c>
      <c r="F455" s="775">
        <f t="shared" si="352"/>
        <v>0</v>
      </c>
      <c r="G455" s="775">
        <f t="shared" si="353"/>
        <v>0</v>
      </c>
      <c r="H455" s="775">
        <f t="shared" si="354"/>
        <v>0</v>
      </c>
      <c r="I455" s="775">
        <f t="shared" si="305"/>
        <v>0</v>
      </c>
      <c r="K455" s="773">
        <v>443</v>
      </c>
      <c r="L455" s="774">
        <f t="shared" si="322"/>
        <v>13455</v>
      </c>
      <c r="M455" s="775">
        <f t="shared" si="323"/>
        <v>0</v>
      </c>
      <c r="N455" s="775">
        <f t="shared" si="314"/>
        <v>0</v>
      </c>
      <c r="O455" s="775">
        <f t="shared" si="307"/>
        <v>0</v>
      </c>
      <c r="P455" s="775">
        <f t="shared" si="324"/>
        <v>0</v>
      </c>
      <c r="Q455" s="775">
        <f t="shared" si="325"/>
        <v>0</v>
      </c>
      <c r="S455" s="773">
        <v>443</v>
      </c>
      <c r="T455" s="774">
        <f t="shared" si="326"/>
        <v>13455</v>
      </c>
      <c r="U455" s="775">
        <f t="shared" si="327"/>
        <v>0</v>
      </c>
      <c r="V455" s="775">
        <f t="shared" si="315"/>
        <v>0</v>
      </c>
      <c r="W455" s="775">
        <f t="shared" si="308"/>
        <v>0</v>
      </c>
      <c r="X455" s="775">
        <f t="shared" si="328"/>
        <v>0</v>
      </c>
      <c r="Y455" s="775">
        <f t="shared" si="329"/>
        <v>0</v>
      </c>
      <c r="AA455" s="773">
        <v>443</v>
      </c>
      <c r="AB455" s="774">
        <f t="shared" si="330"/>
        <v>13455</v>
      </c>
      <c r="AC455" s="775">
        <f t="shared" si="331"/>
        <v>0</v>
      </c>
      <c r="AD455" s="775">
        <f t="shared" si="316"/>
        <v>0</v>
      </c>
      <c r="AE455" s="775">
        <f t="shared" si="309"/>
        <v>0</v>
      </c>
      <c r="AF455" s="775">
        <f t="shared" si="332"/>
        <v>0</v>
      </c>
      <c r="AG455" s="775">
        <f t="shared" si="333"/>
        <v>0</v>
      </c>
      <c r="AI455" s="773">
        <v>443</v>
      </c>
      <c r="AJ455" s="774">
        <f t="shared" si="334"/>
        <v>13455</v>
      </c>
      <c r="AK455" s="775">
        <f t="shared" si="335"/>
        <v>0</v>
      </c>
      <c r="AL455" s="775">
        <f t="shared" si="317"/>
        <v>0</v>
      </c>
      <c r="AM455" s="775">
        <f t="shared" si="310"/>
        <v>0</v>
      </c>
      <c r="AN455" s="775">
        <f t="shared" si="336"/>
        <v>0</v>
      </c>
      <c r="AO455" s="775">
        <f t="shared" si="337"/>
        <v>0</v>
      </c>
      <c r="AQ455" s="773">
        <v>443</v>
      </c>
      <c r="AR455" s="774">
        <f t="shared" si="338"/>
        <v>13455</v>
      </c>
      <c r="AS455" s="775">
        <f t="shared" si="339"/>
        <v>0</v>
      </c>
      <c r="AT455" s="775">
        <f t="shared" si="318"/>
        <v>0</v>
      </c>
      <c r="AU455" s="775">
        <f t="shared" si="311"/>
        <v>0</v>
      </c>
      <c r="AV455" s="775">
        <f t="shared" si="340"/>
        <v>0</v>
      </c>
      <c r="AW455" s="775">
        <f t="shared" si="341"/>
        <v>0</v>
      </c>
      <c r="AY455" s="773">
        <v>443</v>
      </c>
      <c r="AZ455" s="774">
        <f t="shared" si="342"/>
        <v>13455</v>
      </c>
      <c r="BA455" s="775">
        <f t="shared" si="343"/>
        <v>0</v>
      </c>
      <c r="BB455" s="775">
        <f t="shared" si="319"/>
        <v>0</v>
      </c>
      <c r="BC455" s="775">
        <f t="shared" si="312"/>
        <v>0</v>
      </c>
      <c r="BD455" s="775">
        <f t="shared" si="344"/>
        <v>0</v>
      </c>
      <c r="BE455" s="775">
        <f t="shared" si="345"/>
        <v>0</v>
      </c>
      <c r="BG455" s="773">
        <v>443</v>
      </c>
      <c r="BH455" s="774">
        <f t="shared" si="346"/>
        <v>13455</v>
      </c>
      <c r="BI455" s="775">
        <f t="shared" si="347"/>
        <v>0</v>
      </c>
      <c r="BJ455" s="775">
        <f t="shared" si="320"/>
        <v>0</v>
      </c>
      <c r="BK455" s="775">
        <f t="shared" si="313"/>
        <v>0</v>
      </c>
      <c r="BL455" s="775">
        <f t="shared" si="348"/>
        <v>0</v>
      </c>
      <c r="BM455" s="775">
        <f t="shared" si="349"/>
        <v>0</v>
      </c>
    </row>
    <row r="456" spans="1:65">
      <c r="A456" s="11">
        <f t="shared" si="306"/>
        <v>1936</v>
      </c>
      <c r="B456" s="773">
        <v>444</v>
      </c>
      <c r="C456" s="774">
        <f t="shared" si="321"/>
        <v>13485</v>
      </c>
      <c r="D456" s="775">
        <f t="shared" si="350"/>
        <v>0</v>
      </c>
      <c r="E456" s="775">
        <f t="shared" si="351"/>
        <v>0</v>
      </c>
      <c r="F456" s="775">
        <f t="shared" si="352"/>
        <v>0</v>
      </c>
      <c r="G456" s="775">
        <f t="shared" si="353"/>
        <v>0</v>
      </c>
      <c r="H456" s="775">
        <f t="shared" si="354"/>
        <v>0</v>
      </c>
      <c r="I456" s="775">
        <f t="shared" si="305"/>
        <v>0</v>
      </c>
      <c r="K456" s="773">
        <v>444</v>
      </c>
      <c r="L456" s="774">
        <f t="shared" si="322"/>
        <v>13485</v>
      </c>
      <c r="M456" s="775">
        <f t="shared" si="323"/>
        <v>0</v>
      </c>
      <c r="N456" s="775">
        <f t="shared" si="314"/>
        <v>0</v>
      </c>
      <c r="O456" s="775">
        <f t="shared" si="307"/>
        <v>0</v>
      </c>
      <c r="P456" s="775">
        <f t="shared" si="324"/>
        <v>0</v>
      </c>
      <c r="Q456" s="775">
        <f t="shared" si="325"/>
        <v>0</v>
      </c>
      <c r="S456" s="773">
        <v>444</v>
      </c>
      <c r="T456" s="774">
        <f t="shared" si="326"/>
        <v>13485</v>
      </c>
      <c r="U456" s="775">
        <f t="shared" si="327"/>
        <v>0</v>
      </c>
      <c r="V456" s="775">
        <f t="shared" si="315"/>
        <v>0</v>
      </c>
      <c r="W456" s="775">
        <f t="shared" si="308"/>
        <v>0</v>
      </c>
      <c r="X456" s="775">
        <f t="shared" si="328"/>
        <v>0</v>
      </c>
      <c r="Y456" s="775">
        <f t="shared" si="329"/>
        <v>0</v>
      </c>
      <c r="AA456" s="773">
        <v>444</v>
      </c>
      <c r="AB456" s="774">
        <f t="shared" si="330"/>
        <v>13485</v>
      </c>
      <c r="AC456" s="775">
        <f t="shared" si="331"/>
        <v>0</v>
      </c>
      <c r="AD456" s="775">
        <f t="shared" si="316"/>
        <v>0</v>
      </c>
      <c r="AE456" s="775">
        <f t="shared" si="309"/>
        <v>0</v>
      </c>
      <c r="AF456" s="775">
        <f t="shared" si="332"/>
        <v>0</v>
      </c>
      <c r="AG456" s="775">
        <f t="shared" si="333"/>
        <v>0</v>
      </c>
      <c r="AI456" s="773">
        <v>444</v>
      </c>
      <c r="AJ456" s="774">
        <f t="shared" si="334"/>
        <v>13485</v>
      </c>
      <c r="AK456" s="775">
        <f t="shared" si="335"/>
        <v>0</v>
      </c>
      <c r="AL456" s="775">
        <f t="shared" si="317"/>
        <v>0</v>
      </c>
      <c r="AM456" s="775">
        <f t="shared" si="310"/>
        <v>0</v>
      </c>
      <c r="AN456" s="775">
        <f t="shared" si="336"/>
        <v>0</v>
      </c>
      <c r="AO456" s="775">
        <f t="shared" si="337"/>
        <v>0</v>
      </c>
      <c r="AQ456" s="773">
        <v>444</v>
      </c>
      <c r="AR456" s="774">
        <f t="shared" si="338"/>
        <v>13485</v>
      </c>
      <c r="AS456" s="775">
        <f t="shared" si="339"/>
        <v>0</v>
      </c>
      <c r="AT456" s="775">
        <f t="shared" si="318"/>
        <v>0</v>
      </c>
      <c r="AU456" s="775">
        <f t="shared" si="311"/>
        <v>0</v>
      </c>
      <c r="AV456" s="775">
        <f t="shared" si="340"/>
        <v>0</v>
      </c>
      <c r="AW456" s="775">
        <f t="shared" si="341"/>
        <v>0</v>
      </c>
      <c r="AY456" s="773">
        <v>444</v>
      </c>
      <c r="AZ456" s="774">
        <f t="shared" si="342"/>
        <v>13485</v>
      </c>
      <c r="BA456" s="775">
        <f t="shared" si="343"/>
        <v>0</v>
      </c>
      <c r="BB456" s="775">
        <f t="shared" si="319"/>
        <v>0</v>
      </c>
      <c r="BC456" s="775">
        <f t="shared" si="312"/>
        <v>0</v>
      </c>
      <c r="BD456" s="775">
        <f t="shared" si="344"/>
        <v>0</v>
      </c>
      <c r="BE456" s="775">
        <f t="shared" si="345"/>
        <v>0</v>
      </c>
      <c r="BG456" s="773">
        <v>444</v>
      </c>
      <c r="BH456" s="774">
        <f t="shared" si="346"/>
        <v>13485</v>
      </c>
      <c r="BI456" s="775">
        <f t="shared" si="347"/>
        <v>0</v>
      </c>
      <c r="BJ456" s="775">
        <f t="shared" si="320"/>
        <v>0</v>
      </c>
      <c r="BK456" s="775">
        <f t="shared" si="313"/>
        <v>0</v>
      </c>
      <c r="BL456" s="775">
        <f t="shared" si="348"/>
        <v>0</v>
      </c>
      <c r="BM456" s="775">
        <f t="shared" si="349"/>
        <v>0</v>
      </c>
    </row>
    <row r="457" spans="1:65">
      <c r="A457" s="11">
        <f t="shared" si="306"/>
        <v>1937</v>
      </c>
      <c r="B457" s="773">
        <v>445</v>
      </c>
      <c r="C457" s="774">
        <f t="shared" si="321"/>
        <v>13516</v>
      </c>
      <c r="D457" s="775">
        <f t="shared" si="350"/>
        <v>0</v>
      </c>
      <c r="E457" s="775">
        <f t="shared" si="351"/>
        <v>0</v>
      </c>
      <c r="F457" s="775">
        <f t="shared" si="352"/>
        <v>0</v>
      </c>
      <c r="G457" s="775">
        <f t="shared" si="353"/>
        <v>0</v>
      </c>
      <c r="H457" s="775">
        <f t="shared" si="354"/>
        <v>0</v>
      </c>
      <c r="I457" s="775">
        <f t="shared" si="305"/>
        <v>0</v>
      </c>
      <c r="K457" s="773">
        <v>445</v>
      </c>
      <c r="L457" s="774">
        <f t="shared" si="322"/>
        <v>13516</v>
      </c>
      <c r="M457" s="775">
        <f t="shared" si="323"/>
        <v>0</v>
      </c>
      <c r="N457" s="775">
        <f t="shared" si="314"/>
        <v>0</v>
      </c>
      <c r="O457" s="775">
        <f t="shared" si="307"/>
        <v>0</v>
      </c>
      <c r="P457" s="775">
        <f t="shared" si="324"/>
        <v>0</v>
      </c>
      <c r="Q457" s="775">
        <f t="shared" si="325"/>
        <v>0</v>
      </c>
      <c r="S457" s="773">
        <v>445</v>
      </c>
      <c r="T457" s="774">
        <f t="shared" si="326"/>
        <v>13516</v>
      </c>
      <c r="U457" s="775">
        <f t="shared" si="327"/>
        <v>0</v>
      </c>
      <c r="V457" s="775">
        <f t="shared" si="315"/>
        <v>0</v>
      </c>
      <c r="W457" s="775">
        <f t="shared" si="308"/>
        <v>0</v>
      </c>
      <c r="X457" s="775">
        <f t="shared" si="328"/>
        <v>0</v>
      </c>
      <c r="Y457" s="775">
        <f t="shared" si="329"/>
        <v>0</v>
      </c>
      <c r="AA457" s="773">
        <v>445</v>
      </c>
      <c r="AB457" s="774">
        <f t="shared" si="330"/>
        <v>13516</v>
      </c>
      <c r="AC457" s="775">
        <f t="shared" si="331"/>
        <v>0</v>
      </c>
      <c r="AD457" s="775">
        <f t="shared" si="316"/>
        <v>0</v>
      </c>
      <c r="AE457" s="775">
        <f t="shared" si="309"/>
        <v>0</v>
      </c>
      <c r="AF457" s="775">
        <f t="shared" si="332"/>
        <v>0</v>
      </c>
      <c r="AG457" s="775">
        <f t="shared" si="333"/>
        <v>0</v>
      </c>
      <c r="AI457" s="773">
        <v>445</v>
      </c>
      <c r="AJ457" s="774">
        <f t="shared" si="334"/>
        <v>13516</v>
      </c>
      <c r="AK457" s="775">
        <f t="shared" si="335"/>
        <v>0</v>
      </c>
      <c r="AL457" s="775">
        <f t="shared" si="317"/>
        <v>0</v>
      </c>
      <c r="AM457" s="775">
        <f t="shared" si="310"/>
        <v>0</v>
      </c>
      <c r="AN457" s="775">
        <f t="shared" si="336"/>
        <v>0</v>
      </c>
      <c r="AO457" s="775">
        <f t="shared" si="337"/>
        <v>0</v>
      </c>
      <c r="AQ457" s="773">
        <v>445</v>
      </c>
      <c r="AR457" s="774">
        <f t="shared" si="338"/>
        <v>13516</v>
      </c>
      <c r="AS457" s="775">
        <f t="shared" si="339"/>
        <v>0</v>
      </c>
      <c r="AT457" s="775">
        <f t="shared" si="318"/>
        <v>0</v>
      </c>
      <c r="AU457" s="775">
        <f t="shared" si="311"/>
        <v>0</v>
      </c>
      <c r="AV457" s="775">
        <f t="shared" si="340"/>
        <v>0</v>
      </c>
      <c r="AW457" s="775">
        <f t="shared" si="341"/>
        <v>0</v>
      </c>
      <c r="AY457" s="773">
        <v>445</v>
      </c>
      <c r="AZ457" s="774">
        <f t="shared" si="342"/>
        <v>13516</v>
      </c>
      <c r="BA457" s="775">
        <f t="shared" si="343"/>
        <v>0</v>
      </c>
      <c r="BB457" s="775">
        <f t="shared" si="319"/>
        <v>0</v>
      </c>
      <c r="BC457" s="775">
        <f t="shared" si="312"/>
        <v>0</v>
      </c>
      <c r="BD457" s="775">
        <f t="shared" si="344"/>
        <v>0</v>
      </c>
      <c r="BE457" s="775">
        <f t="shared" si="345"/>
        <v>0</v>
      </c>
      <c r="BG457" s="773">
        <v>445</v>
      </c>
      <c r="BH457" s="774">
        <f t="shared" si="346"/>
        <v>13516</v>
      </c>
      <c r="BI457" s="775">
        <f t="shared" si="347"/>
        <v>0</v>
      </c>
      <c r="BJ457" s="775">
        <f t="shared" si="320"/>
        <v>0</v>
      </c>
      <c r="BK457" s="775">
        <f t="shared" si="313"/>
        <v>0</v>
      </c>
      <c r="BL457" s="775">
        <f t="shared" si="348"/>
        <v>0</v>
      </c>
      <c r="BM457" s="775">
        <f t="shared" si="349"/>
        <v>0</v>
      </c>
    </row>
    <row r="458" spans="1:65">
      <c r="A458" s="11">
        <f t="shared" si="306"/>
        <v>1937</v>
      </c>
      <c r="B458" s="773">
        <v>446</v>
      </c>
      <c r="C458" s="774">
        <f t="shared" si="321"/>
        <v>13547</v>
      </c>
      <c r="D458" s="775">
        <f t="shared" si="350"/>
        <v>0</v>
      </c>
      <c r="E458" s="775">
        <f t="shared" si="351"/>
        <v>0</v>
      </c>
      <c r="F458" s="775">
        <f t="shared" si="352"/>
        <v>0</v>
      </c>
      <c r="G458" s="775">
        <f t="shared" si="353"/>
        <v>0</v>
      </c>
      <c r="H458" s="775">
        <f t="shared" si="354"/>
        <v>0</v>
      </c>
      <c r="I458" s="775">
        <f t="shared" si="305"/>
        <v>0</v>
      </c>
      <c r="K458" s="773">
        <v>446</v>
      </c>
      <c r="L458" s="774">
        <f t="shared" si="322"/>
        <v>13547</v>
      </c>
      <c r="M458" s="775">
        <f t="shared" si="323"/>
        <v>0</v>
      </c>
      <c r="N458" s="775">
        <f t="shared" si="314"/>
        <v>0</v>
      </c>
      <c r="O458" s="775">
        <f t="shared" si="307"/>
        <v>0</v>
      </c>
      <c r="P458" s="775">
        <f t="shared" si="324"/>
        <v>0</v>
      </c>
      <c r="Q458" s="775">
        <f t="shared" si="325"/>
        <v>0</v>
      </c>
      <c r="S458" s="773">
        <v>446</v>
      </c>
      <c r="T458" s="774">
        <f t="shared" si="326"/>
        <v>13547</v>
      </c>
      <c r="U458" s="775">
        <f t="shared" si="327"/>
        <v>0</v>
      </c>
      <c r="V458" s="775">
        <f t="shared" si="315"/>
        <v>0</v>
      </c>
      <c r="W458" s="775">
        <f t="shared" si="308"/>
        <v>0</v>
      </c>
      <c r="X458" s="775">
        <f t="shared" si="328"/>
        <v>0</v>
      </c>
      <c r="Y458" s="775">
        <f t="shared" si="329"/>
        <v>0</v>
      </c>
      <c r="AA458" s="773">
        <v>446</v>
      </c>
      <c r="AB458" s="774">
        <f t="shared" si="330"/>
        <v>13547</v>
      </c>
      <c r="AC458" s="775">
        <f t="shared" si="331"/>
        <v>0</v>
      </c>
      <c r="AD458" s="775">
        <f t="shared" si="316"/>
        <v>0</v>
      </c>
      <c r="AE458" s="775">
        <f t="shared" si="309"/>
        <v>0</v>
      </c>
      <c r="AF458" s="775">
        <f t="shared" si="332"/>
        <v>0</v>
      </c>
      <c r="AG458" s="775">
        <f t="shared" si="333"/>
        <v>0</v>
      </c>
      <c r="AI458" s="773">
        <v>446</v>
      </c>
      <c r="AJ458" s="774">
        <f t="shared" si="334"/>
        <v>13547</v>
      </c>
      <c r="AK458" s="775">
        <f t="shared" si="335"/>
        <v>0</v>
      </c>
      <c r="AL458" s="775">
        <f t="shared" si="317"/>
        <v>0</v>
      </c>
      <c r="AM458" s="775">
        <f t="shared" si="310"/>
        <v>0</v>
      </c>
      <c r="AN458" s="775">
        <f t="shared" si="336"/>
        <v>0</v>
      </c>
      <c r="AO458" s="775">
        <f t="shared" si="337"/>
        <v>0</v>
      </c>
      <c r="AQ458" s="773">
        <v>446</v>
      </c>
      <c r="AR458" s="774">
        <f t="shared" si="338"/>
        <v>13547</v>
      </c>
      <c r="AS458" s="775">
        <f t="shared" si="339"/>
        <v>0</v>
      </c>
      <c r="AT458" s="775">
        <f t="shared" si="318"/>
        <v>0</v>
      </c>
      <c r="AU458" s="775">
        <f t="shared" si="311"/>
        <v>0</v>
      </c>
      <c r="AV458" s="775">
        <f t="shared" si="340"/>
        <v>0</v>
      </c>
      <c r="AW458" s="775">
        <f t="shared" si="341"/>
        <v>0</v>
      </c>
      <c r="AY458" s="773">
        <v>446</v>
      </c>
      <c r="AZ458" s="774">
        <f t="shared" si="342"/>
        <v>13547</v>
      </c>
      <c r="BA458" s="775">
        <f t="shared" si="343"/>
        <v>0</v>
      </c>
      <c r="BB458" s="775">
        <f t="shared" si="319"/>
        <v>0</v>
      </c>
      <c r="BC458" s="775">
        <f t="shared" si="312"/>
        <v>0</v>
      </c>
      <c r="BD458" s="775">
        <f t="shared" si="344"/>
        <v>0</v>
      </c>
      <c r="BE458" s="775">
        <f t="shared" si="345"/>
        <v>0</v>
      </c>
      <c r="BG458" s="773">
        <v>446</v>
      </c>
      <c r="BH458" s="774">
        <f t="shared" si="346"/>
        <v>13547</v>
      </c>
      <c r="BI458" s="775">
        <f t="shared" si="347"/>
        <v>0</v>
      </c>
      <c r="BJ458" s="775">
        <f t="shared" si="320"/>
        <v>0</v>
      </c>
      <c r="BK458" s="775">
        <f t="shared" si="313"/>
        <v>0</v>
      </c>
      <c r="BL458" s="775">
        <f t="shared" si="348"/>
        <v>0</v>
      </c>
      <c r="BM458" s="775">
        <f t="shared" si="349"/>
        <v>0</v>
      </c>
    </row>
    <row r="459" spans="1:65">
      <c r="A459" s="11">
        <f t="shared" si="306"/>
        <v>1937</v>
      </c>
      <c r="B459" s="773">
        <v>447</v>
      </c>
      <c r="C459" s="774">
        <f t="shared" si="321"/>
        <v>13575</v>
      </c>
      <c r="D459" s="775">
        <f t="shared" si="350"/>
        <v>0</v>
      </c>
      <c r="E459" s="775">
        <f t="shared" si="351"/>
        <v>0</v>
      </c>
      <c r="F459" s="775">
        <f t="shared" si="352"/>
        <v>0</v>
      </c>
      <c r="G459" s="775">
        <f t="shared" si="353"/>
        <v>0</v>
      </c>
      <c r="H459" s="775">
        <f t="shared" si="354"/>
        <v>0</v>
      </c>
      <c r="I459" s="775">
        <f t="shared" si="305"/>
        <v>0</v>
      </c>
      <c r="K459" s="773">
        <v>447</v>
      </c>
      <c r="L459" s="774">
        <f t="shared" si="322"/>
        <v>13575</v>
      </c>
      <c r="M459" s="775">
        <f t="shared" si="323"/>
        <v>0</v>
      </c>
      <c r="N459" s="775">
        <f t="shared" si="314"/>
        <v>0</v>
      </c>
      <c r="O459" s="775">
        <f t="shared" si="307"/>
        <v>0</v>
      </c>
      <c r="P459" s="775">
        <f t="shared" si="324"/>
        <v>0</v>
      </c>
      <c r="Q459" s="775">
        <f t="shared" si="325"/>
        <v>0</v>
      </c>
      <c r="S459" s="773">
        <v>447</v>
      </c>
      <c r="T459" s="774">
        <f t="shared" si="326"/>
        <v>13575</v>
      </c>
      <c r="U459" s="775">
        <f t="shared" si="327"/>
        <v>0</v>
      </c>
      <c r="V459" s="775">
        <f t="shared" si="315"/>
        <v>0</v>
      </c>
      <c r="W459" s="775">
        <f t="shared" si="308"/>
        <v>0</v>
      </c>
      <c r="X459" s="775">
        <f t="shared" si="328"/>
        <v>0</v>
      </c>
      <c r="Y459" s="775">
        <f t="shared" si="329"/>
        <v>0</v>
      </c>
      <c r="AA459" s="773">
        <v>447</v>
      </c>
      <c r="AB459" s="774">
        <f t="shared" si="330"/>
        <v>13575</v>
      </c>
      <c r="AC459" s="775">
        <f t="shared" si="331"/>
        <v>0</v>
      </c>
      <c r="AD459" s="775">
        <f t="shared" si="316"/>
        <v>0</v>
      </c>
      <c r="AE459" s="775">
        <f t="shared" si="309"/>
        <v>0</v>
      </c>
      <c r="AF459" s="775">
        <f t="shared" si="332"/>
        <v>0</v>
      </c>
      <c r="AG459" s="775">
        <f t="shared" si="333"/>
        <v>0</v>
      </c>
      <c r="AI459" s="773">
        <v>447</v>
      </c>
      <c r="AJ459" s="774">
        <f t="shared" si="334"/>
        <v>13575</v>
      </c>
      <c r="AK459" s="775">
        <f t="shared" si="335"/>
        <v>0</v>
      </c>
      <c r="AL459" s="775">
        <f t="shared" si="317"/>
        <v>0</v>
      </c>
      <c r="AM459" s="775">
        <f t="shared" si="310"/>
        <v>0</v>
      </c>
      <c r="AN459" s="775">
        <f t="shared" si="336"/>
        <v>0</v>
      </c>
      <c r="AO459" s="775">
        <f t="shared" si="337"/>
        <v>0</v>
      </c>
      <c r="AQ459" s="773">
        <v>447</v>
      </c>
      <c r="AR459" s="774">
        <f t="shared" si="338"/>
        <v>13575</v>
      </c>
      <c r="AS459" s="775">
        <f t="shared" si="339"/>
        <v>0</v>
      </c>
      <c r="AT459" s="775">
        <f t="shared" si="318"/>
        <v>0</v>
      </c>
      <c r="AU459" s="775">
        <f t="shared" si="311"/>
        <v>0</v>
      </c>
      <c r="AV459" s="775">
        <f t="shared" si="340"/>
        <v>0</v>
      </c>
      <c r="AW459" s="775">
        <f t="shared" si="341"/>
        <v>0</v>
      </c>
      <c r="AY459" s="773">
        <v>447</v>
      </c>
      <c r="AZ459" s="774">
        <f t="shared" si="342"/>
        <v>13575</v>
      </c>
      <c r="BA459" s="775">
        <f t="shared" si="343"/>
        <v>0</v>
      </c>
      <c r="BB459" s="775">
        <f t="shared" si="319"/>
        <v>0</v>
      </c>
      <c r="BC459" s="775">
        <f t="shared" si="312"/>
        <v>0</v>
      </c>
      <c r="BD459" s="775">
        <f t="shared" si="344"/>
        <v>0</v>
      </c>
      <c r="BE459" s="775">
        <f t="shared" si="345"/>
        <v>0</v>
      </c>
      <c r="BG459" s="773">
        <v>447</v>
      </c>
      <c r="BH459" s="774">
        <f t="shared" si="346"/>
        <v>13575</v>
      </c>
      <c r="BI459" s="775">
        <f t="shared" si="347"/>
        <v>0</v>
      </c>
      <c r="BJ459" s="775">
        <f t="shared" si="320"/>
        <v>0</v>
      </c>
      <c r="BK459" s="775">
        <f t="shared" si="313"/>
        <v>0</v>
      </c>
      <c r="BL459" s="775">
        <f t="shared" si="348"/>
        <v>0</v>
      </c>
      <c r="BM459" s="775">
        <f t="shared" si="349"/>
        <v>0</v>
      </c>
    </row>
    <row r="460" spans="1:65">
      <c r="A460" s="11">
        <f t="shared" si="306"/>
        <v>1937</v>
      </c>
      <c r="B460" s="773">
        <v>448</v>
      </c>
      <c r="C460" s="774">
        <f t="shared" si="321"/>
        <v>13606</v>
      </c>
      <c r="D460" s="775">
        <f t="shared" si="350"/>
        <v>0</v>
      </c>
      <c r="E460" s="775">
        <f t="shared" si="351"/>
        <v>0</v>
      </c>
      <c r="F460" s="775">
        <f t="shared" si="352"/>
        <v>0</v>
      </c>
      <c r="G460" s="775">
        <f t="shared" si="353"/>
        <v>0</v>
      </c>
      <c r="H460" s="775">
        <f t="shared" si="354"/>
        <v>0</v>
      </c>
      <c r="I460" s="775">
        <f t="shared" si="305"/>
        <v>0</v>
      </c>
      <c r="K460" s="773">
        <v>448</v>
      </c>
      <c r="L460" s="774">
        <f t="shared" si="322"/>
        <v>13606</v>
      </c>
      <c r="M460" s="775">
        <f t="shared" si="323"/>
        <v>0</v>
      </c>
      <c r="N460" s="775">
        <f t="shared" si="314"/>
        <v>0</v>
      </c>
      <c r="O460" s="775">
        <f t="shared" si="307"/>
        <v>0</v>
      </c>
      <c r="P460" s="775">
        <f t="shared" si="324"/>
        <v>0</v>
      </c>
      <c r="Q460" s="775">
        <f t="shared" si="325"/>
        <v>0</v>
      </c>
      <c r="S460" s="773">
        <v>448</v>
      </c>
      <c r="T460" s="774">
        <f t="shared" si="326"/>
        <v>13606</v>
      </c>
      <c r="U460" s="775">
        <f t="shared" si="327"/>
        <v>0</v>
      </c>
      <c r="V460" s="775">
        <f t="shared" si="315"/>
        <v>0</v>
      </c>
      <c r="W460" s="775">
        <f t="shared" si="308"/>
        <v>0</v>
      </c>
      <c r="X460" s="775">
        <f t="shared" si="328"/>
        <v>0</v>
      </c>
      <c r="Y460" s="775">
        <f t="shared" si="329"/>
        <v>0</v>
      </c>
      <c r="AA460" s="773">
        <v>448</v>
      </c>
      <c r="AB460" s="774">
        <f t="shared" si="330"/>
        <v>13606</v>
      </c>
      <c r="AC460" s="775">
        <f t="shared" si="331"/>
        <v>0</v>
      </c>
      <c r="AD460" s="775">
        <f t="shared" si="316"/>
        <v>0</v>
      </c>
      <c r="AE460" s="775">
        <f t="shared" si="309"/>
        <v>0</v>
      </c>
      <c r="AF460" s="775">
        <f t="shared" si="332"/>
        <v>0</v>
      </c>
      <c r="AG460" s="775">
        <f t="shared" si="333"/>
        <v>0</v>
      </c>
      <c r="AI460" s="773">
        <v>448</v>
      </c>
      <c r="AJ460" s="774">
        <f t="shared" si="334"/>
        <v>13606</v>
      </c>
      <c r="AK460" s="775">
        <f t="shared" si="335"/>
        <v>0</v>
      </c>
      <c r="AL460" s="775">
        <f t="shared" si="317"/>
        <v>0</v>
      </c>
      <c r="AM460" s="775">
        <f t="shared" si="310"/>
        <v>0</v>
      </c>
      <c r="AN460" s="775">
        <f t="shared" si="336"/>
        <v>0</v>
      </c>
      <c r="AO460" s="775">
        <f t="shared" si="337"/>
        <v>0</v>
      </c>
      <c r="AQ460" s="773">
        <v>448</v>
      </c>
      <c r="AR460" s="774">
        <f t="shared" si="338"/>
        <v>13606</v>
      </c>
      <c r="AS460" s="775">
        <f t="shared" si="339"/>
        <v>0</v>
      </c>
      <c r="AT460" s="775">
        <f t="shared" si="318"/>
        <v>0</v>
      </c>
      <c r="AU460" s="775">
        <f t="shared" si="311"/>
        <v>0</v>
      </c>
      <c r="AV460" s="775">
        <f t="shared" si="340"/>
        <v>0</v>
      </c>
      <c r="AW460" s="775">
        <f t="shared" si="341"/>
        <v>0</v>
      </c>
      <c r="AY460" s="773">
        <v>448</v>
      </c>
      <c r="AZ460" s="774">
        <f t="shared" si="342"/>
        <v>13606</v>
      </c>
      <c r="BA460" s="775">
        <f t="shared" si="343"/>
        <v>0</v>
      </c>
      <c r="BB460" s="775">
        <f t="shared" si="319"/>
        <v>0</v>
      </c>
      <c r="BC460" s="775">
        <f t="shared" si="312"/>
        <v>0</v>
      </c>
      <c r="BD460" s="775">
        <f t="shared" si="344"/>
        <v>0</v>
      </c>
      <c r="BE460" s="775">
        <f t="shared" si="345"/>
        <v>0</v>
      </c>
      <c r="BG460" s="773">
        <v>448</v>
      </c>
      <c r="BH460" s="774">
        <f t="shared" si="346"/>
        <v>13606</v>
      </c>
      <c r="BI460" s="775">
        <f t="shared" si="347"/>
        <v>0</v>
      </c>
      <c r="BJ460" s="775">
        <f t="shared" si="320"/>
        <v>0</v>
      </c>
      <c r="BK460" s="775">
        <f t="shared" si="313"/>
        <v>0</v>
      </c>
      <c r="BL460" s="775">
        <f t="shared" si="348"/>
        <v>0</v>
      </c>
      <c r="BM460" s="775">
        <f t="shared" si="349"/>
        <v>0</v>
      </c>
    </row>
    <row r="461" spans="1:65">
      <c r="A461" s="11">
        <f t="shared" si="306"/>
        <v>1937</v>
      </c>
      <c r="B461" s="773">
        <v>449</v>
      </c>
      <c r="C461" s="774">
        <f t="shared" si="321"/>
        <v>13636</v>
      </c>
      <c r="D461" s="775">
        <f t="shared" si="350"/>
        <v>0</v>
      </c>
      <c r="E461" s="775">
        <f t="shared" si="351"/>
        <v>0</v>
      </c>
      <c r="F461" s="775">
        <f t="shared" si="352"/>
        <v>0</v>
      </c>
      <c r="G461" s="775">
        <f t="shared" si="353"/>
        <v>0</v>
      </c>
      <c r="H461" s="775">
        <f t="shared" si="354"/>
        <v>0</v>
      </c>
      <c r="I461" s="775">
        <f t="shared" ref="I461:I492" si="355">D461*rng01_MortgageInsurangePremium/12</f>
        <v>0</v>
      </c>
      <c r="K461" s="773">
        <v>449</v>
      </c>
      <c r="L461" s="774">
        <f t="shared" si="322"/>
        <v>13636</v>
      </c>
      <c r="M461" s="775">
        <f t="shared" si="323"/>
        <v>0</v>
      </c>
      <c r="N461" s="775">
        <f t="shared" si="314"/>
        <v>0</v>
      </c>
      <c r="O461" s="775">
        <f t="shared" si="307"/>
        <v>0</v>
      </c>
      <c r="P461" s="775">
        <f t="shared" si="324"/>
        <v>0</v>
      </c>
      <c r="Q461" s="775">
        <f t="shared" si="325"/>
        <v>0</v>
      </c>
      <c r="S461" s="773">
        <v>449</v>
      </c>
      <c r="T461" s="774">
        <f t="shared" si="326"/>
        <v>13636</v>
      </c>
      <c r="U461" s="775">
        <f t="shared" si="327"/>
        <v>0</v>
      </c>
      <c r="V461" s="775">
        <f t="shared" si="315"/>
        <v>0</v>
      </c>
      <c r="W461" s="775">
        <f t="shared" si="308"/>
        <v>0</v>
      </c>
      <c r="X461" s="775">
        <f t="shared" si="328"/>
        <v>0</v>
      </c>
      <c r="Y461" s="775">
        <f t="shared" si="329"/>
        <v>0</v>
      </c>
      <c r="AA461" s="773">
        <v>449</v>
      </c>
      <c r="AB461" s="774">
        <f t="shared" si="330"/>
        <v>13636</v>
      </c>
      <c r="AC461" s="775">
        <f t="shared" si="331"/>
        <v>0</v>
      </c>
      <c r="AD461" s="775">
        <f t="shared" si="316"/>
        <v>0</v>
      </c>
      <c r="AE461" s="775">
        <f t="shared" si="309"/>
        <v>0</v>
      </c>
      <c r="AF461" s="775">
        <f t="shared" si="332"/>
        <v>0</v>
      </c>
      <c r="AG461" s="775">
        <f t="shared" si="333"/>
        <v>0</v>
      </c>
      <c r="AI461" s="773">
        <v>449</v>
      </c>
      <c r="AJ461" s="774">
        <f t="shared" si="334"/>
        <v>13636</v>
      </c>
      <c r="AK461" s="775">
        <f t="shared" si="335"/>
        <v>0</v>
      </c>
      <c r="AL461" s="775">
        <f t="shared" si="317"/>
        <v>0</v>
      </c>
      <c r="AM461" s="775">
        <f t="shared" si="310"/>
        <v>0</v>
      </c>
      <c r="AN461" s="775">
        <f t="shared" si="336"/>
        <v>0</v>
      </c>
      <c r="AO461" s="775">
        <f t="shared" si="337"/>
        <v>0</v>
      </c>
      <c r="AQ461" s="773">
        <v>449</v>
      </c>
      <c r="AR461" s="774">
        <f t="shared" si="338"/>
        <v>13636</v>
      </c>
      <c r="AS461" s="775">
        <f t="shared" si="339"/>
        <v>0</v>
      </c>
      <c r="AT461" s="775">
        <f t="shared" si="318"/>
        <v>0</v>
      </c>
      <c r="AU461" s="775">
        <f t="shared" si="311"/>
        <v>0</v>
      </c>
      <c r="AV461" s="775">
        <f t="shared" si="340"/>
        <v>0</v>
      </c>
      <c r="AW461" s="775">
        <f t="shared" si="341"/>
        <v>0</v>
      </c>
      <c r="AY461" s="773">
        <v>449</v>
      </c>
      <c r="AZ461" s="774">
        <f t="shared" si="342"/>
        <v>13636</v>
      </c>
      <c r="BA461" s="775">
        <f t="shared" si="343"/>
        <v>0</v>
      </c>
      <c r="BB461" s="775">
        <f t="shared" si="319"/>
        <v>0</v>
      </c>
      <c r="BC461" s="775">
        <f t="shared" si="312"/>
        <v>0</v>
      </c>
      <c r="BD461" s="775">
        <f t="shared" si="344"/>
        <v>0</v>
      </c>
      <c r="BE461" s="775">
        <f t="shared" si="345"/>
        <v>0</v>
      </c>
      <c r="BG461" s="773">
        <v>449</v>
      </c>
      <c r="BH461" s="774">
        <f t="shared" si="346"/>
        <v>13636</v>
      </c>
      <c r="BI461" s="775">
        <f t="shared" si="347"/>
        <v>0</v>
      </c>
      <c r="BJ461" s="775">
        <f t="shared" si="320"/>
        <v>0</v>
      </c>
      <c r="BK461" s="775">
        <f t="shared" si="313"/>
        <v>0</v>
      </c>
      <c r="BL461" s="775">
        <f t="shared" si="348"/>
        <v>0</v>
      </c>
      <c r="BM461" s="775">
        <f t="shared" si="349"/>
        <v>0</v>
      </c>
    </row>
    <row r="462" spans="1:65">
      <c r="A462" s="11">
        <f t="shared" ref="A462:A492" si="356">YEAR(C462)</f>
        <v>1937</v>
      </c>
      <c r="B462" s="773">
        <v>450</v>
      </c>
      <c r="C462" s="774">
        <f t="shared" si="321"/>
        <v>13667</v>
      </c>
      <c r="D462" s="775">
        <f t="shared" si="350"/>
        <v>0</v>
      </c>
      <c r="E462" s="775">
        <f t="shared" si="351"/>
        <v>0</v>
      </c>
      <c r="F462" s="775">
        <f t="shared" si="352"/>
        <v>0</v>
      </c>
      <c r="G462" s="775">
        <f t="shared" si="353"/>
        <v>0</v>
      </c>
      <c r="H462" s="775">
        <f t="shared" si="354"/>
        <v>0</v>
      </c>
      <c r="I462" s="775">
        <f t="shared" si="355"/>
        <v>0</v>
      </c>
      <c r="K462" s="773">
        <v>450</v>
      </c>
      <c r="L462" s="774">
        <f t="shared" si="322"/>
        <v>13667</v>
      </c>
      <c r="M462" s="775">
        <f t="shared" si="323"/>
        <v>0</v>
      </c>
      <c r="N462" s="775">
        <f t="shared" si="314"/>
        <v>0</v>
      </c>
      <c r="O462" s="775">
        <f t="shared" ref="O462:O492" si="357">M462*$N$7/12</f>
        <v>0</v>
      </c>
      <c r="P462" s="775">
        <f t="shared" si="324"/>
        <v>0</v>
      </c>
      <c r="Q462" s="775">
        <f t="shared" si="325"/>
        <v>0</v>
      </c>
      <c r="S462" s="773">
        <v>450</v>
      </c>
      <c r="T462" s="774">
        <f t="shared" si="326"/>
        <v>13667</v>
      </c>
      <c r="U462" s="775">
        <f t="shared" si="327"/>
        <v>0</v>
      </c>
      <c r="V462" s="775">
        <f t="shared" si="315"/>
        <v>0</v>
      </c>
      <c r="W462" s="775">
        <f t="shared" ref="W462:W492" si="358">U462*V$7/12</f>
        <v>0</v>
      </c>
      <c r="X462" s="775">
        <f t="shared" si="328"/>
        <v>0</v>
      </c>
      <c r="Y462" s="775">
        <f t="shared" si="329"/>
        <v>0</v>
      </c>
      <c r="AA462" s="773">
        <v>450</v>
      </c>
      <c r="AB462" s="774">
        <f t="shared" si="330"/>
        <v>13667</v>
      </c>
      <c r="AC462" s="775">
        <f t="shared" si="331"/>
        <v>0</v>
      </c>
      <c r="AD462" s="775">
        <f t="shared" si="316"/>
        <v>0</v>
      </c>
      <c r="AE462" s="775">
        <f t="shared" ref="AE462:AE492" si="359">AC462*AD$7/12</f>
        <v>0</v>
      </c>
      <c r="AF462" s="775">
        <f t="shared" si="332"/>
        <v>0</v>
      </c>
      <c r="AG462" s="775">
        <f t="shared" si="333"/>
        <v>0</v>
      </c>
      <c r="AI462" s="773">
        <v>450</v>
      </c>
      <c r="AJ462" s="774">
        <f t="shared" si="334"/>
        <v>13667</v>
      </c>
      <c r="AK462" s="775">
        <f t="shared" si="335"/>
        <v>0</v>
      </c>
      <c r="AL462" s="775">
        <f t="shared" si="317"/>
        <v>0</v>
      </c>
      <c r="AM462" s="775">
        <f t="shared" ref="AM462:AM492" si="360">AK462*AL$7/12</f>
        <v>0</v>
      </c>
      <c r="AN462" s="775">
        <f t="shared" si="336"/>
        <v>0</v>
      </c>
      <c r="AO462" s="775">
        <f t="shared" si="337"/>
        <v>0</v>
      </c>
      <c r="AQ462" s="773">
        <v>450</v>
      </c>
      <c r="AR462" s="774">
        <f t="shared" si="338"/>
        <v>13667</v>
      </c>
      <c r="AS462" s="775">
        <f t="shared" si="339"/>
        <v>0</v>
      </c>
      <c r="AT462" s="775">
        <f t="shared" si="318"/>
        <v>0</v>
      </c>
      <c r="AU462" s="775">
        <f t="shared" ref="AU462:AU492" si="361">AS462*AT$7/12</f>
        <v>0</v>
      </c>
      <c r="AV462" s="775">
        <f t="shared" si="340"/>
        <v>0</v>
      </c>
      <c r="AW462" s="775">
        <f t="shared" si="341"/>
        <v>0</v>
      </c>
      <c r="AY462" s="773">
        <v>450</v>
      </c>
      <c r="AZ462" s="774">
        <f t="shared" si="342"/>
        <v>13667</v>
      </c>
      <c r="BA462" s="775">
        <f t="shared" si="343"/>
        <v>0</v>
      </c>
      <c r="BB462" s="775">
        <f t="shared" si="319"/>
        <v>0</v>
      </c>
      <c r="BC462" s="775">
        <f t="shared" ref="BC462:BC492" si="362">BA462*BB$7/12</f>
        <v>0</v>
      </c>
      <c r="BD462" s="775">
        <f t="shared" si="344"/>
        <v>0</v>
      </c>
      <c r="BE462" s="775">
        <f t="shared" si="345"/>
        <v>0</v>
      </c>
      <c r="BG462" s="773">
        <v>450</v>
      </c>
      <c r="BH462" s="774">
        <f t="shared" si="346"/>
        <v>13667</v>
      </c>
      <c r="BI462" s="775">
        <f t="shared" si="347"/>
        <v>0</v>
      </c>
      <c r="BJ462" s="775">
        <f t="shared" si="320"/>
        <v>0</v>
      </c>
      <c r="BK462" s="775">
        <f t="shared" ref="BK462:BK492" si="363">BI462*BJ$7/12</f>
        <v>0</v>
      </c>
      <c r="BL462" s="775">
        <f t="shared" si="348"/>
        <v>0</v>
      </c>
      <c r="BM462" s="775">
        <f t="shared" si="349"/>
        <v>0</v>
      </c>
    </row>
    <row r="463" spans="1:65">
      <c r="A463" s="11">
        <f t="shared" si="356"/>
        <v>1937</v>
      </c>
      <c r="B463" s="773">
        <v>451</v>
      </c>
      <c r="C463" s="774">
        <f t="shared" si="321"/>
        <v>13697</v>
      </c>
      <c r="D463" s="775">
        <f t="shared" si="350"/>
        <v>0</v>
      </c>
      <c r="E463" s="775">
        <f t="shared" si="351"/>
        <v>0</v>
      </c>
      <c r="F463" s="775">
        <f t="shared" si="352"/>
        <v>0</v>
      </c>
      <c r="G463" s="775">
        <f t="shared" si="353"/>
        <v>0</v>
      </c>
      <c r="H463" s="775">
        <f t="shared" si="354"/>
        <v>0</v>
      </c>
      <c r="I463" s="775">
        <f t="shared" si="355"/>
        <v>0</v>
      </c>
      <c r="K463" s="773">
        <v>451</v>
      </c>
      <c r="L463" s="774">
        <f t="shared" si="322"/>
        <v>13697</v>
      </c>
      <c r="M463" s="775">
        <f t="shared" si="323"/>
        <v>0</v>
      </c>
      <c r="N463" s="775">
        <f t="shared" ref="N463:N492" si="364">IF(ROUND(M463,0)&gt;0,N462,0)</f>
        <v>0</v>
      </c>
      <c r="O463" s="775">
        <f t="shared" si="357"/>
        <v>0</v>
      </c>
      <c r="P463" s="775">
        <f t="shared" si="324"/>
        <v>0</v>
      </c>
      <c r="Q463" s="775">
        <f t="shared" si="325"/>
        <v>0</v>
      </c>
      <c r="S463" s="773">
        <v>451</v>
      </c>
      <c r="T463" s="774">
        <f t="shared" si="326"/>
        <v>13697</v>
      </c>
      <c r="U463" s="775">
        <f t="shared" si="327"/>
        <v>0</v>
      </c>
      <c r="V463" s="775">
        <f t="shared" ref="V463:V492" si="365">IF(ROUND(U463,0)&gt;0,V462,0)</f>
        <v>0</v>
      </c>
      <c r="W463" s="775">
        <f t="shared" si="358"/>
        <v>0</v>
      </c>
      <c r="X463" s="775">
        <f t="shared" si="328"/>
        <v>0</v>
      </c>
      <c r="Y463" s="775">
        <f t="shared" si="329"/>
        <v>0</v>
      </c>
      <c r="AA463" s="773">
        <v>451</v>
      </c>
      <c r="AB463" s="774">
        <f t="shared" si="330"/>
        <v>13697</v>
      </c>
      <c r="AC463" s="775">
        <f t="shared" si="331"/>
        <v>0</v>
      </c>
      <c r="AD463" s="775">
        <f t="shared" ref="AD463:AD492" si="366">IF(ROUND(AC463,0)&gt;0,AD462,0)</f>
        <v>0</v>
      </c>
      <c r="AE463" s="775">
        <f t="shared" si="359"/>
        <v>0</v>
      </c>
      <c r="AF463" s="775">
        <f t="shared" si="332"/>
        <v>0</v>
      </c>
      <c r="AG463" s="775">
        <f t="shared" si="333"/>
        <v>0</v>
      </c>
      <c r="AI463" s="773">
        <v>451</v>
      </c>
      <c r="AJ463" s="774">
        <f t="shared" si="334"/>
        <v>13697</v>
      </c>
      <c r="AK463" s="775">
        <f t="shared" si="335"/>
        <v>0</v>
      </c>
      <c r="AL463" s="775">
        <f t="shared" ref="AL463:AL492" si="367">IF(ROUND(AK463,0)&gt;0,AL462,0)</f>
        <v>0</v>
      </c>
      <c r="AM463" s="775">
        <f t="shared" si="360"/>
        <v>0</v>
      </c>
      <c r="AN463" s="775">
        <f t="shared" si="336"/>
        <v>0</v>
      </c>
      <c r="AO463" s="775">
        <f t="shared" si="337"/>
        <v>0</v>
      </c>
      <c r="AQ463" s="773">
        <v>451</v>
      </c>
      <c r="AR463" s="774">
        <f t="shared" si="338"/>
        <v>13697</v>
      </c>
      <c r="AS463" s="775">
        <f t="shared" si="339"/>
        <v>0</v>
      </c>
      <c r="AT463" s="775">
        <f t="shared" ref="AT463:AT492" si="368">IF(ROUND(AS463,0)&gt;0,AT462,0)</f>
        <v>0</v>
      </c>
      <c r="AU463" s="775">
        <f t="shared" si="361"/>
        <v>0</v>
      </c>
      <c r="AV463" s="775">
        <f t="shared" si="340"/>
        <v>0</v>
      </c>
      <c r="AW463" s="775">
        <f t="shared" si="341"/>
        <v>0</v>
      </c>
      <c r="AY463" s="773">
        <v>451</v>
      </c>
      <c r="AZ463" s="774">
        <f t="shared" si="342"/>
        <v>13697</v>
      </c>
      <c r="BA463" s="775">
        <f t="shared" si="343"/>
        <v>0</v>
      </c>
      <c r="BB463" s="775">
        <f t="shared" ref="BB463:BB492" si="369">IF(ROUND(BA463,0)&gt;0,BB462,0)</f>
        <v>0</v>
      </c>
      <c r="BC463" s="775">
        <f t="shared" si="362"/>
        <v>0</v>
      </c>
      <c r="BD463" s="775">
        <f t="shared" si="344"/>
        <v>0</v>
      </c>
      <c r="BE463" s="775">
        <f t="shared" si="345"/>
        <v>0</v>
      </c>
      <c r="BG463" s="773">
        <v>451</v>
      </c>
      <c r="BH463" s="774">
        <f t="shared" si="346"/>
        <v>13697</v>
      </c>
      <c r="BI463" s="775">
        <f t="shared" si="347"/>
        <v>0</v>
      </c>
      <c r="BJ463" s="775">
        <f t="shared" ref="BJ463:BJ492" si="370">IF(ROUND(BI463,0)&gt;0,BJ462,0)</f>
        <v>0</v>
      </c>
      <c r="BK463" s="775">
        <f t="shared" si="363"/>
        <v>0</v>
      </c>
      <c r="BL463" s="775">
        <f t="shared" si="348"/>
        <v>0</v>
      </c>
      <c r="BM463" s="775">
        <f t="shared" si="349"/>
        <v>0</v>
      </c>
    </row>
    <row r="464" spans="1:65">
      <c r="A464" s="11">
        <f t="shared" si="356"/>
        <v>1937</v>
      </c>
      <c r="B464" s="773">
        <v>452</v>
      </c>
      <c r="C464" s="774">
        <f t="shared" ref="C464:C492" si="371">DATE(IF(MONTH(C463)=12,YEAR(C463)+1,YEAR(C463)),IF(MONTH(C463)=12,1,MONTH(C463)+1),1)</f>
        <v>13728</v>
      </c>
      <c r="D464" s="775">
        <f t="shared" si="350"/>
        <v>0</v>
      </c>
      <c r="E464" s="775">
        <f t="shared" si="351"/>
        <v>0</v>
      </c>
      <c r="F464" s="775">
        <f t="shared" si="352"/>
        <v>0</v>
      </c>
      <c r="G464" s="775">
        <f t="shared" si="353"/>
        <v>0</v>
      </c>
      <c r="H464" s="775">
        <f t="shared" si="354"/>
        <v>0</v>
      </c>
      <c r="I464" s="775">
        <f t="shared" si="355"/>
        <v>0</v>
      </c>
      <c r="K464" s="773">
        <v>452</v>
      </c>
      <c r="L464" s="774">
        <f t="shared" ref="L464:L492" si="372">DATE(IF(MONTH(L463)=12,YEAR(L463)+1,YEAR(L463)),IF(MONTH(L463)=12,1,MONTH(L463)+1),1)</f>
        <v>13728</v>
      </c>
      <c r="M464" s="775">
        <f t="shared" ref="M464:M492" si="373">Q463</f>
        <v>0</v>
      </c>
      <c r="N464" s="775">
        <f t="shared" si="364"/>
        <v>0</v>
      </c>
      <c r="O464" s="775">
        <f t="shared" si="357"/>
        <v>0</v>
      </c>
      <c r="P464" s="775">
        <f t="shared" ref="P464:P492" si="374">N464-O464</f>
        <v>0</v>
      </c>
      <c r="Q464" s="775">
        <f t="shared" ref="Q464:Q492" si="375">M464-P464</f>
        <v>0</v>
      </c>
      <c r="S464" s="773">
        <v>452</v>
      </c>
      <c r="T464" s="774">
        <f t="shared" ref="T464:T492" si="376">DATE(IF(MONTH(T463)=12,YEAR(T463)+1,YEAR(T463)),IF(MONTH(T463)=12,1,MONTH(T463)+1),1)</f>
        <v>13728</v>
      </c>
      <c r="U464" s="775">
        <f t="shared" ref="U464:U492" si="377">Y463</f>
        <v>0</v>
      </c>
      <c r="V464" s="775">
        <f t="shared" si="365"/>
        <v>0</v>
      </c>
      <c r="W464" s="775">
        <f t="shared" si="358"/>
        <v>0</v>
      </c>
      <c r="X464" s="775">
        <f t="shared" ref="X464:X492" si="378">V464-W464</f>
        <v>0</v>
      </c>
      <c r="Y464" s="775">
        <f t="shared" ref="Y464:Y492" si="379">U464-X464</f>
        <v>0</v>
      </c>
      <c r="AA464" s="773">
        <v>452</v>
      </c>
      <c r="AB464" s="774">
        <f t="shared" ref="AB464:AB492" si="380">DATE(IF(MONTH(AB463)=12,YEAR(AB463)+1,YEAR(AB463)),IF(MONTH(AB463)=12,1,MONTH(AB463)+1),1)</f>
        <v>13728</v>
      </c>
      <c r="AC464" s="775">
        <f t="shared" ref="AC464:AC492" si="381">AG463</f>
        <v>0</v>
      </c>
      <c r="AD464" s="775">
        <f t="shared" si="366"/>
        <v>0</v>
      </c>
      <c r="AE464" s="775">
        <f t="shared" si="359"/>
        <v>0</v>
      </c>
      <c r="AF464" s="775">
        <f t="shared" ref="AF464:AF492" si="382">AD464-AE464</f>
        <v>0</v>
      </c>
      <c r="AG464" s="775">
        <f t="shared" ref="AG464:AG492" si="383">AC464-AF464</f>
        <v>0</v>
      </c>
      <c r="AI464" s="773">
        <v>452</v>
      </c>
      <c r="AJ464" s="774">
        <f t="shared" ref="AJ464:AJ492" si="384">DATE(IF(MONTH(AJ463)=12,YEAR(AJ463)+1,YEAR(AJ463)),IF(MONTH(AJ463)=12,1,MONTH(AJ463)+1),1)</f>
        <v>13728</v>
      </c>
      <c r="AK464" s="775">
        <f t="shared" ref="AK464:AK492" si="385">AO463</f>
        <v>0</v>
      </c>
      <c r="AL464" s="775">
        <f t="shared" si="367"/>
        <v>0</v>
      </c>
      <c r="AM464" s="775">
        <f t="shared" si="360"/>
        <v>0</v>
      </c>
      <c r="AN464" s="775">
        <f t="shared" ref="AN464:AN492" si="386">AL464-AM464</f>
        <v>0</v>
      </c>
      <c r="AO464" s="775">
        <f t="shared" ref="AO464:AO492" si="387">AK464-AN464</f>
        <v>0</v>
      </c>
      <c r="AQ464" s="773">
        <v>452</v>
      </c>
      <c r="AR464" s="774">
        <f t="shared" ref="AR464:AR492" si="388">DATE(IF(MONTH(AR463)=12,YEAR(AR463)+1,YEAR(AR463)),IF(MONTH(AR463)=12,1,MONTH(AR463)+1),1)</f>
        <v>13728</v>
      </c>
      <c r="AS464" s="775">
        <f t="shared" ref="AS464:AS492" si="389">AW463</f>
        <v>0</v>
      </c>
      <c r="AT464" s="775">
        <f t="shared" si="368"/>
        <v>0</v>
      </c>
      <c r="AU464" s="775">
        <f t="shared" si="361"/>
        <v>0</v>
      </c>
      <c r="AV464" s="775">
        <f t="shared" ref="AV464:AV492" si="390">AT464-AU464</f>
        <v>0</v>
      </c>
      <c r="AW464" s="775">
        <f t="shared" ref="AW464:AW492" si="391">AS464-AV464</f>
        <v>0</v>
      </c>
      <c r="AY464" s="773">
        <v>452</v>
      </c>
      <c r="AZ464" s="774">
        <f t="shared" ref="AZ464:AZ492" si="392">DATE(IF(MONTH(AZ463)=12,YEAR(AZ463)+1,YEAR(AZ463)),IF(MONTH(AZ463)=12,1,MONTH(AZ463)+1),1)</f>
        <v>13728</v>
      </c>
      <c r="BA464" s="775">
        <f t="shared" ref="BA464:BA492" si="393">BE463</f>
        <v>0</v>
      </c>
      <c r="BB464" s="775">
        <f t="shared" si="369"/>
        <v>0</v>
      </c>
      <c r="BC464" s="775">
        <f t="shared" si="362"/>
        <v>0</v>
      </c>
      <c r="BD464" s="775">
        <f t="shared" ref="BD464:BD492" si="394">BB464-BC464</f>
        <v>0</v>
      </c>
      <c r="BE464" s="775">
        <f t="shared" ref="BE464:BE492" si="395">BA464-BD464</f>
        <v>0</v>
      </c>
      <c r="BG464" s="773">
        <v>452</v>
      </c>
      <c r="BH464" s="774">
        <f t="shared" ref="BH464:BH492" si="396">DATE(IF(MONTH(BH463)=12,YEAR(BH463)+1,YEAR(BH463)),IF(MONTH(BH463)=12,1,MONTH(BH463)+1),1)</f>
        <v>13728</v>
      </c>
      <c r="BI464" s="775">
        <f t="shared" ref="BI464:BI492" si="397">BM463</f>
        <v>0</v>
      </c>
      <c r="BJ464" s="775">
        <f t="shared" si="370"/>
        <v>0</v>
      </c>
      <c r="BK464" s="775">
        <f t="shared" si="363"/>
        <v>0</v>
      </c>
      <c r="BL464" s="775">
        <f t="shared" ref="BL464:BL492" si="398">BJ464-BK464</f>
        <v>0</v>
      </c>
      <c r="BM464" s="775">
        <f t="shared" ref="BM464:BM492" si="399">BI464-BL464</f>
        <v>0</v>
      </c>
    </row>
    <row r="465" spans="1:65">
      <c r="A465" s="11">
        <f t="shared" si="356"/>
        <v>1937</v>
      </c>
      <c r="B465" s="773">
        <v>453</v>
      </c>
      <c r="C465" s="774">
        <f t="shared" si="371"/>
        <v>13759</v>
      </c>
      <c r="D465" s="775">
        <f t="shared" si="350"/>
        <v>0</v>
      </c>
      <c r="E465" s="775">
        <f t="shared" si="351"/>
        <v>0</v>
      </c>
      <c r="F465" s="775">
        <f t="shared" si="352"/>
        <v>0</v>
      </c>
      <c r="G465" s="775">
        <f t="shared" si="353"/>
        <v>0</v>
      </c>
      <c r="H465" s="775">
        <f t="shared" si="354"/>
        <v>0</v>
      </c>
      <c r="I465" s="775">
        <f t="shared" si="355"/>
        <v>0</v>
      </c>
      <c r="K465" s="773">
        <v>453</v>
      </c>
      <c r="L465" s="774">
        <f t="shared" si="372"/>
        <v>13759</v>
      </c>
      <c r="M465" s="775">
        <f t="shared" si="373"/>
        <v>0</v>
      </c>
      <c r="N465" s="775">
        <f t="shared" si="364"/>
        <v>0</v>
      </c>
      <c r="O465" s="775">
        <f t="shared" si="357"/>
        <v>0</v>
      </c>
      <c r="P465" s="775">
        <f t="shared" si="374"/>
        <v>0</v>
      </c>
      <c r="Q465" s="775">
        <f t="shared" si="375"/>
        <v>0</v>
      </c>
      <c r="S465" s="773">
        <v>453</v>
      </c>
      <c r="T465" s="774">
        <f t="shared" si="376"/>
        <v>13759</v>
      </c>
      <c r="U465" s="775">
        <f t="shared" si="377"/>
        <v>0</v>
      </c>
      <c r="V465" s="775">
        <f t="shared" si="365"/>
        <v>0</v>
      </c>
      <c r="W465" s="775">
        <f t="shared" si="358"/>
        <v>0</v>
      </c>
      <c r="X465" s="775">
        <f t="shared" si="378"/>
        <v>0</v>
      </c>
      <c r="Y465" s="775">
        <f t="shared" si="379"/>
        <v>0</v>
      </c>
      <c r="AA465" s="773">
        <v>453</v>
      </c>
      <c r="AB465" s="774">
        <f t="shared" si="380"/>
        <v>13759</v>
      </c>
      <c r="AC465" s="775">
        <f t="shared" si="381"/>
        <v>0</v>
      </c>
      <c r="AD465" s="775">
        <f t="shared" si="366"/>
        <v>0</v>
      </c>
      <c r="AE465" s="775">
        <f t="shared" si="359"/>
        <v>0</v>
      </c>
      <c r="AF465" s="775">
        <f t="shared" si="382"/>
        <v>0</v>
      </c>
      <c r="AG465" s="775">
        <f t="shared" si="383"/>
        <v>0</v>
      </c>
      <c r="AI465" s="773">
        <v>453</v>
      </c>
      <c r="AJ465" s="774">
        <f t="shared" si="384"/>
        <v>13759</v>
      </c>
      <c r="AK465" s="775">
        <f t="shared" si="385"/>
        <v>0</v>
      </c>
      <c r="AL465" s="775">
        <f t="shared" si="367"/>
        <v>0</v>
      </c>
      <c r="AM465" s="775">
        <f t="shared" si="360"/>
        <v>0</v>
      </c>
      <c r="AN465" s="775">
        <f t="shared" si="386"/>
        <v>0</v>
      </c>
      <c r="AO465" s="775">
        <f t="shared" si="387"/>
        <v>0</v>
      </c>
      <c r="AQ465" s="773">
        <v>453</v>
      </c>
      <c r="AR465" s="774">
        <f t="shared" si="388"/>
        <v>13759</v>
      </c>
      <c r="AS465" s="775">
        <f t="shared" si="389"/>
        <v>0</v>
      </c>
      <c r="AT465" s="775">
        <f t="shared" si="368"/>
        <v>0</v>
      </c>
      <c r="AU465" s="775">
        <f t="shared" si="361"/>
        <v>0</v>
      </c>
      <c r="AV465" s="775">
        <f t="shared" si="390"/>
        <v>0</v>
      </c>
      <c r="AW465" s="775">
        <f t="shared" si="391"/>
        <v>0</v>
      </c>
      <c r="AY465" s="773">
        <v>453</v>
      </c>
      <c r="AZ465" s="774">
        <f t="shared" si="392"/>
        <v>13759</v>
      </c>
      <c r="BA465" s="775">
        <f t="shared" si="393"/>
        <v>0</v>
      </c>
      <c r="BB465" s="775">
        <f t="shared" si="369"/>
        <v>0</v>
      </c>
      <c r="BC465" s="775">
        <f t="shared" si="362"/>
        <v>0</v>
      </c>
      <c r="BD465" s="775">
        <f t="shared" si="394"/>
        <v>0</v>
      </c>
      <c r="BE465" s="775">
        <f t="shared" si="395"/>
        <v>0</v>
      </c>
      <c r="BG465" s="773">
        <v>453</v>
      </c>
      <c r="BH465" s="774">
        <f t="shared" si="396"/>
        <v>13759</v>
      </c>
      <c r="BI465" s="775">
        <f t="shared" si="397"/>
        <v>0</v>
      </c>
      <c r="BJ465" s="775">
        <f t="shared" si="370"/>
        <v>0</v>
      </c>
      <c r="BK465" s="775">
        <f t="shared" si="363"/>
        <v>0</v>
      </c>
      <c r="BL465" s="775">
        <f t="shared" si="398"/>
        <v>0</v>
      </c>
      <c r="BM465" s="775">
        <f t="shared" si="399"/>
        <v>0</v>
      </c>
    </row>
    <row r="466" spans="1:65">
      <c r="A466" s="11">
        <f t="shared" si="356"/>
        <v>1937</v>
      </c>
      <c r="B466" s="773">
        <v>454</v>
      </c>
      <c r="C466" s="774">
        <f t="shared" si="371"/>
        <v>13789</v>
      </c>
      <c r="D466" s="775">
        <f t="shared" si="350"/>
        <v>0</v>
      </c>
      <c r="E466" s="775">
        <f t="shared" si="351"/>
        <v>0</v>
      </c>
      <c r="F466" s="775">
        <f t="shared" si="352"/>
        <v>0</v>
      </c>
      <c r="G466" s="775">
        <f t="shared" si="353"/>
        <v>0</v>
      </c>
      <c r="H466" s="775">
        <f t="shared" si="354"/>
        <v>0</v>
      </c>
      <c r="I466" s="775">
        <f t="shared" si="355"/>
        <v>0</v>
      </c>
      <c r="K466" s="773">
        <v>454</v>
      </c>
      <c r="L466" s="774">
        <f t="shared" si="372"/>
        <v>13789</v>
      </c>
      <c r="M466" s="775">
        <f t="shared" si="373"/>
        <v>0</v>
      </c>
      <c r="N466" s="775">
        <f t="shared" si="364"/>
        <v>0</v>
      </c>
      <c r="O466" s="775">
        <f t="shared" si="357"/>
        <v>0</v>
      </c>
      <c r="P466" s="775">
        <f t="shared" si="374"/>
        <v>0</v>
      </c>
      <c r="Q466" s="775">
        <f t="shared" si="375"/>
        <v>0</v>
      </c>
      <c r="S466" s="773">
        <v>454</v>
      </c>
      <c r="T466" s="774">
        <f t="shared" si="376"/>
        <v>13789</v>
      </c>
      <c r="U466" s="775">
        <f t="shared" si="377"/>
        <v>0</v>
      </c>
      <c r="V466" s="775">
        <f t="shared" si="365"/>
        <v>0</v>
      </c>
      <c r="W466" s="775">
        <f t="shared" si="358"/>
        <v>0</v>
      </c>
      <c r="X466" s="775">
        <f t="shared" si="378"/>
        <v>0</v>
      </c>
      <c r="Y466" s="775">
        <f t="shared" si="379"/>
        <v>0</v>
      </c>
      <c r="AA466" s="773">
        <v>454</v>
      </c>
      <c r="AB466" s="774">
        <f t="shared" si="380"/>
        <v>13789</v>
      </c>
      <c r="AC466" s="775">
        <f t="shared" si="381"/>
        <v>0</v>
      </c>
      <c r="AD466" s="775">
        <f t="shared" si="366"/>
        <v>0</v>
      </c>
      <c r="AE466" s="775">
        <f t="shared" si="359"/>
        <v>0</v>
      </c>
      <c r="AF466" s="775">
        <f t="shared" si="382"/>
        <v>0</v>
      </c>
      <c r="AG466" s="775">
        <f t="shared" si="383"/>
        <v>0</v>
      </c>
      <c r="AI466" s="773">
        <v>454</v>
      </c>
      <c r="AJ466" s="774">
        <f t="shared" si="384"/>
        <v>13789</v>
      </c>
      <c r="AK466" s="775">
        <f t="shared" si="385"/>
        <v>0</v>
      </c>
      <c r="AL466" s="775">
        <f t="shared" si="367"/>
        <v>0</v>
      </c>
      <c r="AM466" s="775">
        <f t="shared" si="360"/>
        <v>0</v>
      </c>
      <c r="AN466" s="775">
        <f t="shared" si="386"/>
        <v>0</v>
      </c>
      <c r="AO466" s="775">
        <f t="shared" si="387"/>
        <v>0</v>
      </c>
      <c r="AQ466" s="773">
        <v>454</v>
      </c>
      <c r="AR466" s="774">
        <f t="shared" si="388"/>
        <v>13789</v>
      </c>
      <c r="AS466" s="775">
        <f t="shared" si="389"/>
        <v>0</v>
      </c>
      <c r="AT466" s="775">
        <f t="shared" si="368"/>
        <v>0</v>
      </c>
      <c r="AU466" s="775">
        <f t="shared" si="361"/>
        <v>0</v>
      </c>
      <c r="AV466" s="775">
        <f t="shared" si="390"/>
        <v>0</v>
      </c>
      <c r="AW466" s="775">
        <f t="shared" si="391"/>
        <v>0</v>
      </c>
      <c r="AY466" s="773">
        <v>454</v>
      </c>
      <c r="AZ466" s="774">
        <f t="shared" si="392"/>
        <v>13789</v>
      </c>
      <c r="BA466" s="775">
        <f t="shared" si="393"/>
        <v>0</v>
      </c>
      <c r="BB466" s="775">
        <f t="shared" si="369"/>
        <v>0</v>
      </c>
      <c r="BC466" s="775">
        <f t="shared" si="362"/>
        <v>0</v>
      </c>
      <c r="BD466" s="775">
        <f t="shared" si="394"/>
        <v>0</v>
      </c>
      <c r="BE466" s="775">
        <f t="shared" si="395"/>
        <v>0</v>
      </c>
      <c r="BG466" s="773">
        <v>454</v>
      </c>
      <c r="BH466" s="774">
        <f t="shared" si="396"/>
        <v>13789</v>
      </c>
      <c r="BI466" s="775">
        <f t="shared" si="397"/>
        <v>0</v>
      </c>
      <c r="BJ466" s="775">
        <f t="shared" si="370"/>
        <v>0</v>
      </c>
      <c r="BK466" s="775">
        <f t="shared" si="363"/>
        <v>0</v>
      </c>
      <c r="BL466" s="775">
        <f t="shared" si="398"/>
        <v>0</v>
      </c>
      <c r="BM466" s="775">
        <f t="shared" si="399"/>
        <v>0</v>
      </c>
    </row>
    <row r="467" spans="1:65">
      <c r="A467" s="11">
        <f t="shared" si="356"/>
        <v>1937</v>
      </c>
      <c r="B467" s="773">
        <v>455</v>
      </c>
      <c r="C467" s="774">
        <f t="shared" si="371"/>
        <v>13820</v>
      </c>
      <c r="D467" s="775">
        <f t="shared" si="350"/>
        <v>0</v>
      </c>
      <c r="E467" s="775">
        <f t="shared" si="351"/>
        <v>0</v>
      </c>
      <c r="F467" s="775">
        <f t="shared" si="352"/>
        <v>0</v>
      </c>
      <c r="G467" s="775">
        <f t="shared" si="353"/>
        <v>0</v>
      </c>
      <c r="H467" s="775">
        <f t="shared" si="354"/>
        <v>0</v>
      </c>
      <c r="I467" s="775">
        <f t="shared" si="355"/>
        <v>0</v>
      </c>
      <c r="K467" s="773">
        <v>455</v>
      </c>
      <c r="L467" s="774">
        <f t="shared" si="372"/>
        <v>13820</v>
      </c>
      <c r="M467" s="775">
        <f t="shared" si="373"/>
        <v>0</v>
      </c>
      <c r="N467" s="775">
        <f t="shared" si="364"/>
        <v>0</v>
      </c>
      <c r="O467" s="775">
        <f t="shared" si="357"/>
        <v>0</v>
      </c>
      <c r="P467" s="775">
        <f t="shared" si="374"/>
        <v>0</v>
      </c>
      <c r="Q467" s="775">
        <f t="shared" si="375"/>
        <v>0</v>
      </c>
      <c r="S467" s="773">
        <v>455</v>
      </c>
      <c r="T467" s="774">
        <f t="shared" si="376"/>
        <v>13820</v>
      </c>
      <c r="U467" s="775">
        <f t="shared" si="377"/>
        <v>0</v>
      </c>
      <c r="V467" s="775">
        <f t="shared" si="365"/>
        <v>0</v>
      </c>
      <c r="W467" s="775">
        <f t="shared" si="358"/>
        <v>0</v>
      </c>
      <c r="X467" s="775">
        <f t="shared" si="378"/>
        <v>0</v>
      </c>
      <c r="Y467" s="775">
        <f t="shared" si="379"/>
        <v>0</v>
      </c>
      <c r="AA467" s="773">
        <v>455</v>
      </c>
      <c r="AB467" s="774">
        <f t="shared" si="380"/>
        <v>13820</v>
      </c>
      <c r="AC467" s="775">
        <f t="shared" si="381"/>
        <v>0</v>
      </c>
      <c r="AD467" s="775">
        <f t="shared" si="366"/>
        <v>0</v>
      </c>
      <c r="AE467" s="775">
        <f t="shared" si="359"/>
        <v>0</v>
      </c>
      <c r="AF467" s="775">
        <f t="shared" si="382"/>
        <v>0</v>
      </c>
      <c r="AG467" s="775">
        <f t="shared" si="383"/>
        <v>0</v>
      </c>
      <c r="AI467" s="773">
        <v>455</v>
      </c>
      <c r="AJ467" s="774">
        <f t="shared" si="384"/>
        <v>13820</v>
      </c>
      <c r="AK467" s="775">
        <f t="shared" si="385"/>
        <v>0</v>
      </c>
      <c r="AL467" s="775">
        <f t="shared" si="367"/>
        <v>0</v>
      </c>
      <c r="AM467" s="775">
        <f t="shared" si="360"/>
        <v>0</v>
      </c>
      <c r="AN467" s="775">
        <f t="shared" si="386"/>
        <v>0</v>
      </c>
      <c r="AO467" s="775">
        <f t="shared" si="387"/>
        <v>0</v>
      </c>
      <c r="AQ467" s="773">
        <v>455</v>
      </c>
      <c r="AR467" s="774">
        <f t="shared" si="388"/>
        <v>13820</v>
      </c>
      <c r="AS467" s="775">
        <f t="shared" si="389"/>
        <v>0</v>
      </c>
      <c r="AT467" s="775">
        <f t="shared" si="368"/>
        <v>0</v>
      </c>
      <c r="AU467" s="775">
        <f t="shared" si="361"/>
        <v>0</v>
      </c>
      <c r="AV467" s="775">
        <f t="shared" si="390"/>
        <v>0</v>
      </c>
      <c r="AW467" s="775">
        <f t="shared" si="391"/>
        <v>0</v>
      </c>
      <c r="AY467" s="773">
        <v>455</v>
      </c>
      <c r="AZ467" s="774">
        <f t="shared" si="392"/>
        <v>13820</v>
      </c>
      <c r="BA467" s="775">
        <f t="shared" si="393"/>
        <v>0</v>
      </c>
      <c r="BB467" s="775">
        <f t="shared" si="369"/>
        <v>0</v>
      </c>
      <c r="BC467" s="775">
        <f t="shared" si="362"/>
        <v>0</v>
      </c>
      <c r="BD467" s="775">
        <f t="shared" si="394"/>
        <v>0</v>
      </c>
      <c r="BE467" s="775">
        <f t="shared" si="395"/>
        <v>0</v>
      </c>
      <c r="BG467" s="773">
        <v>455</v>
      </c>
      <c r="BH467" s="774">
        <f t="shared" si="396"/>
        <v>13820</v>
      </c>
      <c r="BI467" s="775">
        <f t="shared" si="397"/>
        <v>0</v>
      </c>
      <c r="BJ467" s="775">
        <f t="shared" si="370"/>
        <v>0</v>
      </c>
      <c r="BK467" s="775">
        <f t="shared" si="363"/>
        <v>0</v>
      </c>
      <c r="BL467" s="775">
        <f t="shared" si="398"/>
        <v>0</v>
      </c>
      <c r="BM467" s="775">
        <f t="shared" si="399"/>
        <v>0</v>
      </c>
    </row>
    <row r="468" spans="1:65">
      <c r="A468" s="11">
        <f t="shared" si="356"/>
        <v>1937</v>
      </c>
      <c r="B468" s="773">
        <v>456</v>
      </c>
      <c r="C468" s="774">
        <f t="shared" si="371"/>
        <v>13850</v>
      </c>
      <c r="D468" s="775">
        <f t="shared" si="350"/>
        <v>0</v>
      </c>
      <c r="E468" s="775">
        <f t="shared" si="351"/>
        <v>0</v>
      </c>
      <c r="F468" s="775">
        <f t="shared" si="352"/>
        <v>0</v>
      </c>
      <c r="G468" s="775">
        <f t="shared" si="353"/>
        <v>0</v>
      </c>
      <c r="H468" s="775">
        <f t="shared" si="354"/>
        <v>0</v>
      </c>
      <c r="I468" s="775">
        <f t="shared" si="355"/>
        <v>0</v>
      </c>
      <c r="K468" s="773">
        <v>456</v>
      </c>
      <c r="L468" s="774">
        <f t="shared" si="372"/>
        <v>13850</v>
      </c>
      <c r="M468" s="775">
        <f t="shared" si="373"/>
        <v>0</v>
      </c>
      <c r="N468" s="775">
        <f t="shared" si="364"/>
        <v>0</v>
      </c>
      <c r="O468" s="775">
        <f t="shared" si="357"/>
        <v>0</v>
      </c>
      <c r="P468" s="775">
        <f t="shared" si="374"/>
        <v>0</v>
      </c>
      <c r="Q468" s="775">
        <f t="shared" si="375"/>
        <v>0</v>
      </c>
      <c r="S468" s="773">
        <v>456</v>
      </c>
      <c r="T468" s="774">
        <f t="shared" si="376"/>
        <v>13850</v>
      </c>
      <c r="U468" s="775">
        <f t="shared" si="377"/>
        <v>0</v>
      </c>
      <c r="V468" s="775">
        <f t="shared" si="365"/>
        <v>0</v>
      </c>
      <c r="W468" s="775">
        <f t="shared" si="358"/>
        <v>0</v>
      </c>
      <c r="X468" s="775">
        <f t="shared" si="378"/>
        <v>0</v>
      </c>
      <c r="Y468" s="775">
        <f t="shared" si="379"/>
        <v>0</v>
      </c>
      <c r="AA468" s="773">
        <v>456</v>
      </c>
      <c r="AB468" s="774">
        <f t="shared" si="380"/>
        <v>13850</v>
      </c>
      <c r="AC468" s="775">
        <f t="shared" si="381"/>
        <v>0</v>
      </c>
      <c r="AD468" s="775">
        <f t="shared" si="366"/>
        <v>0</v>
      </c>
      <c r="AE468" s="775">
        <f t="shared" si="359"/>
        <v>0</v>
      </c>
      <c r="AF468" s="775">
        <f t="shared" si="382"/>
        <v>0</v>
      </c>
      <c r="AG468" s="775">
        <f t="shared" si="383"/>
        <v>0</v>
      </c>
      <c r="AI468" s="773">
        <v>456</v>
      </c>
      <c r="AJ468" s="774">
        <f t="shared" si="384"/>
        <v>13850</v>
      </c>
      <c r="AK468" s="775">
        <f t="shared" si="385"/>
        <v>0</v>
      </c>
      <c r="AL468" s="775">
        <f t="shared" si="367"/>
        <v>0</v>
      </c>
      <c r="AM468" s="775">
        <f t="shared" si="360"/>
        <v>0</v>
      </c>
      <c r="AN468" s="775">
        <f t="shared" si="386"/>
        <v>0</v>
      </c>
      <c r="AO468" s="775">
        <f t="shared" si="387"/>
        <v>0</v>
      </c>
      <c r="AQ468" s="773">
        <v>456</v>
      </c>
      <c r="AR468" s="774">
        <f t="shared" si="388"/>
        <v>13850</v>
      </c>
      <c r="AS468" s="775">
        <f t="shared" si="389"/>
        <v>0</v>
      </c>
      <c r="AT468" s="775">
        <f t="shared" si="368"/>
        <v>0</v>
      </c>
      <c r="AU468" s="775">
        <f t="shared" si="361"/>
        <v>0</v>
      </c>
      <c r="AV468" s="775">
        <f t="shared" si="390"/>
        <v>0</v>
      </c>
      <c r="AW468" s="775">
        <f t="shared" si="391"/>
        <v>0</v>
      </c>
      <c r="AY468" s="773">
        <v>456</v>
      </c>
      <c r="AZ468" s="774">
        <f t="shared" si="392"/>
        <v>13850</v>
      </c>
      <c r="BA468" s="775">
        <f t="shared" si="393"/>
        <v>0</v>
      </c>
      <c r="BB468" s="775">
        <f t="shared" si="369"/>
        <v>0</v>
      </c>
      <c r="BC468" s="775">
        <f t="shared" si="362"/>
        <v>0</v>
      </c>
      <c r="BD468" s="775">
        <f t="shared" si="394"/>
        <v>0</v>
      </c>
      <c r="BE468" s="775">
        <f t="shared" si="395"/>
        <v>0</v>
      </c>
      <c r="BG468" s="773">
        <v>456</v>
      </c>
      <c r="BH468" s="774">
        <f t="shared" si="396"/>
        <v>13850</v>
      </c>
      <c r="BI468" s="775">
        <f t="shared" si="397"/>
        <v>0</v>
      </c>
      <c r="BJ468" s="775">
        <f t="shared" si="370"/>
        <v>0</v>
      </c>
      <c r="BK468" s="775">
        <f t="shared" si="363"/>
        <v>0</v>
      </c>
      <c r="BL468" s="775">
        <f t="shared" si="398"/>
        <v>0</v>
      </c>
      <c r="BM468" s="775">
        <f t="shared" si="399"/>
        <v>0</v>
      </c>
    </row>
    <row r="469" spans="1:65">
      <c r="A469" s="11">
        <f t="shared" si="356"/>
        <v>1938</v>
      </c>
      <c r="B469" s="773">
        <v>457</v>
      </c>
      <c r="C469" s="774">
        <f t="shared" si="371"/>
        <v>13881</v>
      </c>
      <c r="D469" s="775">
        <f t="shared" si="350"/>
        <v>0</v>
      </c>
      <c r="E469" s="775">
        <f t="shared" si="351"/>
        <v>0</v>
      </c>
      <c r="F469" s="775">
        <f t="shared" si="352"/>
        <v>0</v>
      </c>
      <c r="G469" s="775">
        <f t="shared" si="353"/>
        <v>0</v>
      </c>
      <c r="H469" s="775">
        <f t="shared" si="354"/>
        <v>0</v>
      </c>
      <c r="I469" s="775">
        <f t="shared" si="355"/>
        <v>0</v>
      </c>
      <c r="K469" s="773">
        <v>457</v>
      </c>
      <c r="L469" s="774">
        <f t="shared" si="372"/>
        <v>13881</v>
      </c>
      <c r="M469" s="775">
        <f t="shared" si="373"/>
        <v>0</v>
      </c>
      <c r="N469" s="775">
        <f t="shared" si="364"/>
        <v>0</v>
      </c>
      <c r="O469" s="775">
        <f t="shared" si="357"/>
        <v>0</v>
      </c>
      <c r="P469" s="775">
        <f t="shared" si="374"/>
        <v>0</v>
      </c>
      <c r="Q469" s="775">
        <f t="shared" si="375"/>
        <v>0</v>
      </c>
      <c r="S469" s="773">
        <v>457</v>
      </c>
      <c r="T469" s="774">
        <f t="shared" si="376"/>
        <v>13881</v>
      </c>
      <c r="U469" s="775">
        <f t="shared" si="377"/>
        <v>0</v>
      </c>
      <c r="V469" s="775">
        <f t="shared" si="365"/>
        <v>0</v>
      </c>
      <c r="W469" s="775">
        <f t="shared" si="358"/>
        <v>0</v>
      </c>
      <c r="X469" s="775">
        <f t="shared" si="378"/>
        <v>0</v>
      </c>
      <c r="Y469" s="775">
        <f t="shared" si="379"/>
        <v>0</v>
      </c>
      <c r="AA469" s="773">
        <v>457</v>
      </c>
      <c r="AB469" s="774">
        <f t="shared" si="380"/>
        <v>13881</v>
      </c>
      <c r="AC469" s="775">
        <f t="shared" si="381"/>
        <v>0</v>
      </c>
      <c r="AD469" s="775">
        <f t="shared" si="366"/>
        <v>0</v>
      </c>
      <c r="AE469" s="775">
        <f t="shared" si="359"/>
        <v>0</v>
      </c>
      <c r="AF469" s="775">
        <f t="shared" si="382"/>
        <v>0</v>
      </c>
      <c r="AG469" s="775">
        <f t="shared" si="383"/>
        <v>0</v>
      </c>
      <c r="AI469" s="773">
        <v>457</v>
      </c>
      <c r="AJ469" s="774">
        <f t="shared" si="384"/>
        <v>13881</v>
      </c>
      <c r="AK469" s="775">
        <f t="shared" si="385"/>
        <v>0</v>
      </c>
      <c r="AL469" s="775">
        <f t="shared" si="367"/>
        <v>0</v>
      </c>
      <c r="AM469" s="775">
        <f t="shared" si="360"/>
        <v>0</v>
      </c>
      <c r="AN469" s="775">
        <f t="shared" si="386"/>
        <v>0</v>
      </c>
      <c r="AO469" s="775">
        <f t="shared" si="387"/>
        <v>0</v>
      </c>
      <c r="AQ469" s="773">
        <v>457</v>
      </c>
      <c r="AR469" s="774">
        <f t="shared" si="388"/>
        <v>13881</v>
      </c>
      <c r="AS469" s="775">
        <f t="shared" si="389"/>
        <v>0</v>
      </c>
      <c r="AT469" s="775">
        <f t="shared" si="368"/>
        <v>0</v>
      </c>
      <c r="AU469" s="775">
        <f t="shared" si="361"/>
        <v>0</v>
      </c>
      <c r="AV469" s="775">
        <f t="shared" si="390"/>
        <v>0</v>
      </c>
      <c r="AW469" s="775">
        <f t="shared" si="391"/>
        <v>0</v>
      </c>
      <c r="AY469" s="773">
        <v>457</v>
      </c>
      <c r="AZ469" s="774">
        <f t="shared" si="392"/>
        <v>13881</v>
      </c>
      <c r="BA469" s="775">
        <f t="shared" si="393"/>
        <v>0</v>
      </c>
      <c r="BB469" s="775">
        <f t="shared" si="369"/>
        <v>0</v>
      </c>
      <c r="BC469" s="775">
        <f t="shared" si="362"/>
        <v>0</v>
      </c>
      <c r="BD469" s="775">
        <f t="shared" si="394"/>
        <v>0</v>
      </c>
      <c r="BE469" s="775">
        <f t="shared" si="395"/>
        <v>0</v>
      </c>
      <c r="BG469" s="773">
        <v>457</v>
      </c>
      <c r="BH469" s="774">
        <f t="shared" si="396"/>
        <v>13881</v>
      </c>
      <c r="BI469" s="775">
        <f t="shared" si="397"/>
        <v>0</v>
      </c>
      <c r="BJ469" s="775">
        <f t="shared" si="370"/>
        <v>0</v>
      </c>
      <c r="BK469" s="775">
        <f t="shared" si="363"/>
        <v>0</v>
      </c>
      <c r="BL469" s="775">
        <f t="shared" si="398"/>
        <v>0</v>
      </c>
      <c r="BM469" s="775">
        <f t="shared" si="399"/>
        <v>0</v>
      </c>
    </row>
    <row r="470" spans="1:65">
      <c r="A470" s="11">
        <f t="shared" si="356"/>
        <v>1938</v>
      </c>
      <c r="B470" s="773">
        <v>458</v>
      </c>
      <c r="C470" s="774">
        <f t="shared" si="371"/>
        <v>13912</v>
      </c>
      <c r="D470" s="775">
        <f t="shared" si="350"/>
        <v>0</v>
      </c>
      <c r="E470" s="775">
        <f t="shared" si="351"/>
        <v>0</v>
      </c>
      <c r="F470" s="775">
        <f t="shared" si="352"/>
        <v>0</v>
      </c>
      <c r="G470" s="775">
        <f t="shared" si="353"/>
        <v>0</v>
      </c>
      <c r="H470" s="775">
        <f t="shared" si="354"/>
        <v>0</v>
      </c>
      <c r="I470" s="775">
        <f t="shared" si="355"/>
        <v>0</v>
      </c>
      <c r="K470" s="773">
        <v>458</v>
      </c>
      <c r="L470" s="774">
        <f t="shared" si="372"/>
        <v>13912</v>
      </c>
      <c r="M470" s="775">
        <f t="shared" si="373"/>
        <v>0</v>
      </c>
      <c r="N470" s="775">
        <f t="shared" si="364"/>
        <v>0</v>
      </c>
      <c r="O470" s="775">
        <f t="shared" si="357"/>
        <v>0</v>
      </c>
      <c r="P470" s="775">
        <f t="shared" si="374"/>
        <v>0</v>
      </c>
      <c r="Q470" s="775">
        <f t="shared" si="375"/>
        <v>0</v>
      </c>
      <c r="S470" s="773">
        <v>458</v>
      </c>
      <c r="T470" s="774">
        <f t="shared" si="376"/>
        <v>13912</v>
      </c>
      <c r="U470" s="775">
        <f t="shared" si="377"/>
        <v>0</v>
      </c>
      <c r="V470" s="775">
        <f t="shared" si="365"/>
        <v>0</v>
      </c>
      <c r="W470" s="775">
        <f t="shared" si="358"/>
        <v>0</v>
      </c>
      <c r="X470" s="775">
        <f t="shared" si="378"/>
        <v>0</v>
      </c>
      <c r="Y470" s="775">
        <f t="shared" si="379"/>
        <v>0</v>
      </c>
      <c r="AA470" s="773">
        <v>458</v>
      </c>
      <c r="AB470" s="774">
        <f t="shared" si="380"/>
        <v>13912</v>
      </c>
      <c r="AC470" s="775">
        <f t="shared" si="381"/>
        <v>0</v>
      </c>
      <c r="AD470" s="775">
        <f t="shared" si="366"/>
        <v>0</v>
      </c>
      <c r="AE470" s="775">
        <f t="shared" si="359"/>
        <v>0</v>
      </c>
      <c r="AF470" s="775">
        <f t="shared" si="382"/>
        <v>0</v>
      </c>
      <c r="AG470" s="775">
        <f t="shared" si="383"/>
        <v>0</v>
      </c>
      <c r="AI470" s="773">
        <v>458</v>
      </c>
      <c r="AJ470" s="774">
        <f t="shared" si="384"/>
        <v>13912</v>
      </c>
      <c r="AK470" s="775">
        <f t="shared" si="385"/>
        <v>0</v>
      </c>
      <c r="AL470" s="775">
        <f t="shared" si="367"/>
        <v>0</v>
      </c>
      <c r="AM470" s="775">
        <f t="shared" si="360"/>
        <v>0</v>
      </c>
      <c r="AN470" s="775">
        <f t="shared" si="386"/>
        <v>0</v>
      </c>
      <c r="AO470" s="775">
        <f t="shared" si="387"/>
        <v>0</v>
      </c>
      <c r="AQ470" s="773">
        <v>458</v>
      </c>
      <c r="AR470" s="774">
        <f t="shared" si="388"/>
        <v>13912</v>
      </c>
      <c r="AS470" s="775">
        <f t="shared" si="389"/>
        <v>0</v>
      </c>
      <c r="AT470" s="775">
        <f t="shared" si="368"/>
        <v>0</v>
      </c>
      <c r="AU470" s="775">
        <f t="shared" si="361"/>
        <v>0</v>
      </c>
      <c r="AV470" s="775">
        <f t="shared" si="390"/>
        <v>0</v>
      </c>
      <c r="AW470" s="775">
        <f t="shared" si="391"/>
        <v>0</v>
      </c>
      <c r="AY470" s="773">
        <v>458</v>
      </c>
      <c r="AZ470" s="774">
        <f t="shared" si="392"/>
        <v>13912</v>
      </c>
      <c r="BA470" s="775">
        <f t="shared" si="393"/>
        <v>0</v>
      </c>
      <c r="BB470" s="775">
        <f t="shared" si="369"/>
        <v>0</v>
      </c>
      <c r="BC470" s="775">
        <f t="shared" si="362"/>
        <v>0</v>
      </c>
      <c r="BD470" s="775">
        <f t="shared" si="394"/>
        <v>0</v>
      </c>
      <c r="BE470" s="775">
        <f t="shared" si="395"/>
        <v>0</v>
      </c>
      <c r="BG470" s="773">
        <v>458</v>
      </c>
      <c r="BH470" s="774">
        <f t="shared" si="396"/>
        <v>13912</v>
      </c>
      <c r="BI470" s="775">
        <f t="shared" si="397"/>
        <v>0</v>
      </c>
      <c r="BJ470" s="775">
        <f t="shared" si="370"/>
        <v>0</v>
      </c>
      <c r="BK470" s="775">
        <f t="shared" si="363"/>
        <v>0</v>
      </c>
      <c r="BL470" s="775">
        <f t="shared" si="398"/>
        <v>0</v>
      </c>
      <c r="BM470" s="775">
        <f t="shared" si="399"/>
        <v>0</v>
      </c>
    </row>
    <row r="471" spans="1:65">
      <c r="A471" s="11">
        <f t="shared" si="356"/>
        <v>1938</v>
      </c>
      <c r="B471" s="773">
        <v>459</v>
      </c>
      <c r="C471" s="774">
        <f t="shared" si="371"/>
        <v>13940</v>
      </c>
      <c r="D471" s="775">
        <f t="shared" si="350"/>
        <v>0</v>
      </c>
      <c r="E471" s="775">
        <f t="shared" si="351"/>
        <v>0</v>
      </c>
      <c r="F471" s="775">
        <f t="shared" si="352"/>
        <v>0</v>
      </c>
      <c r="G471" s="775">
        <f t="shared" si="353"/>
        <v>0</v>
      </c>
      <c r="H471" s="775">
        <f t="shared" si="354"/>
        <v>0</v>
      </c>
      <c r="I471" s="775">
        <f t="shared" si="355"/>
        <v>0</v>
      </c>
      <c r="K471" s="773">
        <v>459</v>
      </c>
      <c r="L471" s="774">
        <f t="shared" si="372"/>
        <v>13940</v>
      </c>
      <c r="M471" s="775">
        <f t="shared" si="373"/>
        <v>0</v>
      </c>
      <c r="N471" s="775">
        <f t="shared" si="364"/>
        <v>0</v>
      </c>
      <c r="O471" s="775">
        <f t="shared" si="357"/>
        <v>0</v>
      </c>
      <c r="P471" s="775">
        <f t="shared" si="374"/>
        <v>0</v>
      </c>
      <c r="Q471" s="775">
        <f t="shared" si="375"/>
        <v>0</v>
      </c>
      <c r="S471" s="773">
        <v>459</v>
      </c>
      <c r="T471" s="774">
        <f t="shared" si="376"/>
        <v>13940</v>
      </c>
      <c r="U471" s="775">
        <f t="shared" si="377"/>
        <v>0</v>
      </c>
      <c r="V471" s="775">
        <f t="shared" si="365"/>
        <v>0</v>
      </c>
      <c r="W471" s="775">
        <f t="shared" si="358"/>
        <v>0</v>
      </c>
      <c r="X471" s="775">
        <f t="shared" si="378"/>
        <v>0</v>
      </c>
      <c r="Y471" s="775">
        <f t="shared" si="379"/>
        <v>0</v>
      </c>
      <c r="AA471" s="773">
        <v>459</v>
      </c>
      <c r="AB471" s="774">
        <f t="shared" si="380"/>
        <v>13940</v>
      </c>
      <c r="AC471" s="775">
        <f t="shared" si="381"/>
        <v>0</v>
      </c>
      <c r="AD471" s="775">
        <f t="shared" si="366"/>
        <v>0</v>
      </c>
      <c r="AE471" s="775">
        <f t="shared" si="359"/>
        <v>0</v>
      </c>
      <c r="AF471" s="775">
        <f t="shared" si="382"/>
        <v>0</v>
      </c>
      <c r="AG471" s="775">
        <f t="shared" si="383"/>
        <v>0</v>
      </c>
      <c r="AI471" s="773">
        <v>459</v>
      </c>
      <c r="AJ471" s="774">
        <f t="shared" si="384"/>
        <v>13940</v>
      </c>
      <c r="AK471" s="775">
        <f t="shared" si="385"/>
        <v>0</v>
      </c>
      <c r="AL471" s="775">
        <f t="shared" si="367"/>
        <v>0</v>
      </c>
      <c r="AM471" s="775">
        <f t="shared" si="360"/>
        <v>0</v>
      </c>
      <c r="AN471" s="775">
        <f t="shared" si="386"/>
        <v>0</v>
      </c>
      <c r="AO471" s="775">
        <f t="shared" si="387"/>
        <v>0</v>
      </c>
      <c r="AQ471" s="773">
        <v>459</v>
      </c>
      <c r="AR471" s="774">
        <f t="shared" si="388"/>
        <v>13940</v>
      </c>
      <c r="AS471" s="775">
        <f t="shared" si="389"/>
        <v>0</v>
      </c>
      <c r="AT471" s="775">
        <f t="shared" si="368"/>
        <v>0</v>
      </c>
      <c r="AU471" s="775">
        <f t="shared" si="361"/>
        <v>0</v>
      </c>
      <c r="AV471" s="775">
        <f t="shared" si="390"/>
        <v>0</v>
      </c>
      <c r="AW471" s="775">
        <f t="shared" si="391"/>
        <v>0</v>
      </c>
      <c r="AY471" s="773">
        <v>459</v>
      </c>
      <c r="AZ471" s="774">
        <f t="shared" si="392"/>
        <v>13940</v>
      </c>
      <c r="BA471" s="775">
        <f t="shared" si="393"/>
        <v>0</v>
      </c>
      <c r="BB471" s="775">
        <f t="shared" si="369"/>
        <v>0</v>
      </c>
      <c r="BC471" s="775">
        <f t="shared" si="362"/>
        <v>0</v>
      </c>
      <c r="BD471" s="775">
        <f t="shared" si="394"/>
        <v>0</v>
      </c>
      <c r="BE471" s="775">
        <f t="shared" si="395"/>
        <v>0</v>
      </c>
      <c r="BG471" s="773">
        <v>459</v>
      </c>
      <c r="BH471" s="774">
        <f t="shared" si="396"/>
        <v>13940</v>
      </c>
      <c r="BI471" s="775">
        <f t="shared" si="397"/>
        <v>0</v>
      </c>
      <c r="BJ471" s="775">
        <f t="shared" si="370"/>
        <v>0</v>
      </c>
      <c r="BK471" s="775">
        <f t="shared" si="363"/>
        <v>0</v>
      </c>
      <c r="BL471" s="775">
        <f t="shared" si="398"/>
        <v>0</v>
      </c>
      <c r="BM471" s="775">
        <f t="shared" si="399"/>
        <v>0</v>
      </c>
    </row>
    <row r="472" spans="1:65">
      <c r="A472" s="11">
        <f t="shared" si="356"/>
        <v>1938</v>
      </c>
      <c r="B472" s="773">
        <v>460</v>
      </c>
      <c r="C472" s="774">
        <f t="shared" si="371"/>
        <v>13971</v>
      </c>
      <c r="D472" s="775">
        <f t="shared" si="350"/>
        <v>0</v>
      </c>
      <c r="E472" s="775">
        <f t="shared" si="351"/>
        <v>0</v>
      </c>
      <c r="F472" s="775">
        <f t="shared" si="352"/>
        <v>0</v>
      </c>
      <c r="G472" s="775">
        <f t="shared" si="353"/>
        <v>0</v>
      </c>
      <c r="H472" s="775">
        <f t="shared" si="354"/>
        <v>0</v>
      </c>
      <c r="I472" s="775">
        <f t="shared" si="355"/>
        <v>0</v>
      </c>
      <c r="K472" s="773">
        <v>460</v>
      </c>
      <c r="L472" s="774">
        <f t="shared" si="372"/>
        <v>13971</v>
      </c>
      <c r="M472" s="775">
        <f t="shared" si="373"/>
        <v>0</v>
      </c>
      <c r="N472" s="775">
        <f t="shared" si="364"/>
        <v>0</v>
      </c>
      <c r="O472" s="775">
        <f t="shared" si="357"/>
        <v>0</v>
      </c>
      <c r="P472" s="775">
        <f t="shared" si="374"/>
        <v>0</v>
      </c>
      <c r="Q472" s="775">
        <f t="shared" si="375"/>
        <v>0</v>
      </c>
      <c r="S472" s="773">
        <v>460</v>
      </c>
      <c r="T472" s="774">
        <f t="shared" si="376"/>
        <v>13971</v>
      </c>
      <c r="U472" s="775">
        <f t="shared" si="377"/>
        <v>0</v>
      </c>
      <c r="V472" s="775">
        <f t="shared" si="365"/>
        <v>0</v>
      </c>
      <c r="W472" s="775">
        <f t="shared" si="358"/>
        <v>0</v>
      </c>
      <c r="X472" s="775">
        <f t="shared" si="378"/>
        <v>0</v>
      </c>
      <c r="Y472" s="775">
        <f t="shared" si="379"/>
        <v>0</v>
      </c>
      <c r="AA472" s="773">
        <v>460</v>
      </c>
      <c r="AB472" s="774">
        <f t="shared" si="380"/>
        <v>13971</v>
      </c>
      <c r="AC472" s="775">
        <f t="shared" si="381"/>
        <v>0</v>
      </c>
      <c r="AD472" s="775">
        <f t="shared" si="366"/>
        <v>0</v>
      </c>
      <c r="AE472" s="775">
        <f t="shared" si="359"/>
        <v>0</v>
      </c>
      <c r="AF472" s="775">
        <f t="shared" si="382"/>
        <v>0</v>
      </c>
      <c r="AG472" s="775">
        <f t="shared" si="383"/>
        <v>0</v>
      </c>
      <c r="AI472" s="773">
        <v>460</v>
      </c>
      <c r="AJ472" s="774">
        <f t="shared" si="384"/>
        <v>13971</v>
      </c>
      <c r="AK472" s="775">
        <f t="shared" si="385"/>
        <v>0</v>
      </c>
      <c r="AL472" s="775">
        <f t="shared" si="367"/>
        <v>0</v>
      </c>
      <c r="AM472" s="775">
        <f t="shared" si="360"/>
        <v>0</v>
      </c>
      <c r="AN472" s="775">
        <f t="shared" si="386"/>
        <v>0</v>
      </c>
      <c r="AO472" s="775">
        <f t="shared" si="387"/>
        <v>0</v>
      </c>
      <c r="AQ472" s="773">
        <v>460</v>
      </c>
      <c r="AR472" s="774">
        <f t="shared" si="388"/>
        <v>13971</v>
      </c>
      <c r="AS472" s="775">
        <f t="shared" si="389"/>
        <v>0</v>
      </c>
      <c r="AT472" s="775">
        <f t="shared" si="368"/>
        <v>0</v>
      </c>
      <c r="AU472" s="775">
        <f t="shared" si="361"/>
        <v>0</v>
      </c>
      <c r="AV472" s="775">
        <f t="shared" si="390"/>
        <v>0</v>
      </c>
      <c r="AW472" s="775">
        <f t="shared" si="391"/>
        <v>0</v>
      </c>
      <c r="AY472" s="773">
        <v>460</v>
      </c>
      <c r="AZ472" s="774">
        <f t="shared" si="392"/>
        <v>13971</v>
      </c>
      <c r="BA472" s="775">
        <f t="shared" si="393"/>
        <v>0</v>
      </c>
      <c r="BB472" s="775">
        <f t="shared" si="369"/>
        <v>0</v>
      </c>
      <c r="BC472" s="775">
        <f t="shared" si="362"/>
        <v>0</v>
      </c>
      <c r="BD472" s="775">
        <f t="shared" si="394"/>
        <v>0</v>
      </c>
      <c r="BE472" s="775">
        <f t="shared" si="395"/>
        <v>0</v>
      </c>
      <c r="BG472" s="773">
        <v>460</v>
      </c>
      <c r="BH472" s="774">
        <f t="shared" si="396"/>
        <v>13971</v>
      </c>
      <c r="BI472" s="775">
        <f t="shared" si="397"/>
        <v>0</v>
      </c>
      <c r="BJ472" s="775">
        <f t="shared" si="370"/>
        <v>0</v>
      </c>
      <c r="BK472" s="775">
        <f t="shared" si="363"/>
        <v>0</v>
      </c>
      <c r="BL472" s="775">
        <f t="shared" si="398"/>
        <v>0</v>
      </c>
      <c r="BM472" s="775">
        <f t="shared" si="399"/>
        <v>0</v>
      </c>
    </row>
    <row r="473" spans="1:65">
      <c r="A473" s="11">
        <f t="shared" si="356"/>
        <v>1938</v>
      </c>
      <c r="B473" s="773">
        <v>461</v>
      </c>
      <c r="C473" s="774">
        <f t="shared" si="371"/>
        <v>14001</v>
      </c>
      <c r="D473" s="775">
        <f t="shared" si="350"/>
        <v>0</v>
      </c>
      <c r="E473" s="775">
        <f t="shared" si="351"/>
        <v>0</v>
      </c>
      <c r="F473" s="775">
        <f t="shared" si="352"/>
        <v>0</v>
      </c>
      <c r="G473" s="775">
        <f t="shared" si="353"/>
        <v>0</v>
      </c>
      <c r="H473" s="775">
        <f t="shared" si="354"/>
        <v>0</v>
      </c>
      <c r="I473" s="775">
        <f t="shared" si="355"/>
        <v>0</v>
      </c>
      <c r="K473" s="773">
        <v>461</v>
      </c>
      <c r="L473" s="774">
        <f t="shared" si="372"/>
        <v>14001</v>
      </c>
      <c r="M473" s="775">
        <f t="shared" si="373"/>
        <v>0</v>
      </c>
      <c r="N473" s="775">
        <f t="shared" si="364"/>
        <v>0</v>
      </c>
      <c r="O473" s="775">
        <f t="shared" si="357"/>
        <v>0</v>
      </c>
      <c r="P473" s="775">
        <f t="shared" si="374"/>
        <v>0</v>
      </c>
      <c r="Q473" s="775">
        <f t="shared" si="375"/>
        <v>0</v>
      </c>
      <c r="S473" s="773">
        <v>461</v>
      </c>
      <c r="T473" s="774">
        <f t="shared" si="376"/>
        <v>14001</v>
      </c>
      <c r="U473" s="775">
        <f t="shared" si="377"/>
        <v>0</v>
      </c>
      <c r="V473" s="775">
        <f t="shared" si="365"/>
        <v>0</v>
      </c>
      <c r="W473" s="775">
        <f t="shared" si="358"/>
        <v>0</v>
      </c>
      <c r="X473" s="775">
        <f t="shared" si="378"/>
        <v>0</v>
      </c>
      <c r="Y473" s="775">
        <f t="shared" si="379"/>
        <v>0</v>
      </c>
      <c r="AA473" s="773">
        <v>461</v>
      </c>
      <c r="AB473" s="774">
        <f t="shared" si="380"/>
        <v>14001</v>
      </c>
      <c r="AC473" s="775">
        <f t="shared" si="381"/>
        <v>0</v>
      </c>
      <c r="AD473" s="775">
        <f t="shared" si="366"/>
        <v>0</v>
      </c>
      <c r="AE473" s="775">
        <f t="shared" si="359"/>
        <v>0</v>
      </c>
      <c r="AF473" s="775">
        <f t="shared" si="382"/>
        <v>0</v>
      </c>
      <c r="AG473" s="775">
        <f t="shared" si="383"/>
        <v>0</v>
      </c>
      <c r="AI473" s="773">
        <v>461</v>
      </c>
      <c r="AJ473" s="774">
        <f t="shared" si="384"/>
        <v>14001</v>
      </c>
      <c r="AK473" s="775">
        <f t="shared" si="385"/>
        <v>0</v>
      </c>
      <c r="AL473" s="775">
        <f t="shared" si="367"/>
        <v>0</v>
      </c>
      <c r="AM473" s="775">
        <f t="shared" si="360"/>
        <v>0</v>
      </c>
      <c r="AN473" s="775">
        <f t="shared" si="386"/>
        <v>0</v>
      </c>
      <c r="AO473" s="775">
        <f t="shared" si="387"/>
        <v>0</v>
      </c>
      <c r="AQ473" s="773">
        <v>461</v>
      </c>
      <c r="AR473" s="774">
        <f t="shared" si="388"/>
        <v>14001</v>
      </c>
      <c r="AS473" s="775">
        <f t="shared" si="389"/>
        <v>0</v>
      </c>
      <c r="AT473" s="775">
        <f t="shared" si="368"/>
        <v>0</v>
      </c>
      <c r="AU473" s="775">
        <f t="shared" si="361"/>
        <v>0</v>
      </c>
      <c r="AV473" s="775">
        <f t="shared" si="390"/>
        <v>0</v>
      </c>
      <c r="AW473" s="775">
        <f t="shared" si="391"/>
        <v>0</v>
      </c>
      <c r="AY473" s="773">
        <v>461</v>
      </c>
      <c r="AZ473" s="774">
        <f t="shared" si="392"/>
        <v>14001</v>
      </c>
      <c r="BA473" s="775">
        <f t="shared" si="393"/>
        <v>0</v>
      </c>
      <c r="BB473" s="775">
        <f t="shared" si="369"/>
        <v>0</v>
      </c>
      <c r="BC473" s="775">
        <f t="shared" si="362"/>
        <v>0</v>
      </c>
      <c r="BD473" s="775">
        <f t="shared" si="394"/>
        <v>0</v>
      </c>
      <c r="BE473" s="775">
        <f t="shared" si="395"/>
        <v>0</v>
      </c>
      <c r="BG473" s="773">
        <v>461</v>
      </c>
      <c r="BH473" s="774">
        <f t="shared" si="396"/>
        <v>14001</v>
      </c>
      <c r="BI473" s="775">
        <f t="shared" si="397"/>
        <v>0</v>
      </c>
      <c r="BJ473" s="775">
        <f t="shared" si="370"/>
        <v>0</v>
      </c>
      <c r="BK473" s="775">
        <f t="shared" si="363"/>
        <v>0</v>
      </c>
      <c r="BL473" s="775">
        <f t="shared" si="398"/>
        <v>0</v>
      </c>
      <c r="BM473" s="775">
        <f t="shared" si="399"/>
        <v>0</v>
      </c>
    </row>
    <row r="474" spans="1:65">
      <c r="A474" s="11">
        <f t="shared" si="356"/>
        <v>1938</v>
      </c>
      <c r="B474" s="773">
        <v>462</v>
      </c>
      <c r="C474" s="774">
        <f t="shared" si="371"/>
        <v>14032</v>
      </c>
      <c r="D474" s="775">
        <f t="shared" si="350"/>
        <v>0</v>
      </c>
      <c r="E474" s="775">
        <f t="shared" si="351"/>
        <v>0</v>
      </c>
      <c r="F474" s="775">
        <f t="shared" si="352"/>
        <v>0</v>
      </c>
      <c r="G474" s="775">
        <f t="shared" si="353"/>
        <v>0</v>
      </c>
      <c r="H474" s="775">
        <f t="shared" si="354"/>
        <v>0</v>
      </c>
      <c r="I474" s="775">
        <f t="shared" si="355"/>
        <v>0</v>
      </c>
      <c r="K474" s="773">
        <v>462</v>
      </c>
      <c r="L474" s="774">
        <f t="shared" si="372"/>
        <v>14032</v>
      </c>
      <c r="M474" s="775">
        <f t="shared" si="373"/>
        <v>0</v>
      </c>
      <c r="N474" s="775">
        <f t="shared" si="364"/>
        <v>0</v>
      </c>
      <c r="O474" s="775">
        <f t="shared" si="357"/>
        <v>0</v>
      </c>
      <c r="P474" s="775">
        <f t="shared" si="374"/>
        <v>0</v>
      </c>
      <c r="Q474" s="775">
        <f t="shared" si="375"/>
        <v>0</v>
      </c>
      <c r="S474" s="773">
        <v>462</v>
      </c>
      <c r="T474" s="774">
        <f t="shared" si="376"/>
        <v>14032</v>
      </c>
      <c r="U474" s="775">
        <f t="shared" si="377"/>
        <v>0</v>
      </c>
      <c r="V474" s="775">
        <f t="shared" si="365"/>
        <v>0</v>
      </c>
      <c r="W474" s="775">
        <f t="shared" si="358"/>
        <v>0</v>
      </c>
      <c r="X474" s="775">
        <f t="shared" si="378"/>
        <v>0</v>
      </c>
      <c r="Y474" s="775">
        <f t="shared" si="379"/>
        <v>0</v>
      </c>
      <c r="AA474" s="773">
        <v>462</v>
      </c>
      <c r="AB474" s="774">
        <f t="shared" si="380"/>
        <v>14032</v>
      </c>
      <c r="AC474" s="775">
        <f t="shared" si="381"/>
        <v>0</v>
      </c>
      <c r="AD474" s="775">
        <f t="shared" si="366"/>
        <v>0</v>
      </c>
      <c r="AE474" s="775">
        <f t="shared" si="359"/>
        <v>0</v>
      </c>
      <c r="AF474" s="775">
        <f t="shared" si="382"/>
        <v>0</v>
      </c>
      <c r="AG474" s="775">
        <f t="shared" si="383"/>
        <v>0</v>
      </c>
      <c r="AI474" s="773">
        <v>462</v>
      </c>
      <c r="AJ474" s="774">
        <f t="shared" si="384"/>
        <v>14032</v>
      </c>
      <c r="AK474" s="775">
        <f t="shared" si="385"/>
        <v>0</v>
      </c>
      <c r="AL474" s="775">
        <f t="shared" si="367"/>
        <v>0</v>
      </c>
      <c r="AM474" s="775">
        <f t="shared" si="360"/>
        <v>0</v>
      </c>
      <c r="AN474" s="775">
        <f t="shared" si="386"/>
        <v>0</v>
      </c>
      <c r="AO474" s="775">
        <f t="shared" si="387"/>
        <v>0</v>
      </c>
      <c r="AQ474" s="773">
        <v>462</v>
      </c>
      <c r="AR474" s="774">
        <f t="shared" si="388"/>
        <v>14032</v>
      </c>
      <c r="AS474" s="775">
        <f t="shared" si="389"/>
        <v>0</v>
      </c>
      <c r="AT474" s="775">
        <f t="shared" si="368"/>
        <v>0</v>
      </c>
      <c r="AU474" s="775">
        <f t="shared" si="361"/>
        <v>0</v>
      </c>
      <c r="AV474" s="775">
        <f t="shared" si="390"/>
        <v>0</v>
      </c>
      <c r="AW474" s="775">
        <f t="shared" si="391"/>
        <v>0</v>
      </c>
      <c r="AY474" s="773">
        <v>462</v>
      </c>
      <c r="AZ474" s="774">
        <f t="shared" si="392"/>
        <v>14032</v>
      </c>
      <c r="BA474" s="775">
        <f t="shared" si="393"/>
        <v>0</v>
      </c>
      <c r="BB474" s="775">
        <f t="shared" si="369"/>
        <v>0</v>
      </c>
      <c r="BC474" s="775">
        <f t="shared" si="362"/>
        <v>0</v>
      </c>
      <c r="BD474" s="775">
        <f t="shared" si="394"/>
        <v>0</v>
      </c>
      <c r="BE474" s="775">
        <f t="shared" si="395"/>
        <v>0</v>
      </c>
      <c r="BG474" s="773">
        <v>462</v>
      </c>
      <c r="BH474" s="774">
        <f t="shared" si="396"/>
        <v>14032</v>
      </c>
      <c r="BI474" s="775">
        <f t="shared" si="397"/>
        <v>0</v>
      </c>
      <c r="BJ474" s="775">
        <f t="shared" si="370"/>
        <v>0</v>
      </c>
      <c r="BK474" s="775">
        <f t="shared" si="363"/>
        <v>0</v>
      </c>
      <c r="BL474" s="775">
        <f t="shared" si="398"/>
        <v>0</v>
      </c>
      <c r="BM474" s="775">
        <f t="shared" si="399"/>
        <v>0</v>
      </c>
    </row>
    <row r="475" spans="1:65">
      <c r="A475" s="11">
        <f t="shared" si="356"/>
        <v>1938</v>
      </c>
      <c r="B475" s="773">
        <v>463</v>
      </c>
      <c r="C475" s="774">
        <f t="shared" si="371"/>
        <v>14062</v>
      </c>
      <c r="D475" s="775">
        <f t="shared" si="350"/>
        <v>0</v>
      </c>
      <c r="E475" s="775">
        <f t="shared" si="351"/>
        <v>0</v>
      </c>
      <c r="F475" s="775">
        <f t="shared" si="352"/>
        <v>0</v>
      </c>
      <c r="G475" s="775">
        <f t="shared" si="353"/>
        <v>0</v>
      </c>
      <c r="H475" s="775">
        <f t="shared" si="354"/>
        <v>0</v>
      </c>
      <c r="I475" s="775">
        <f t="shared" si="355"/>
        <v>0</v>
      </c>
      <c r="K475" s="773">
        <v>463</v>
      </c>
      <c r="L475" s="774">
        <f t="shared" si="372"/>
        <v>14062</v>
      </c>
      <c r="M475" s="775">
        <f t="shared" si="373"/>
        <v>0</v>
      </c>
      <c r="N475" s="775">
        <f t="shared" si="364"/>
        <v>0</v>
      </c>
      <c r="O475" s="775">
        <f t="shared" si="357"/>
        <v>0</v>
      </c>
      <c r="P475" s="775">
        <f t="shared" si="374"/>
        <v>0</v>
      </c>
      <c r="Q475" s="775">
        <f t="shared" si="375"/>
        <v>0</v>
      </c>
      <c r="S475" s="773">
        <v>463</v>
      </c>
      <c r="T475" s="774">
        <f t="shared" si="376"/>
        <v>14062</v>
      </c>
      <c r="U475" s="775">
        <f t="shared" si="377"/>
        <v>0</v>
      </c>
      <c r="V475" s="775">
        <f t="shared" si="365"/>
        <v>0</v>
      </c>
      <c r="W475" s="775">
        <f t="shared" si="358"/>
        <v>0</v>
      </c>
      <c r="X475" s="775">
        <f t="shared" si="378"/>
        <v>0</v>
      </c>
      <c r="Y475" s="775">
        <f t="shared" si="379"/>
        <v>0</v>
      </c>
      <c r="AA475" s="773">
        <v>463</v>
      </c>
      <c r="AB475" s="774">
        <f t="shared" si="380"/>
        <v>14062</v>
      </c>
      <c r="AC475" s="775">
        <f t="shared" si="381"/>
        <v>0</v>
      </c>
      <c r="AD475" s="775">
        <f t="shared" si="366"/>
        <v>0</v>
      </c>
      <c r="AE475" s="775">
        <f t="shared" si="359"/>
        <v>0</v>
      </c>
      <c r="AF475" s="775">
        <f t="shared" si="382"/>
        <v>0</v>
      </c>
      <c r="AG475" s="775">
        <f t="shared" si="383"/>
        <v>0</v>
      </c>
      <c r="AI475" s="773">
        <v>463</v>
      </c>
      <c r="AJ475" s="774">
        <f t="shared" si="384"/>
        <v>14062</v>
      </c>
      <c r="AK475" s="775">
        <f t="shared" si="385"/>
        <v>0</v>
      </c>
      <c r="AL475" s="775">
        <f t="shared" si="367"/>
        <v>0</v>
      </c>
      <c r="AM475" s="775">
        <f t="shared" si="360"/>
        <v>0</v>
      </c>
      <c r="AN475" s="775">
        <f t="shared" si="386"/>
        <v>0</v>
      </c>
      <c r="AO475" s="775">
        <f t="shared" si="387"/>
        <v>0</v>
      </c>
      <c r="AQ475" s="773">
        <v>463</v>
      </c>
      <c r="AR475" s="774">
        <f t="shared" si="388"/>
        <v>14062</v>
      </c>
      <c r="AS475" s="775">
        <f t="shared" si="389"/>
        <v>0</v>
      </c>
      <c r="AT475" s="775">
        <f t="shared" si="368"/>
        <v>0</v>
      </c>
      <c r="AU475" s="775">
        <f t="shared" si="361"/>
        <v>0</v>
      </c>
      <c r="AV475" s="775">
        <f t="shared" si="390"/>
        <v>0</v>
      </c>
      <c r="AW475" s="775">
        <f t="shared" si="391"/>
        <v>0</v>
      </c>
      <c r="AY475" s="773">
        <v>463</v>
      </c>
      <c r="AZ475" s="774">
        <f t="shared" si="392"/>
        <v>14062</v>
      </c>
      <c r="BA475" s="775">
        <f t="shared" si="393"/>
        <v>0</v>
      </c>
      <c r="BB475" s="775">
        <f t="shared" si="369"/>
        <v>0</v>
      </c>
      <c r="BC475" s="775">
        <f t="shared" si="362"/>
        <v>0</v>
      </c>
      <c r="BD475" s="775">
        <f t="shared" si="394"/>
        <v>0</v>
      </c>
      <c r="BE475" s="775">
        <f t="shared" si="395"/>
        <v>0</v>
      </c>
      <c r="BG475" s="773">
        <v>463</v>
      </c>
      <c r="BH475" s="774">
        <f t="shared" si="396"/>
        <v>14062</v>
      </c>
      <c r="BI475" s="775">
        <f t="shared" si="397"/>
        <v>0</v>
      </c>
      <c r="BJ475" s="775">
        <f t="shared" si="370"/>
        <v>0</v>
      </c>
      <c r="BK475" s="775">
        <f t="shared" si="363"/>
        <v>0</v>
      </c>
      <c r="BL475" s="775">
        <f t="shared" si="398"/>
        <v>0</v>
      </c>
      <c r="BM475" s="775">
        <f t="shared" si="399"/>
        <v>0</v>
      </c>
    </row>
    <row r="476" spans="1:65">
      <c r="A476" s="11">
        <f t="shared" si="356"/>
        <v>1938</v>
      </c>
      <c r="B476" s="773">
        <v>464</v>
      </c>
      <c r="C476" s="774">
        <f t="shared" si="371"/>
        <v>14093</v>
      </c>
      <c r="D476" s="775">
        <f t="shared" si="350"/>
        <v>0</v>
      </c>
      <c r="E476" s="775">
        <f t="shared" si="351"/>
        <v>0</v>
      </c>
      <c r="F476" s="775">
        <f t="shared" si="352"/>
        <v>0</v>
      </c>
      <c r="G476" s="775">
        <f t="shared" si="353"/>
        <v>0</v>
      </c>
      <c r="H476" s="775">
        <f t="shared" si="354"/>
        <v>0</v>
      </c>
      <c r="I476" s="775">
        <f t="shared" si="355"/>
        <v>0</v>
      </c>
      <c r="K476" s="773">
        <v>464</v>
      </c>
      <c r="L476" s="774">
        <f t="shared" si="372"/>
        <v>14093</v>
      </c>
      <c r="M476" s="775">
        <f t="shared" si="373"/>
        <v>0</v>
      </c>
      <c r="N476" s="775">
        <f t="shared" si="364"/>
        <v>0</v>
      </c>
      <c r="O476" s="775">
        <f t="shared" si="357"/>
        <v>0</v>
      </c>
      <c r="P476" s="775">
        <f t="shared" si="374"/>
        <v>0</v>
      </c>
      <c r="Q476" s="775">
        <f t="shared" si="375"/>
        <v>0</v>
      </c>
      <c r="S476" s="773">
        <v>464</v>
      </c>
      <c r="T476" s="774">
        <f t="shared" si="376"/>
        <v>14093</v>
      </c>
      <c r="U476" s="775">
        <f t="shared" si="377"/>
        <v>0</v>
      </c>
      <c r="V476" s="775">
        <f t="shared" si="365"/>
        <v>0</v>
      </c>
      <c r="W476" s="775">
        <f t="shared" si="358"/>
        <v>0</v>
      </c>
      <c r="X476" s="775">
        <f t="shared" si="378"/>
        <v>0</v>
      </c>
      <c r="Y476" s="775">
        <f t="shared" si="379"/>
        <v>0</v>
      </c>
      <c r="AA476" s="773">
        <v>464</v>
      </c>
      <c r="AB476" s="774">
        <f t="shared" si="380"/>
        <v>14093</v>
      </c>
      <c r="AC476" s="775">
        <f t="shared" si="381"/>
        <v>0</v>
      </c>
      <c r="AD476" s="775">
        <f t="shared" si="366"/>
        <v>0</v>
      </c>
      <c r="AE476" s="775">
        <f t="shared" si="359"/>
        <v>0</v>
      </c>
      <c r="AF476" s="775">
        <f t="shared" si="382"/>
        <v>0</v>
      </c>
      <c r="AG476" s="775">
        <f t="shared" si="383"/>
        <v>0</v>
      </c>
      <c r="AI476" s="773">
        <v>464</v>
      </c>
      <c r="AJ476" s="774">
        <f t="shared" si="384"/>
        <v>14093</v>
      </c>
      <c r="AK476" s="775">
        <f t="shared" si="385"/>
        <v>0</v>
      </c>
      <c r="AL476" s="775">
        <f t="shared" si="367"/>
        <v>0</v>
      </c>
      <c r="AM476" s="775">
        <f t="shared" si="360"/>
        <v>0</v>
      </c>
      <c r="AN476" s="775">
        <f t="shared" si="386"/>
        <v>0</v>
      </c>
      <c r="AO476" s="775">
        <f t="shared" si="387"/>
        <v>0</v>
      </c>
      <c r="AQ476" s="773">
        <v>464</v>
      </c>
      <c r="AR476" s="774">
        <f t="shared" si="388"/>
        <v>14093</v>
      </c>
      <c r="AS476" s="775">
        <f t="shared" si="389"/>
        <v>0</v>
      </c>
      <c r="AT476" s="775">
        <f t="shared" si="368"/>
        <v>0</v>
      </c>
      <c r="AU476" s="775">
        <f t="shared" si="361"/>
        <v>0</v>
      </c>
      <c r="AV476" s="775">
        <f t="shared" si="390"/>
        <v>0</v>
      </c>
      <c r="AW476" s="775">
        <f t="shared" si="391"/>
        <v>0</v>
      </c>
      <c r="AY476" s="773">
        <v>464</v>
      </c>
      <c r="AZ476" s="774">
        <f t="shared" si="392"/>
        <v>14093</v>
      </c>
      <c r="BA476" s="775">
        <f t="shared" si="393"/>
        <v>0</v>
      </c>
      <c r="BB476" s="775">
        <f t="shared" si="369"/>
        <v>0</v>
      </c>
      <c r="BC476" s="775">
        <f t="shared" si="362"/>
        <v>0</v>
      </c>
      <c r="BD476" s="775">
        <f t="shared" si="394"/>
        <v>0</v>
      </c>
      <c r="BE476" s="775">
        <f t="shared" si="395"/>
        <v>0</v>
      </c>
      <c r="BG476" s="773">
        <v>464</v>
      </c>
      <c r="BH476" s="774">
        <f t="shared" si="396"/>
        <v>14093</v>
      </c>
      <c r="BI476" s="775">
        <f t="shared" si="397"/>
        <v>0</v>
      </c>
      <c r="BJ476" s="775">
        <f t="shared" si="370"/>
        <v>0</v>
      </c>
      <c r="BK476" s="775">
        <f t="shared" si="363"/>
        <v>0</v>
      </c>
      <c r="BL476" s="775">
        <f t="shared" si="398"/>
        <v>0</v>
      </c>
      <c r="BM476" s="775">
        <f t="shared" si="399"/>
        <v>0</v>
      </c>
    </row>
    <row r="477" spans="1:65">
      <c r="A477" s="11">
        <f t="shared" si="356"/>
        <v>1938</v>
      </c>
      <c r="B477" s="773">
        <v>465</v>
      </c>
      <c r="C477" s="774">
        <f t="shared" si="371"/>
        <v>14124</v>
      </c>
      <c r="D477" s="775">
        <f t="shared" si="350"/>
        <v>0</v>
      </c>
      <c r="E477" s="775">
        <f t="shared" si="351"/>
        <v>0</v>
      </c>
      <c r="F477" s="775">
        <f t="shared" si="352"/>
        <v>0</v>
      </c>
      <c r="G477" s="775">
        <f t="shared" si="353"/>
        <v>0</v>
      </c>
      <c r="H477" s="775">
        <f t="shared" si="354"/>
        <v>0</v>
      </c>
      <c r="I477" s="775">
        <f t="shared" si="355"/>
        <v>0</v>
      </c>
      <c r="K477" s="773">
        <v>465</v>
      </c>
      <c r="L477" s="774">
        <f t="shared" si="372"/>
        <v>14124</v>
      </c>
      <c r="M477" s="775">
        <f t="shared" si="373"/>
        <v>0</v>
      </c>
      <c r="N477" s="775">
        <f t="shared" si="364"/>
        <v>0</v>
      </c>
      <c r="O477" s="775">
        <f t="shared" si="357"/>
        <v>0</v>
      </c>
      <c r="P477" s="775">
        <f t="shared" si="374"/>
        <v>0</v>
      </c>
      <c r="Q477" s="775">
        <f t="shared" si="375"/>
        <v>0</v>
      </c>
      <c r="S477" s="773">
        <v>465</v>
      </c>
      <c r="T477" s="774">
        <f t="shared" si="376"/>
        <v>14124</v>
      </c>
      <c r="U477" s="775">
        <f t="shared" si="377"/>
        <v>0</v>
      </c>
      <c r="V477" s="775">
        <f t="shared" si="365"/>
        <v>0</v>
      </c>
      <c r="W477" s="775">
        <f t="shared" si="358"/>
        <v>0</v>
      </c>
      <c r="X477" s="775">
        <f t="shared" si="378"/>
        <v>0</v>
      </c>
      <c r="Y477" s="775">
        <f t="shared" si="379"/>
        <v>0</v>
      </c>
      <c r="AA477" s="773">
        <v>465</v>
      </c>
      <c r="AB477" s="774">
        <f t="shared" si="380"/>
        <v>14124</v>
      </c>
      <c r="AC477" s="775">
        <f t="shared" si="381"/>
        <v>0</v>
      </c>
      <c r="AD477" s="775">
        <f t="shared" si="366"/>
        <v>0</v>
      </c>
      <c r="AE477" s="775">
        <f t="shared" si="359"/>
        <v>0</v>
      </c>
      <c r="AF477" s="775">
        <f t="shared" si="382"/>
        <v>0</v>
      </c>
      <c r="AG477" s="775">
        <f t="shared" si="383"/>
        <v>0</v>
      </c>
      <c r="AI477" s="773">
        <v>465</v>
      </c>
      <c r="AJ477" s="774">
        <f t="shared" si="384"/>
        <v>14124</v>
      </c>
      <c r="AK477" s="775">
        <f t="shared" si="385"/>
        <v>0</v>
      </c>
      <c r="AL477" s="775">
        <f t="shared" si="367"/>
        <v>0</v>
      </c>
      <c r="AM477" s="775">
        <f t="shared" si="360"/>
        <v>0</v>
      </c>
      <c r="AN477" s="775">
        <f t="shared" si="386"/>
        <v>0</v>
      </c>
      <c r="AO477" s="775">
        <f t="shared" si="387"/>
        <v>0</v>
      </c>
      <c r="AQ477" s="773">
        <v>465</v>
      </c>
      <c r="AR477" s="774">
        <f t="shared" si="388"/>
        <v>14124</v>
      </c>
      <c r="AS477" s="775">
        <f t="shared" si="389"/>
        <v>0</v>
      </c>
      <c r="AT477" s="775">
        <f t="shared" si="368"/>
        <v>0</v>
      </c>
      <c r="AU477" s="775">
        <f t="shared" si="361"/>
        <v>0</v>
      </c>
      <c r="AV477" s="775">
        <f t="shared" si="390"/>
        <v>0</v>
      </c>
      <c r="AW477" s="775">
        <f t="shared" si="391"/>
        <v>0</v>
      </c>
      <c r="AY477" s="773">
        <v>465</v>
      </c>
      <c r="AZ477" s="774">
        <f t="shared" si="392"/>
        <v>14124</v>
      </c>
      <c r="BA477" s="775">
        <f t="shared" si="393"/>
        <v>0</v>
      </c>
      <c r="BB477" s="775">
        <f t="shared" si="369"/>
        <v>0</v>
      </c>
      <c r="BC477" s="775">
        <f t="shared" si="362"/>
        <v>0</v>
      </c>
      <c r="BD477" s="775">
        <f t="shared" si="394"/>
        <v>0</v>
      </c>
      <c r="BE477" s="775">
        <f t="shared" si="395"/>
        <v>0</v>
      </c>
      <c r="BG477" s="773">
        <v>465</v>
      </c>
      <c r="BH477" s="774">
        <f t="shared" si="396"/>
        <v>14124</v>
      </c>
      <c r="BI477" s="775">
        <f t="shared" si="397"/>
        <v>0</v>
      </c>
      <c r="BJ477" s="775">
        <f t="shared" si="370"/>
        <v>0</v>
      </c>
      <c r="BK477" s="775">
        <f t="shared" si="363"/>
        <v>0</v>
      </c>
      <c r="BL477" s="775">
        <f t="shared" si="398"/>
        <v>0</v>
      </c>
      <c r="BM477" s="775">
        <f t="shared" si="399"/>
        <v>0</v>
      </c>
    </row>
    <row r="478" spans="1:65">
      <c r="A478" s="11">
        <f t="shared" si="356"/>
        <v>1938</v>
      </c>
      <c r="B478" s="773">
        <v>466</v>
      </c>
      <c r="C478" s="774">
        <f t="shared" si="371"/>
        <v>14154</v>
      </c>
      <c r="D478" s="775">
        <f t="shared" si="350"/>
        <v>0</v>
      </c>
      <c r="E478" s="775">
        <f t="shared" si="351"/>
        <v>0</v>
      </c>
      <c r="F478" s="775">
        <f t="shared" si="352"/>
        <v>0</v>
      </c>
      <c r="G478" s="775">
        <f t="shared" si="353"/>
        <v>0</v>
      </c>
      <c r="H478" s="775">
        <f t="shared" si="354"/>
        <v>0</v>
      </c>
      <c r="I478" s="775">
        <f t="shared" si="355"/>
        <v>0</v>
      </c>
      <c r="K478" s="773">
        <v>466</v>
      </c>
      <c r="L478" s="774">
        <f t="shared" si="372"/>
        <v>14154</v>
      </c>
      <c r="M478" s="775">
        <f t="shared" si="373"/>
        <v>0</v>
      </c>
      <c r="N478" s="775">
        <f t="shared" si="364"/>
        <v>0</v>
      </c>
      <c r="O478" s="775">
        <f t="shared" si="357"/>
        <v>0</v>
      </c>
      <c r="P478" s="775">
        <f t="shared" si="374"/>
        <v>0</v>
      </c>
      <c r="Q478" s="775">
        <f t="shared" si="375"/>
        <v>0</v>
      </c>
      <c r="S478" s="773">
        <v>466</v>
      </c>
      <c r="T478" s="774">
        <f t="shared" si="376"/>
        <v>14154</v>
      </c>
      <c r="U478" s="775">
        <f t="shared" si="377"/>
        <v>0</v>
      </c>
      <c r="V478" s="775">
        <f t="shared" si="365"/>
        <v>0</v>
      </c>
      <c r="W478" s="775">
        <f t="shared" si="358"/>
        <v>0</v>
      </c>
      <c r="X478" s="775">
        <f t="shared" si="378"/>
        <v>0</v>
      </c>
      <c r="Y478" s="775">
        <f t="shared" si="379"/>
        <v>0</v>
      </c>
      <c r="AA478" s="773">
        <v>466</v>
      </c>
      <c r="AB478" s="774">
        <f t="shared" si="380"/>
        <v>14154</v>
      </c>
      <c r="AC478" s="775">
        <f t="shared" si="381"/>
        <v>0</v>
      </c>
      <c r="AD478" s="775">
        <f t="shared" si="366"/>
        <v>0</v>
      </c>
      <c r="AE478" s="775">
        <f t="shared" si="359"/>
        <v>0</v>
      </c>
      <c r="AF478" s="775">
        <f t="shared" si="382"/>
        <v>0</v>
      </c>
      <c r="AG478" s="775">
        <f t="shared" si="383"/>
        <v>0</v>
      </c>
      <c r="AI478" s="773">
        <v>466</v>
      </c>
      <c r="AJ478" s="774">
        <f t="shared" si="384"/>
        <v>14154</v>
      </c>
      <c r="AK478" s="775">
        <f t="shared" si="385"/>
        <v>0</v>
      </c>
      <c r="AL478" s="775">
        <f t="shared" si="367"/>
        <v>0</v>
      </c>
      <c r="AM478" s="775">
        <f t="shared" si="360"/>
        <v>0</v>
      </c>
      <c r="AN478" s="775">
        <f t="shared" si="386"/>
        <v>0</v>
      </c>
      <c r="AO478" s="775">
        <f t="shared" si="387"/>
        <v>0</v>
      </c>
      <c r="AQ478" s="773">
        <v>466</v>
      </c>
      <c r="AR478" s="774">
        <f t="shared" si="388"/>
        <v>14154</v>
      </c>
      <c r="AS478" s="775">
        <f t="shared" si="389"/>
        <v>0</v>
      </c>
      <c r="AT478" s="775">
        <f t="shared" si="368"/>
        <v>0</v>
      </c>
      <c r="AU478" s="775">
        <f t="shared" si="361"/>
        <v>0</v>
      </c>
      <c r="AV478" s="775">
        <f t="shared" si="390"/>
        <v>0</v>
      </c>
      <c r="AW478" s="775">
        <f t="shared" si="391"/>
        <v>0</v>
      </c>
      <c r="AY478" s="773">
        <v>466</v>
      </c>
      <c r="AZ478" s="774">
        <f t="shared" si="392"/>
        <v>14154</v>
      </c>
      <c r="BA478" s="775">
        <f t="shared" si="393"/>
        <v>0</v>
      </c>
      <c r="BB478" s="775">
        <f t="shared" si="369"/>
        <v>0</v>
      </c>
      <c r="BC478" s="775">
        <f t="shared" si="362"/>
        <v>0</v>
      </c>
      <c r="BD478" s="775">
        <f t="shared" si="394"/>
        <v>0</v>
      </c>
      <c r="BE478" s="775">
        <f t="shared" si="395"/>
        <v>0</v>
      </c>
      <c r="BG478" s="773">
        <v>466</v>
      </c>
      <c r="BH478" s="774">
        <f t="shared" si="396"/>
        <v>14154</v>
      </c>
      <c r="BI478" s="775">
        <f t="shared" si="397"/>
        <v>0</v>
      </c>
      <c r="BJ478" s="775">
        <f t="shared" si="370"/>
        <v>0</v>
      </c>
      <c r="BK478" s="775">
        <f t="shared" si="363"/>
        <v>0</v>
      </c>
      <c r="BL478" s="775">
        <f t="shared" si="398"/>
        <v>0</v>
      </c>
      <c r="BM478" s="775">
        <f t="shared" si="399"/>
        <v>0</v>
      </c>
    </row>
    <row r="479" spans="1:65">
      <c r="A479" s="11">
        <f t="shared" si="356"/>
        <v>1938</v>
      </c>
      <c r="B479" s="773">
        <v>467</v>
      </c>
      <c r="C479" s="774">
        <f t="shared" si="371"/>
        <v>14185</v>
      </c>
      <c r="D479" s="775">
        <f t="shared" si="350"/>
        <v>0</v>
      </c>
      <c r="E479" s="775">
        <f t="shared" si="351"/>
        <v>0</v>
      </c>
      <c r="F479" s="775">
        <f t="shared" si="352"/>
        <v>0</v>
      </c>
      <c r="G479" s="775">
        <f t="shared" si="353"/>
        <v>0</v>
      </c>
      <c r="H479" s="775">
        <f t="shared" si="354"/>
        <v>0</v>
      </c>
      <c r="I479" s="775">
        <f t="shared" si="355"/>
        <v>0</v>
      </c>
      <c r="K479" s="773">
        <v>467</v>
      </c>
      <c r="L479" s="774">
        <f t="shared" si="372"/>
        <v>14185</v>
      </c>
      <c r="M479" s="775">
        <f t="shared" si="373"/>
        <v>0</v>
      </c>
      <c r="N479" s="775">
        <f t="shared" si="364"/>
        <v>0</v>
      </c>
      <c r="O479" s="775">
        <f t="shared" si="357"/>
        <v>0</v>
      </c>
      <c r="P479" s="775">
        <f t="shared" si="374"/>
        <v>0</v>
      </c>
      <c r="Q479" s="775">
        <f t="shared" si="375"/>
        <v>0</v>
      </c>
      <c r="S479" s="773">
        <v>467</v>
      </c>
      <c r="T479" s="774">
        <f t="shared" si="376"/>
        <v>14185</v>
      </c>
      <c r="U479" s="775">
        <f t="shared" si="377"/>
        <v>0</v>
      </c>
      <c r="V479" s="775">
        <f t="shared" si="365"/>
        <v>0</v>
      </c>
      <c r="W479" s="775">
        <f t="shared" si="358"/>
        <v>0</v>
      </c>
      <c r="X479" s="775">
        <f t="shared" si="378"/>
        <v>0</v>
      </c>
      <c r="Y479" s="775">
        <f t="shared" si="379"/>
        <v>0</v>
      </c>
      <c r="AA479" s="773">
        <v>467</v>
      </c>
      <c r="AB479" s="774">
        <f t="shared" si="380"/>
        <v>14185</v>
      </c>
      <c r="AC479" s="775">
        <f t="shared" si="381"/>
        <v>0</v>
      </c>
      <c r="AD479" s="775">
        <f t="shared" si="366"/>
        <v>0</v>
      </c>
      <c r="AE479" s="775">
        <f t="shared" si="359"/>
        <v>0</v>
      </c>
      <c r="AF479" s="775">
        <f t="shared" si="382"/>
        <v>0</v>
      </c>
      <c r="AG479" s="775">
        <f t="shared" si="383"/>
        <v>0</v>
      </c>
      <c r="AI479" s="773">
        <v>467</v>
      </c>
      <c r="AJ479" s="774">
        <f t="shared" si="384"/>
        <v>14185</v>
      </c>
      <c r="AK479" s="775">
        <f t="shared" si="385"/>
        <v>0</v>
      </c>
      <c r="AL479" s="775">
        <f t="shared" si="367"/>
        <v>0</v>
      </c>
      <c r="AM479" s="775">
        <f t="shared" si="360"/>
        <v>0</v>
      </c>
      <c r="AN479" s="775">
        <f t="shared" si="386"/>
        <v>0</v>
      </c>
      <c r="AO479" s="775">
        <f t="shared" si="387"/>
        <v>0</v>
      </c>
      <c r="AQ479" s="773">
        <v>467</v>
      </c>
      <c r="AR479" s="774">
        <f t="shared" si="388"/>
        <v>14185</v>
      </c>
      <c r="AS479" s="775">
        <f t="shared" si="389"/>
        <v>0</v>
      </c>
      <c r="AT479" s="775">
        <f t="shared" si="368"/>
        <v>0</v>
      </c>
      <c r="AU479" s="775">
        <f t="shared" si="361"/>
        <v>0</v>
      </c>
      <c r="AV479" s="775">
        <f t="shared" si="390"/>
        <v>0</v>
      </c>
      <c r="AW479" s="775">
        <f t="shared" si="391"/>
        <v>0</v>
      </c>
      <c r="AY479" s="773">
        <v>467</v>
      </c>
      <c r="AZ479" s="774">
        <f t="shared" si="392"/>
        <v>14185</v>
      </c>
      <c r="BA479" s="775">
        <f t="shared" si="393"/>
        <v>0</v>
      </c>
      <c r="BB479" s="775">
        <f t="shared" si="369"/>
        <v>0</v>
      </c>
      <c r="BC479" s="775">
        <f t="shared" si="362"/>
        <v>0</v>
      </c>
      <c r="BD479" s="775">
        <f t="shared" si="394"/>
        <v>0</v>
      </c>
      <c r="BE479" s="775">
        <f t="shared" si="395"/>
        <v>0</v>
      </c>
      <c r="BG479" s="773">
        <v>467</v>
      </c>
      <c r="BH479" s="774">
        <f t="shared" si="396"/>
        <v>14185</v>
      </c>
      <c r="BI479" s="775">
        <f t="shared" si="397"/>
        <v>0</v>
      </c>
      <c r="BJ479" s="775">
        <f t="shared" si="370"/>
        <v>0</v>
      </c>
      <c r="BK479" s="775">
        <f t="shared" si="363"/>
        <v>0</v>
      </c>
      <c r="BL479" s="775">
        <f t="shared" si="398"/>
        <v>0</v>
      </c>
      <c r="BM479" s="775">
        <f t="shared" si="399"/>
        <v>0</v>
      </c>
    </row>
    <row r="480" spans="1:65">
      <c r="A480" s="11">
        <f t="shared" si="356"/>
        <v>1938</v>
      </c>
      <c r="B480" s="773">
        <v>468</v>
      </c>
      <c r="C480" s="774">
        <f t="shared" si="371"/>
        <v>14215</v>
      </c>
      <c r="D480" s="775">
        <f t="shared" si="350"/>
        <v>0</v>
      </c>
      <c r="E480" s="775">
        <f t="shared" si="351"/>
        <v>0</v>
      </c>
      <c r="F480" s="775">
        <f t="shared" si="352"/>
        <v>0</v>
      </c>
      <c r="G480" s="775">
        <f t="shared" si="353"/>
        <v>0</v>
      </c>
      <c r="H480" s="775">
        <f t="shared" si="354"/>
        <v>0</v>
      </c>
      <c r="I480" s="775">
        <f t="shared" si="355"/>
        <v>0</v>
      </c>
      <c r="K480" s="773">
        <v>468</v>
      </c>
      <c r="L480" s="774">
        <f t="shared" si="372"/>
        <v>14215</v>
      </c>
      <c r="M480" s="775">
        <f t="shared" si="373"/>
        <v>0</v>
      </c>
      <c r="N480" s="775">
        <f t="shared" si="364"/>
        <v>0</v>
      </c>
      <c r="O480" s="775">
        <f t="shared" si="357"/>
        <v>0</v>
      </c>
      <c r="P480" s="775">
        <f t="shared" si="374"/>
        <v>0</v>
      </c>
      <c r="Q480" s="775">
        <f t="shared" si="375"/>
        <v>0</v>
      </c>
      <c r="S480" s="773">
        <v>468</v>
      </c>
      <c r="T480" s="774">
        <f t="shared" si="376"/>
        <v>14215</v>
      </c>
      <c r="U480" s="775">
        <f t="shared" si="377"/>
        <v>0</v>
      </c>
      <c r="V480" s="775">
        <f t="shared" si="365"/>
        <v>0</v>
      </c>
      <c r="W480" s="775">
        <f t="shared" si="358"/>
        <v>0</v>
      </c>
      <c r="X480" s="775">
        <f t="shared" si="378"/>
        <v>0</v>
      </c>
      <c r="Y480" s="775">
        <f t="shared" si="379"/>
        <v>0</v>
      </c>
      <c r="AA480" s="773">
        <v>468</v>
      </c>
      <c r="AB480" s="774">
        <f t="shared" si="380"/>
        <v>14215</v>
      </c>
      <c r="AC480" s="775">
        <f t="shared" si="381"/>
        <v>0</v>
      </c>
      <c r="AD480" s="775">
        <f t="shared" si="366"/>
        <v>0</v>
      </c>
      <c r="AE480" s="775">
        <f t="shared" si="359"/>
        <v>0</v>
      </c>
      <c r="AF480" s="775">
        <f t="shared" si="382"/>
        <v>0</v>
      </c>
      <c r="AG480" s="775">
        <f t="shared" si="383"/>
        <v>0</v>
      </c>
      <c r="AI480" s="773">
        <v>468</v>
      </c>
      <c r="AJ480" s="774">
        <f t="shared" si="384"/>
        <v>14215</v>
      </c>
      <c r="AK480" s="775">
        <f t="shared" si="385"/>
        <v>0</v>
      </c>
      <c r="AL480" s="775">
        <f t="shared" si="367"/>
        <v>0</v>
      </c>
      <c r="AM480" s="775">
        <f t="shared" si="360"/>
        <v>0</v>
      </c>
      <c r="AN480" s="775">
        <f t="shared" si="386"/>
        <v>0</v>
      </c>
      <c r="AO480" s="775">
        <f t="shared" si="387"/>
        <v>0</v>
      </c>
      <c r="AQ480" s="773">
        <v>468</v>
      </c>
      <c r="AR480" s="774">
        <f t="shared" si="388"/>
        <v>14215</v>
      </c>
      <c r="AS480" s="775">
        <f t="shared" si="389"/>
        <v>0</v>
      </c>
      <c r="AT480" s="775">
        <f t="shared" si="368"/>
        <v>0</v>
      </c>
      <c r="AU480" s="775">
        <f t="shared" si="361"/>
        <v>0</v>
      </c>
      <c r="AV480" s="775">
        <f t="shared" si="390"/>
        <v>0</v>
      </c>
      <c r="AW480" s="775">
        <f t="shared" si="391"/>
        <v>0</v>
      </c>
      <c r="AY480" s="773">
        <v>468</v>
      </c>
      <c r="AZ480" s="774">
        <f t="shared" si="392"/>
        <v>14215</v>
      </c>
      <c r="BA480" s="775">
        <f t="shared" si="393"/>
        <v>0</v>
      </c>
      <c r="BB480" s="775">
        <f t="shared" si="369"/>
        <v>0</v>
      </c>
      <c r="BC480" s="775">
        <f t="shared" si="362"/>
        <v>0</v>
      </c>
      <c r="BD480" s="775">
        <f t="shared" si="394"/>
        <v>0</v>
      </c>
      <c r="BE480" s="775">
        <f t="shared" si="395"/>
        <v>0</v>
      </c>
      <c r="BG480" s="773">
        <v>468</v>
      </c>
      <c r="BH480" s="774">
        <f t="shared" si="396"/>
        <v>14215</v>
      </c>
      <c r="BI480" s="775">
        <f t="shared" si="397"/>
        <v>0</v>
      </c>
      <c r="BJ480" s="775">
        <f t="shared" si="370"/>
        <v>0</v>
      </c>
      <c r="BK480" s="775">
        <f t="shared" si="363"/>
        <v>0</v>
      </c>
      <c r="BL480" s="775">
        <f t="shared" si="398"/>
        <v>0</v>
      </c>
      <c r="BM480" s="775">
        <f t="shared" si="399"/>
        <v>0</v>
      </c>
    </row>
    <row r="481" spans="1:65">
      <c r="A481" s="11">
        <f t="shared" si="356"/>
        <v>1939</v>
      </c>
      <c r="B481" s="773">
        <v>469</v>
      </c>
      <c r="C481" s="774">
        <f t="shared" si="371"/>
        <v>14246</v>
      </c>
      <c r="D481" s="775">
        <f t="shared" si="350"/>
        <v>0</v>
      </c>
      <c r="E481" s="775">
        <f t="shared" si="351"/>
        <v>0</v>
      </c>
      <c r="F481" s="775">
        <f t="shared" si="352"/>
        <v>0</v>
      </c>
      <c r="G481" s="775">
        <f t="shared" si="353"/>
        <v>0</v>
      </c>
      <c r="H481" s="775">
        <f t="shared" si="354"/>
        <v>0</v>
      </c>
      <c r="I481" s="775">
        <f t="shared" si="355"/>
        <v>0</v>
      </c>
      <c r="K481" s="773">
        <v>469</v>
      </c>
      <c r="L481" s="774">
        <f t="shared" si="372"/>
        <v>14246</v>
      </c>
      <c r="M481" s="775">
        <f t="shared" si="373"/>
        <v>0</v>
      </c>
      <c r="N481" s="775">
        <f t="shared" si="364"/>
        <v>0</v>
      </c>
      <c r="O481" s="775">
        <f t="shared" si="357"/>
        <v>0</v>
      </c>
      <c r="P481" s="775">
        <f t="shared" si="374"/>
        <v>0</v>
      </c>
      <c r="Q481" s="775">
        <f t="shared" si="375"/>
        <v>0</v>
      </c>
      <c r="S481" s="773">
        <v>469</v>
      </c>
      <c r="T481" s="774">
        <f t="shared" si="376"/>
        <v>14246</v>
      </c>
      <c r="U481" s="775">
        <f t="shared" si="377"/>
        <v>0</v>
      </c>
      <c r="V481" s="775">
        <f t="shared" si="365"/>
        <v>0</v>
      </c>
      <c r="W481" s="775">
        <f t="shared" si="358"/>
        <v>0</v>
      </c>
      <c r="X481" s="775">
        <f t="shared" si="378"/>
        <v>0</v>
      </c>
      <c r="Y481" s="775">
        <f t="shared" si="379"/>
        <v>0</v>
      </c>
      <c r="AA481" s="773">
        <v>469</v>
      </c>
      <c r="AB481" s="774">
        <f t="shared" si="380"/>
        <v>14246</v>
      </c>
      <c r="AC481" s="775">
        <f t="shared" si="381"/>
        <v>0</v>
      </c>
      <c r="AD481" s="775">
        <f t="shared" si="366"/>
        <v>0</v>
      </c>
      <c r="AE481" s="775">
        <f t="shared" si="359"/>
        <v>0</v>
      </c>
      <c r="AF481" s="775">
        <f t="shared" si="382"/>
        <v>0</v>
      </c>
      <c r="AG481" s="775">
        <f t="shared" si="383"/>
        <v>0</v>
      </c>
      <c r="AI481" s="773">
        <v>469</v>
      </c>
      <c r="AJ481" s="774">
        <f t="shared" si="384"/>
        <v>14246</v>
      </c>
      <c r="AK481" s="775">
        <f t="shared" si="385"/>
        <v>0</v>
      </c>
      <c r="AL481" s="775">
        <f t="shared" si="367"/>
        <v>0</v>
      </c>
      <c r="AM481" s="775">
        <f t="shared" si="360"/>
        <v>0</v>
      </c>
      <c r="AN481" s="775">
        <f t="shared" si="386"/>
        <v>0</v>
      </c>
      <c r="AO481" s="775">
        <f t="shared" si="387"/>
        <v>0</v>
      </c>
      <c r="AQ481" s="773">
        <v>469</v>
      </c>
      <c r="AR481" s="774">
        <f t="shared" si="388"/>
        <v>14246</v>
      </c>
      <c r="AS481" s="775">
        <f t="shared" si="389"/>
        <v>0</v>
      </c>
      <c r="AT481" s="775">
        <f t="shared" si="368"/>
        <v>0</v>
      </c>
      <c r="AU481" s="775">
        <f t="shared" si="361"/>
        <v>0</v>
      </c>
      <c r="AV481" s="775">
        <f t="shared" si="390"/>
        <v>0</v>
      </c>
      <c r="AW481" s="775">
        <f t="shared" si="391"/>
        <v>0</v>
      </c>
      <c r="AY481" s="773">
        <v>469</v>
      </c>
      <c r="AZ481" s="774">
        <f t="shared" si="392"/>
        <v>14246</v>
      </c>
      <c r="BA481" s="775">
        <f t="shared" si="393"/>
        <v>0</v>
      </c>
      <c r="BB481" s="775">
        <f t="shared" si="369"/>
        <v>0</v>
      </c>
      <c r="BC481" s="775">
        <f t="shared" si="362"/>
        <v>0</v>
      </c>
      <c r="BD481" s="775">
        <f t="shared" si="394"/>
        <v>0</v>
      </c>
      <c r="BE481" s="775">
        <f t="shared" si="395"/>
        <v>0</v>
      </c>
      <c r="BG481" s="773">
        <v>469</v>
      </c>
      <c r="BH481" s="774">
        <f t="shared" si="396"/>
        <v>14246</v>
      </c>
      <c r="BI481" s="775">
        <f t="shared" si="397"/>
        <v>0</v>
      </c>
      <c r="BJ481" s="775">
        <f t="shared" si="370"/>
        <v>0</v>
      </c>
      <c r="BK481" s="775">
        <f t="shared" si="363"/>
        <v>0</v>
      </c>
      <c r="BL481" s="775">
        <f t="shared" si="398"/>
        <v>0</v>
      </c>
      <c r="BM481" s="775">
        <f t="shared" si="399"/>
        <v>0</v>
      </c>
    </row>
    <row r="482" spans="1:65">
      <c r="A482" s="11">
        <f t="shared" si="356"/>
        <v>1939</v>
      </c>
      <c r="B482" s="773">
        <v>470</v>
      </c>
      <c r="C482" s="774">
        <f t="shared" si="371"/>
        <v>14277</v>
      </c>
      <c r="D482" s="775">
        <f t="shared" si="350"/>
        <v>0</v>
      </c>
      <c r="E482" s="775">
        <f t="shared" si="351"/>
        <v>0</v>
      </c>
      <c r="F482" s="775">
        <f t="shared" si="352"/>
        <v>0</v>
      </c>
      <c r="G482" s="775">
        <f t="shared" si="353"/>
        <v>0</v>
      </c>
      <c r="H482" s="775">
        <f t="shared" si="354"/>
        <v>0</v>
      </c>
      <c r="I482" s="775">
        <f t="shared" si="355"/>
        <v>0</v>
      </c>
      <c r="K482" s="773">
        <v>470</v>
      </c>
      <c r="L482" s="774">
        <f t="shared" si="372"/>
        <v>14277</v>
      </c>
      <c r="M482" s="775">
        <f t="shared" si="373"/>
        <v>0</v>
      </c>
      <c r="N482" s="775">
        <f t="shared" si="364"/>
        <v>0</v>
      </c>
      <c r="O482" s="775">
        <f t="shared" si="357"/>
        <v>0</v>
      </c>
      <c r="P482" s="775">
        <f t="shared" si="374"/>
        <v>0</v>
      </c>
      <c r="Q482" s="775">
        <f t="shared" si="375"/>
        <v>0</v>
      </c>
      <c r="S482" s="773">
        <v>470</v>
      </c>
      <c r="T482" s="774">
        <f t="shared" si="376"/>
        <v>14277</v>
      </c>
      <c r="U482" s="775">
        <f t="shared" si="377"/>
        <v>0</v>
      </c>
      <c r="V482" s="775">
        <f t="shared" si="365"/>
        <v>0</v>
      </c>
      <c r="W482" s="775">
        <f t="shared" si="358"/>
        <v>0</v>
      </c>
      <c r="X482" s="775">
        <f t="shared" si="378"/>
        <v>0</v>
      </c>
      <c r="Y482" s="775">
        <f t="shared" si="379"/>
        <v>0</v>
      </c>
      <c r="AA482" s="773">
        <v>470</v>
      </c>
      <c r="AB482" s="774">
        <f t="shared" si="380"/>
        <v>14277</v>
      </c>
      <c r="AC482" s="775">
        <f t="shared" si="381"/>
        <v>0</v>
      </c>
      <c r="AD482" s="775">
        <f t="shared" si="366"/>
        <v>0</v>
      </c>
      <c r="AE482" s="775">
        <f t="shared" si="359"/>
        <v>0</v>
      </c>
      <c r="AF482" s="775">
        <f t="shared" si="382"/>
        <v>0</v>
      </c>
      <c r="AG482" s="775">
        <f t="shared" si="383"/>
        <v>0</v>
      </c>
      <c r="AI482" s="773">
        <v>470</v>
      </c>
      <c r="AJ482" s="774">
        <f t="shared" si="384"/>
        <v>14277</v>
      </c>
      <c r="AK482" s="775">
        <f t="shared" si="385"/>
        <v>0</v>
      </c>
      <c r="AL482" s="775">
        <f t="shared" si="367"/>
        <v>0</v>
      </c>
      <c r="AM482" s="775">
        <f t="shared" si="360"/>
        <v>0</v>
      </c>
      <c r="AN482" s="775">
        <f t="shared" si="386"/>
        <v>0</v>
      </c>
      <c r="AO482" s="775">
        <f t="shared" si="387"/>
        <v>0</v>
      </c>
      <c r="AQ482" s="773">
        <v>470</v>
      </c>
      <c r="AR482" s="774">
        <f t="shared" si="388"/>
        <v>14277</v>
      </c>
      <c r="AS482" s="775">
        <f t="shared" si="389"/>
        <v>0</v>
      </c>
      <c r="AT482" s="775">
        <f t="shared" si="368"/>
        <v>0</v>
      </c>
      <c r="AU482" s="775">
        <f t="shared" si="361"/>
        <v>0</v>
      </c>
      <c r="AV482" s="775">
        <f t="shared" si="390"/>
        <v>0</v>
      </c>
      <c r="AW482" s="775">
        <f t="shared" si="391"/>
        <v>0</v>
      </c>
      <c r="AY482" s="773">
        <v>470</v>
      </c>
      <c r="AZ482" s="774">
        <f t="shared" si="392"/>
        <v>14277</v>
      </c>
      <c r="BA482" s="775">
        <f t="shared" si="393"/>
        <v>0</v>
      </c>
      <c r="BB482" s="775">
        <f t="shared" si="369"/>
        <v>0</v>
      </c>
      <c r="BC482" s="775">
        <f t="shared" si="362"/>
        <v>0</v>
      </c>
      <c r="BD482" s="775">
        <f t="shared" si="394"/>
        <v>0</v>
      </c>
      <c r="BE482" s="775">
        <f t="shared" si="395"/>
        <v>0</v>
      </c>
      <c r="BG482" s="773">
        <v>470</v>
      </c>
      <c r="BH482" s="774">
        <f t="shared" si="396"/>
        <v>14277</v>
      </c>
      <c r="BI482" s="775">
        <f t="shared" si="397"/>
        <v>0</v>
      </c>
      <c r="BJ482" s="775">
        <f t="shared" si="370"/>
        <v>0</v>
      </c>
      <c r="BK482" s="775">
        <f t="shared" si="363"/>
        <v>0</v>
      </c>
      <c r="BL482" s="775">
        <f t="shared" si="398"/>
        <v>0</v>
      </c>
      <c r="BM482" s="775">
        <f t="shared" si="399"/>
        <v>0</v>
      </c>
    </row>
    <row r="483" spans="1:65">
      <c r="A483" s="11">
        <f t="shared" si="356"/>
        <v>1939</v>
      </c>
      <c r="B483" s="773">
        <v>471</v>
      </c>
      <c r="C483" s="774">
        <f t="shared" si="371"/>
        <v>14305</v>
      </c>
      <c r="D483" s="775">
        <f t="shared" si="350"/>
        <v>0</v>
      </c>
      <c r="E483" s="775">
        <f t="shared" si="351"/>
        <v>0</v>
      </c>
      <c r="F483" s="775">
        <f t="shared" si="352"/>
        <v>0</v>
      </c>
      <c r="G483" s="775">
        <f t="shared" si="353"/>
        <v>0</v>
      </c>
      <c r="H483" s="775">
        <f t="shared" si="354"/>
        <v>0</v>
      </c>
      <c r="I483" s="775">
        <f t="shared" si="355"/>
        <v>0</v>
      </c>
      <c r="K483" s="773">
        <v>471</v>
      </c>
      <c r="L483" s="774">
        <f t="shared" si="372"/>
        <v>14305</v>
      </c>
      <c r="M483" s="775">
        <f t="shared" si="373"/>
        <v>0</v>
      </c>
      <c r="N483" s="775">
        <f t="shared" si="364"/>
        <v>0</v>
      </c>
      <c r="O483" s="775">
        <f t="shared" si="357"/>
        <v>0</v>
      </c>
      <c r="P483" s="775">
        <f t="shared" si="374"/>
        <v>0</v>
      </c>
      <c r="Q483" s="775">
        <f t="shared" si="375"/>
        <v>0</v>
      </c>
      <c r="S483" s="773">
        <v>471</v>
      </c>
      <c r="T483" s="774">
        <f t="shared" si="376"/>
        <v>14305</v>
      </c>
      <c r="U483" s="775">
        <f t="shared" si="377"/>
        <v>0</v>
      </c>
      <c r="V483" s="775">
        <f t="shared" si="365"/>
        <v>0</v>
      </c>
      <c r="W483" s="775">
        <f t="shared" si="358"/>
        <v>0</v>
      </c>
      <c r="X483" s="775">
        <f t="shared" si="378"/>
        <v>0</v>
      </c>
      <c r="Y483" s="775">
        <f t="shared" si="379"/>
        <v>0</v>
      </c>
      <c r="AA483" s="773">
        <v>471</v>
      </c>
      <c r="AB483" s="774">
        <f t="shared" si="380"/>
        <v>14305</v>
      </c>
      <c r="AC483" s="775">
        <f t="shared" si="381"/>
        <v>0</v>
      </c>
      <c r="AD483" s="775">
        <f t="shared" si="366"/>
        <v>0</v>
      </c>
      <c r="AE483" s="775">
        <f t="shared" si="359"/>
        <v>0</v>
      </c>
      <c r="AF483" s="775">
        <f t="shared" si="382"/>
        <v>0</v>
      </c>
      <c r="AG483" s="775">
        <f t="shared" si="383"/>
        <v>0</v>
      </c>
      <c r="AI483" s="773">
        <v>471</v>
      </c>
      <c r="AJ483" s="774">
        <f t="shared" si="384"/>
        <v>14305</v>
      </c>
      <c r="AK483" s="775">
        <f t="shared" si="385"/>
        <v>0</v>
      </c>
      <c r="AL483" s="775">
        <f t="shared" si="367"/>
        <v>0</v>
      </c>
      <c r="AM483" s="775">
        <f t="shared" si="360"/>
        <v>0</v>
      </c>
      <c r="AN483" s="775">
        <f t="shared" si="386"/>
        <v>0</v>
      </c>
      <c r="AO483" s="775">
        <f t="shared" si="387"/>
        <v>0</v>
      </c>
      <c r="AQ483" s="773">
        <v>471</v>
      </c>
      <c r="AR483" s="774">
        <f t="shared" si="388"/>
        <v>14305</v>
      </c>
      <c r="AS483" s="775">
        <f t="shared" si="389"/>
        <v>0</v>
      </c>
      <c r="AT483" s="775">
        <f t="shared" si="368"/>
        <v>0</v>
      </c>
      <c r="AU483" s="775">
        <f t="shared" si="361"/>
        <v>0</v>
      </c>
      <c r="AV483" s="775">
        <f t="shared" si="390"/>
        <v>0</v>
      </c>
      <c r="AW483" s="775">
        <f t="shared" si="391"/>
        <v>0</v>
      </c>
      <c r="AY483" s="773">
        <v>471</v>
      </c>
      <c r="AZ483" s="774">
        <f t="shared" si="392"/>
        <v>14305</v>
      </c>
      <c r="BA483" s="775">
        <f t="shared" si="393"/>
        <v>0</v>
      </c>
      <c r="BB483" s="775">
        <f t="shared" si="369"/>
        <v>0</v>
      </c>
      <c r="BC483" s="775">
        <f t="shared" si="362"/>
        <v>0</v>
      </c>
      <c r="BD483" s="775">
        <f t="shared" si="394"/>
        <v>0</v>
      </c>
      <c r="BE483" s="775">
        <f t="shared" si="395"/>
        <v>0</v>
      </c>
      <c r="BG483" s="773">
        <v>471</v>
      </c>
      <c r="BH483" s="774">
        <f t="shared" si="396"/>
        <v>14305</v>
      </c>
      <c r="BI483" s="775">
        <f t="shared" si="397"/>
        <v>0</v>
      </c>
      <c r="BJ483" s="775">
        <f t="shared" si="370"/>
        <v>0</v>
      </c>
      <c r="BK483" s="775">
        <f t="shared" si="363"/>
        <v>0</v>
      </c>
      <c r="BL483" s="775">
        <f t="shared" si="398"/>
        <v>0</v>
      </c>
      <c r="BM483" s="775">
        <f t="shared" si="399"/>
        <v>0</v>
      </c>
    </row>
    <row r="484" spans="1:65">
      <c r="A484" s="11">
        <f t="shared" si="356"/>
        <v>1939</v>
      </c>
      <c r="B484" s="773">
        <v>472</v>
      </c>
      <c r="C484" s="774">
        <f t="shared" si="371"/>
        <v>14336</v>
      </c>
      <c r="D484" s="775">
        <f t="shared" si="350"/>
        <v>0</v>
      </c>
      <c r="E484" s="775">
        <f t="shared" si="351"/>
        <v>0</v>
      </c>
      <c r="F484" s="775">
        <f t="shared" si="352"/>
        <v>0</v>
      </c>
      <c r="G484" s="775">
        <f t="shared" si="353"/>
        <v>0</v>
      </c>
      <c r="H484" s="775">
        <f t="shared" si="354"/>
        <v>0</v>
      </c>
      <c r="I484" s="775">
        <f t="shared" si="355"/>
        <v>0</v>
      </c>
      <c r="K484" s="773">
        <v>472</v>
      </c>
      <c r="L484" s="774">
        <f t="shared" si="372"/>
        <v>14336</v>
      </c>
      <c r="M484" s="775">
        <f t="shared" si="373"/>
        <v>0</v>
      </c>
      <c r="N484" s="775">
        <f t="shared" si="364"/>
        <v>0</v>
      </c>
      <c r="O484" s="775">
        <f t="shared" si="357"/>
        <v>0</v>
      </c>
      <c r="P484" s="775">
        <f t="shared" si="374"/>
        <v>0</v>
      </c>
      <c r="Q484" s="775">
        <f t="shared" si="375"/>
        <v>0</v>
      </c>
      <c r="S484" s="773">
        <v>472</v>
      </c>
      <c r="T484" s="774">
        <f t="shared" si="376"/>
        <v>14336</v>
      </c>
      <c r="U484" s="775">
        <f t="shared" si="377"/>
        <v>0</v>
      </c>
      <c r="V484" s="775">
        <f t="shared" si="365"/>
        <v>0</v>
      </c>
      <c r="W484" s="775">
        <f t="shared" si="358"/>
        <v>0</v>
      </c>
      <c r="X484" s="775">
        <f t="shared" si="378"/>
        <v>0</v>
      </c>
      <c r="Y484" s="775">
        <f t="shared" si="379"/>
        <v>0</v>
      </c>
      <c r="AA484" s="773">
        <v>472</v>
      </c>
      <c r="AB484" s="774">
        <f t="shared" si="380"/>
        <v>14336</v>
      </c>
      <c r="AC484" s="775">
        <f t="shared" si="381"/>
        <v>0</v>
      </c>
      <c r="AD484" s="775">
        <f t="shared" si="366"/>
        <v>0</v>
      </c>
      <c r="AE484" s="775">
        <f t="shared" si="359"/>
        <v>0</v>
      </c>
      <c r="AF484" s="775">
        <f t="shared" si="382"/>
        <v>0</v>
      </c>
      <c r="AG484" s="775">
        <f t="shared" si="383"/>
        <v>0</v>
      </c>
      <c r="AI484" s="773">
        <v>472</v>
      </c>
      <c r="AJ484" s="774">
        <f t="shared" si="384"/>
        <v>14336</v>
      </c>
      <c r="AK484" s="775">
        <f t="shared" si="385"/>
        <v>0</v>
      </c>
      <c r="AL484" s="775">
        <f t="shared" si="367"/>
        <v>0</v>
      </c>
      <c r="AM484" s="775">
        <f t="shared" si="360"/>
        <v>0</v>
      </c>
      <c r="AN484" s="775">
        <f t="shared" si="386"/>
        <v>0</v>
      </c>
      <c r="AO484" s="775">
        <f t="shared" si="387"/>
        <v>0</v>
      </c>
      <c r="AQ484" s="773">
        <v>472</v>
      </c>
      <c r="AR484" s="774">
        <f t="shared" si="388"/>
        <v>14336</v>
      </c>
      <c r="AS484" s="775">
        <f t="shared" si="389"/>
        <v>0</v>
      </c>
      <c r="AT484" s="775">
        <f t="shared" si="368"/>
        <v>0</v>
      </c>
      <c r="AU484" s="775">
        <f t="shared" si="361"/>
        <v>0</v>
      </c>
      <c r="AV484" s="775">
        <f t="shared" si="390"/>
        <v>0</v>
      </c>
      <c r="AW484" s="775">
        <f t="shared" si="391"/>
        <v>0</v>
      </c>
      <c r="AY484" s="773">
        <v>472</v>
      </c>
      <c r="AZ484" s="774">
        <f t="shared" si="392"/>
        <v>14336</v>
      </c>
      <c r="BA484" s="775">
        <f t="shared" si="393"/>
        <v>0</v>
      </c>
      <c r="BB484" s="775">
        <f t="shared" si="369"/>
        <v>0</v>
      </c>
      <c r="BC484" s="775">
        <f t="shared" si="362"/>
        <v>0</v>
      </c>
      <c r="BD484" s="775">
        <f t="shared" si="394"/>
        <v>0</v>
      </c>
      <c r="BE484" s="775">
        <f t="shared" si="395"/>
        <v>0</v>
      </c>
      <c r="BG484" s="773">
        <v>472</v>
      </c>
      <c r="BH484" s="774">
        <f t="shared" si="396"/>
        <v>14336</v>
      </c>
      <c r="BI484" s="775">
        <f t="shared" si="397"/>
        <v>0</v>
      </c>
      <c r="BJ484" s="775">
        <f t="shared" si="370"/>
        <v>0</v>
      </c>
      <c r="BK484" s="775">
        <f t="shared" si="363"/>
        <v>0</v>
      </c>
      <c r="BL484" s="775">
        <f t="shared" si="398"/>
        <v>0</v>
      </c>
      <c r="BM484" s="775">
        <f t="shared" si="399"/>
        <v>0</v>
      </c>
    </row>
    <row r="485" spans="1:65">
      <c r="A485" s="11">
        <f t="shared" si="356"/>
        <v>1939</v>
      </c>
      <c r="B485" s="773">
        <v>473</v>
      </c>
      <c r="C485" s="774">
        <f t="shared" si="371"/>
        <v>14366</v>
      </c>
      <c r="D485" s="775">
        <f t="shared" si="350"/>
        <v>0</v>
      </c>
      <c r="E485" s="775">
        <f t="shared" si="351"/>
        <v>0</v>
      </c>
      <c r="F485" s="775">
        <f t="shared" si="352"/>
        <v>0</v>
      </c>
      <c r="G485" s="775">
        <f t="shared" si="353"/>
        <v>0</v>
      </c>
      <c r="H485" s="775">
        <f t="shared" si="354"/>
        <v>0</v>
      </c>
      <c r="I485" s="775">
        <f t="shared" si="355"/>
        <v>0</v>
      </c>
      <c r="K485" s="773">
        <v>473</v>
      </c>
      <c r="L485" s="774">
        <f t="shared" si="372"/>
        <v>14366</v>
      </c>
      <c r="M485" s="775">
        <f t="shared" si="373"/>
        <v>0</v>
      </c>
      <c r="N485" s="775">
        <f t="shared" si="364"/>
        <v>0</v>
      </c>
      <c r="O485" s="775">
        <f t="shared" si="357"/>
        <v>0</v>
      </c>
      <c r="P485" s="775">
        <f t="shared" si="374"/>
        <v>0</v>
      </c>
      <c r="Q485" s="775">
        <f t="shared" si="375"/>
        <v>0</v>
      </c>
      <c r="S485" s="773">
        <v>473</v>
      </c>
      <c r="T485" s="774">
        <f t="shared" si="376"/>
        <v>14366</v>
      </c>
      <c r="U485" s="775">
        <f t="shared" si="377"/>
        <v>0</v>
      </c>
      <c r="V485" s="775">
        <f t="shared" si="365"/>
        <v>0</v>
      </c>
      <c r="W485" s="775">
        <f t="shared" si="358"/>
        <v>0</v>
      </c>
      <c r="X485" s="775">
        <f t="shared" si="378"/>
        <v>0</v>
      </c>
      <c r="Y485" s="775">
        <f t="shared" si="379"/>
        <v>0</v>
      </c>
      <c r="AA485" s="773">
        <v>473</v>
      </c>
      <c r="AB485" s="774">
        <f t="shared" si="380"/>
        <v>14366</v>
      </c>
      <c r="AC485" s="775">
        <f t="shared" si="381"/>
        <v>0</v>
      </c>
      <c r="AD485" s="775">
        <f t="shared" si="366"/>
        <v>0</v>
      </c>
      <c r="AE485" s="775">
        <f t="shared" si="359"/>
        <v>0</v>
      </c>
      <c r="AF485" s="775">
        <f t="shared" si="382"/>
        <v>0</v>
      </c>
      <c r="AG485" s="775">
        <f t="shared" si="383"/>
        <v>0</v>
      </c>
      <c r="AI485" s="773">
        <v>473</v>
      </c>
      <c r="AJ485" s="774">
        <f t="shared" si="384"/>
        <v>14366</v>
      </c>
      <c r="AK485" s="775">
        <f t="shared" si="385"/>
        <v>0</v>
      </c>
      <c r="AL485" s="775">
        <f t="shared" si="367"/>
        <v>0</v>
      </c>
      <c r="AM485" s="775">
        <f t="shared" si="360"/>
        <v>0</v>
      </c>
      <c r="AN485" s="775">
        <f t="shared" si="386"/>
        <v>0</v>
      </c>
      <c r="AO485" s="775">
        <f t="shared" si="387"/>
        <v>0</v>
      </c>
      <c r="AQ485" s="773">
        <v>473</v>
      </c>
      <c r="AR485" s="774">
        <f t="shared" si="388"/>
        <v>14366</v>
      </c>
      <c r="AS485" s="775">
        <f t="shared" si="389"/>
        <v>0</v>
      </c>
      <c r="AT485" s="775">
        <f t="shared" si="368"/>
        <v>0</v>
      </c>
      <c r="AU485" s="775">
        <f t="shared" si="361"/>
        <v>0</v>
      </c>
      <c r="AV485" s="775">
        <f t="shared" si="390"/>
        <v>0</v>
      </c>
      <c r="AW485" s="775">
        <f t="shared" si="391"/>
        <v>0</v>
      </c>
      <c r="AY485" s="773">
        <v>473</v>
      </c>
      <c r="AZ485" s="774">
        <f t="shared" si="392"/>
        <v>14366</v>
      </c>
      <c r="BA485" s="775">
        <f t="shared" si="393"/>
        <v>0</v>
      </c>
      <c r="BB485" s="775">
        <f t="shared" si="369"/>
        <v>0</v>
      </c>
      <c r="BC485" s="775">
        <f t="shared" si="362"/>
        <v>0</v>
      </c>
      <c r="BD485" s="775">
        <f t="shared" si="394"/>
        <v>0</v>
      </c>
      <c r="BE485" s="775">
        <f t="shared" si="395"/>
        <v>0</v>
      </c>
      <c r="BG485" s="773">
        <v>473</v>
      </c>
      <c r="BH485" s="774">
        <f t="shared" si="396"/>
        <v>14366</v>
      </c>
      <c r="BI485" s="775">
        <f t="shared" si="397"/>
        <v>0</v>
      </c>
      <c r="BJ485" s="775">
        <f t="shared" si="370"/>
        <v>0</v>
      </c>
      <c r="BK485" s="775">
        <f t="shared" si="363"/>
        <v>0</v>
      </c>
      <c r="BL485" s="775">
        <f t="shared" si="398"/>
        <v>0</v>
      </c>
      <c r="BM485" s="775">
        <f t="shared" si="399"/>
        <v>0</v>
      </c>
    </row>
    <row r="486" spans="1:65">
      <c r="A486" s="11">
        <f t="shared" si="356"/>
        <v>1939</v>
      </c>
      <c r="B486" s="773">
        <v>474</v>
      </c>
      <c r="C486" s="774">
        <f t="shared" si="371"/>
        <v>14397</v>
      </c>
      <c r="D486" s="775">
        <f t="shared" si="350"/>
        <v>0</v>
      </c>
      <c r="E486" s="775">
        <f t="shared" si="351"/>
        <v>0</v>
      </c>
      <c r="F486" s="775">
        <f t="shared" si="352"/>
        <v>0</v>
      </c>
      <c r="G486" s="775">
        <f t="shared" si="353"/>
        <v>0</v>
      </c>
      <c r="H486" s="775">
        <f t="shared" si="354"/>
        <v>0</v>
      </c>
      <c r="I486" s="775">
        <f t="shared" si="355"/>
        <v>0</v>
      </c>
      <c r="K486" s="773">
        <v>474</v>
      </c>
      <c r="L486" s="774">
        <f t="shared" si="372"/>
        <v>14397</v>
      </c>
      <c r="M486" s="775">
        <f t="shared" si="373"/>
        <v>0</v>
      </c>
      <c r="N486" s="775">
        <f t="shared" si="364"/>
        <v>0</v>
      </c>
      <c r="O486" s="775">
        <f t="shared" si="357"/>
        <v>0</v>
      </c>
      <c r="P486" s="775">
        <f t="shared" si="374"/>
        <v>0</v>
      </c>
      <c r="Q486" s="775">
        <f t="shared" si="375"/>
        <v>0</v>
      </c>
      <c r="S486" s="773">
        <v>474</v>
      </c>
      <c r="T486" s="774">
        <f t="shared" si="376"/>
        <v>14397</v>
      </c>
      <c r="U486" s="775">
        <f t="shared" si="377"/>
        <v>0</v>
      </c>
      <c r="V486" s="775">
        <f t="shared" si="365"/>
        <v>0</v>
      </c>
      <c r="W486" s="775">
        <f t="shared" si="358"/>
        <v>0</v>
      </c>
      <c r="X486" s="775">
        <f t="shared" si="378"/>
        <v>0</v>
      </c>
      <c r="Y486" s="775">
        <f t="shared" si="379"/>
        <v>0</v>
      </c>
      <c r="AA486" s="773">
        <v>474</v>
      </c>
      <c r="AB486" s="774">
        <f t="shared" si="380"/>
        <v>14397</v>
      </c>
      <c r="AC486" s="775">
        <f t="shared" si="381"/>
        <v>0</v>
      </c>
      <c r="AD486" s="775">
        <f t="shared" si="366"/>
        <v>0</v>
      </c>
      <c r="AE486" s="775">
        <f t="shared" si="359"/>
        <v>0</v>
      </c>
      <c r="AF486" s="775">
        <f t="shared" si="382"/>
        <v>0</v>
      </c>
      <c r="AG486" s="775">
        <f t="shared" si="383"/>
        <v>0</v>
      </c>
      <c r="AI486" s="773">
        <v>474</v>
      </c>
      <c r="AJ486" s="774">
        <f t="shared" si="384"/>
        <v>14397</v>
      </c>
      <c r="AK486" s="775">
        <f t="shared" si="385"/>
        <v>0</v>
      </c>
      <c r="AL486" s="775">
        <f t="shared" si="367"/>
        <v>0</v>
      </c>
      <c r="AM486" s="775">
        <f t="shared" si="360"/>
        <v>0</v>
      </c>
      <c r="AN486" s="775">
        <f t="shared" si="386"/>
        <v>0</v>
      </c>
      <c r="AO486" s="775">
        <f t="shared" si="387"/>
        <v>0</v>
      </c>
      <c r="AQ486" s="773">
        <v>474</v>
      </c>
      <c r="AR486" s="774">
        <f t="shared" si="388"/>
        <v>14397</v>
      </c>
      <c r="AS486" s="775">
        <f t="shared" si="389"/>
        <v>0</v>
      </c>
      <c r="AT486" s="775">
        <f t="shared" si="368"/>
        <v>0</v>
      </c>
      <c r="AU486" s="775">
        <f t="shared" si="361"/>
        <v>0</v>
      </c>
      <c r="AV486" s="775">
        <f t="shared" si="390"/>
        <v>0</v>
      </c>
      <c r="AW486" s="775">
        <f t="shared" si="391"/>
        <v>0</v>
      </c>
      <c r="AY486" s="773">
        <v>474</v>
      </c>
      <c r="AZ486" s="774">
        <f t="shared" si="392"/>
        <v>14397</v>
      </c>
      <c r="BA486" s="775">
        <f t="shared" si="393"/>
        <v>0</v>
      </c>
      <c r="BB486" s="775">
        <f t="shared" si="369"/>
        <v>0</v>
      </c>
      <c r="BC486" s="775">
        <f t="shared" si="362"/>
        <v>0</v>
      </c>
      <c r="BD486" s="775">
        <f t="shared" si="394"/>
        <v>0</v>
      </c>
      <c r="BE486" s="775">
        <f t="shared" si="395"/>
        <v>0</v>
      </c>
      <c r="BG486" s="773">
        <v>474</v>
      </c>
      <c r="BH486" s="774">
        <f t="shared" si="396"/>
        <v>14397</v>
      </c>
      <c r="BI486" s="775">
        <f t="shared" si="397"/>
        <v>0</v>
      </c>
      <c r="BJ486" s="775">
        <f t="shared" si="370"/>
        <v>0</v>
      </c>
      <c r="BK486" s="775">
        <f t="shared" si="363"/>
        <v>0</v>
      </c>
      <c r="BL486" s="775">
        <f t="shared" si="398"/>
        <v>0</v>
      </c>
      <c r="BM486" s="775">
        <f t="shared" si="399"/>
        <v>0</v>
      </c>
    </row>
    <row r="487" spans="1:65">
      <c r="A487" s="11">
        <f t="shared" si="356"/>
        <v>1939</v>
      </c>
      <c r="B487" s="773">
        <v>475</v>
      </c>
      <c r="C487" s="774">
        <f t="shared" si="371"/>
        <v>14427</v>
      </c>
      <c r="D487" s="775">
        <f t="shared" si="350"/>
        <v>0</v>
      </c>
      <c r="E487" s="775">
        <f t="shared" si="351"/>
        <v>0</v>
      </c>
      <c r="F487" s="775">
        <f t="shared" si="352"/>
        <v>0</v>
      </c>
      <c r="G487" s="775">
        <f t="shared" si="353"/>
        <v>0</v>
      </c>
      <c r="H487" s="775">
        <f t="shared" si="354"/>
        <v>0</v>
      </c>
      <c r="I487" s="775">
        <f t="shared" si="355"/>
        <v>0</v>
      </c>
      <c r="K487" s="773">
        <v>475</v>
      </c>
      <c r="L487" s="774">
        <f t="shared" si="372"/>
        <v>14427</v>
      </c>
      <c r="M487" s="775">
        <f t="shared" si="373"/>
        <v>0</v>
      </c>
      <c r="N487" s="775">
        <f t="shared" si="364"/>
        <v>0</v>
      </c>
      <c r="O487" s="775">
        <f t="shared" si="357"/>
        <v>0</v>
      </c>
      <c r="P487" s="775">
        <f t="shared" si="374"/>
        <v>0</v>
      </c>
      <c r="Q487" s="775">
        <f t="shared" si="375"/>
        <v>0</v>
      </c>
      <c r="S487" s="773">
        <v>475</v>
      </c>
      <c r="T487" s="774">
        <f t="shared" si="376"/>
        <v>14427</v>
      </c>
      <c r="U487" s="775">
        <f t="shared" si="377"/>
        <v>0</v>
      </c>
      <c r="V487" s="775">
        <f t="shared" si="365"/>
        <v>0</v>
      </c>
      <c r="W487" s="775">
        <f t="shared" si="358"/>
        <v>0</v>
      </c>
      <c r="X487" s="775">
        <f t="shared" si="378"/>
        <v>0</v>
      </c>
      <c r="Y487" s="775">
        <f t="shared" si="379"/>
        <v>0</v>
      </c>
      <c r="AA487" s="773">
        <v>475</v>
      </c>
      <c r="AB487" s="774">
        <f t="shared" si="380"/>
        <v>14427</v>
      </c>
      <c r="AC487" s="775">
        <f t="shared" si="381"/>
        <v>0</v>
      </c>
      <c r="AD487" s="775">
        <f t="shared" si="366"/>
        <v>0</v>
      </c>
      <c r="AE487" s="775">
        <f t="shared" si="359"/>
        <v>0</v>
      </c>
      <c r="AF487" s="775">
        <f t="shared" si="382"/>
        <v>0</v>
      </c>
      <c r="AG487" s="775">
        <f t="shared" si="383"/>
        <v>0</v>
      </c>
      <c r="AI487" s="773">
        <v>475</v>
      </c>
      <c r="AJ487" s="774">
        <f t="shared" si="384"/>
        <v>14427</v>
      </c>
      <c r="AK487" s="775">
        <f t="shared" si="385"/>
        <v>0</v>
      </c>
      <c r="AL487" s="775">
        <f t="shared" si="367"/>
        <v>0</v>
      </c>
      <c r="AM487" s="775">
        <f t="shared" si="360"/>
        <v>0</v>
      </c>
      <c r="AN487" s="775">
        <f t="shared" si="386"/>
        <v>0</v>
      </c>
      <c r="AO487" s="775">
        <f t="shared" si="387"/>
        <v>0</v>
      </c>
      <c r="AQ487" s="773">
        <v>475</v>
      </c>
      <c r="AR487" s="774">
        <f t="shared" si="388"/>
        <v>14427</v>
      </c>
      <c r="AS487" s="775">
        <f t="shared" si="389"/>
        <v>0</v>
      </c>
      <c r="AT487" s="775">
        <f t="shared" si="368"/>
        <v>0</v>
      </c>
      <c r="AU487" s="775">
        <f t="shared" si="361"/>
        <v>0</v>
      </c>
      <c r="AV487" s="775">
        <f t="shared" si="390"/>
        <v>0</v>
      </c>
      <c r="AW487" s="775">
        <f t="shared" si="391"/>
        <v>0</v>
      </c>
      <c r="AY487" s="773">
        <v>475</v>
      </c>
      <c r="AZ487" s="774">
        <f t="shared" si="392"/>
        <v>14427</v>
      </c>
      <c r="BA487" s="775">
        <f t="shared" si="393"/>
        <v>0</v>
      </c>
      <c r="BB487" s="775">
        <f t="shared" si="369"/>
        <v>0</v>
      </c>
      <c r="BC487" s="775">
        <f t="shared" si="362"/>
        <v>0</v>
      </c>
      <c r="BD487" s="775">
        <f t="shared" si="394"/>
        <v>0</v>
      </c>
      <c r="BE487" s="775">
        <f t="shared" si="395"/>
        <v>0</v>
      </c>
      <c r="BG487" s="773">
        <v>475</v>
      </c>
      <c r="BH487" s="774">
        <f t="shared" si="396"/>
        <v>14427</v>
      </c>
      <c r="BI487" s="775">
        <f t="shared" si="397"/>
        <v>0</v>
      </c>
      <c r="BJ487" s="775">
        <f t="shared" si="370"/>
        <v>0</v>
      </c>
      <c r="BK487" s="775">
        <f t="shared" si="363"/>
        <v>0</v>
      </c>
      <c r="BL487" s="775">
        <f t="shared" si="398"/>
        <v>0</v>
      </c>
      <c r="BM487" s="775">
        <f t="shared" si="399"/>
        <v>0</v>
      </c>
    </row>
    <row r="488" spans="1:65">
      <c r="A488" s="11">
        <f t="shared" si="356"/>
        <v>1939</v>
      </c>
      <c r="B488" s="773">
        <v>476</v>
      </c>
      <c r="C488" s="774">
        <f t="shared" si="371"/>
        <v>14458</v>
      </c>
      <c r="D488" s="775">
        <f t="shared" si="350"/>
        <v>0</v>
      </c>
      <c r="E488" s="775">
        <f t="shared" si="351"/>
        <v>0</v>
      </c>
      <c r="F488" s="775">
        <f t="shared" si="352"/>
        <v>0</v>
      </c>
      <c r="G488" s="775">
        <f t="shared" si="353"/>
        <v>0</v>
      </c>
      <c r="H488" s="775">
        <f t="shared" si="354"/>
        <v>0</v>
      </c>
      <c r="I488" s="775">
        <f t="shared" si="355"/>
        <v>0</v>
      </c>
      <c r="K488" s="773">
        <v>476</v>
      </c>
      <c r="L488" s="774">
        <f t="shared" si="372"/>
        <v>14458</v>
      </c>
      <c r="M488" s="775">
        <f t="shared" si="373"/>
        <v>0</v>
      </c>
      <c r="N488" s="775">
        <f t="shared" si="364"/>
        <v>0</v>
      </c>
      <c r="O488" s="775">
        <f t="shared" si="357"/>
        <v>0</v>
      </c>
      <c r="P488" s="775">
        <f t="shared" si="374"/>
        <v>0</v>
      </c>
      <c r="Q488" s="775">
        <f t="shared" si="375"/>
        <v>0</v>
      </c>
      <c r="S488" s="773">
        <v>476</v>
      </c>
      <c r="T488" s="774">
        <f t="shared" si="376"/>
        <v>14458</v>
      </c>
      <c r="U488" s="775">
        <f t="shared" si="377"/>
        <v>0</v>
      </c>
      <c r="V488" s="775">
        <f t="shared" si="365"/>
        <v>0</v>
      </c>
      <c r="W488" s="775">
        <f t="shared" si="358"/>
        <v>0</v>
      </c>
      <c r="X488" s="775">
        <f t="shared" si="378"/>
        <v>0</v>
      </c>
      <c r="Y488" s="775">
        <f t="shared" si="379"/>
        <v>0</v>
      </c>
      <c r="AA488" s="773">
        <v>476</v>
      </c>
      <c r="AB488" s="774">
        <f t="shared" si="380"/>
        <v>14458</v>
      </c>
      <c r="AC488" s="775">
        <f t="shared" si="381"/>
        <v>0</v>
      </c>
      <c r="AD488" s="775">
        <f t="shared" si="366"/>
        <v>0</v>
      </c>
      <c r="AE488" s="775">
        <f t="shared" si="359"/>
        <v>0</v>
      </c>
      <c r="AF488" s="775">
        <f t="shared" si="382"/>
        <v>0</v>
      </c>
      <c r="AG488" s="775">
        <f t="shared" si="383"/>
        <v>0</v>
      </c>
      <c r="AI488" s="773">
        <v>476</v>
      </c>
      <c r="AJ488" s="774">
        <f t="shared" si="384"/>
        <v>14458</v>
      </c>
      <c r="AK488" s="775">
        <f t="shared" si="385"/>
        <v>0</v>
      </c>
      <c r="AL488" s="775">
        <f t="shared" si="367"/>
        <v>0</v>
      </c>
      <c r="AM488" s="775">
        <f t="shared" si="360"/>
        <v>0</v>
      </c>
      <c r="AN488" s="775">
        <f t="shared" si="386"/>
        <v>0</v>
      </c>
      <c r="AO488" s="775">
        <f t="shared" si="387"/>
        <v>0</v>
      </c>
      <c r="AQ488" s="773">
        <v>476</v>
      </c>
      <c r="AR488" s="774">
        <f t="shared" si="388"/>
        <v>14458</v>
      </c>
      <c r="AS488" s="775">
        <f t="shared" si="389"/>
        <v>0</v>
      </c>
      <c r="AT488" s="775">
        <f t="shared" si="368"/>
        <v>0</v>
      </c>
      <c r="AU488" s="775">
        <f t="shared" si="361"/>
        <v>0</v>
      </c>
      <c r="AV488" s="775">
        <f t="shared" si="390"/>
        <v>0</v>
      </c>
      <c r="AW488" s="775">
        <f t="shared" si="391"/>
        <v>0</v>
      </c>
      <c r="AY488" s="773">
        <v>476</v>
      </c>
      <c r="AZ488" s="774">
        <f t="shared" si="392"/>
        <v>14458</v>
      </c>
      <c r="BA488" s="775">
        <f t="shared" si="393"/>
        <v>0</v>
      </c>
      <c r="BB488" s="775">
        <f t="shared" si="369"/>
        <v>0</v>
      </c>
      <c r="BC488" s="775">
        <f t="shared" si="362"/>
        <v>0</v>
      </c>
      <c r="BD488" s="775">
        <f t="shared" si="394"/>
        <v>0</v>
      </c>
      <c r="BE488" s="775">
        <f t="shared" si="395"/>
        <v>0</v>
      </c>
      <c r="BG488" s="773">
        <v>476</v>
      </c>
      <c r="BH488" s="774">
        <f t="shared" si="396"/>
        <v>14458</v>
      </c>
      <c r="BI488" s="775">
        <f t="shared" si="397"/>
        <v>0</v>
      </c>
      <c r="BJ488" s="775">
        <f t="shared" si="370"/>
        <v>0</v>
      </c>
      <c r="BK488" s="775">
        <f t="shared" si="363"/>
        <v>0</v>
      </c>
      <c r="BL488" s="775">
        <f t="shared" si="398"/>
        <v>0</v>
      </c>
      <c r="BM488" s="775">
        <f t="shared" si="399"/>
        <v>0</v>
      </c>
    </row>
    <row r="489" spans="1:65">
      <c r="A489" s="11">
        <f t="shared" si="356"/>
        <v>1939</v>
      </c>
      <c r="B489" s="773">
        <v>477</v>
      </c>
      <c r="C489" s="774">
        <f t="shared" si="371"/>
        <v>14489</v>
      </c>
      <c r="D489" s="775">
        <f t="shared" si="350"/>
        <v>0</v>
      </c>
      <c r="E489" s="775">
        <f t="shared" si="351"/>
        <v>0</v>
      </c>
      <c r="F489" s="775">
        <f t="shared" si="352"/>
        <v>0</v>
      </c>
      <c r="G489" s="775">
        <f t="shared" si="353"/>
        <v>0</v>
      </c>
      <c r="H489" s="775">
        <f t="shared" si="354"/>
        <v>0</v>
      </c>
      <c r="I489" s="775">
        <f t="shared" si="355"/>
        <v>0</v>
      </c>
      <c r="K489" s="773">
        <v>477</v>
      </c>
      <c r="L489" s="774">
        <f t="shared" si="372"/>
        <v>14489</v>
      </c>
      <c r="M489" s="775">
        <f t="shared" si="373"/>
        <v>0</v>
      </c>
      <c r="N489" s="775">
        <f t="shared" si="364"/>
        <v>0</v>
      </c>
      <c r="O489" s="775">
        <f t="shared" si="357"/>
        <v>0</v>
      </c>
      <c r="P489" s="775">
        <f t="shared" si="374"/>
        <v>0</v>
      </c>
      <c r="Q489" s="775">
        <f t="shared" si="375"/>
        <v>0</v>
      </c>
      <c r="S489" s="773">
        <v>477</v>
      </c>
      <c r="T489" s="774">
        <f t="shared" si="376"/>
        <v>14489</v>
      </c>
      <c r="U489" s="775">
        <f t="shared" si="377"/>
        <v>0</v>
      </c>
      <c r="V489" s="775">
        <f t="shared" si="365"/>
        <v>0</v>
      </c>
      <c r="W489" s="775">
        <f t="shared" si="358"/>
        <v>0</v>
      </c>
      <c r="X489" s="775">
        <f t="shared" si="378"/>
        <v>0</v>
      </c>
      <c r="Y489" s="775">
        <f t="shared" si="379"/>
        <v>0</v>
      </c>
      <c r="AA489" s="773">
        <v>477</v>
      </c>
      <c r="AB489" s="774">
        <f t="shared" si="380"/>
        <v>14489</v>
      </c>
      <c r="AC489" s="775">
        <f t="shared" si="381"/>
        <v>0</v>
      </c>
      <c r="AD489" s="775">
        <f t="shared" si="366"/>
        <v>0</v>
      </c>
      <c r="AE489" s="775">
        <f t="shared" si="359"/>
        <v>0</v>
      </c>
      <c r="AF489" s="775">
        <f t="shared" si="382"/>
        <v>0</v>
      </c>
      <c r="AG489" s="775">
        <f t="shared" si="383"/>
        <v>0</v>
      </c>
      <c r="AI489" s="773">
        <v>477</v>
      </c>
      <c r="AJ489" s="774">
        <f t="shared" si="384"/>
        <v>14489</v>
      </c>
      <c r="AK489" s="775">
        <f t="shared" si="385"/>
        <v>0</v>
      </c>
      <c r="AL489" s="775">
        <f t="shared" si="367"/>
        <v>0</v>
      </c>
      <c r="AM489" s="775">
        <f t="shared" si="360"/>
        <v>0</v>
      </c>
      <c r="AN489" s="775">
        <f t="shared" si="386"/>
        <v>0</v>
      </c>
      <c r="AO489" s="775">
        <f t="shared" si="387"/>
        <v>0</v>
      </c>
      <c r="AQ489" s="773">
        <v>477</v>
      </c>
      <c r="AR489" s="774">
        <f t="shared" si="388"/>
        <v>14489</v>
      </c>
      <c r="AS489" s="775">
        <f t="shared" si="389"/>
        <v>0</v>
      </c>
      <c r="AT489" s="775">
        <f t="shared" si="368"/>
        <v>0</v>
      </c>
      <c r="AU489" s="775">
        <f t="shared" si="361"/>
        <v>0</v>
      </c>
      <c r="AV489" s="775">
        <f t="shared" si="390"/>
        <v>0</v>
      </c>
      <c r="AW489" s="775">
        <f t="shared" si="391"/>
        <v>0</v>
      </c>
      <c r="AY489" s="773">
        <v>477</v>
      </c>
      <c r="AZ489" s="774">
        <f t="shared" si="392"/>
        <v>14489</v>
      </c>
      <c r="BA489" s="775">
        <f t="shared" si="393"/>
        <v>0</v>
      </c>
      <c r="BB489" s="775">
        <f t="shared" si="369"/>
        <v>0</v>
      </c>
      <c r="BC489" s="775">
        <f t="shared" si="362"/>
        <v>0</v>
      </c>
      <c r="BD489" s="775">
        <f t="shared" si="394"/>
        <v>0</v>
      </c>
      <c r="BE489" s="775">
        <f t="shared" si="395"/>
        <v>0</v>
      </c>
      <c r="BG489" s="773">
        <v>477</v>
      </c>
      <c r="BH489" s="774">
        <f t="shared" si="396"/>
        <v>14489</v>
      </c>
      <c r="BI489" s="775">
        <f t="shared" si="397"/>
        <v>0</v>
      </c>
      <c r="BJ489" s="775">
        <f t="shared" si="370"/>
        <v>0</v>
      </c>
      <c r="BK489" s="775">
        <f t="shared" si="363"/>
        <v>0</v>
      </c>
      <c r="BL489" s="775">
        <f t="shared" si="398"/>
        <v>0</v>
      </c>
      <c r="BM489" s="775">
        <f t="shared" si="399"/>
        <v>0</v>
      </c>
    </row>
    <row r="490" spans="1:65">
      <c r="A490" s="11">
        <f t="shared" si="356"/>
        <v>1939</v>
      </c>
      <c r="B490" s="773">
        <v>478</v>
      </c>
      <c r="C490" s="774">
        <f t="shared" si="371"/>
        <v>14519</v>
      </c>
      <c r="D490" s="775">
        <f t="shared" si="350"/>
        <v>0</v>
      </c>
      <c r="E490" s="775">
        <f t="shared" si="351"/>
        <v>0</v>
      </c>
      <c r="F490" s="775">
        <f t="shared" si="352"/>
        <v>0</v>
      </c>
      <c r="G490" s="775">
        <f t="shared" si="353"/>
        <v>0</v>
      </c>
      <c r="H490" s="775">
        <f t="shared" si="354"/>
        <v>0</v>
      </c>
      <c r="I490" s="775">
        <f t="shared" si="355"/>
        <v>0</v>
      </c>
      <c r="K490" s="773">
        <v>478</v>
      </c>
      <c r="L490" s="774">
        <f t="shared" si="372"/>
        <v>14519</v>
      </c>
      <c r="M490" s="775">
        <f t="shared" si="373"/>
        <v>0</v>
      </c>
      <c r="N490" s="775">
        <f t="shared" si="364"/>
        <v>0</v>
      </c>
      <c r="O490" s="775">
        <f t="shared" si="357"/>
        <v>0</v>
      </c>
      <c r="P490" s="775">
        <f t="shared" si="374"/>
        <v>0</v>
      </c>
      <c r="Q490" s="775">
        <f t="shared" si="375"/>
        <v>0</v>
      </c>
      <c r="S490" s="773">
        <v>478</v>
      </c>
      <c r="T490" s="774">
        <f t="shared" si="376"/>
        <v>14519</v>
      </c>
      <c r="U490" s="775">
        <f t="shared" si="377"/>
        <v>0</v>
      </c>
      <c r="V490" s="775">
        <f t="shared" si="365"/>
        <v>0</v>
      </c>
      <c r="W490" s="775">
        <f t="shared" si="358"/>
        <v>0</v>
      </c>
      <c r="X490" s="775">
        <f t="shared" si="378"/>
        <v>0</v>
      </c>
      <c r="Y490" s="775">
        <f t="shared" si="379"/>
        <v>0</v>
      </c>
      <c r="AA490" s="773">
        <v>478</v>
      </c>
      <c r="AB490" s="774">
        <f t="shared" si="380"/>
        <v>14519</v>
      </c>
      <c r="AC490" s="775">
        <f t="shared" si="381"/>
        <v>0</v>
      </c>
      <c r="AD490" s="775">
        <f t="shared" si="366"/>
        <v>0</v>
      </c>
      <c r="AE490" s="775">
        <f t="shared" si="359"/>
        <v>0</v>
      </c>
      <c r="AF490" s="775">
        <f t="shared" si="382"/>
        <v>0</v>
      </c>
      <c r="AG490" s="775">
        <f t="shared" si="383"/>
        <v>0</v>
      </c>
      <c r="AI490" s="773">
        <v>478</v>
      </c>
      <c r="AJ490" s="774">
        <f t="shared" si="384"/>
        <v>14519</v>
      </c>
      <c r="AK490" s="775">
        <f t="shared" si="385"/>
        <v>0</v>
      </c>
      <c r="AL490" s="775">
        <f t="shared" si="367"/>
        <v>0</v>
      </c>
      <c r="AM490" s="775">
        <f t="shared" si="360"/>
        <v>0</v>
      </c>
      <c r="AN490" s="775">
        <f t="shared" si="386"/>
        <v>0</v>
      </c>
      <c r="AO490" s="775">
        <f t="shared" si="387"/>
        <v>0</v>
      </c>
      <c r="AQ490" s="773">
        <v>478</v>
      </c>
      <c r="AR490" s="774">
        <f t="shared" si="388"/>
        <v>14519</v>
      </c>
      <c r="AS490" s="775">
        <f t="shared" si="389"/>
        <v>0</v>
      </c>
      <c r="AT490" s="775">
        <f t="shared" si="368"/>
        <v>0</v>
      </c>
      <c r="AU490" s="775">
        <f t="shared" si="361"/>
        <v>0</v>
      </c>
      <c r="AV490" s="775">
        <f t="shared" si="390"/>
        <v>0</v>
      </c>
      <c r="AW490" s="775">
        <f t="shared" si="391"/>
        <v>0</v>
      </c>
      <c r="AY490" s="773">
        <v>478</v>
      </c>
      <c r="AZ490" s="774">
        <f t="shared" si="392"/>
        <v>14519</v>
      </c>
      <c r="BA490" s="775">
        <f t="shared" si="393"/>
        <v>0</v>
      </c>
      <c r="BB490" s="775">
        <f t="shared" si="369"/>
        <v>0</v>
      </c>
      <c r="BC490" s="775">
        <f t="shared" si="362"/>
        <v>0</v>
      </c>
      <c r="BD490" s="775">
        <f t="shared" si="394"/>
        <v>0</v>
      </c>
      <c r="BE490" s="775">
        <f t="shared" si="395"/>
        <v>0</v>
      </c>
      <c r="BG490" s="773">
        <v>478</v>
      </c>
      <c r="BH490" s="774">
        <f t="shared" si="396"/>
        <v>14519</v>
      </c>
      <c r="BI490" s="775">
        <f t="shared" si="397"/>
        <v>0</v>
      </c>
      <c r="BJ490" s="775">
        <f t="shared" si="370"/>
        <v>0</v>
      </c>
      <c r="BK490" s="775">
        <f t="shared" si="363"/>
        <v>0</v>
      </c>
      <c r="BL490" s="775">
        <f t="shared" si="398"/>
        <v>0</v>
      </c>
      <c r="BM490" s="775">
        <f t="shared" si="399"/>
        <v>0</v>
      </c>
    </row>
    <row r="491" spans="1:65">
      <c r="A491" s="11">
        <f t="shared" si="356"/>
        <v>1939</v>
      </c>
      <c r="B491" s="773">
        <v>479</v>
      </c>
      <c r="C491" s="774">
        <f t="shared" si="371"/>
        <v>14550</v>
      </c>
      <c r="D491" s="775">
        <f t="shared" si="350"/>
        <v>0</v>
      </c>
      <c r="E491" s="775">
        <f t="shared" si="351"/>
        <v>0</v>
      </c>
      <c r="F491" s="775">
        <f t="shared" si="352"/>
        <v>0</v>
      </c>
      <c r="G491" s="775">
        <f t="shared" si="353"/>
        <v>0</v>
      </c>
      <c r="H491" s="775">
        <f t="shared" si="354"/>
        <v>0</v>
      </c>
      <c r="I491" s="775">
        <f t="shared" si="355"/>
        <v>0</v>
      </c>
      <c r="K491" s="773">
        <v>479</v>
      </c>
      <c r="L491" s="774">
        <f t="shared" si="372"/>
        <v>14550</v>
      </c>
      <c r="M491" s="775">
        <f t="shared" si="373"/>
        <v>0</v>
      </c>
      <c r="N491" s="775">
        <f t="shared" si="364"/>
        <v>0</v>
      </c>
      <c r="O491" s="775">
        <f t="shared" si="357"/>
        <v>0</v>
      </c>
      <c r="P491" s="775">
        <f t="shared" si="374"/>
        <v>0</v>
      </c>
      <c r="Q491" s="775">
        <f t="shared" si="375"/>
        <v>0</v>
      </c>
      <c r="S491" s="773">
        <v>479</v>
      </c>
      <c r="T491" s="774">
        <f t="shared" si="376"/>
        <v>14550</v>
      </c>
      <c r="U491" s="775">
        <f t="shared" si="377"/>
        <v>0</v>
      </c>
      <c r="V491" s="775">
        <f t="shared" si="365"/>
        <v>0</v>
      </c>
      <c r="W491" s="775">
        <f t="shared" si="358"/>
        <v>0</v>
      </c>
      <c r="X491" s="775">
        <f t="shared" si="378"/>
        <v>0</v>
      </c>
      <c r="Y491" s="775">
        <f t="shared" si="379"/>
        <v>0</v>
      </c>
      <c r="AA491" s="773">
        <v>479</v>
      </c>
      <c r="AB491" s="774">
        <f t="shared" si="380"/>
        <v>14550</v>
      </c>
      <c r="AC491" s="775">
        <f t="shared" si="381"/>
        <v>0</v>
      </c>
      <c r="AD491" s="775">
        <f t="shared" si="366"/>
        <v>0</v>
      </c>
      <c r="AE491" s="775">
        <f t="shared" si="359"/>
        <v>0</v>
      </c>
      <c r="AF491" s="775">
        <f t="shared" si="382"/>
        <v>0</v>
      </c>
      <c r="AG491" s="775">
        <f t="shared" si="383"/>
        <v>0</v>
      </c>
      <c r="AI491" s="773">
        <v>479</v>
      </c>
      <c r="AJ491" s="774">
        <f t="shared" si="384"/>
        <v>14550</v>
      </c>
      <c r="AK491" s="775">
        <f t="shared" si="385"/>
        <v>0</v>
      </c>
      <c r="AL491" s="775">
        <f t="shared" si="367"/>
        <v>0</v>
      </c>
      <c r="AM491" s="775">
        <f t="shared" si="360"/>
        <v>0</v>
      </c>
      <c r="AN491" s="775">
        <f t="shared" si="386"/>
        <v>0</v>
      </c>
      <c r="AO491" s="775">
        <f t="shared" si="387"/>
        <v>0</v>
      </c>
      <c r="AQ491" s="773">
        <v>479</v>
      </c>
      <c r="AR491" s="774">
        <f t="shared" si="388"/>
        <v>14550</v>
      </c>
      <c r="AS491" s="775">
        <f t="shared" si="389"/>
        <v>0</v>
      </c>
      <c r="AT491" s="775">
        <f t="shared" si="368"/>
        <v>0</v>
      </c>
      <c r="AU491" s="775">
        <f t="shared" si="361"/>
        <v>0</v>
      </c>
      <c r="AV491" s="775">
        <f t="shared" si="390"/>
        <v>0</v>
      </c>
      <c r="AW491" s="775">
        <f t="shared" si="391"/>
        <v>0</v>
      </c>
      <c r="AY491" s="773">
        <v>479</v>
      </c>
      <c r="AZ491" s="774">
        <f t="shared" si="392"/>
        <v>14550</v>
      </c>
      <c r="BA491" s="775">
        <f t="shared" si="393"/>
        <v>0</v>
      </c>
      <c r="BB491" s="775">
        <f t="shared" si="369"/>
        <v>0</v>
      </c>
      <c r="BC491" s="775">
        <f t="shared" si="362"/>
        <v>0</v>
      </c>
      <c r="BD491" s="775">
        <f t="shared" si="394"/>
        <v>0</v>
      </c>
      <c r="BE491" s="775">
        <f t="shared" si="395"/>
        <v>0</v>
      </c>
      <c r="BG491" s="773">
        <v>479</v>
      </c>
      <c r="BH491" s="774">
        <f t="shared" si="396"/>
        <v>14550</v>
      </c>
      <c r="BI491" s="775">
        <f t="shared" si="397"/>
        <v>0</v>
      </c>
      <c r="BJ491" s="775">
        <f t="shared" si="370"/>
        <v>0</v>
      </c>
      <c r="BK491" s="775">
        <f t="shared" si="363"/>
        <v>0</v>
      </c>
      <c r="BL491" s="775">
        <f t="shared" si="398"/>
        <v>0</v>
      </c>
      <c r="BM491" s="775">
        <f t="shared" si="399"/>
        <v>0</v>
      </c>
    </row>
    <row r="492" spans="1:65">
      <c r="A492" s="11">
        <f t="shared" si="356"/>
        <v>1939</v>
      </c>
      <c r="B492" s="773">
        <v>480</v>
      </c>
      <c r="C492" s="774">
        <f t="shared" si="371"/>
        <v>14580</v>
      </c>
      <c r="D492" s="775">
        <f t="shared" si="350"/>
        <v>0</v>
      </c>
      <c r="E492" s="775">
        <f t="shared" si="351"/>
        <v>0</v>
      </c>
      <c r="F492" s="775">
        <f t="shared" si="352"/>
        <v>0</v>
      </c>
      <c r="G492" s="775">
        <f t="shared" si="353"/>
        <v>0</v>
      </c>
      <c r="H492" s="775">
        <f t="shared" si="354"/>
        <v>0</v>
      </c>
      <c r="I492" s="775">
        <f t="shared" si="355"/>
        <v>0</v>
      </c>
      <c r="K492" s="773">
        <v>480</v>
      </c>
      <c r="L492" s="774">
        <f t="shared" si="372"/>
        <v>14580</v>
      </c>
      <c r="M492" s="775">
        <f t="shared" si="373"/>
        <v>0</v>
      </c>
      <c r="N492" s="775">
        <f t="shared" si="364"/>
        <v>0</v>
      </c>
      <c r="O492" s="775">
        <f t="shared" si="357"/>
        <v>0</v>
      </c>
      <c r="P492" s="775">
        <f t="shared" si="374"/>
        <v>0</v>
      </c>
      <c r="Q492" s="775">
        <f t="shared" si="375"/>
        <v>0</v>
      </c>
      <c r="S492" s="773">
        <v>480</v>
      </c>
      <c r="T492" s="774">
        <f t="shared" si="376"/>
        <v>14580</v>
      </c>
      <c r="U492" s="775">
        <f t="shared" si="377"/>
        <v>0</v>
      </c>
      <c r="V492" s="775">
        <f t="shared" si="365"/>
        <v>0</v>
      </c>
      <c r="W492" s="775">
        <f t="shared" si="358"/>
        <v>0</v>
      </c>
      <c r="X492" s="775">
        <f t="shared" si="378"/>
        <v>0</v>
      </c>
      <c r="Y492" s="775">
        <f t="shared" si="379"/>
        <v>0</v>
      </c>
      <c r="AA492" s="773">
        <v>480</v>
      </c>
      <c r="AB492" s="774">
        <f t="shared" si="380"/>
        <v>14580</v>
      </c>
      <c r="AC492" s="775">
        <f t="shared" si="381"/>
        <v>0</v>
      </c>
      <c r="AD492" s="775">
        <f t="shared" si="366"/>
        <v>0</v>
      </c>
      <c r="AE492" s="775">
        <f t="shared" si="359"/>
        <v>0</v>
      </c>
      <c r="AF492" s="775">
        <f t="shared" si="382"/>
        <v>0</v>
      </c>
      <c r="AG492" s="775">
        <f t="shared" si="383"/>
        <v>0</v>
      </c>
      <c r="AI492" s="773">
        <v>480</v>
      </c>
      <c r="AJ492" s="774">
        <f t="shared" si="384"/>
        <v>14580</v>
      </c>
      <c r="AK492" s="775">
        <f t="shared" si="385"/>
        <v>0</v>
      </c>
      <c r="AL492" s="775">
        <f t="shared" si="367"/>
        <v>0</v>
      </c>
      <c r="AM492" s="775">
        <f t="shared" si="360"/>
        <v>0</v>
      </c>
      <c r="AN492" s="775">
        <f t="shared" si="386"/>
        <v>0</v>
      </c>
      <c r="AO492" s="775">
        <f t="shared" si="387"/>
        <v>0</v>
      </c>
      <c r="AQ492" s="773">
        <v>480</v>
      </c>
      <c r="AR492" s="774">
        <f t="shared" si="388"/>
        <v>14580</v>
      </c>
      <c r="AS492" s="775">
        <f t="shared" si="389"/>
        <v>0</v>
      </c>
      <c r="AT492" s="775">
        <f t="shared" si="368"/>
        <v>0</v>
      </c>
      <c r="AU492" s="775">
        <f t="shared" si="361"/>
        <v>0</v>
      </c>
      <c r="AV492" s="775">
        <f t="shared" si="390"/>
        <v>0</v>
      </c>
      <c r="AW492" s="775">
        <f t="shared" si="391"/>
        <v>0</v>
      </c>
      <c r="AY492" s="773">
        <v>480</v>
      </c>
      <c r="AZ492" s="774">
        <f t="shared" si="392"/>
        <v>14580</v>
      </c>
      <c r="BA492" s="775">
        <f t="shared" si="393"/>
        <v>0</v>
      </c>
      <c r="BB492" s="775">
        <f t="shared" si="369"/>
        <v>0</v>
      </c>
      <c r="BC492" s="775">
        <f t="shared" si="362"/>
        <v>0</v>
      </c>
      <c r="BD492" s="775">
        <f t="shared" si="394"/>
        <v>0</v>
      </c>
      <c r="BE492" s="775">
        <f t="shared" si="395"/>
        <v>0</v>
      </c>
      <c r="BG492" s="773">
        <v>480</v>
      </c>
      <c r="BH492" s="774">
        <f t="shared" si="396"/>
        <v>14580</v>
      </c>
      <c r="BI492" s="775">
        <f t="shared" si="397"/>
        <v>0</v>
      </c>
      <c r="BJ492" s="775">
        <f t="shared" si="370"/>
        <v>0</v>
      </c>
      <c r="BK492" s="775">
        <f t="shared" si="363"/>
        <v>0</v>
      </c>
      <c r="BL492" s="775">
        <f t="shared" si="398"/>
        <v>0</v>
      </c>
      <c r="BM492" s="775">
        <f t="shared" si="399"/>
        <v>0</v>
      </c>
    </row>
    <row r="493" spans="1:65"/>
    <row r="494" spans="1:65"/>
    <row r="495" spans="1:65"/>
    <row r="496" spans="1:65"/>
    <row r="497"/>
    <row r="498"/>
    <row r="499"/>
    <row r="500"/>
    <row r="501"/>
    <row r="502"/>
    <row r="503"/>
  </sheetData>
  <sheetProtection algorithmName="SHA-512" hashValue="I/jEc5/DdaH3II3yjuyKIDRp3xUmE8oS30Ps6I8mNNM2XUOLqYh6J7z80E+yvEJFcxIOz+rFVrHNC9ZqVjuB8Q==" saltValue="WsI2XUU82OkhIAmP6hSOjw==" spinCount="100000" sheet="1" objects="1" scenarios="1" formatCells="0" formatColumns="0" formatRows="0"/>
  <phoneticPr fontId="58" type="noConversion"/>
  <printOptions horizontalCentered="1" verticalCentered="1"/>
  <pageMargins left="0.5" right="0.5" top="1" bottom="1" header="0.5" footer="0.5"/>
  <pageSetup scale="43" orientation="landscape" blackAndWhite="1" r:id="rId1"/>
  <headerFooter alignWithMargins="0">
    <oddFooter>&amp;L&amp;A</oddFooter>
  </headerFooter>
  <rowBreaks count="4" manualBreakCount="4">
    <brk id="72" max="22" man="1"/>
    <brk id="152" max="22" man="1"/>
    <brk id="232" max="22" man="1"/>
    <brk id="312"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wst04_4_AssistedLiving">
    <tabColor rgb="FF00B050"/>
    <pageSetUpPr autoPageBreaks="0"/>
  </sheetPr>
  <dimension ref="A1:DV106"/>
  <sheetViews>
    <sheetView zoomScale="85" zoomScaleNormal="85" workbookViewId="0"/>
  </sheetViews>
  <sheetFormatPr defaultColWidth="9" defaultRowHeight="12.75"/>
  <cols>
    <col min="1" max="1" width="3" style="11" customWidth="1"/>
    <col min="2" max="2" width="51.5" style="11" customWidth="1"/>
    <col min="3" max="9" width="25.5" style="164" customWidth="1"/>
    <col min="10" max="10" width="25" style="164" customWidth="1"/>
    <col min="11" max="16" width="25" style="11" customWidth="1"/>
    <col min="17" max="16384" width="9" style="11"/>
  </cols>
  <sheetData>
    <row r="1" spans="1:126" ht="27" thickTop="1">
      <c r="A1" s="61" t="s">
        <v>1731</v>
      </c>
      <c r="B1" s="59"/>
      <c r="C1" s="59"/>
      <c r="D1" s="59"/>
      <c r="E1" s="59"/>
      <c r="F1" s="59"/>
      <c r="G1" s="59"/>
      <c r="H1" s="59"/>
      <c r="I1" s="59"/>
      <c r="J1" s="59"/>
      <c r="K1" s="59"/>
      <c r="L1" s="59"/>
      <c r="M1" s="59"/>
      <c r="N1" s="59"/>
      <c r="O1" s="59"/>
      <c r="P1" s="59"/>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row>
    <row r="2" spans="1:126" ht="21">
      <c r="A2" s="663" t="str">
        <f>'01_1_General Data'!A2</f>
        <v>[Project Name]</v>
      </c>
      <c r="B2" s="664"/>
      <c r="C2" s="664"/>
      <c r="D2" s="665"/>
      <c r="E2" s="666"/>
      <c r="F2" s="667"/>
      <c r="G2" s="664"/>
      <c r="H2" s="664"/>
      <c r="I2" s="676" t="s">
        <v>245</v>
      </c>
      <c r="J2" s="667">
        <f>tbl00ModelProgress[[#Totals],[Date of Progress /
Last Edit]]</f>
        <v>0</v>
      </c>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row>
    <row r="4" spans="1:126" ht="15.75">
      <c r="B4" s="534"/>
    </row>
    <row r="5" spans="1:126" ht="15.75">
      <c r="B5" s="534" t="s">
        <v>1732</v>
      </c>
      <c r="C5" s="800"/>
      <c r="D5" s="801"/>
      <c r="E5" s="8"/>
      <c r="F5" s="801"/>
      <c r="G5" s="801"/>
      <c r="H5" s="801"/>
      <c r="I5" s="801"/>
      <c r="J5" s="801"/>
    </row>
    <row r="6" spans="1:126" ht="15.75">
      <c r="B6" s="534" t="s">
        <v>1733</v>
      </c>
      <c r="C6" s="800"/>
      <c r="D6" s="801"/>
      <c r="E6" s="8"/>
      <c r="F6" s="801"/>
      <c r="G6" s="801"/>
      <c r="H6" s="801"/>
      <c r="I6" s="801"/>
      <c r="J6" s="801"/>
    </row>
    <row r="7" spans="1:126" ht="15.75">
      <c r="B7" s="534" t="s">
        <v>1734</v>
      </c>
      <c r="C7" s="800"/>
      <c r="D7" s="801"/>
      <c r="E7" s="8"/>
      <c r="F7" s="801"/>
      <c r="G7" s="801"/>
      <c r="H7" s="801"/>
      <c r="I7" s="801"/>
      <c r="J7" s="801"/>
    </row>
    <row r="8" spans="1:126" ht="15.75">
      <c r="B8" s="8"/>
      <c r="C8" s="801"/>
      <c r="D8" s="801"/>
      <c r="E8" s="801"/>
      <c r="F8" s="801"/>
      <c r="G8" s="801"/>
      <c r="H8" s="801"/>
      <c r="I8" s="801"/>
      <c r="J8" s="801"/>
    </row>
    <row r="9" spans="1:126" ht="31.5">
      <c r="B9" s="842" t="s">
        <v>1735</v>
      </c>
      <c r="C9" s="842" t="s">
        <v>1736</v>
      </c>
      <c r="D9" s="842" t="str">
        <f>'02_2_EXPENSE'!G6</f>
        <v>Appraisal</v>
      </c>
      <c r="E9" s="842" t="str">
        <f>'02_2_EXPENSE'!L5</f>
        <v>OTHER PROJECTION 1</v>
      </c>
      <c r="F9" s="842" t="str">
        <f>'02_2_EXPENSE'!N5</f>
        <v>OTHER PROJECTION 2</v>
      </c>
      <c r="G9" s="842" t="str">
        <f>'02_2_EXPENSE'!P5</f>
        <v>OTHER PROJECTION 3</v>
      </c>
      <c r="H9" s="842" t="str">
        <f>'02_2_EXPENSE'!R5</f>
        <v>OTHER PROJECTION 4</v>
      </c>
      <c r="I9" s="842" t="str">
        <f>'02_2_EXPENSE'!T5</f>
        <v>OTHER PROJECTION 5</v>
      </c>
      <c r="J9" s="842" t="str">
        <f>'02_2_EXPENSE'!V5</f>
        <v>OTHER PROJECTION 6</v>
      </c>
      <c r="K9" s="842" t="str">
        <f>'02_2_EXPENSE'!X5</f>
        <v>OTHER PROJECTION 7</v>
      </c>
      <c r="L9" s="842" t="str">
        <f>'02_2_EXPENSE'!Z5</f>
        <v>OTHER PROJECTION 8</v>
      </c>
      <c r="M9" s="842" t="str">
        <f>'02_2_EXPENSE'!AB5</f>
        <v>OTHER PROJECTION 9</v>
      </c>
      <c r="N9" s="842" t="str">
        <f>'02_2_EXPENSE'!AD5</f>
        <v>OTHER PROJECTION 10</v>
      </c>
      <c r="O9" s="842" t="str">
        <f>'02_2_EXPENSE'!AF5</f>
        <v>OTHER PROJECTION 11</v>
      </c>
      <c r="P9" s="842" t="str">
        <f>'02_2_EXPENSE'!AH5</f>
        <v>OTHER PROJECTION 12</v>
      </c>
    </row>
    <row r="10" spans="1:126" ht="15.75">
      <c r="B10" s="1146"/>
      <c r="C10" s="1147"/>
      <c r="D10" s="1147"/>
      <c r="E10" s="1147">
        <f>'02_2_EXPENSE'!M6</f>
        <v>0</v>
      </c>
      <c r="F10" s="1147">
        <f>'02_2_EXPENSE'!O6</f>
        <v>0</v>
      </c>
      <c r="G10" s="1147">
        <f>'02_2_EXPENSE'!Q6</f>
        <v>0</v>
      </c>
      <c r="H10" s="1147">
        <f>'02_2_EXPENSE'!S6</f>
        <v>0</v>
      </c>
      <c r="I10" s="1147">
        <f>'02_2_EXPENSE'!U6</f>
        <v>0</v>
      </c>
      <c r="J10" s="1147">
        <f>'02_2_EXPENSE'!W6</f>
        <v>0</v>
      </c>
      <c r="K10" s="1147">
        <f>'02_2_EXPENSE'!Y6</f>
        <v>0</v>
      </c>
      <c r="L10" s="1147">
        <f>'02_2_EXPENSE'!AA6</f>
        <v>0</v>
      </c>
      <c r="M10" s="1147">
        <f>'02_2_EXPENSE'!AC6</f>
        <v>0</v>
      </c>
      <c r="N10" s="1147">
        <f>'02_2_EXPENSE'!AE6</f>
        <v>0</v>
      </c>
      <c r="O10" s="1147">
        <f>'02_2_EXPENSE'!AG6</f>
        <v>0</v>
      </c>
      <c r="P10" s="1147">
        <f>'02_2_EXPENSE'!AI6</f>
        <v>0</v>
      </c>
    </row>
    <row r="11" spans="1:126" ht="15.75">
      <c r="B11" s="1146"/>
      <c r="C11" s="1147"/>
      <c r="D11" s="1147"/>
      <c r="E11" s="1145">
        <f>'02_2_EXPENSE'!M7</f>
        <v>0</v>
      </c>
      <c r="F11" s="1147">
        <f>'02_2_EXPENSE'!O7</f>
        <v>0</v>
      </c>
      <c r="G11" s="1147">
        <f>'02_2_EXPENSE'!Q7</f>
        <v>0</v>
      </c>
      <c r="H11" s="1147">
        <f>'02_2_EXPENSE'!S7</f>
        <v>0</v>
      </c>
      <c r="I11" s="1147">
        <f>'02_2_EXPENSE'!U7</f>
        <v>0</v>
      </c>
      <c r="J11" s="1147">
        <f>'02_2_EXPENSE'!W7</f>
        <v>0</v>
      </c>
      <c r="K11" s="1147">
        <f>'02_2_EXPENSE'!Y7</f>
        <v>0</v>
      </c>
      <c r="L11" s="1147">
        <f>'02_2_EXPENSE'!AA7</f>
        <v>0</v>
      </c>
      <c r="M11" s="1147">
        <f>'02_2_EXPENSE'!AC7</f>
        <v>0</v>
      </c>
      <c r="N11" s="1147">
        <f>'02_2_EXPENSE'!AE7</f>
        <v>0</v>
      </c>
      <c r="O11" s="1147">
        <f>'02_2_EXPENSE'!AG7</f>
        <v>0</v>
      </c>
      <c r="P11" s="1147">
        <f>'02_2_EXPENSE'!AI7</f>
        <v>0</v>
      </c>
    </row>
    <row r="12" spans="1:126" ht="15.75">
      <c r="B12" s="802" t="s">
        <v>1737</v>
      </c>
      <c r="C12" s="803"/>
      <c r="D12" s="803"/>
      <c r="E12" s="803"/>
      <c r="F12" s="803"/>
      <c r="G12" s="803"/>
      <c r="H12" s="803"/>
      <c r="I12" s="803"/>
      <c r="J12" s="803"/>
      <c r="K12" s="803"/>
      <c r="L12" s="803"/>
      <c r="M12" s="803"/>
      <c r="N12" s="803"/>
      <c r="O12" s="803"/>
      <c r="P12" s="803"/>
    </row>
    <row r="13" spans="1:126" ht="15.75">
      <c r="B13" s="802" t="s">
        <v>1738</v>
      </c>
      <c r="C13" s="99"/>
      <c r="D13" s="99"/>
      <c r="E13" s="99"/>
      <c r="F13" s="99"/>
      <c r="G13" s="99"/>
      <c r="H13" s="99"/>
      <c r="I13" s="99"/>
      <c r="J13" s="99"/>
      <c r="K13" s="99"/>
      <c r="L13" s="99"/>
      <c r="M13" s="99"/>
      <c r="N13" s="99"/>
      <c r="O13" s="99"/>
      <c r="P13" s="99"/>
    </row>
    <row r="14" spans="1:126" ht="15.75">
      <c r="B14" s="802" t="s">
        <v>1739</v>
      </c>
      <c r="C14" s="99"/>
      <c r="D14" s="99"/>
      <c r="E14" s="99"/>
      <c r="F14" s="99"/>
      <c r="G14" s="99"/>
      <c r="H14" s="99"/>
      <c r="I14" s="99"/>
      <c r="J14" s="99"/>
      <c r="K14" s="99"/>
      <c r="L14" s="99"/>
      <c r="M14" s="99"/>
      <c r="N14" s="99"/>
      <c r="O14" s="99"/>
      <c r="P14" s="99"/>
    </row>
    <row r="15" spans="1:126" ht="15.75">
      <c r="B15" s="802" t="s">
        <v>1740</v>
      </c>
      <c r="C15" s="99"/>
      <c r="D15" s="99"/>
      <c r="E15" s="99"/>
      <c r="F15" s="99"/>
      <c r="G15" s="99"/>
      <c r="H15" s="99"/>
      <c r="I15" s="99"/>
      <c r="J15" s="99"/>
      <c r="K15" s="99"/>
      <c r="L15" s="99"/>
      <c r="M15" s="99"/>
      <c r="N15" s="99"/>
      <c r="O15" s="99"/>
      <c r="P15" s="99"/>
    </row>
    <row r="16" spans="1:126" ht="15.75">
      <c r="B16" s="802" t="s">
        <v>1741</v>
      </c>
      <c r="C16" s="99"/>
      <c r="D16" s="99"/>
      <c r="E16" s="99"/>
      <c r="F16" s="99"/>
      <c r="G16" s="99"/>
      <c r="H16" s="99"/>
      <c r="I16" s="99"/>
      <c r="J16" s="99"/>
      <c r="K16" s="99"/>
      <c r="L16" s="99"/>
      <c r="M16" s="99"/>
      <c r="N16" s="99"/>
      <c r="O16" s="99"/>
      <c r="P16" s="99"/>
    </row>
    <row r="17" spans="2:16" ht="15.75">
      <c r="B17" s="802" t="s">
        <v>1742</v>
      </c>
      <c r="C17" s="99"/>
      <c r="D17" s="99"/>
      <c r="E17" s="99"/>
      <c r="F17" s="99"/>
      <c r="G17" s="99"/>
      <c r="H17" s="99"/>
      <c r="I17" s="99"/>
      <c r="J17" s="99"/>
      <c r="K17" s="99"/>
      <c r="L17" s="99"/>
      <c r="M17" s="99"/>
      <c r="N17" s="99"/>
      <c r="O17" s="99"/>
      <c r="P17" s="99"/>
    </row>
    <row r="18" spans="2:16" ht="15.75">
      <c r="B18" s="843" t="s">
        <v>1743</v>
      </c>
      <c r="C18" s="844">
        <f t="shared" ref="C18:K18" si="0">SUM(C12:C17)</f>
        <v>0</v>
      </c>
      <c r="D18" s="844">
        <f t="shared" si="0"/>
        <v>0</v>
      </c>
      <c r="E18" s="844">
        <f t="shared" si="0"/>
        <v>0</v>
      </c>
      <c r="F18" s="844">
        <f t="shared" si="0"/>
        <v>0</v>
      </c>
      <c r="G18" s="844">
        <f t="shared" si="0"/>
        <v>0</v>
      </c>
      <c r="H18" s="844">
        <f t="shared" si="0"/>
        <v>0</v>
      </c>
      <c r="I18" s="844">
        <f t="shared" si="0"/>
        <v>0</v>
      </c>
      <c r="J18" s="844">
        <f t="shared" si="0"/>
        <v>0</v>
      </c>
      <c r="K18" s="844">
        <f t="shared" si="0"/>
        <v>0</v>
      </c>
      <c r="L18" s="844">
        <f>SUM(L12:L17)</f>
        <v>0</v>
      </c>
      <c r="M18" s="844">
        <f>SUM(M12:M17)</f>
        <v>0</v>
      </c>
      <c r="N18" s="844">
        <f>SUM(N12:N17)</f>
        <v>0</v>
      </c>
      <c r="O18" s="844">
        <f>SUM(O12:O17)</f>
        <v>0</v>
      </c>
      <c r="P18" s="844">
        <f>SUM(P12:P17)</f>
        <v>0</v>
      </c>
    </row>
    <row r="19" spans="2:16" ht="15.75">
      <c r="B19" s="804"/>
      <c r="C19" s="805"/>
      <c r="D19" s="805"/>
      <c r="E19" s="805"/>
      <c r="F19" s="805"/>
      <c r="G19" s="805"/>
      <c r="H19" s="805"/>
      <c r="I19" s="805"/>
      <c r="J19" s="805"/>
    </row>
    <row r="20" spans="2:16" ht="15.75">
      <c r="B20" s="801"/>
      <c r="C20" s="8"/>
      <c r="D20" s="8"/>
      <c r="E20" s="8"/>
      <c r="F20" s="8"/>
      <c r="G20" s="8"/>
      <c r="H20" s="8"/>
      <c r="I20" s="8"/>
      <c r="J20" s="8"/>
    </row>
    <row r="21" spans="2:16" ht="31.5">
      <c r="B21" s="842" t="s">
        <v>1744</v>
      </c>
      <c r="C21" s="842" t="str">
        <f>C9</f>
        <v>Underwritten Year 1</v>
      </c>
      <c r="D21" s="842" t="str">
        <f t="shared" ref="D21:K21" si="1">D9</f>
        <v>Appraisal</v>
      </c>
      <c r="E21" s="842" t="str">
        <f t="shared" si="1"/>
        <v>OTHER PROJECTION 1</v>
      </c>
      <c r="F21" s="842" t="str">
        <f t="shared" si="1"/>
        <v>OTHER PROJECTION 2</v>
      </c>
      <c r="G21" s="842" t="str">
        <f t="shared" si="1"/>
        <v>OTHER PROJECTION 3</v>
      </c>
      <c r="H21" s="842" t="str">
        <f t="shared" si="1"/>
        <v>OTHER PROJECTION 4</v>
      </c>
      <c r="I21" s="842" t="str">
        <f t="shared" si="1"/>
        <v>OTHER PROJECTION 5</v>
      </c>
      <c r="J21" s="842" t="str">
        <f t="shared" si="1"/>
        <v>OTHER PROJECTION 6</v>
      </c>
      <c r="K21" s="842" t="str">
        <f t="shared" si="1"/>
        <v>OTHER PROJECTION 7</v>
      </c>
      <c r="L21" s="842" t="str">
        <f>L9</f>
        <v>OTHER PROJECTION 8</v>
      </c>
      <c r="M21" s="842" t="str">
        <f>M9</f>
        <v>OTHER PROJECTION 9</v>
      </c>
      <c r="N21" s="842" t="str">
        <f>N9</f>
        <v>OTHER PROJECTION 10</v>
      </c>
      <c r="O21" s="842" t="str">
        <f>O9</f>
        <v>OTHER PROJECTION 11</v>
      </c>
      <c r="P21" s="842" t="str">
        <f>P9</f>
        <v>OTHER PROJECTION 12</v>
      </c>
    </row>
    <row r="22" spans="2:16" ht="15.75">
      <c r="B22" s="806" t="s">
        <v>1745</v>
      </c>
      <c r="C22" s="807"/>
      <c r="D22" s="807"/>
      <c r="E22" s="807"/>
      <c r="F22" s="807"/>
      <c r="G22" s="807"/>
      <c r="H22" s="807"/>
      <c r="I22" s="807"/>
      <c r="J22" s="807"/>
      <c r="K22" s="807"/>
      <c r="L22" s="807"/>
      <c r="M22" s="807"/>
      <c r="N22" s="807"/>
      <c r="O22" s="807"/>
      <c r="P22" s="807"/>
    </row>
    <row r="23" spans="2:16" ht="15.75">
      <c r="B23" s="802" t="s">
        <v>1746</v>
      </c>
      <c r="C23" s="99"/>
      <c r="D23" s="99"/>
      <c r="E23" s="99"/>
      <c r="F23" s="99"/>
      <c r="G23" s="99"/>
      <c r="H23" s="99"/>
      <c r="I23" s="99"/>
      <c r="J23" s="99"/>
      <c r="K23" s="99"/>
      <c r="L23" s="99"/>
      <c r="M23" s="99"/>
      <c r="N23" s="99"/>
      <c r="O23" s="99"/>
      <c r="P23" s="99"/>
    </row>
    <row r="24" spans="2:16" ht="16.5" thickBot="1">
      <c r="B24" s="809" t="s">
        <v>1747</v>
      </c>
      <c r="C24" s="810"/>
      <c r="D24" s="810"/>
      <c r="E24" s="810"/>
      <c r="F24" s="810"/>
      <c r="G24" s="810"/>
      <c r="H24" s="810"/>
      <c r="I24" s="810"/>
      <c r="J24" s="810"/>
      <c r="K24" s="810"/>
      <c r="L24" s="810"/>
      <c r="M24" s="810"/>
      <c r="N24" s="810"/>
      <c r="O24" s="810"/>
      <c r="P24" s="810"/>
    </row>
    <row r="25" spans="2:16" ht="15.75">
      <c r="B25" s="811" t="s">
        <v>1748</v>
      </c>
      <c r="C25" s="808">
        <f t="shared" ref="C25:I25" si="2">SUM(C23:C24)</f>
        <v>0</v>
      </c>
      <c r="D25" s="808">
        <f t="shared" si="2"/>
        <v>0</v>
      </c>
      <c r="E25" s="808">
        <f t="shared" si="2"/>
        <v>0</v>
      </c>
      <c r="F25" s="808">
        <f t="shared" si="2"/>
        <v>0</v>
      </c>
      <c r="G25" s="808">
        <f t="shared" si="2"/>
        <v>0</v>
      </c>
      <c r="H25" s="808">
        <f t="shared" si="2"/>
        <v>0</v>
      </c>
      <c r="I25" s="808">
        <f t="shared" si="2"/>
        <v>0</v>
      </c>
      <c r="J25" s="808">
        <f t="shared" ref="J25:P25" si="3">SUM(J23:J24)</f>
        <v>0</v>
      </c>
      <c r="K25" s="808">
        <f t="shared" si="3"/>
        <v>0</v>
      </c>
      <c r="L25" s="808">
        <f t="shared" si="3"/>
        <v>0</v>
      </c>
      <c r="M25" s="808">
        <f t="shared" si="3"/>
        <v>0</v>
      </c>
      <c r="N25" s="808">
        <f t="shared" si="3"/>
        <v>0</v>
      </c>
      <c r="O25" s="808">
        <f t="shared" si="3"/>
        <v>0</v>
      </c>
      <c r="P25" s="808">
        <f t="shared" si="3"/>
        <v>0</v>
      </c>
    </row>
    <row r="26" spans="2:16" ht="15.75">
      <c r="B26" s="802"/>
      <c r="C26" s="812"/>
      <c r="D26" s="812"/>
      <c r="E26" s="812"/>
      <c r="F26" s="812"/>
      <c r="G26" s="812"/>
      <c r="H26" s="812"/>
      <c r="I26" s="812"/>
      <c r="J26" s="812"/>
      <c r="K26" s="812"/>
      <c r="L26" s="812"/>
      <c r="M26" s="812"/>
      <c r="N26" s="812"/>
      <c r="O26" s="812"/>
      <c r="P26" s="812"/>
    </row>
    <row r="27" spans="2:16" ht="15.75">
      <c r="B27" s="806" t="s">
        <v>1749</v>
      </c>
      <c r="C27" s="807"/>
      <c r="D27" s="807"/>
      <c r="E27" s="807"/>
      <c r="F27" s="807"/>
      <c r="G27" s="807"/>
      <c r="H27" s="807"/>
      <c r="I27" s="807"/>
      <c r="J27" s="807"/>
      <c r="K27" s="807"/>
      <c r="L27" s="807"/>
      <c r="M27" s="807"/>
      <c r="N27" s="807"/>
      <c r="O27" s="807"/>
      <c r="P27" s="807"/>
    </row>
    <row r="28" spans="2:16" ht="15.75">
      <c r="B28" s="802" t="s">
        <v>1750</v>
      </c>
      <c r="C28" s="99"/>
      <c r="D28" s="99"/>
      <c r="E28" s="99"/>
      <c r="F28" s="99"/>
      <c r="G28" s="99"/>
      <c r="H28" s="99"/>
      <c r="I28" s="99"/>
      <c r="J28" s="99"/>
      <c r="K28" s="99"/>
      <c r="L28" s="99"/>
      <c r="M28" s="99"/>
      <c r="N28" s="99"/>
      <c r="O28" s="99"/>
      <c r="P28" s="99"/>
    </row>
    <row r="29" spans="2:16" ht="15.75">
      <c r="B29" s="802" t="s">
        <v>1751</v>
      </c>
      <c r="C29" s="99"/>
      <c r="D29" s="99"/>
      <c r="E29" s="99"/>
      <c r="F29" s="99"/>
      <c r="G29" s="99"/>
      <c r="H29" s="99"/>
      <c r="I29" s="99"/>
      <c r="J29" s="99"/>
      <c r="K29" s="99"/>
      <c r="L29" s="99"/>
      <c r="M29" s="99"/>
      <c r="N29" s="99"/>
      <c r="O29" s="99"/>
      <c r="P29" s="99"/>
    </row>
    <row r="30" spans="2:16" ht="15.75">
      <c r="B30" s="802" t="s">
        <v>1752</v>
      </c>
      <c r="C30" s="99"/>
      <c r="D30" s="99"/>
      <c r="E30" s="99"/>
      <c r="F30" s="99"/>
      <c r="G30" s="99"/>
      <c r="H30" s="99"/>
      <c r="I30" s="99"/>
      <c r="J30" s="99"/>
      <c r="K30" s="99"/>
      <c r="L30" s="99"/>
      <c r="M30" s="99"/>
      <c r="N30" s="99"/>
      <c r="O30" s="99"/>
      <c r="P30" s="99"/>
    </row>
    <row r="31" spans="2:16" ht="16.5" thickBot="1">
      <c r="B31" s="809" t="s">
        <v>1753</v>
      </c>
      <c r="C31" s="810"/>
      <c r="D31" s="810"/>
      <c r="E31" s="810"/>
      <c r="F31" s="810"/>
      <c r="G31" s="810"/>
      <c r="H31" s="810"/>
      <c r="I31" s="810"/>
      <c r="J31" s="810"/>
      <c r="K31" s="810"/>
      <c r="L31" s="810"/>
      <c r="M31" s="810"/>
      <c r="N31" s="810"/>
      <c r="O31" s="810"/>
      <c r="P31" s="810"/>
    </row>
    <row r="32" spans="2:16" ht="15.75">
      <c r="B32" s="811" t="s">
        <v>1748</v>
      </c>
      <c r="C32" s="808">
        <f t="shared" ref="C32:I32" si="4">SUM(C28:C31)</f>
        <v>0</v>
      </c>
      <c r="D32" s="808">
        <f t="shared" si="4"/>
        <v>0</v>
      </c>
      <c r="E32" s="808">
        <f t="shared" si="4"/>
        <v>0</v>
      </c>
      <c r="F32" s="808">
        <f t="shared" si="4"/>
        <v>0</v>
      </c>
      <c r="G32" s="808">
        <f t="shared" si="4"/>
        <v>0</v>
      </c>
      <c r="H32" s="808">
        <f t="shared" si="4"/>
        <v>0</v>
      </c>
      <c r="I32" s="808">
        <f t="shared" si="4"/>
        <v>0</v>
      </c>
      <c r="J32" s="808">
        <f t="shared" ref="J32:P32" si="5">SUM(J28:J31)</f>
        <v>0</v>
      </c>
      <c r="K32" s="808">
        <f t="shared" si="5"/>
        <v>0</v>
      </c>
      <c r="L32" s="808">
        <f t="shared" si="5"/>
        <v>0</v>
      </c>
      <c r="M32" s="808">
        <f t="shared" si="5"/>
        <v>0</v>
      </c>
      <c r="N32" s="808">
        <f t="shared" si="5"/>
        <v>0</v>
      </c>
      <c r="O32" s="808">
        <f t="shared" si="5"/>
        <v>0</v>
      </c>
      <c r="P32" s="808">
        <f t="shared" si="5"/>
        <v>0</v>
      </c>
    </row>
    <row r="33" spans="2:16" ht="15.75">
      <c r="B33" s="802"/>
      <c r="C33" s="812"/>
      <c r="D33" s="812"/>
      <c r="E33" s="812"/>
      <c r="F33" s="812"/>
      <c r="G33" s="812"/>
      <c r="H33" s="812"/>
      <c r="I33" s="812"/>
      <c r="J33" s="812"/>
      <c r="K33" s="812"/>
      <c r="L33" s="812"/>
      <c r="M33" s="812"/>
      <c r="N33" s="812"/>
      <c r="O33" s="812"/>
      <c r="P33" s="812"/>
    </row>
    <row r="34" spans="2:16" ht="15.75">
      <c r="B34" s="806" t="s">
        <v>1754</v>
      </c>
      <c r="C34" s="807"/>
      <c r="D34" s="807"/>
      <c r="E34" s="807"/>
      <c r="F34" s="807"/>
      <c r="G34" s="807"/>
      <c r="H34" s="807"/>
      <c r="I34" s="807"/>
      <c r="J34" s="807"/>
      <c r="K34" s="807"/>
      <c r="L34" s="807"/>
      <c r="M34" s="807"/>
      <c r="N34" s="807"/>
      <c r="O34" s="807"/>
      <c r="P34" s="807"/>
    </row>
    <row r="35" spans="2:16" ht="15.75">
      <c r="B35" s="802" t="s">
        <v>1755</v>
      </c>
      <c r="C35" s="99"/>
      <c r="D35" s="99"/>
      <c r="E35" s="99"/>
      <c r="F35" s="99"/>
      <c r="G35" s="99"/>
      <c r="H35" s="99"/>
      <c r="I35" s="99"/>
      <c r="J35" s="99"/>
      <c r="K35" s="99"/>
      <c r="L35" s="99"/>
      <c r="M35" s="99"/>
      <c r="N35" s="99"/>
      <c r="O35" s="99"/>
      <c r="P35" s="99"/>
    </row>
    <row r="36" spans="2:16" ht="15.75">
      <c r="B36" s="802" t="s">
        <v>1756</v>
      </c>
      <c r="C36" s="99"/>
      <c r="D36" s="99"/>
      <c r="E36" s="99"/>
      <c r="F36" s="99"/>
      <c r="G36" s="99"/>
      <c r="H36" s="99"/>
      <c r="I36" s="99"/>
      <c r="J36" s="99"/>
      <c r="K36" s="99"/>
      <c r="L36" s="99"/>
      <c r="M36" s="99"/>
      <c r="N36" s="99"/>
      <c r="O36" s="99"/>
      <c r="P36" s="99"/>
    </row>
    <row r="37" spans="2:16" ht="15.75">
      <c r="B37" s="802" t="s">
        <v>1757</v>
      </c>
      <c r="C37" s="99"/>
      <c r="D37" s="99"/>
      <c r="E37" s="99"/>
      <c r="F37" s="99"/>
      <c r="G37" s="99"/>
      <c r="H37" s="99"/>
      <c r="I37" s="99"/>
      <c r="J37" s="99"/>
      <c r="K37" s="99"/>
      <c r="L37" s="99"/>
      <c r="M37" s="99"/>
      <c r="N37" s="99"/>
      <c r="O37" s="99"/>
      <c r="P37" s="99"/>
    </row>
    <row r="38" spans="2:16" ht="15.75">
      <c r="B38" s="802" t="s">
        <v>1758</v>
      </c>
      <c r="C38" s="99"/>
      <c r="D38" s="99"/>
      <c r="E38" s="99"/>
      <c r="F38" s="99"/>
      <c r="G38" s="99"/>
      <c r="H38" s="99"/>
      <c r="I38" s="99"/>
      <c r="J38" s="99"/>
      <c r="K38" s="99"/>
      <c r="L38" s="99"/>
      <c r="M38" s="99"/>
      <c r="N38" s="99"/>
      <c r="O38" s="99"/>
      <c r="P38" s="99"/>
    </row>
    <row r="39" spans="2:16" ht="15.75">
      <c r="B39" s="802" t="s">
        <v>1759</v>
      </c>
      <c r="C39" s="99"/>
      <c r="D39" s="99"/>
      <c r="E39" s="99"/>
      <c r="F39" s="99"/>
      <c r="G39" s="99"/>
      <c r="H39" s="99"/>
      <c r="I39" s="99"/>
      <c r="J39" s="99"/>
      <c r="K39" s="99"/>
      <c r="L39" s="99"/>
      <c r="M39" s="99"/>
      <c r="N39" s="99"/>
      <c r="O39" s="99"/>
      <c r="P39" s="99"/>
    </row>
    <row r="40" spans="2:16" ht="15.75">
      <c r="B40" s="802" t="s">
        <v>1760</v>
      </c>
      <c r="C40" s="99"/>
      <c r="D40" s="99"/>
      <c r="E40" s="99"/>
      <c r="F40" s="99"/>
      <c r="G40" s="99"/>
      <c r="H40" s="99"/>
      <c r="I40" s="99"/>
      <c r="J40" s="99"/>
      <c r="K40" s="99"/>
      <c r="L40" s="99"/>
      <c r="M40" s="99"/>
      <c r="N40" s="99"/>
      <c r="O40" s="99"/>
      <c r="P40" s="99"/>
    </row>
    <row r="41" spans="2:16" ht="15.75">
      <c r="B41" s="802" t="s">
        <v>1761</v>
      </c>
      <c r="C41" s="99"/>
      <c r="D41" s="99"/>
      <c r="E41" s="99"/>
      <c r="F41" s="99"/>
      <c r="G41" s="99"/>
      <c r="H41" s="99"/>
      <c r="I41" s="99"/>
      <c r="J41" s="99"/>
      <c r="K41" s="99"/>
      <c r="L41" s="99"/>
      <c r="M41" s="99"/>
      <c r="N41" s="99"/>
      <c r="O41" s="99"/>
      <c r="P41" s="99"/>
    </row>
    <row r="42" spans="2:16" ht="15.75">
      <c r="B42" s="802" t="s">
        <v>1762</v>
      </c>
      <c r="C42" s="99"/>
      <c r="D42" s="99"/>
      <c r="E42" s="99"/>
      <c r="F42" s="99"/>
      <c r="G42" s="99"/>
      <c r="H42" s="99"/>
      <c r="I42" s="99"/>
      <c r="J42" s="99"/>
      <c r="K42" s="99"/>
      <c r="L42" s="99"/>
      <c r="M42" s="99"/>
      <c r="N42" s="99"/>
      <c r="O42" s="99"/>
      <c r="P42" s="99"/>
    </row>
    <row r="43" spans="2:16" ht="15.75">
      <c r="B43" s="802" t="s">
        <v>1763</v>
      </c>
      <c r="C43" s="99"/>
      <c r="D43" s="99"/>
      <c r="E43" s="99"/>
      <c r="F43" s="99"/>
      <c r="G43" s="99"/>
      <c r="H43" s="99"/>
      <c r="I43" s="99"/>
      <c r="J43" s="99"/>
      <c r="K43" s="99"/>
      <c r="L43" s="99"/>
      <c r="M43" s="99"/>
      <c r="N43" s="99"/>
      <c r="O43" s="99"/>
      <c r="P43" s="99"/>
    </row>
    <row r="44" spans="2:16" ht="15.75">
      <c r="B44" s="802" t="s">
        <v>1764</v>
      </c>
      <c r="C44" s="99"/>
      <c r="D44" s="99"/>
      <c r="E44" s="99"/>
      <c r="F44" s="99"/>
      <c r="G44" s="99"/>
      <c r="H44" s="99"/>
      <c r="I44" s="99"/>
      <c r="J44" s="99"/>
      <c r="K44" s="99"/>
      <c r="L44" s="99"/>
      <c r="M44" s="99"/>
      <c r="N44" s="99"/>
      <c r="O44" s="99"/>
      <c r="P44" s="99"/>
    </row>
    <row r="45" spans="2:16" ht="16.5" thickBot="1">
      <c r="B45" s="813" t="s">
        <v>1765</v>
      </c>
      <c r="C45" s="810"/>
      <c r="D45" s="810"/>
      <c r="E45" s="810"/>
      <c r="F45" s="810"/>
      <c r="G45" s="810"/>
      <c r="H45" s="810"/>
      <c r="I45" s="810"/>
      <c r="J45" s="810"/>
      <c r="K45" s="810"/>
      <c r="L45" s="810"/>
      <c r="M45" s="810"/>
      <c r="N45" s="810"/>
      <c r="O45" s="810"/>
      <c r="P45" s="810"/>
    </row>
    <row r="46" spans="2:16" ht="15.75">
      <c r="B46" s="811" t="s">
        <v>1748</v>
      </c>
      <c r="C46" s="808">
        <f t="shared" ref="C46:I46" si="6">SUM(C35:C45)</f>
        <v>0</v>
      </c>
      <c r="D46" s="808">
        <f t="shared" si="6"/>
        <v>0</v>
      </c>
      <c r="E46" s="808">
        <f t="shared" si="6"/>
        <v>0</v>
      </c>
      <c r="F46" s="808">
        <f t="shared" si="6"/>
        <v>0</v>
      </c>
      <c r="G46" s="808">
        <f t="shared" si="6"/>
        <v>0</v>
      </c>
      <c r="H46" s="808">
        <f t="shared" si="6"/>
        <v>0</v>
      </c>
      <c r="I46" s="808">
        <f t="shared" si="6"/>
        <v>0</v>
      </c>
      <c r="J46" s="808">
        <f t="shared" ref="J46:P46" si="7">SUM(J35:J45)</f>
        <v>0</v>
      </c>
      <c r="K46" s="808">
        <f t="shared" si="7"/>
        <v>0</v>
      </c>
      <c r="L46" s="808">
        <f t="shared" si="7"/>
        <v>0</v>
      </c>
      <c r="M46" s="808">
        <f t="shared" si="7"/>
        <v>0</v>
      </c>
      <c r="N46" s="808">
        <f t="shared" si="7"/>
        <v>0</v>
      </c>
      <c r="O46" s="808">
        <f t="shared" si="7"/>
        <v>0</v>
      </c>
      <c r="P46" s="808">
        <f t="shared" si="7"/>
        <v>0</v>
      </c>
    </row>
    <row r="47" spans="2:16" ht="15.75">
      <c r="B47" s="814" t="s">
        <v>1766</v>
      </c>
      <c r="C47" s="812"/>
      <c r="D47" s="812"/>
      <c r="E47" s="812"/>
      <c r="F47" s="812"/>
      <c r="G47" s="812"/>
      <c r="H47" s="812"/>
      <c r="I47" s="812"/>
      <c r="J47" s="812"/>
      <c r="K47" s="812"/>
      <c r="L47" s="812"/>
      <c r="M47" s="812"/>
      <c r="N47" s="812"/>
      <c r="O47" s="812"/>
      <c r="P47" s="812"/>
    </row>
    <row r="48" spans="2:16" ht="15.75">
      <c r="B48" s="806" t="s">
        <v>1767</v>
      </c>
      <c r="C48" s="807"/>
      <c r="D48" s="807"/>
      <c r="E48" s="807"/>
      <c r="F48" s="807"/>
      <c r="G48" s="807"/>
      <c r="H48" s="807"/>
      <c r="I48" s="807"/>
      <c r="J48" s="807"/>
      <c r="K48" s="807"/>
      <c r="L48" s="807"/>
      <c r="M48" s="807"/>
      <c r="N48" s="807"/>
      <c r="O48" s="807"/>
      <c r="P48" s="807"/>
    </row>
    <row r="49" spans="2:16" ht="15.75">
      <c r="B49" s="563" t="s">
        <v>1768</v>
      </c>
      <c r="C49" s="99"/>
      <c r="D49" s="99"/>
      <c r="E49" s="99"/>
      <c r="F49" s="99"/>
      <c r="G49" s="99"/>
      <c r="H49" s="99"/>
      <c r="I49" s="99"/>
      <c r="J49" s="99"/>
      <c r="K49" s="99"/>
      <c r="L49" s="99"/>
      <c r="M49" s="99"/>
      <c r="N49" s="99"/>
      <c r="O49" s="99"/>
      <c r="P49" s="99"/>
    </row>
    <row r="50" spans="2:16" ht="16.5" thickBot="1">
      <c r="B50" s="809" t="s">
        <v>1769</v>
      </c>
      <c r="C50" s="810"/>
      <c r="D50" s="810"/>
      <c r="E50" s="810"/>
      <c r="F50" s="810"/>
      <c r="G50" s="810"/>
      <c r="H50" s="810"/>
      <c r="I50" s="810"/>
      <c r="J50" s="810"/>
      <c r="K50" s="810"/>
      <c r="L50" s="810"/>
      <c r="M50" s="810"/>
      <c r="N50" s="810"/>
      <c r="O50" s="810"/>
      <c r="P50" s="810"/>
    </row>
    <row r="51" spans="2:16" ht="15.75">
      <c r="B51" s="811" t="s">
        <v>1748</v>
      </c>
      <c r="C51" s="808">
        <f t="shared" ref="C51:I51" si="8">SUM(C49:C50)</f>
        <v>0</v>
      </c>
      <c r="D51" s="808">
        <f t="shared" si="8"/>
        <v>0</v>
      </c>
      <c r="E51" s="808">
        <f t="shared" si="8"/>
        <v>0</v>
      </c>
      <c r="F51" s="808">
        <f t="shared" si="8"/>
        <v>0</v>
      </c>
      <c r="G51" s="808">
        <f t="shared" si="8"/>
        <v>0</v>
      </c>
      <c r="H51" s="808">
        <f t="shared" si="8"/>
        <v>0</v>
      </c>
      <c r="I51" s="808">
        <f t="shared" si="8"/>
        <v>0</v>
      </c>
      <c r="J51" s="808">
        <f t="shared" ref="J51:P51" si="9">SUM(J49:J50)</f>
        <v>0</v>
      </c>
      <c r="K51" s="808">
        <f t="shared" si="9"/>
        <v>0</v>
      </c>
      <c r="L51" s="808">
        <f t="shared" si="9"/>
        <v>0</v>
      </c>
      <c r="M51" s="808">
        <f t="shared" si="9"/>
        <v>0</v>
      </c>
      <c r="N51" s="808">
        <f t="shared" si="9"/>
        <v>0</v>
      </c>
      <c r="O51" s="808">
        <f t="shared" si="9"/>
        <v>0</v>
      </c>
      <c r="P51" s="808">
        <f t="shared" si="9"/>
        <v>0</v>
      </c>
    </row>
    <row r="52" spans="2:16" ht="15.75">
      <c r="B52" s="802"/>
      <c r="C52" s="812"/>
      <c r="D52" s="812"/>
      <c r="E52" s="812"/>
      <c r="F52" s="812"/>
      <c r="G52" s="812"/>
      <c r="H52" s="812"/>
      <c r="I52" s="812"/>
      <c r="J52" s="812"/>
      <c r="K52" s="812"/>
      <c r="L52" s="812"/>
      <c r="M52" s="812"/>
      <c r="N52" s="812"/>
      <c r="O52" s="812"/>
      <c r="P52" s="812"/>
    </row>
    <row r="53" spans="2:16" ht="15.75">
      <c r="B53" s="806" t="s">
        <v>1770</v>
      </c>
      <c r="C53" s="807"/>
      <c r="D53" s="807"/>
      <c r="E53" s="807"/>
      <c r="F53" s="807"/>
      <c r="G53" s="807"/>
      <c r="H53" s="807"/>
      <c r="I53" s="807"/>
      <c r="J53" s="807"/>
      <c r="K53" s="807"/>
      <c r="L53" s="807"/>
      <c r="M53" s="807"/>
      <c r="N53" s="807"/>
      <c r="O53" s="807"/>
      <c r="P53" s="807"/>
    </row>
    <row r="54" spans="2:16" ht="15.75">
      <c r="B54" s="802" t="s">
        <v>1771</v>
      </c>
      <c r="C54" s="99"/>
      <c r="D54" s="99"/>
      <c r="E54" s="99"/>
      <c r="F54" s="99"/>
      <c r="G54" s="99"/>
      <c r="H54" s="99"/>
      <c r="I54" s="99"/>
      <c r="J54" s="99"/>
      <c r="K54" s="99"/>
      <c r="L54" s="99"/>
      <c r="M54" s="99"/>
      <c r="N54" s="99"/>
      <c r="O54" s="99"/>
      <c r="P54" s="99"/>
    </row>
    <row r="55" spans="2:16" ht="16.5" thickBot="1">
      <c r="B55" s="809" t="s">
        <v>1772</v>
      </c>
      <c r="C55" s="810"/>
      <c r="D55" s="810"/>
      <c r="E55" s="810"/>
      <c r="F55" s="810"/>
      <c r="G55" s="810"/>
      <c r="H55" s="810"/>
      <c r="I55" s="810"/>
      <c r="J55" s="810"/>
      <c r="K55" s="810"/>
      <c r="L55" s="810"/>
      <c r="M55" s="810"/>
      <c r="N55" s="810"/>
      <c r="O55" s="810"/>
      <c r="P55" s="810"/>
    </row>
    <row r="56" spans="2:16" ht="15.75">
      <c r="B56" s="811" t="s">
        <v>1748</v>
      </c>
      <c r="C56" s="808">
        <f t="shared" ref="C56:I56" si="10">SUM(C54:C55)</f>
        <v>0</v>
      </c>
      <c r="D56" s="808">
        <f t="shared" si="10"/>
        <v>0</v>
      </c>
      <c r="E56" s="808">
        <f t="shared" si="10"/>
        <v>0</v>
      </c>
      <c r="F56" s="808">
        <f t="shared" si="10"/>
        <v>0</v>
      </c>
      <c r="G56" s="808">
        <f t="shared" si="10"/>
        <v>0</v>
      </c>
      <c r="H56" s="808">
        <f t="shared" si="10"/>
        <v>0</v>
      </c>
      <c r="I56" s="808">
        <f t="shared" si="10"/>
        <v>0</v>
      </c>
      <c r="J56" s="808">
        <f t="shared" ref="J56:P56" si="11">SUM(J54:J55)</f>
        <v>0</v>
      </c>
      <c r="K56" s="808">
        <f t="shared" si="11"/>
        <v>0</v>
      </c>
      <c r="L56" s="808">
        <f t="shared" si="11"/>
        <v>0</v>
      </c>
      <c r="M56" s="808">
        <f t="shared" si="11"/>
        <v>0</v>
      </c>
      <c r="N56" s="808">
        <f t="shared" si="11"/>
        <v>0</v>
      </c>
      <c r="O56" s="808">
        <f t="shared" si="11"/>
        <v>0</v>
      </c>
      <c r="P56" s="808">
        <f t="shared" si="11"/>
        <v>0</v>
      </c>
    </row>
    <row r="57" spans="2:16" ht="15.75">
      <c r="B57" s="802"/>
      <c r="C57" s="812"/>
      <c r="D57" s="812"/>
      <c r="E57" s="812"/>
      <c r="F57" s="812"/>
      <c r="G57" s="812"/>
      <c r="H57" s="812"/>
      <c r="I57" s="812"/>
      <c r="J57" s="812"/>
      <c r="K57" s="812"/>
      <c r="L57" s="812"/>
      <c r="M57" s="812"/>
      <c r="N57" s="812"/>
      <c r="O57" s="812"/>
      <c r="P57" s="812"/>
    </row>
    <row r="58" spans="2:16" ht="15.75">
      <c r="B58" s="806" t="s">
        <v>1773</v>
      </c>
      <c r="C58" s="807"/>
      <c r="D58" s="807"/>
      <c r="E58" s="807"/>
      <c r="F58" s="807"/>
      <c r="G58" s="807"/>
      <c r="H58" s="807"/>
      <c r="I58" s="807"/>
      <c r="J58" s="807"/>
      <c r="K58" s="807"/>
      <c r="L58" s="807"/>
      <c r="M58" s="807"/>
      <c r="N58" s="807"/>
      <c r="O58" s="807"/>
      <c r="P58" s="807"/>
    </row>
    <row r="59" spans="2:16" ht="15.75">
      <c r="B59" s="802" t="s">
        <v>1774</v>
      </c>
      <c r="C59" s="99"/>
      <c r="D59" s="99"/>
      <c r="E59" s="99"/>
      <c r="F59" s="99"/>
      <c r="G59" s="99"/>
      <c r="H59" s="99"/>
      <c r="I59" s="99"/>
      <c r="J59" s="99"/>
      <c r="K59" s="99"/>
      <c r="L59" s="99"/>
      <c r="M59" s="99"/>
      <c r="N59" s="99"/>
      <c r="O59" s="99"/>
      <c r="P59" s="99"/>
    </row>
    <row r="60" spans="2:16" ht="15.75">
      <c r="B60" s="802" t="s">
        <v>1775</v>
      </c>
      <c r="C60" s="99"/>
      <c r="D60" s="99"/>
      <c r="E60" s="99"/>
      <c r="F60" s="99"/>
      <c r="G60" s="99"/>
      <c r="H60" s="99"/>
      <c r="I60" s="99"/>
      <c r="J60" s="99"/>
      <c r="K60" s="99"/>
      <c r="L60" s="99"/>
      <c r="M60" s="99"/>
      <c r="N60" s="99"/>
      <c r="O60" s="99"/>
      <c r="P60" s="99"/>
    </row>
    <row r="61" spans="2:16" ht="15.75">
      <c r="B61" s="802" t="s">
        <v>1776</v>
      </c>
      <c r="C61" s="99"/>
      <c r="D61" s="99"/>
      <c r="E61" s="99"/>
      <c r="F61" s="99"/>
      <c r="G61" s="99"/>
      <c r="H61" s="99"/>
      <c r="I61" s="99"/>
      <c r="J61" s="99"/>
      <c r="K61" s="99"/>
      <c r="L61" s="99"/>
      <c r="M61" s="99"/>
      <c r="N61" s="99"/>
      <c r="O61" s="99"/>
      <c r="P61" s="99"/>
    </row>
    <row r="62" spans="2:16" ht="15.75">
      <c r="B62" s="563" t="s">
        <v>1777</v>
      </c>
      <c r="C62" s="99"/>
      <c r="D62" s="99"/>
      <c r="E62" s="99"/>
      <c r="F62" s="99"/>
      <c r="G62" s="99"/>
      <c r="H62" s="99"/>
      <c r="I62" s="99"/>
      <c r="J62" s="99"/>
      <c r="K62" s="99"/>
      <c r="L62" s="99"/>
      <c r="M62" s="99"/>
      <c r="N62" s="99"/>
      <c r="O62" s="99"/>
      <c r="P62" s="99"/>
    </row>
    <row r="63" spans="2:16" ht="16.5" thickBot="1">
      <c r="B63" s="813" t="s">
        <v>1778</v>
      </c>
      <c r="C63" s="810"/>
      <c r="D63" s="810"/>
      <c r="E63" s="810"/>
      <c r="F63" s="810"/>
      <c r="G63" s="810"/>
      <c r="H63" s="810"/>
      <c r="I63" s="810"/>
      <c r="J63" s="810"/>
      <c r="K63" s="810"/>
      <c r="L63" s="810"/>
      <c r="M63" s="810"/>
      <c r="N63" s="810"/>
      <c r="O63" s="810"/>
      <c r="P63" s="810"/>
    </row>
    <row r="64" spans="2:16" ht="15.75">
      <c r="B64" s="811" t="s">
        <v>1748</v>
      </c>
      <c r="C64" s="808">
        <f t="shared" ref="C64:P64" si="12">SUM(C59:C63)</f>
        <v>0</v>
      </c>
      <c r="D64" s="808">
        <f t="shared" si="12"/>
        <v>0</v>
      </c>
      <c r="E64" s="808">
        <f t="shared" si="12"/>
        <v>0</v>
      </c>
      <c r="F64" s="808">
        <f t="shared" si="12"/>
        <v>0</v>
      </c>
      <c r="G64" s="808">
        <f t="shared" si="12"/>
        <v>0</v>
      </c>
      <c r="H64" s="808">
        <f t="shared" si="12"/>
        <v>0</v>
      </c>
      <c r="I64" s="808">
        <f t="shared" si="12"/>
        <v>0</v>
      </c>
      <c r="J64" s="808">
        <f t="shared" si="12"/>
        <v>0</v>
      </c>
      <c r="K64" s="808">
        <f t="shared" si="12"/>
        <v>0</v>
      </c>
      <c r="L64" s="808">
        <f t="shared" si="12"/>
        <v>0</v>
      </c>
      <c r="M64" s="808">
        <f t="shared" si="12"/>
        <v>0</v>
      </c>
      <c r="N64" s="808">
        <f t="shared" si="12"/>
        <v>0</v>
      </c>
      <c r="O64" s="808">
        <f t="shared" si="12"/>
        <v>0</v>
      </c>
      <c r="P64" s="808">
        <f t="shared" si="12"/>
        <v>0</v>
      </c>
    </row>
    <row r="65" spans="2:16" ht="15.75">
      <c r="B65" s="802"/>
      <c r="C65" s="812"/>
      <c r="D65" s="812"/>
      <c r="E65" s="812"/>
      <c r="F65" s="812"/>
      <c r="G65" s="812"/>
      <c r="H65" s="812"/>
      <c r="I65" s="812"/>
      <c r="J65" s="812"/>
      <c r="K65" s="812"/>
      <c r="L65" s="812"/>
      <c r="M65" s="812"/>
      <c r="N65" s="812"/>
      <c r="O65" s="812"/>
      <c r="P65" s="812"/>
    </row>
    <row r="66" spans="2:16" ht="15.75">
      <c r="B66" s="806" t="s">
        <v>80</v>
      </c>
      <c r="C66" s="807"/>
      <c r="D66" s="807"/>
      <c r="E66" s="807"/>
      <c r="F66" s="807"/>
      <c r="G66" s="807"/>
      <c r="H66" s="807"/>
      <c r="I66" s="807"/>
      <c r="J66" s="807"/>
      <c r="K66" s="807"/>
      <c r="L66" s="807"/>
      <c r="M66" s="807"/>
      <c r="N66" s="807"/>
      <c r="O66" s="807"/>
      <c r="P66" s="807"/>
    </row>
    <row r="67" spans="2:16" ht="15.75">
      <c r="B67" s="802" t="s">
        <v>1779</v>
      </c>
      <c r="C67" s="99"/>
      <c r="D67" s="99"/>
      <c r="E67" s="99"/>
      <c r="F67" s="99"/>
      <c r="G67" s="99"/>
      <c r="H67" s="99"/>
      <c r="I67" s="99"/>
      <c r="J67" s="99"/>
      <c r="K67" s="99"/>
      <c r="L67" s="99"/>
      <c r="M67" s="99"/>
      <c r="N67" s="99"/>
      <c r="O67" s="99"/>
      <c r="P67" s="99"/>
    </row>
    <row r="68" spans="2:16" ht="15.75">
      <c r="B68" s="802" t="s">
        <v>1780</v>
      </c>
      <c r="C68" s="99"/>
      <c r="D68" s="99"/>
      <c r="E68" s="99"/>
      <c r="F68" s="99"/>
      <c r="G68" s="99"/>
      <c r="H68" s="99"/>
      <c r="I68" s="99"/>
      <c r="J68" s="99"/>
      <c r="K68" s="99"/>
      <c r="L68" s="99"/>
      <c r="M68" s="99"/>
      <c r="N68" s="99"/>
      <c r="O68" s="99"/>
      <c r="P68" s="99"/>
    </row>
    <row r="69" spans="2:16" ht="15.75">
      <c r="B69" s="802" t="s">
        <v>1781</v>
      </c>
      <c r="C69" s="99"/>
      <c r="D69" s="99"/>
      <c r="E69" s="99"/>
      <c r="F69" s="99"/>
      <c r="G69" s="99"/>
      <c r="H69" s="99"/>
      <c r="I69" s="99"/>
      <c r="J69" s="99"/>
      <c r="K69" s="99"/>
      <c r="L69" s="99"/>
      <c r="M69" s="99"/>
      <c r="N69" s="99"/>
      <c r="O69" s="99"/>
      <c r="P69" s="99"/>
    </row>
    <row r="70" spans="2:16" ht="16.5" thickBot="1">
      <c r="B70" s="809" t="s">
        <v>1782</v>
      </c>
      <c r="C70" s="810"/>
      <c r="D70" s="810"/>
      <c r="E70" s="810"/>
      <c r="F70" s="810"/>
      <c r="G70" s="810"/>
      <c r="H70" s="810"/>
      <c r="I70" s="810"/>
      <c r="J70" s="810"/>
      <c r="K70" s="810"/>
      <c r="L70" s="810"/>
      <c r="M70" s="810"/>
      <c r="N70" s="810"/>
      <c r="O70" s="810"/>
      <c r="P70" s="810"/>
    </row>
    <row r="71" spans="2:16" ht="16.5" thickBot="1">
      <c r="B71" s="845" t="s">
        <v>1748</v>
      </c>
      <c r="C71" s="846">
        <f t="shared" ref="C71:I71" si="13">SUM(C66:C70)</f>
        <v>0</v>
      </c>
      <c r="D71" s="846">
        <f t="shared" si="13"/>
        <v>0</v>
      </c>
      <c r="E71" s="846">
        <f t="shared" si="13"/>
        <v>0</v>
      </c>
      <c r="F71" s="846">
        <f t="shared" si="13"/>
        <v>0</v>
      </c>
      <c r="G71" s="846">
        <f t="shared" si="13"/>
        <v>0</v>
      </c>
      <c r="H71" s="846">
        <f t="shared" si="13"/>
        <v>0</v>
      </c>
      <c r="I71" s="846">
        <f t="shared" si="13"/>
        <v>0</v>
      </c>
      <c r="J71" s="846">
        <f t="shared" ref="J71:P71" si="14">SUM(J66:J70)</f>
        <v>0</v>
      </c>
      <c r="K71" s="846">
        <f t="shared" si="14"/>
        <v>0</v>
      </c>
      <c r="L71" s="846">
        <f t="shared" si="14"/>
        <v>0</v>
      </c>
      <c r="M71" s="846">
        <f t="shared" si="14"/>
        <v>0</v>
      </c>
      <c r="N71" s="846">
        <f t="shared" si="14"/>
        <v>0</v>
      </c>
      <c r="O71" s="846">
        <f t="shared" si="14"/>
        <v>0</v>
      </c>
      <c r="P71" s="846">
        <f t="shared" si="14"/>
        <v>0</v>
      </c>
    </row>
    <row r="72" spans="2:16" ht="54" customHeight="1" thickBot="1">
      <c r="B72" s="2330" t="s">
        <v>1783</v>
      </c>
      <c r="C72" s="2331"/>
      <c r="D72" s="2331"/>
      <c r="E72" s="2331"/>
      <c r="F72" s="2331"/>
      <c r="G72" s="2331"/>
      <c r="H72" s="2331"/>
      <c r="I72" s="2331"/>
      <c r="J72" s="2331"/>
      <c r="K72" s="2331"/>
      <c r="L72" s="2331"/>
      <c r="M72" s="2331"/>
      <c r="N72" s="2331"/>
      <c r="O72" s="2331"/>
      <c r="P72" s="2332"/>
    </row>
    <row r="73" spans="2:16" ht="20.25" customHeight="1">
      <c r="B73" s="843" t="s">
        <v>1784</v>
      </c>
      <c r="C73" s="844">
        <f t="shared" ref="C73:K73" si="15">C25+C32+C46+C51+C56+C64</f>
        <v>0</v>
      </c>
      <c r="D73" s="844">
        <f t="shared" si="15"/>
        <v>0</v>
      </c>
      <c r="E73" s="844">
        <f t="shared" si="15"/>
        <v>0</v>
      </c>
      <c r="F73" s="844">
        <f t="shared" si="15"/>
        <v>0</v>
      </c>
      <c r="G73" s="844">
        <f t="shared" si="15"/>
        <v>0</v>
      </c>
      <c r="H73" s="844">
        <f t="shared" si="15"/>
        <v>0</v>
      </c>
      <c r="I73" s="844">
        <f t="shared" si="15"/>
        <v>0</v>
      </c>
      <c r="J73" s="844">
        <f t="shared" si="15"/>
        <v>0</v>
      </c>
      <c r="K73" s="844">
        <f t="shared" si="15"/>
        <v>0</v>
      </c>
      <c r="L73" s="844">
        <f>L25+L32+L46+L51+L56+L64</f>
        <v>0</v>
      </c>
      <c r="M73" s="844">
        <f>M25+M32+M46+M51+M56+M64</f>
        <v>0</v>
      </c>
      <c r="N73" s="844">
        <f>N25+N32+N46+N51+N56+N64</f>
        <v>0</v>
      </c>
      <c r="O73" s="844">
        <f>O25+O32+O46+O51+O56+O64</f>
        <v>0</v>
      </c>
      <c r="P73" s="844">
        <f>P25+P32+P46+P51+P56+P64</f>
        <v>0</v>
      </c>
    </row>
    <row r="74" spans="2:16" ht="15.75">
      <c r="B74" s="8"/>
      <c r="C74" s="801"/>
      <c r="D74" s="801"/>
      <c r="E74" s="801"/>
      <c r="F74" s="801"/>
      <c r="G74" s="801"/>
      <c r="H74" s="801"/>
      <c r="I74" s="801"/>
      <c r="J74" s="801"/>
    </row>
    <row r="75" spans="2:16" ht="15.75">
      <c r="B75" s="8"/>
      <c r="C75" s="801"/>
      <c r="D75" s="801"/>
      <c r="E75" s="801"/>
      <c r="F75" s="801"/>
      <c r="G75" s="801"/>
      <c r="H75" s="801"/>
      <c r="I75" s="801"/>
      <c r="J75" s="801"/>
    </row>
    <row r="76" spans="2:16" ht="14.25" customHeight="1">
      <c r="B76" s="151" t="s">
        <v>1509</v>
      </c>
      <c r="C76" s="804"/>
      <c r="D76" s="801"/>
      <c r="E76" s="801"/>
      <c r="F76" s="282"/>
      <c r="G76" s="282"/>
      <c r="H76" s="815"/>
      <c r="I76" s="801"/>
      <c r="J76" s="801"/>
    </row>
    <row r="77" spans="2:16" ht="15.75">
      <c r="B77" s="8"/>
      <c r="C77" s="816"/>
      <c r="D77" s="816"/>
      <c r="E77" s="816"/>
      <c r="F77" s="816"/>
      <c r="G77" s="816"/>
      <c r="H77" s="816"/>
      <c r="I77" s="801"/>
      <c r="J77" s="801"/>
    </row>
    <row r="78" spans="2:16" ht="31.5">
      <c r="B78" s="817" t="s">
        <v>1510</v>
      </c>
      <c r="C78" s="818" t="s">
        <v>1511</v>
      </c>
      <c r="D78" s="818" t="s">
        <v>1512</v>
      </c>
      <c r="E78" s="818" t="s">
        <v>1513</v>
      </c>
      <c r="F78" s="818" t="s">
        <v>1514</v>
      </c>
      <c r="G78" s="818" t="s">
        <v>1515</v>
      </c>
      <c r="H78" s="818" t="s">
        <v>1785</v>
      </c>
      <c r="I78" s="801"/>
      <c r="J78" s="801"/>
    </row>
    <row r="79" spans="2:16" ht="15.75">
      <c r="B79" s="802" t="s">
        <v>1516</v>
      </c>
      <c r="C79" s="819"/>
      <c r="D79" s="819"/>
      <c r="E79" s="820"/>
      <c r="F79" s="820"/>
      <c r="G79" s="821">
        <f>SUM(E79:F79)</f>
        <v>0</v>
      </c>
      <c r="H79" s="822">
        <f>IF(C79&gt;1,C79*G79,D79*40*52*G79)</f>
        <v>0</v>
      </c>
      <c r="I79" s="801"/>
      <c r="J79" s="801"/>
    </row>
    <row r="80" spans="2:16" ht="15.75">
      <c r="B80" s="802" t="s">
        <v>1517</v>
      </c>
      <c r="C80" s="819"/>
      <c r="D80" s="819"/>
      <c r="E80" s="820"/>
      <c r="F80" s="820"/>
      <c r="G80" s="821">
        <f>SUM(E80:F80)</f>
        <v>0</v>
      </c>
      <c r="H80" s="822">
        <f t="shared" ref="H80:H105" si="16">IF(C80&gt;1,C80*G80,D80*40*52*G80)</f>
        <v>0</v>
      </c>
      <c r="I80" s="801"/>
      <c r="J80" s="801"/>
    </row>
    <row r="81" spans="2:10" ht="15.75">
      <c r="B81" s="802" t="s">
        <v>1518</v>
      </c>
      <c r="C81" s="819"/>
      <c r="D81" s="819"/>
      <c r="E81" s="820"/>
      <c r="F81" s="820"/>
      <c r="G81" s="821">
        <f>SUM(E81:F81)</f>
        <v>0</v>
      </c>
      <c r="H81" s="822">
        <f t="shared" si="16"/>
        <v>0</v>
      </c>
      <c r="I81" s="801"/>
      <c r="J81" s="801"/>
    </row>
    <row r="82" spans="2:10" ht="15.75">
      <c r="B82" s="802" t="s">
        <v>1519</v>
      </c>
      <c r="C82" s="819"/>
      <c r="D82" s="819"/>
      <c r="E82" s="820"/>
      <c r="F82" s="820"/>
      <c r="G82" s="821">
        <f>SUM(E82:F82)</f>
        <v>0</v>
      </c>
      <c r="H82" s="822">
        <f t="shared" si="16"/>
        <v>0</v>
      </c>
      <c r="I82" s="801"/>
      <c r="J82" s="801"/>
    </row>
    <row r="83" spans="2:10" ht="15.75">
      <c r="B83" s="823" t="s">
        <v>1520</v>
      </c>
      <c r="C83" s="824"/>
      <c r="D83" s="824"/>
      <c r="E83" s="825"/>
      <c r="F83" s="825"/>
      <c r="G83" s="826"/>
      <c r="H83" s="827"/>
      <c r="I83" s="801"/>
      <c r="J83" s="801"/>
    </row>
    <row r="84" spans="2:10" ht="15.75">
      <c r="B84" s="802" t="s">
        <v>1521</v>
      </c>
      <c r="C84" s="819"/>
      <c r="D84" s="819"/>
      <c r="E84" s="820"/>
      <c r="F84" s="820"/>
      <c r="G84" s="821">
        <f>SUM(E84:F84)</f>
        <v>0</v>
      </c>
      <c r="H84" s="822">
        <f t="shared" si="16"/>
        <v>0</v>
      </c>
      <c r="I84" s="801"/>
      <c r="J84" s="801"/>
    </row>
    <row r="85" spans="2:10" ht="15.75">
      <c r="B85" s="823" t="s">
        <v>1522</v>
      </c>
      <c r="C85" s="824"/>
      <c r="D85" s="824"/>
      <c r="E85" s="825"/>
      <c r="F85" s="825"/>
      <c r="G85" s="826"/>
      <c r="H85" s="827"/>
      <c r="I85" s="801"/>
      <c r="J85" s="801"/>
    </row>
    <row r="86" spans="2:10" ht="15.75">
      <c r="B86" s="802" t="s">
        <v>1521</v>
      </c>
      <c r="C86" s="819"/>
      <c r="D86" s="819"/>
      <c r="E86" s="820"/>
      <c r="F86" s="820"/>
      <c r="G86" s="821">
        <f>SUM(E86:F86)</f>
        <v>0</v>
      </c>
      <c r="H86" s="822">
        <f t="shared" si="16"/>
        <v>0</v>
      </c>
      <c r="I86" s="801"/>
      <c r="J86" s="801"/>
    </row>
    <row r="87" spans="2:10" ht="15.75">
      <c r="B87" s="802" t="s">
        <v>1523</v>
      </c>
      <c r="C87" s="819"/>
      <c r="D87" s="819"/>
      <c r="E87" s="820"/>
      <c r="F87" s="820"/>
      <c r="G87" s="821">
        <f>SUM(E87:F87)</f>
        <v>0</v>
      </c>
      <c r="H87" s="822">
        <f t="shared" si="16"/>
        <v>0</v>
      </c>
      <c r="I87" s="801"/>
      <c r="J87" s="801"/>
    </row>
    <row r="88" spans="2:10" ht="15.75">
      <c r="B88" s="823" t="s">
        <v>1524</v>
      </c>
      <c r="C88" s="824"/>
      <c r="D88" s="824"/>
      <c r="E88" s="825"/>
      <c r="F88" s="825"/>
      <c r="G88" s="826"/>
      <c r="H88" s="827"/>
      <c r="I88" s="801"/>
      <c r="J88" s="801"/>
    </row>
    <row r="89" spans="2:10" ht="15.75">
      <c r="B89" s="802" t="s">
        <v>1525</v>
      </c>
      <c r="C89" s="819"/>
      <c r="D89" s="819"/>
      <c r="E89" s="820"/>
      <c r="F89" s="820"/>
      <c r="G89" s="821">
        <f>SUM(E89:F89)</f>
        <v>0</v>
      </c>
      <c r="H89" s="822">
        <f t="shared" si="16"/>
        <v>0</v>
      </c>
      <c r="I89" s="801"/>
      <c r="J89" s="801"/>
    </row>
    <row r="90" spans="2:10" ht="15.75">
      <c r="B90" s="823" t="s">
        <v>1526</v>
      </c>
      <c r="C90" s="824"/>
      <c r="D90" s="824"/>
      <c r="E90" s="825"/>
      <c r="F90" s="825"/>
      <c r="G90" s="826"/>
      <c r="H90" s="827"/>
      <c r="I90" s="801"/>
      <c r="J90" s="801"/>
    </row>
    <row r="91" spans="2:10" ht="15.75">
      <c r="B91" s="802" t="s">
        <v>1527</v>
      </c>
      <c r="C91" s="819"/>
      <c r="D91" s="819"/>
      <c r="E91" s="820"/>
      <c r="F91" s="820"/>
      <c r="G91" s="821">
        <f>SUM(E91:F91)</f>
        <v>0</v>
      </c>
      <c r="H91" s="822">
        <f t="shared" si="16"/>
        <v>0</v>
      </c>
      <c r="I91" s="801"/>
      <c r="J91" s="801"/>
    </row>
    <row r="92" spans="2:10" ht="15.75">
      <c r="B92" s="823" t="s">
        <v>1528</v>
      </c>
      <c r="C92" s="824"/>
      <c r="D92" s="824"/>
      <c r="E92" s="825"/>
      <c r="F92" s="825"/>
      <c r="G92" s="826"/>
      <c r="H92" s="827"/>
      <c r="I92" s="801"/>
      <c r="J92" s="801"/>
    </row>
    <row r="93" spans="2:10" ht="15.75">
      <c r="B93" s="802" t="s">
        <v>1529</v>
      </c>
      <c r="C93" s="819"/>
      <c r="D93" s="819"/>
      <c r="E93" s="820"/>
      <c r="F93" s="820"/>
      <c r="G93" s="821">
        <f>SUM(E93:F93)</f>
        <v>0</v>
      </c>
      <c r="H93" s="822">
        <f t="shared" si="16"/>
        <v>0</v>
      </c>
      <c r="I93" s="801"/>
      <c r="J93" s="801"/>
    </row>
    <row r="94" spans="2:10" ht="15.75">
      <c r="B94" s="802" t="s">
        <v>1530</v>
      </c>
      <c r="C94" s="819"/>
      <c r="D94" s="819"/>
      <c r="E94" s="820"/>
      <c r="F94" s="820"/>
      <c r="G94" s="821">
        <f>SUM(E94:F94)</f>
        <v>0</v>
      </c>
      <c r="H94" s="822">
        <f t="shared" si="16"/>
        <v>0</v>
      </c>
      <c r="I94" s="801"/>
      <c r="J94" s="801"/>
    </row>
    <row r="95" spans="2:10" ht="15.75">
      <c r="B95" s="802" t="s">
        <v>1531</v>
      </c>
      <c r="C95" s="819"/>
      <c r="D95" s="819"/>
      <c r="E95" s="820"/>
      <c r="F95" s="820"/>
      <c r="G95" s="821">
        <f>SUM(E95:F95)</f>
        <v>0</v>
      </c>
      <c r="H95" s="822">
        <f t="shared" si="16"/>
        <v>0</v>
      </c>
      <c r="I95" s="801"/>
      <c r="J95" s="801"/>
    </row>
    <row r="96" spans="2:10" ht="15.75">
      <c r="B96" s="823" t="s">
        <v>1532</v>
      </c>
      <c r="C96" s="824"/>
      <c r="D96" s="824"/>
      <c r="E96" s="825"/>
      <c r="F96" s="825"/>
      <c r="G96" s="826"/>
      <c r="H96" s="827"/>
      <c r="I96" s="801"/>
      <c r="J96" s="801"/>
    </row>
    <row r="97" spans="2:10" ht="15.75">
      <c r="B97" s="802" t="s">
        <v>1533</v>
      </c>
      <c r="C97" s="819"/>
      <c r="D97" s="819"/>
      <c r="E97" s="820"/>
      <c r="F97" s="820"/>
      <c r="G97" s="821">
        <f>SUM(E97:F97)</f>
        <v>0</v>
      </c>
      <c r="H97" s="822">
        <f t="shared" si="16"/>
        <v>0</v>
      </c>
      <c r="I97" s="801"/>
      <c r="J97" s="801"/>
    </row>
    <row r="98" spans="2:10" ht="15.75">
      <c r="B98" s="802" t="s">
        <v>1534</v>
      </c>
      <c r="C98" s="819"/>
      <c r="D98" s="819"/>
      <c r="E98" s="820"/>
      <c r="F98" s="820"/>
      <c r="G98" s="821">
        <f>SUM(E98:F98)</f>
        <v>0</v>
      </c>
      <c r="H98" s="822">
        <f t="shared" si="16"/>
        <v>0</v>
      </c>
      <c r="I98" s="801"/>
      <c r="J98" s="801"/>
    </row>
    <row r="99" spans="2:10" ht="15.75">
      <c r="B99" s="802" t="s">
        <v>1535</v>
      </c>
      <c r="C99" s="819"/>
      <c r="D99" s="819"/>
      <c r="E99" s="820"/>
      <c r="F99" s="820"/>
      <c r="G99" s="821">
        <f>SUM(E99:F99)</f>
        <v>0</v>
      </c>
      <c r="H99" s="822">
        <f t="shared" si="16"/>
        <v>0</v>
      </c>
      <c r="I99" s="801"/>
      <c r="J99" s="801"/>
    </row>
    <row r="100" spans="2:10" ht="15.75">
      <c r="B100" s="802" t="s">
        <v>1536</v>
      </c>
      <c r="C100" s="819"/>
      <c r="D100" s="819"/>
      <c r="E100" s="820"/>
      <c r="F100" s="820"/>
      <c r="G100" s="821">
        <f>SUM(E100:F100)</f>
        <v>0</v>
      </c>
      <c r="H100" s="822">
        <f t="shared" si="16"/>
        <v>0</v>
      </c>
      <c r="I100" s="801"/>
      <c r="J100" s="801"/>
    </row>
    <row r="101" spans="2:10" ht="15.75">
      <c r="B101" s="802" t="s">
        <v>1537</v>
      </c>
      <c r="C101" s="819"/>
      <c r="D101" s="819"/>
      <c r="E101" s="820"/>
      <c r="F101" s="820"/>
      <c r="G101" s="821">
        <f>SUM(E101:F101)</f>
        <v>0</v>
      </c>
      <c r="H101" s="822">
        <f t="shared" si="16"/>
        <v>0</v>
      </c>
      <c r="I101" s="801"/>
      <c r="J101" s="801"/>
    </row>
    <row r="102" spans="2:10" ht="15.75">
      <c r="B102" s="823" t="s">
        <v>1538</v>
      </c>
      <c r="C102" s="824"/>
      <c r="D102" s="824"/>
      <c r="E102" s="825"/>
      <c r="F102" s="825"/>
      <c r="G102" s="826"/>
      <c r="H102" s="827"/>
      <c r="I102" s="801"/>
      <c r="J102" s="801"/>
    </row>
    <row r="103" spans="2:10" ht="15.75">
      <c r="B103" s="802" t="s">
        <v>1539</v>
      </c>
      <c r="C103" s="819"/>
      <c r="D103" s="819"/>
      <c r="E103" s="820"/>
      <c r="F103" s="820"/>
      <c r="G103" s="821">
        <f>SUM(E103:F103)</f>
        <v>0</v>
      </c>
      <c r="H103" s="822">
        <f t="shared" si="16"/>
        <v>0</v>
      </c>
      <c r="I103" s="801"/>
      <c r="J103" s="801"/>
    </row>
    <row r="104" spans="2:10" ht="15.75">
      <c r="B104" s="802" t="s">
        <v>1540</v>
      </c>
      <c r="C104" s="819"/>
      <c r="D104" s="819"/>
      <c r="E104" s="820"/>
      <c r="F104" s="820"/>
      <c r="G104" s="821">
        <f>SUM(E104:F104)</f>
        <v>0</v>
      </c>
      <c r="H104" s="822">
        <f t="shared" si="16"/>
        <v>0</v>
      </c>
      <c r="I104" s="801"/>
      <c r="J104" s="801"/>
    </row>
    <row r="105" spans="2:10" ht="16.5" thickBot="1">
      <c r="B105" s="809" t="s">
        <v>1541</v>
      </c>
      <c r="C105" s="828"/>
      <c r="D105" s="828"/>
      <c r="E105" s="829"/>
      <c r="F105" s="829"/>
      <c r="G105" s="830">
        <f>SUM(E105:F105)</f>
        <v>0</v>
      </c>
      <c r="H105" s="831">
        <f t="shared" si="16"/>
        <v>0</v>
      </c>
      <c r="I105" s="801"/>
      <c r="J105" s="801"/>
    </row>
    <row r="106" spans="2:10" ht="15.75">
      <c r="B106" s="832" t="s">
        <v>1542</v>
      </c>
      <c r="C106" s="833"/>
      <c r="D106" s="833"/>
      <c r="E106" s="834"/>
      <c r="F106" s="834"/>
      <c r="G106" s="835">
        <f>SUM(G79:G105)</f>
        <v>0</v>
      </c>
      <c r="H106" s="836">
        <f>SUM(H79:H105)</f>
        <v>0</v>
      </c>
      <c r="I106" s="801"/>
      <c r="J106" s="801"/>
    </row>
  </sheetData>
  <mergeCells count="1">
    <mergeCell ref="B72:P72"/>
  </mergeCells>
  <phoneticPr fontId="58" type="noConversion"/>
  <printOptions horizontalCentered="1" verticalCentered="1"/>
  <pageMargins left="0.5" right="0.5" top="1" bottom="1" header="0.5" footer="0.5"/>
  <pageSetup scale="50" orientation="landscape" blackAndWhite="1" horizontalDpi="4294967292" verticalDpi="4294967292" r:id="rId1"/>
  <headerFooter alignWithMargins="0">
    <oddFooter>&amp;L&amp;A&amp;C&amp;P of &amp;N</oddFooter>
  </headerFooter>
  <rowBreaks count="1" manualBreakCount="1">
    <brk id="74"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codeName="wst04_1_ProForma">
    <tabColor theme="3" tint="-0.499984740745262"/>
  </sheetPr>
  <dimension ref="A1:AP208"/>
  <sheetViews>
    <sheetView zoomScale="85" zoomScaleNormal="85" workbookViewId="0"/>
  </sheetViews>
  <sheetFormatPr defaultColWidth="12" defaultRowHeight="15.75" zeroHeight="1"/>
  <cols>
    <col min="1" max="1" width="52.5" style="78" bestFit="1" customWidth="1"/>
    <col min="2" max="2" width="10" style="78" bestFit="1" customWidth="1"/>
    <col min="3" max="42" width="19" style="78" customWidth="1"/>
    <col min="43" max="53" width="12" style="78" customWidth="1"/>
    <col min="54" max="16384" width="12" style="78"/>
  </cols>
  <sheetData>
    <row r="1" spans="1:42" ht="26.25">
      <c r="A1" s="954" t="s">
        <v>1786</v>
      </c>
      <c r="B1" s="954"/>
      <c r="C1" s="955"/>
      <c r="D1" s="955"/>
      <c r="E1" s="955"/>
      <c r="F1" s="955"/>
      <c r="G1" s="955"/>
      <c r="H1" s="955"/>
      <c r="I1" s="955"/>
      <c r="J1" s="955"/>
      <c r="K1" s="955"/>
      <c r="L1" s="956"/>
      <c r="M1" s="955"/>
      <c r="N1" s="955"/>
      <c r="O1" s="955"/>
      <c r="P1" s="955"/>
      <c r="Q1" s="955"/>
      <c r="R1" s="955"/>
      <c r="S1" s="955"/>
      <c r="T1" s="955"/>
      <c r="U1" s="955"/>
      <c r="V1" s="956"/>
      <c r="W1" s="955"/>
      <c r="X1" s="955"/>
      <c r="Y1" s="955"/>
      <c r="Z1" s="955"/>
      <c r="AA1" s="955"/>
      <c r="AB1" s="955"/>
      <c r="AC1" s="955"/>
      <c r="AD1" s="955"/>
      <c r="AE1" s="955"/>
      <c r="AF1" s="956"/>
      <c r="AG1" s="955"/>
      <c r="AH1" s="955"/>
      <c r="AI1" s="955"/>
      <c r="AJ1" s="955"/>
      <c r="AK1" s="955"/>
      <c r="AL1" s="955"/>
      <c r="AM1" s="955"/>
      <c r="AN1" s="955"/>
      <c r="AO1" s="955"/>
      <c r="AP1" s="956"/>
    </row>
    <row r="2" spans="1:42" ht="21.75" thickBot="1">
      <c r="A2" s="957" t="str">
        <f>IF(rng01_ProjectName="","[Project Name]", rng01_ProjectName)</f>
        <v>[Project Name]</v>
      </c>
      <c r="B2" s="957"/>
      <c r="C2" s="958"/>
      <c r="D2" s="958"/>
      <c r="E2" s="958"/>
      <c r="F2" s="958"/>
      <c r="G2" s="958"/>
      <c r="H2" s="958"/>
      <c r="I2" s="958"/>
      <c r="J2" s="958"/>
      <c r="K2" s="958"/>
      <c r="L2" s="959"/>
      <c r="M2" s="958"/>
      <c r="N2" s="958"/>
      <c r="O2" s="958"/>
      <c r="P2" s="958"/>
      <c r="Q2" s="958"/>
      <c r="R2" s="958"/>
      <c r="S2" s="958"/>
      <c r="T2" s="958"/>
      <c r="U2" s="958"/>
      <c r="V2" s="959"/>
      <c r="W2" s="958"/>
      <c r="X2" s="958"/>
      <c r="Y2" s="958"/>
      <c r="Z2" s="958"/>
      <c r="AA2" s="958"/>
      <c r="AB2" s="958"/>
      <c r="AC2" s="958"/>
      <c r="AD2" s="958"/>
      <c r="AE2" s="958"/>
      <c r="AF2" s="959"/>
      <c r="AG2" s="958"/>
      <c r="AH2" s="958"/>
      <c r="AI2" s="958"/>
      <c r="AJ2" s="958"/>
      <c r="AK2" s="958"/>
      <c r="AL2" s="958"/>
      <c r="AM2" s="958"/>
      <c r="AN2" s="958"/>
      <c r="AO2" s="958"/>
      <c r="AP2" s="959"/>
    </row>
    <row r="3" spans="1:42" ht="17.25" customHeight="1">
      <c r="A3" s="550"/>
      <c r="B3" s="951"/>
      <c r="C3" s="952" t="s">
        <v>1363</v>
      </c>
      <c r="D3" s="952" t="s">
        <v>1364</v>
      </c>
      <c r="E3" s="952" t="s">
        <v>1365</v>
      </c>
      <c r="F3" s="952" t="s">
        <v>1366</v>
      </c>
      <c r="G3" s="952" t="s">
        <v>1367</v>
      </c>
      <c r="H3" s="952" t="s">
        <v>1368</v>
      </c>
      <c r="I3" s="952" t="s">
        <v>1369</v>
      </c>
      <c r="J3" s="952" t="s">
        <v>1370</v>
      </c>
      <c r="K3" s="952" t="s">
        <v>1371</v>
      </c>
      <c r="L3" s="952" t="s">
        <v>1372</v>
      </c>
      <c r="M3" s="952" t="s">
        <v>1373</v>
      </c>
      <c r="N3" s="952" t="s">
        <v>1374</v>
      </c>
      <c r="O3" s="952" t="s">
        <v>1375</v>
      </c>
      <c r="P3" s="952" t="s">
        <v>1376</v>
      </c>
      <c r="Q3" s="952" t="s">
        <v>1377</v>
      </c>
      <c r="R3" s="952" t="s">
        <v>1378</v>
      </c>
      <c r="S3" s="952" t="s">
        <v>1379</v>
      </c>
      <c r="T3" s="952" t="s">
        <v>1380</v>
      </c>
      <c r="U3" s="952" t="s">
        <v>1381</v>
      </c>
      <c r="V3" s="952" t="s">
        <v>1382</v>
      </c>
      <c r="W3" s="952" t="s">
        <v>1383</v>
      </c>
      <c r="X3" s="952" t="s">
        <v>1384</v>
      </c>
      <c r="Y3" s="952" t="s">
        <v>1385</v>
      </c>
      <c r="Z3" s="952" t="s">
        <v>1386</v>
      </c>
      <c r="AA3" s="952" t="s">
        <v>1387</v>
      </c>
      <c r="AB3" s="952" t="s">
        <v>1388</v>
      </c>
      <c r="AC3" s="952" t="s">
        <v>1389</v>
      </c>
      <c r="AD3" s="952" t="s">
        <v>1390</v>
      </c>
      <c r="AE3" s="952" t="s">
        <v>1391</v>
      </c>
      <c r="AF3" s="952" t="s">
        <v>1392</v>
      </c>
      <c r="AG3" s="952" t="s">
        <v>1393</v>
      </c>
      <c r="AH3" s="952" t="s">
        <v>1394</v>
      </c>
      <c r="AI3" s="952" t="s">
        <v>1395</v>
      </c>
      <c r="AJ3" s="952" t="s">
        <v>1396</v>
      </c>
      <c r="AK3" s="952" t="s">
        <v>1397</v>
      </c>
      <c r="AL3" s="952" t="s">
        <v>1398</v>
      </c>
      <c r="AM3" s="952" t="s">
        <v>1399</v>
      </c>
      <c r="AN3" s="952" t="s">
        <v>1400</v>
      </c>
      <c r="AO3" s="952" t="s">
        <v>1401</v>
      </c>
      <c r="AP3" s="953" t="s">
        <v>1402</v>
      </c>
    </row>
    <row r="4" spans="1:42" ht="16.5" thickBot="1">
      <c r="A4" s="366" t="s">
        <v>53</v>
      </c>
      <c r="B4" s="482" t="s">
        <v>1787</v>
      </c>
      <c r="C4" s="634">
        <f>rng01_FirstYearProforma</f>
        <v>1901</v>
      </c>
      <c r="D4" s="634">
        <f t="shared" ref="D4:V4" si="0">C4+1</f>
        <v>1902</v>
      </c>
      <c r="E4" s="634">
        <f t="shared" si="0"/>
        <v>1903</v>
      </c>
      <c r="F4" s="634">
        <f t="shared" si="0"/>
        <v>1904</v>
      </c>
      <c r="G4" s="634">
        <f t="shared" si="0"/>
        <v>1905</v>
      </c>
      <c r="H4" s="634">
        <f t="shared" si="0"/>
        <v>1906</v>
      </c>
      <c r="I4" s="634">
        <f t="shared" si="0"/>
        <v>1907</v>
      </c>
      <c r="J4" s="634">
        <f t="shared" si="0"/>
        <v>1908</v>
      </c>
      <c r="K4" s="634">
        <f t="shared" si="0"/>
        <v>1909</v>
      </c>
      <c r="L4" s="634">
        <f t="shared" si="0"/>
        <v>1910</v>
      </c>
      <c r="M4" s="634">
        <f t="shared" si="0"/>
        <v>1911</v>
      </c>
      <c r="N4" s="634">
        <f t="shared" si="0"/>
        <v>1912</v>
      </c>
      <c r="O4" s="634">
        <f t="shared" si="0"/>
        <v>1913</v>
      </c>
      <c r="P4" s="634">
        <f t="shared" si="0"/>
        <v>1914</v>
      </c>
      <c r="Q4" s="634">
        <f t="shared" si="0"/>
        <v>1915</v>
      </c>
      <c r="R4" s="634">
        <f t="shared" si="0"/>
        <v>1916</v>
      </c>
      <c r="S4" s="634">
        <f t="shared" si="0"/>
        <v>1917</v>
      </c>
      <c r="T4" s="634">
        <f t="shared" si="0"/>
        <v>1918</v>
      </c>
      <c r="U4" s="634">
        <f t="shared" si="0"/>
        <v>1919</v>
      </c>
      <c r="V4" s="634">
        <f t="shared" si="0"/>
        <v>1920</v>
      </c>
      <c r="W4" s="634">
        <f t="shared" ref="W4:AP4" si="1">V4+1</f>
        <v>1921</v>
      </c>
      <c r="X4" s="634">
        <f t="shared" si="1"/>
        <v>1922</v>
      </c>
      <c r="Y4" s="634">
        <f t="shared" si="1"/>
        <v>1923</v>
      </c>
      <c r="Z4" s="634">
        <f t="shared" si="1"/>
        <v>1924</v>
      </c>
      <c r="AA4" s="634">
        <f t="shared" si="1"/>
        <v>1925</v>
      </c>
      <c r="AB4" s="634">
        <f t="shared" si="1"/>
        <v>1926</v>
      </c>
      <c r="AC4" s="634">
        <f t="shared" si="1"/>
        <v>1927</v>
      </c>
      <c r="AD4" s="634">
        <f t="shared" si="1"/>
        <v>1928</v>
      </c>
      <c r="AE4" s="634">
        <f t="shared" si="1"/>
        <v>1929</v>
      </c>
      <c r="AF4" s="634">
        <f t="shared" si="1"/>
        <v>1930</v>
      </c>
      <c r="AG4" s="634">
        <f t="shared" si="1"/>
        <v>1931</v>
      </c>
      <c r="AH4" s="634">
        <f t="shared" si="1"/>
        <v>1932</v>
      </c>
      <c r="AI4" s="634">
        <f t="shared" si="1"/>
        <v>1933</v>
      </c>
      <c r="AJ4" s="634">
        <f t="shared" si="1"/>
        <v>1934</v>
      </c>
      <c r="AK4" s="634">
        <f t="shared" si="1"/>
        <v>1935</v>
      </c>
      <c r="AL4" s="634">
        <f t="shared" si="1"/>
        <v>1936</v>
      </c>
      <c r="AM4" s="634">
        <f t="shared" si="1"/>
        <v>1937</v>
      </c>
      <c r="AN4" s="634">
        <f t="shared" si="1"/>
        <v>1938</v>
      </c>
      <c r="AO4" s="634">
        <f t="shared" si="1"/>
        <v>1939</v>
      </c>
      <c r="AP4" s="635">
        <f t="shared" si="1"/>
        <v>1940</v>
      </c>
    </row>
    <row r="5" spans="1:42">
      <c r="A5" s="927" t="s">
        <v>1788</v>
      </c>
      <c r="B5" s="922">
        <f>rng01_RentalIncomeRate</f>
        <v>0</v>
      </c>
      <c r="C5" s="636">
        <f>'02_1_INCOME'!$H$111</f>
        <v>0</v>
      </c>
      <c r="D5" s="636">
        <f>C5*(1+'01_1_General Data'!J113)</f>
        <v>0</v>
      </c>
      <c r="E5" s="636">
        <f>D5*(1+'01_1_General Data'!K113)</f>
        <v>0</v>
      </c>
      <c r="F5" s="636">
        <f>E5*(1+'01_1_General Data'!L113)</f>
        <v>0</v>
      </c>
      <c r="G5" s="636">
        <f>F5*(1+'01_1_General Data'!M113)</f>
        <v>0</v>
      </c>
      <c r="H5" s="636">
        <f>G5*(1+'01_1_General Data'!N113)</f>
        <v>0</v>
      </c>
      <c r="I5" s="636">
        <f>H5*(1+'01_1_General Data'!O113)</f>
        <v>0</v>
      </c>
      <c r="J5" s="636">
        <f>I5*(1+'01_1_General Data'!P113)</f>
        <v>0</v>
      </c>
      <c r="K5" s="636">
        <f>J5*(1+'01_1_General Data'!Q113)</f>
        <v>0</v>
      </c>
      <c r="L5" s="636">
        <f>K5*(1+'01_1_General Data'!R113)</f>
        <v>0</v>
      </c>
      <c r="M5" s="636">
        <f>L5*(1+'01_1_General Data'!S113)</f>
        <v>0</v>
      </c>
      <c r="N5" s="636">
        <f>M5*(1+'01_1_General Data'!T113)</f>
        <v>0</v>
      </c>
      <c r="O5" s="636">
        <f>N5*(1+'01_1_General Data'!U113)</f>
        <v>0</v>
      </c>
      <c r="P5" s="636">
        <f>O5*(1+'01_1_General Data'!V113)</f>
        <v>0</v>
      </c>
      <c r="Q5" s="636">
        <f>P5*(1+'01_1_General Data'!W113)</f>
        <v>0</v>
      </c>
      <c r="R5" s="636">
        <f>Q5*(1+'01_1_General Data'!X113)</f>
        <v>0</v>
      </c>
      <c r="S5" s="636">
        <f>R5*(1+'01_1_General Data'!Y113)</f>
        <v>0</v>
      </c>
      <c r="T5" s="636">
        <f>S5*(1+'01_1_General Data'!Z113)</f>
        <v>0</v>
      </c>
      <c r="U5" s="636">
        <f>T5*(1+'01_1_General Data'!AA113)</f>
        <v>0</v>
      </c>
      <c r="V5" s="636">
        <f>U5*(1+'01_1_General Data'!AB113)</f>
        <v>0</v>
      </c>
      <c r="W5" s="636">
        <f>V5*(1+'01_1_General Data'!AC113)</f>
        <v>0</v>
      </c>
      <c r="X5" s="636">
        <f>W5*(1+'01_1_General Data'!AD113)</f>
        <v>0</v>
      </c>
      <c r="Y5" s="636">
        <f>X5*(1+'01_1_General Data'!AE113)</f>
        <v>0</v>
      </c>
      <c r="Z5" s="636">
        <f>Y5*(1+'01_1_General Data'!AF113)</f>
        <v>0</v>
      </c>
      <c r="AA5" s="636">
        <f>Z5*(1+'01_1_General Data'!AG113)</f>
        <v>0</v>
      </c>
      <c r="AB5" s="636">
        <f>AA5*(1+'01_1_General Data'!AH113)</f>
        <v>0</v>
      </c>
      <c r="AC5" s="636">
        <f>AB5*(1+'01_1_General Data'!AI113)</f>
        <v>0</v>
      </c>
      <c r="AD5" s="636">
        <f>AC5*(1+'01_1_General Data'!AJ113)</f>
        <v>0</v>
      </c>
      <c r="AE5" s="636">
        <f>AD5*(1+'01_1_General Data'!AK113)</f>
        <v>0</v>
      </c>
      <c r="AF5" s="636">
        <f>AE5*(1+'01_1_General Data'!AL113)</f>
        <v>0</v>
      </c>
      <c r="AG5" s="636">
        <f>AF5*(1+'01_1_General Data'!AM113)</f>
        <v>0</v>
      </c>
      <c r="AH5" s="636">
        <f>AG5*(1+'01_1_General Data'!AN113)</f>
        <v>0</v>
      </c>
      <c r="AI5" s="636">
        <f>AH5*(1+'01_1_General Data'!AO113)</f>
        <v>0</v>
      </c>
      <c r="AJ5" s="636">
        <f>AI5*(1+'01_1_General Data'!AP113)</f>
        <v>0</v>
      </c>
      <c r="AK5" s="636">
        <f>AJ5*(1+'01_1_General Data'!AQ113)</f>
        <v>0</v>
      </c>
      <c r="AL5" s="636">
        <f>AK5*(1+'01_1_General Data'!AR113)</f>
        <v>0</v>
      </c>
      <c r="AM5" s="636">
        <f>AL5*(1+'01_1_General Data'!AS113)</f>
        <v>0</v>
      </c>
      <c r="AN5" s="636">
        <f>AM5*(1+'01_1_General Data'!AT113)</f>
        <v>0</v>
      </c>
      <c r="AO5" s="636">
        <f>AN5*(1+'01_1_General Data'!AU113)</f>
        <v>0</v>
      </c>
      <c r="AP5" s="637">
        <f>AO5*(1+'01_1_General Data'!AV113)</f>
        <v>0</v>
      </c>
    </row>
    <row r="6" spans="1:42">
      <c r="A6" s="928" t="s">
        <v>1789</v>
      </c>
      <c r="B6" s="923">
        <f>rng01_RentalIncomeRate</f>
        <v>0</v>
      </c>
      <c r="C6" s="587">
        <f>'02_1_INCOME'!$I$111</f>
        <v>0</v>
      </c>
      <c r="D6" s="587">
        <f>C6*(1+'01_1_General Data'!J113)</f>
        <v>0</v>
      </c>
      <c r="E6" s="587">
        <f>D6*(1+'01_1_General Data'!K113)</f>
        <v>0</v>
      </c>
      <c r="F6" s="587">
        <f>E6*(1+'01_1_General Data'!L113)</f>
        <v>0</v>
      </c>
      <c r="G6" s="587">
        <f>F6*(1+'01_1_General Data'!M113)</f>
        <v>0</v>
      </c>
      <c r="H6" s="587">
        <f>G6*(1+'01_1_General Data'!N113)</f>
        <v>0</v>
      </c>
      <c r="I6" s="587">
        <f>H6*(1+'01_1_General Data'!O113)</f>
        <v>0</v>
      </c>
      <c r="J6" s="587">
        <f>I6*(1+'01_1_General Data'!P113)</f>
        <v>0</v>
      </c>
      <c r="K6" s="587">
        <f>J6*(1+'01_1_General Data'!Q113)</f>
        <v>0</v>
      </c>
      <c r="L6" s="587">
        <f>K6*(1+'01_1_General Data'!R113)</f>
        <v>0</v>
      </c>
      <c r="M6" s="587">
        <f>L6*(1+'01_1_General Data'!S113)</f>
        <v>0</v>
      </c>
      <c r="N6" s="587">
        <f>M6*(1+'01_1_General Data'!T113)</f>
        <v>0</v>
      </c>
      <c r="O6" s="587">
        <f>N6*(1+'01_1_General Data'!U113)</f>
        <v>0</v>
      </c>
      <c r="P6" s="587">
        <f>O6*(1+'01_1_General Data'!V113)</f>
        <v>0</v>
      </c>
      <c r="Q6" s="587">
        <f>P6*(1+'01_1_General Data'!W113)</f>
        <v>0</v>
      </c>
      <c r="R6" s="587">
        <f>Q6*(1+'01_1_General Data'!X113)</f>
        <v>0</v>
      </c>
      <c r="S6" s="587">
        <f>R6*(1+'01_1_General Data'!Y113)</f>
        <v>0</v>
      </c>
      <c r="T6" s="587">
        <f>S6*(1+'01_1_General Data'!Z113)</f>
        <v>0</v>
      </c>
      <c r="U6" s="587">
        <f>T6*(1+'01_1_General Data'!AA113)</f>
        <v>0</v>
      </c>
      <c r="V6" s="587">
        <f>U6*(1+'01_1_General Data'!AB113)</f>
        <v>0</v>
      </c>
      <c r="W6" s="587">
        <f>V6*(1+'01_1_General Data'!AC113)</f>
        <v>0</v>
      </c>
      <c r="X6" s="587">
        <f>W6*(1+'01_1_General Data'!AD113)</f>
        <v>0</v>
      </c>
      <c r="Y6" s="587">
        <f>X6*(1+'01_1_General Data'!AE113)</f>
        <v>0</v>
      </c>
      <c r="Z6" s="587">
        <f>Y6*(1+'01_1_General Data'!AF113)</f>
        <v>0</v>
      </c>
      <c r="AA6" s="587">
        <f>Z6*(1+'01_1_General Data'!AG113)</f>
        <v>0</v>
      </c>
      <c r="AB6" s="587">
        <f>AA6*(1+'01_1_General Data'!AH113)</f>
        <v>0</v>
      </c>
      <c r="AC6" s="587">
        <f>AB6*(1+'01_1_General Data'!AI113)</f>
        <v>0</v>
      </c>
      <c r="AD6" s="587">
        <f>AC6*(1+'01_1_General Data'!AJ113)</f>
        <v>0</v>
      </c>
      <c r="AE6" s="587">
        <f>AD6*(1+'01_1_General Data'!AK113)</f>
        <v>0</v>
      </c>
      <c r="AF6" s="587">
        <f>AE6*(1+'01_1_General Data'!AL113)</f>
        <v>0</v>
      </c>
      <c r="AG6" s="587">
        <f>AF6*(1+'01_1_General Data'!AM113)</f>
        <v>0</v>
      </c>
      <c r="AH6" s="587">
        <f>AG6*(1+'01_1_General Data'!AN113)</f>
        <v>0</v>
      </c>
      <c r="AI6" s="587">
        <f>AH6*(1+'01_1_General Data'!AO113)</f>
        <v>0</v>
      </c>
      <c r="AJ6" s="587">
        <f>AI6*(1+'01_1_General Data'!AP113)</f>
        <v>0</v>
      </c>
      <c r="AK6" s="587">
        <f>AJ6*(1+'01_1_General Data'!AQ113)</f>
        <v>0</v>
      </c>
      <c r="AL6" s="587">
        <f>AK6*(1+'01_1_General Data'!AR113)</f>
        <v>0</v>
      </c>
      <c r="AM6" s="587">
        <f>AL6*(1+'01_1_General Data'!AS113)</f>
        <v>0</v>
      </c>
      <c r="AN6" s="587">
        <f>AM6*(1+'01_1_General Data'!AT113)</f>
        <v>0</v>
      </c>
      <c r="AO6" s="587">
        <f>AN6*(1+'01_1_General Data'!AU113)</f>
        <v>0</v>
      </c>
      <c r="AP6" s="638">
        <f>AO6*(1+'01_1_General Data'!AV113)</f>
        <v>0</v>
      </c>
    </row>
    <row r="7" spans="1:42">
      <c r="A7" s="928" t="s">
        <v>1790</v>
      </c>
      <c r="B7" s="923">
        <f>'01_1_General Data'!D114</f>
        <v>0</v>
      </c>
      <c r="C7" s="587">
        <f>'02_1_INCOME'!H60</f>
        <v>0</v>
      </c>
      <c r="D7" s="587">
        <f>C7*(1+'01_1_General Data'!J114)</f>
        <v>0</v>
      </c>
      <c r="E7" s="587">
        <f>D7*(1+'01_1_General Data'!K114)</f>
        <v>0</v>
      </c>
      <c r="F7" s="587">
        <f>E7*(1+'01_1_General Data'!L114)</f>
        <v>0</v>
      </c>
      <c r="G7" s="587">
        <f>F7*(1+'01_1_General Data'!M114)</f>
        <v>0</v>
      </c>
      <c r="H7" s="587">
        <f>G7*(1+'01_1_General Data'!N114)</f>
        <v>0</v>
      </c>
      <c r="I7" s="587">
        <f>H7*(1+'01_1_General Data'!O114)</f>
        <v>0</v>
      </c>
      <c r="J7" s="587">
        <f>I7*(1+'01_1_General Data'!P114)</f>
        <v>0</v>
      </c>
      <c r="K7" s="587">
        <f>J7*(1+'01_1_General Data'!Q114)</f>
        <v>0</v>
      </c>
      <c r="L7" s="587">
        <f>K7*(1+'01_1_General Data'!R114)</f>
        <v>0</v>
      </c>
      <c r="M7" s="587">
        <f>L7*(1+'01_1_General Data'!S114)</f>
        <v>0</v>
      </c>
      <c r="N7" s="587">
        <f>M7*(1+'01_1_General Data'!T114)</f>
        <v>0</v>
      </c>
      <c r="O7" s="587">
        <f>N7*(1+'01_1_General Data'!U114)</f>
        <v>0</v>
      </c>
      <c r="P7" s="587">
        <f>O7*(1+'01_1_General Data'!V114)</f>
        <v>0</v>
      </c>
      <c r="Q7" s="587">
        <f>P7*(1+'01_1_General Data'!W114)</f>
        <v>0</v>
      </c>
      <c r="R7" s="587">
        <f>Q7*(1+'01_1_General Data'!X114)</f>
        <v>0</v>
      </c>
      <c r="S7" s="587">
        <f>R7*(1+'01_1_General Data'!Y114)</f>
        <v>0</v>
      </c>
      <c r="T7" s="587">
        <f>S7*(1+'01_1_General Data'!Z114)</f>
        <v>0</v>
      </c>
      <c r="U7" s="587">
        <f>T7*(1+'01_1_General Data'!AA114)</f>
        <v>0</v>
      </c>
      <c r="V7" s="587">
        <f>U7*(1+'01_1_General Data'!AB114)</f>
        <v>0</v>
      </c>
      <c r="W7" s="587">
        <f>V7*(1+'01_1_General Data'!AC114)</f>
        <v>0</v>
      </c>
      <c r="X7" s="587">
        <f>W7*(1+'01_1_General Data'!AD114)</f>
        <v>0</v>
      </c>
      <c r="Y7" s="587">
        <f>X7*(1+'01_1_General Data'!AE114)</f>
        <v>0</v>
      </c>
      <c r="Z7" s="587">
        <f>Y7*(1+'01_1_General Data'!AF114)</f>
        <v>0</v>
      </c>
      <c r="AA7" s="587">
        <f>Z7*(1+'01_1_General Data'!AG114)</f>
        <v>0</v>
      </c>
      <c r="AB7" s="587">
        <f>AA7*(1+'01_1_General Data'!AH114)</f>
        <v>0</v>
      </c>
      <c r="AC7" s="587">
        <f>AB7*(1+'01_1_General Data'!AI114)</f>
        <v>0</v>
      </c>
      <c r="AD7" s="587">
        <f>AC7*(1+'01_1_General Data'!AJ114)</f>
        <v>0</v>
      </c>
      <c r="AE7" s="587">
        <f>AD7*(1+'01_1_General Data'!AK114)</f>
        <v>0</v>
      </c>
      <c r="AF7" s="587">
        <f>AE7*(1+'01_1_General Data'!AL114)</f>
        <v>0</v>
      </c>
      <c r="AG7" s="587">
        <f>AF7*(1+'01_1_General Data'!AM114)</f>
        <v>0</v>
      </c>
      <c r="AH7" s="587">
        <f>AG7*(1+'01_1_General Data'!AN114)</f>
        <v>0</v>
      </c>
      <c r="AI7" s="587">
        <f>AH7*(1+'01_1_General Data'!AO114)</f>
        <v>0</v>
      </c>
      <c r="AJ7" s="587">
        <f>AI7*(1+'01_1_General Data'!AP114)</f>
        <v>0</v>
      </c>
      <c r="AK7" s="587">
        <f>AJ7*(1+'01_1_General Data'!AQ114)</f>
        <v>0</v>
      </c>
      <c r="AL7" s="587">
        <f>AK7*(1+'01_1_General Data'!AR114)</f>
        <v>0</v>
      </c>
      <c r="AM7" s="587">
        <f>AL7*(1+'01_1_General Data'!AS114)</f>
        <v>0</v>
      </c>
      <c r="AN7" s="587">
        <f>AM7*(1+'01_1_General Data'!AT114)</f>
        <v>0</v>
      </c>
      <c r="AO7" s="587">
        <f>AN7*(1+'01_1_General Data'!AU114)</f>
        <v>0</v>
      </c>
      <c r="AP7" s="638">
        <f>AO7*(1+'01_1_General Data'!AV114)</f>
        <v>0</v>
      </c>
    </row>
    <row r="8" spans="1:42">
      <c r="A8" s="928" t="s">
        <v>1123</v>
      </c>
      <c r="B8" s="923">
        <f>'01_1_General Data'!D116</f>
        <v>0</v>
      </c>
      <c r="C8" s="587">
        <f>'02_2_EXPENSE'!D15</f>
        <v>0</v>
      </c>
      <c r="D8" s="587">
        <f>C8*(1+'01_1_General Data'!I116)</f>
        <v>0</v>
      </c>
      <c r="E8" s="587">
        <f>D8*(1+'01_1_General Data'!J116)</f>
        <v>0</v>
      </c>
      <c r="F8" s="587">
        <f>E8*(1+'01_1_General Data'!K116)</f>
        <v>0</v>
      </c>
      <c r="G8" s="587">
        <f>F8*(1+'01_1_General Data'!L116)</f>
        <v>0</v>
      </c>
      <c r="H8" s="587">
        <f>G8*(1+'01_1_General Data'!M116)</f>
        <v>0</v>
      </c>
      <c r="I8" s="587">
        <f>H8*(1+'01_1_General Data'!N116)</f>
        <v>0</v>
      </c>
      <c r="J8" s="587">
        <f>I8*(1+'01_1_General Data'!O116)</f>
        <v>0</v>
      </c>
      <c r="K8" s="587">
        <f>J8*(1+'01_1_General Data'!P116)</f>
        <v>0</v>
      </c>
      <c r="L8" s="587">
        <f>K8*(1+'01_1_General Data'!Q116)</f>
        <v>0</v>
      </c>
      <c r="M8" s="587">
        <f>L8*(1+'01_1_General Data'!R116)</f>
        <v>0</v>
      </c>
      <c r="N8" s="587">
        <f>M8*(1+'01_1_General Data'!S116)</f>
        <v>0</v>
      </c>
      <c r="O8" s="587">
        <f>N8*(1+'01_1_General Data'!T116)</f>
        <v>0</v>
      </c>
      <c r="P8" s="587">
        <f>O8*(1+'01_1_General Data'!U116)</f>
        <v>0</v>
      </c>
      <c r="Q8" s="587">
        <f>P8*(1+'01_1_General Data'!V116)</f>
        <v>0</v>
      </c>
      <c r="R8" s="587">
        <f>Q8*(1+'01_1_General Data'!W116)</f>
        <v>0</v>
      </c>
      <c r="S8" s="587">
        <f>R8*(1+'01_1_General Data'!X116)</f>
        <v>0</v>
      </c>
      <c r="T8" s="587">
        <f>S8*(1+'01_1_General Data'!Y116)</f>
        <v>0</v>
      </c>
      <c r="U8" s="587">
        <f>T8*(1+'01_1_General Data'!Z116)</f>
        <v>0</v>
      </c>
      <c r="V8" s="587">
        <f>U8*(1+'01_1_General Data'!AA116)</f>
        <v>0</v>
      </c>
      <c r="W8" s="587">
        <f>V8*(1+'01_1_General Data'!AB116)</f>
        <v>0</v>
      </c>
      <c r="X8" s="587">
        <f>W8*(1+'01_1_General Data'!AC116)</f>
        <v>0</v>
      </c>
      <c r="Y8" s="587">
        <f>X8*(1+'01_1_General Data'!AD116)</f>
        <v>0</v>
      </c>
      <c r="Z8" s="587">
        <f>Y8*(1+'01_1_General Data'!AE116)</f>
        <v>0</v>
      </c>
      <c r="AA8" s="587">
        <f>Z8*(1+'01_1_General Data'!AF116)</f>
        <v>0</v>
      </c>
      <c r="AB8" s="587">
        <f>AA8*(1+'01_1_General Data'!AG116)</f>
        <v>0</v>
      </c>
      <c r="AC8" s="587">
        <f>AB8*(1+'01_1_General Data'!AH116)</f>
        <v>0</v>
      </c>
      <c r="AD8" s="587">
        <f>AC8*(1+'01_1_General Data'!AI116)</f>
        <v>0</v>
      </c>
      <c r="AE8" s="587">
        <f>AD8*(1+'01_1_General Data'!AJ116)</f>
        <v>0</v>
      </c>
      <c r="AF8" s="587">
        <f>AE8*(1+'01_1_General Data'!AK116)</f>
        <v>0</v>
      </c>
      <c r="AG8" s="587">
        <f>AF8*(1+'01_1_General Data'!AL116)</f>
        <v>0</v>
      </c>
      <c r="AH8" s="587">
        <f>AG8*(1+'01_1_General Data'!AM116)</f>
        <v>0</v>
      </c>
      <c r="AI8" s="587">
        <f>AH8*(1+'01_1_General Data'!AN116)</f>
        <v>0</v>
      </c>
      <c r="AJ8" s="587">
        <f>AI8*(1+'01_1_General Data'!AO116)</f>
        <v>0</v>
      </c>
      <c r="AK8" s="587">
        <f>AJ8*(1+'01_1_General Data'!AP116)</f>
        <v>0</v>
      </c>
      <c r="AL8" s="587">
        <f>AK8*(1+'01_1_General Data'!AQ116)</f>
        <v>0</v>
      </c>
      <c r="AM8" s="587">
        <f>AL8*(1+'01_1_General Data'!AR116)</f>
        <v>0</v>
      </c>
      <c r="AN8" s="587">
        <f>AM8*(1+'01_1_General Data'!AS116)</f>
        <v>0</v>
      </c>
      <c r="AO8" s="587">
        <f>AN8*(1+'01_1_General Data'!AT116)</f>
        <v>0</v>
      </c>
      <c r="AP8" s="638">
        <f>AO8*(1+'01_1_General Data'!AU116)</f>
        <v>0</v>
      </c>
    </row>
    <row r="9" spans="1:42" ht="16.5" thickBot="1">
      <c r="A9" s="929" t="s">
        <v>196</v>
      </c>
      <c r="B9" s="924">
        <f>'01_1_General Data'!D115</f>
        <v>0</v>
      </c>
      <c r="C9" s="611">
        <f>'02_1_INCOME'!H81</f>
        <v>0</v>
      </c>
      <c r="D9" s="611">
        <f>C9*(1+'01_1_General Data'!I115)</f>
        <v>0</v>
      </c>
      <c r="E9" s="611">
        <f>D9*(1+'01_1_General Data'!J115)</f>
        <v>0</v>
      </c>
      <c r="F9" s="611">
        <f>E9*(1+'01_1_General Data'!K115)</f>
        <v>0</v>
      </c>
      <c r="G9" s="611">
        <f>F9*(1+'01_1_General Data'!L115)</f>
        <v>0</v>
      </c>
      <c r="H9" s="611">
        <f>G9*(1+'01_1_General Data'!M115)</f>
        <v>0</v>
      </c>
      <c r="I9" s="611">
        <f>H9*(1+'01_1_General Data'!N115)</f>
        <v>0</v>
      </c>
      <c r="J9" s="611">
        <f>I9*(1+'01_1_General Data'!O115)</f>
        <v>0</v>
      </c>
      <c r="K9" s="611">
        <f>J9*(1+'01_1_General Data'!P115)</f>
        <v>0</v>
      </c>
      <c r="L9" s="611">
        <f>K9*(1+'01_1_General Data'!Q115)</f>
        <v>0</v>
      </c>
      <c r="M9" s="611">
        <f>L9*(1+'01_1_General Data'!R115)</f>
        <v>0</v>
      </c>
      <c r="N9" s="611">
        <f>M9*(1+'01_1_General Data'!S115)</f>
        <v>0</v>
      </c>
      <c r="O9" s="611">
        <f>N9*(1+'01_1_General Data'!T115)</f>
        <v>0</v>
      </c>
      <c r="P9" s="611">
        <f>O9*(1+'01_1_General Data'!U115)</f>
        <v>0</v>
      </c>
      <c r="Q9" s="611">
        <f>P9*(1+'01_1_General Data'!V115)</f>
        <v>0</v>
      </c>
      <c r="R9" s="611">
        <f>Q9*(1+'01_1_General Data'!W115)</f>
        <v>0</v>
      </c>
      <c r="S9" s="611">
        <f>R9*(1+'01_1_General Data'!X115)</f>
        <v>0</v>
      </c>
      <c r="T9" s="611">
        <f>S9*(1+'01_1_General Data'!Y115)</f>
        <v>0</v>
      </c>
      <c r="U9" s="611">
        <f>T9*(1+'01_1_General Data'!Z115)</f>
        <v>0</v>
      </c>
      <c r="V9" s="611">
        <f>U9*(1+'01_1_General Data'!AA115)</f>
        <v>0</v>
      </c>
      <c r="W9" s="611">
        <f>V9*(1+'01_1_General Data'!AB115)</f>
        <v>0</v>
      </c>
      <c r="X9" s="611">
        <f>W9*(1+'01_1_General Data'!AC115)</f>
        <v>0</v>
      </c>
      <c r="Y9" s="611">
        <f>X9*(1+'01_1_General Data'!AD115)</f>
        <v>0</v>
      </c>
      <c r="Z9" s="611">
        <f>Y9*(1+'01_1_General Data'!AE115)</f>
        <v>0</v>
      </c>
      <c r="AA9" s="611">
        <f>Z9*(1+'01_1_General Data'!AF115)</f>
        <v>0</v>
      </c>
      <c r="AB9" s="611">
        <f>AA9*(1+'01_1_General Data'!AG115)</f>
        <v>0</v>
      </c>
      <c r="AC9" s="611">
        <f>AB9*(1+'01_1_General Data'!AH115)</f>
        <v>0</v>
      </c>
      <c r="AD9" s="611">
        <f>AC9*(1+'01_1_General Data'!AI115)</f>
        <v>0</v>
      </c>
      <c r="AE9" s="611">
        <f>AD9*(1+'01_1_General Data'!AJ115)</f>
        <v>0</v>
      </c>
      <c r="AF9" s="611">
        <f>AE9*(1+'01_1_General Data'!AK115)</f>
        <v>0</v>
      </c>
      <c r="AG9" s="611">
        <f>AF9*(1+'01_1_General Data'!AL115)</f>
        <v>0</v>
      </c>
      <c r="AH9" s="611">
        <f>AG9*(1+'01_1_General Data'!AM115)</f>
        <v>0</v>
      </c>
      <c r="AI9" s="611">
        <f>AH9*(1+'01_1_General Data'!AN115)</f>
        <v>0</v>
      </c>
      <c r="AJ9" s="611">
        <f>AI9*(1+'01_1_General Data'!AO115)</f>
        <v>0</v>
      </c>
      <c r="AK9" s="611">
        <f>AJ9*(1+'01_1_General Data'!AP115)</f>
        <v>0</v>
      </c>
      <c r="AL9" s="611">
        <f>AK9*(1+'01_1_General Data'!AQ115)</f>
        <v>0</v>
      </c>
      <c r="AM9" s="611">
        <f>AL9*(1+'01_1_General Data'!AR115)</f>
        <v>0</v>
      </c>
      <c r="AN9" s="611">
        <f>AM9*(1+'01_1_General Data'!AS115)</f>
        <v>0</v>
      </c>
      <c r="AO9" s="611">
        <f>AN9*(1+'01_1_General Data'!AT115)</f>
        <v>0</v>
      </c>
      <c r="AP9" s="640">
        <f>AO9*(1+'01_1_General Data'!AU115)</f>
        <v>0</v>
      </c>
    </row>
    <row r="10" spans="1:42" ht="16.5" thickBot="1">
      <c r="A10" s="930" t="s">
        <v>1791</v>
      </c>
      <c r="B10" s="693"/>
      <c r="C10" s="612">
        <f t="shared" ref="C10:AP10" si="2">SUM(C5:C9)</f>
        <v>0</v>
      </c>
      <c r="D10" s="612">
        <f t="shared" si="2"/>
        <v>0</v>
      </c>
      <c r="E10" s="612">
        <f t="shared" si="2"/>
        <v>0</v>
      </c>
      <c r="F10" s="612">
        <f t="shared" si="2"/>
        <v>0</v>
      </c>
      <c r="G10" s="612">
        <f t="shared" si="2"/>
        <v>0</v>
      </c>
      <c r="H10" s="612">
        <f t="shared" si="2"/>
        <v>0</v>
      </c>
      <c r="I10" s="612">
        <f t="shared" si="2"/>
        <v>0</v>
      </c>
      <c r="J10" s="612">
        <f t="shared" si="2"/>
        <v>0</v>
      </c>
      <c r="K10" s="612">
        <f t="shared" si="2"/>
        <v>0</v>
      </c>
      <c r="L10" s="612">
        <f t="shared" si="2"/>
        <v>0</v>
      </c>
      <c r="M10" s="612">
        <f t="shared" si="2"/>
        <v>0</v>
      </c>
      <c r="N10" s="612">
        <f t="shared" si="2"/>
        <v>0</v>
      </c>
      <c r="O10" s="612">
        <f t="shared" si="2"/>
        <v>0</v>
      </c>
      <c r="P10" s="612">
        <f t="shared" si="2"/>
        <v>0</v>
      </c>
      <c r="Q10" s="612">
        <f t="shared" si="2"/>
        <v>0</v>
      </c>
      <c r="R10" s="612">
        <f t="shared" si="2"/>
        <v>0</v>
      </c>
      <c r="S10" s="612">
        <f t="shared" si="2"/>
        <v>0</v>
      </c>
      <c r="T10" s="612">
        <f t="shared" si="2"/>
        <v>0</v>
      </c>
      <c r="U10" s="612">
        <f t="shared" si="2"/>
        <v>0</v>
      </c>
      <c r="V10" s="612">
        <f t="shared" si="2"/>
        <v>0</v>
      </c>
      <c r="W10" s="612">
        <f t="shared" si="2"/>
        <v>0</v>
      </c>
      <c r="X10" s="612">
        <f t="shared" si="2"/>
        <v>0</v>
      </c>
      <c r="Y10" s="612">
        <f t="shared" si="2"/>
        <v>0</v>
      </c>
      <c r="Z10" s="612">
        <f t="shared" si="2"/>
        <v>0</v>
      </c>
      <c r="AA10" s="612">
        <f t="shared" si="2"/>
        <v>0</v>
      </c>
      <c r="AB10" s="612">
        <f t="shared" si="2"/>
        <v>0</v>
      </c>
      <c r="AC10" s="612">
        <f t="shared" si="2"/>
        <v>0</v>
      </c>
      <c r="AD10" s="612">
        <f t="shared" si="2"/>
        <v>0</v>
      </c>
      <c r="AE10" s="612">
        <f t="shared" si="2"/>
        <v>0</v>
      </c>
      <c r="AF10" s="612">
        <f t="shared" si="2"/>
        <v>0</v>
      </c>
      <c r="AG10" s="612">
        <f t="shared" si="2"/>
        <v>0</v>
      </c>
      <c r="AH10" s="612">
        <f t="shared" si="2"/>
        <v>0</v>
      </c>
      <c r="AI10" s="612">
        <f t="shared" si="2"/>
        <v>0</v>
      </c>
      <c r="AJ10" s="612">
        <f t="shared" si="2"/>
        <v>0</v>
      </c>
      <c r="AK10" s="612">
        <f t="shared" si="2"/>
        <v>0</v>
      </c>
      <c r="AL10" s="612">
        <f t="shared" si="2"/>
        <v>0</v>
      </c>
      <c r="AM10" s="612">
        <f t="shared" si="2"/>
        <v>0</v>
      </c>
      <c r="AN10" s="612">
        <f t="shared" si="2"/>
        <v>0</v>
      </c>
      <c r="AO10" s="612">
        <f t="shared" si="2"/>
        <v>0</v>
      </c>
      <c r="AP10" s="613">
        <f t="shared" si="2"/>
        <v>0</v>
      </c>
    </row>
    <row r="11" spans="1:42">
      <c r="A11" s="931" t="s">
        <v>1792</v>
      </c>
      <c r="B11" s="925">
        <f>'01_1_General Data'!D124</f>
        <v>0</v>
      </c>
      <c r="C11" s="588">
        <f t="shared" ref="C11:AP11" si="3">-$B11*C5</f>
        <v>0</v>
      </c>
      <c r="D11" s="588">
        <f t="shared" si="3"/>
        <v>0</v>
      </c>
      <c r="E11" s="588">
        <f t="shared" si="3"/>
        <v>0</v>
      </c>
      <c r="F11" s="588">
        <f t="shared" si="3"/>
        <v>0</v>
      </c>
      <c r="G11" s="588">
        <f t="shared" si="3"/>
        <v>0</v>
      </c>
      <c r="H11" s="588">
        <f t="shared" si="3"/>
        <v>0</v>
      </c>
      <c r="I11" s="588">
        <f t="shared" si="3"/>
        <v>0</v>
      </c>
      <c r="J11" s="588">
        <f t="shared" si="3"/>
        <v>0</v>
      </c>
      <c r="K11" s="588">
        <f t="shared" si="3"/>
        <v>0</v>
      </c>
      <c r="L11" s="588">
        <f t="shared" si="3"/>
        <v>0</v>
      </c>
      <c r="M11" s="588">
        <f t="shared" si="3"/>
        <v>0</v>
      </c>
      <c r="N11" s="588">
        <f t="shared" si="3"/>
        <v>0</v>
      </c>
      <c r="O11" s="588">
        <f t="shared" si="3"/>
        <v>0</v>
      </c>
      <c r="P11" s="588">
        <f t="shared" si="3"/>
        <v>0</v>
      </c>
      <c r="Q11" s="588">
        <f t="shared" si="3"/>
        <v>0</v>
      </c>
      <c r="R11" s="588">
        <f t="shared" si="3"/>
        <v>0</v>
      </c>
      <c r="S11" s="588">
        <f t="shared" si="3"/>
        <v>0</v>
      </c>
      <c r="T11" s="588">
        <f t="shared" si="3"/>
        <v>0</v>
      </c>
      <c r="U11" s="588">
        <f t="shared" si="3"/>
        <v>0</v>
      </c>
      <c r="V11" s="588">
        <f t="shared" si="3"/>
        <v>0</v>
      </c>
      <c r="W11" s="588">
        <f t="shared" si="3"/>
        <v>0</v>
      </c>
      <c r="X11" s="588">
        <f t="shared" si="3"/>
        <v>0</v>
      </c>
      <c r="Y11" s="588">
        <f t="shared" si="3"/>
        <v>0</v>
      </c>
      <c r="Z11" s="588">
        <f t="shared" si="3"/>
        <v>0</v>
      </c>
      <c r="AA11" s="588">
        <f t="shared" si="3"/>
        <v>0</v>
      </c>
      <c r="AB11" s="588">
        <f t="shared" si="3"/>
        <v>0</v>
      </c>
      <c r="AC11" s="588">
        <f t="shared" si="3"/>
        <v>0</v>
      </c>
      <c r="AD11" s="588">
        <f t="shared" si="3"/>
        <v>0</v>
      </c>
      <c r="AE11" s="588">
        <f t="shared" si="3"/>
        <v>0</v>
      </c>
      <c r="AF11" s="588">
        <f t="shared" si="3"/>
        <v>0</v>
      </c>
      <c r="AG11" s="588">
        <f t="shared" si="3"/>
        <v>0</v>
      </c>
      <c r="AH11" s="588">
        <f t="shared" si="3"/>
        <v>0</v>
      </c>
      <c r="AI11" s="588">
        <f t="shared" si="3"/>
        <v>0</v>
      </c>
      <c r="AJ11" s="588">
        <f t="shared" si="3"/>
        <v>0</v>
      </c>
      <c r="AK11" s="588">
        <f t="shared" si="3"/>
        <v>0</v>
      </c>
      <c r="AL11" s="588">
        <f t="shared" si="3"/>
        <v>0</v>
      </c>
      <c r="AM11" s="588">
        <f t="shared" si="3"/>
        <v>0</v>
      </c>
      <c r="AN11" s="588">
        <f t="shared" si="3"/>
        <v>0</v>
      </c>
      <c r="AO11" s="588">
        <f t="shared" si="3"/>
        <v>0</v>
      </c>
      <c r="AP11" s="641">
        <f t="shared" si="3"/>
        <v>0</v>
      </c>
    </row>
    <row r="12" spans="1:42">
      <c r="A12" s="932" t="s">
        <v>1793</v>
      </c>
      <c r="B12" s="923">
        <f>'01_1_General Data'!D123</f>
        <v>0</v>
      </c>
      <c r="C12" s="587">
        <f t="shared" ref="C12:AP12" si="4">-$B12*C6</f>
        <v>0</v>
      </c>
      <c r="D12" s="587">
        <f t="shared" si="4"/>
        <v>0</v>
      </c>
      <c r="E12" s="587">
        <f t="shared" si="4"/>
        <v>0</v>
      </c>
      <c r="F12" s="587">
        <f t="shared" si="4"/>
        <v>0</v>
      </c>
      <c r="G12" s="587">
        <f t="shared" si="4"/>
        <v>0</v>
      </c>
      <c r="H12" s="587">
        <f t="shared" si="4"/>
        <v>0</v>
      </c>
      <c r="I12" s="587">
        <f t="shared" si="4"/>
        <v>0</v>
      </c>
      <c r="J12" s="587">
        <f t="shared" si="4"/>
        <v>0</v>
      </c>
      <c r="K12" s="587">
        <f t="shared" si="4"/>
        <v>0</v>
      </c>
      <c r="L12" s="587">
        <f t="shared" si="4"/>
        <v>0</v>
      </c>
      <c r="M12" s="587">
        <f t="shared" si="4"/>
        <v>0</v>
      </c>
      <c r="N12" s="587">
        <f t="shared" si="4"/>
        <v>0</v>
      </c>
      <c r="O12" s="587">
        <f t="shared" si="4"/>
        <v>0</v>
      </c>
      <c r="P12" s="587">
        <f t="shared" si="4"/>
        <v>0</v>
      </c>
      <c r="Q12" s="587">
        <f t="shared" si="4"/>
        <v>0</v>
      </c>
      <c r="R12" s="587">
        <f t="shared" si="4"/>
        <v>0</v>
      </c>
      <c r="S12" s="587">
        <f t="shared" si="4"/>
        <v>0</v>
      </c>
      <c r="T12" s="587">
        <f t="shared" si="4"/>
        <v>0</v>
      </c>
      <c r="U12" s="587">
        <f t="shared" si="4"/>
        <v>0</v>
      </c>
      <c r="V12" s="587">
        <f t="shared" si="4"/>
        <v>0</v>
      </c>
      <c r="W12" s="587">
        <f t="shared" si="4"/>
        <v>0</v>
      </c>
      <c r="X12" s="587">
        <f t="shared" si="4"/>
        <v>0</v>
      </c>
      <c r="Y12" s="587">
        <f t="shared" si="4"/>
        <v>0</v>
      </c>
      <c r="Z12" s="587">
        <f t="shared" si="4"/>
        <v>0</v>
      </c>
      <c r="AA12" s="587">
        <f t="shared" si="4"/>
        <v>0</v>
      </c>
      <c r="AB12" s="587">
        <f t="shared" si="4"/>
        <v>0</v>
      </c>
      <c r="AC12" s="587">
        <f t="shared" si="4"/>
        <v>0</v>
      </c>
      <c r="AD12" s="587">
        <f t="shared" si="4"/>
        <v>0</v>
      </c>
      <c r="AE12" s="587">
        <f t="shared" si="4"/>
        <v>0</v>
      </c>
      <c r="AF12" s="587">
        <f t="shared" si="4"/>
        <v>0</v>
      </c>
      <c r="AG12" s="587">
        <f t="shared" si="4"/>
        <v>0</v>
      </c>
      <c r="AH12" s="587">
        <f t="shared" si="4"/>
        <v>0</v>
      </c>
      <c r="AI12" s="587">
        <f t="shared" si="4"/>
        <v>0</v>
      </c>
      <c r="AJ12" s="587">
        <f t="shared" si="4"/>
        <v>0</v>
      </c>
      <c r="AK12" s="587">
        <f t="shared" si="4"/>
        <v>0</v>
      </c>
      <c r="AL12" s="587">
        <f t="shared" si="4"/>
        <v>0</v>
      </c>
      <c r="AM12" s="587">
        <f t="shared" si="4"/>
        <v>0</v>
      </c>
      <c r="AN12" s="587">
        <f t="shared" si="4"/>
        <v>0</v>
      </c>
      <c r="AO12" s="587">
        <f t="shared" si="4"/>
        <v>0</v>
      </c>
      <c r="AP12" s="638">
        <f t="shared" si="4"/>
        <v>0</v>
      </c>
    </row>
    <row r="13" spans="1:42">
      <c r="A13" s="932" t="s">
        <v>1794</v>
      </c>
      <c r="B13" s="923">
        <f>'01_1_General Data'!D125</f>
        <v>0</v>
      </c>
      <c r="C13" s="587">
        <f t="shared" ref="C13:AP13" si="5">-$B13*C7</f>
        <v>0</v>
      </c>
      <c r="D13" s="587">
        <f t="shared" si="5"/>
        <v>0</v>
      </c>
      <c r="E13" s="587">
        <f t="shared" si="5"/>
        <v>0</v>
      </c>
      <c r="F13" s="587">
        <f t="shared" si="5"/>
        <v>0</v>
      </c>
      <c r="G13" s="587">
        <f t="shared" si="5"/>
        <v>0</v>
      </c>
      <c r="H13" s="587">
        <f t="shared" si="5"/>
        <v>0</v>
      </c>
      <c r="I13" s="587">
        <f t="shared" si="5"/>
        <v>0</v>
      </c>
      <c r="J13" s="587">
        <f t="shared" si="5"/>
        <v>0</v>
      </c>
      <c r="K13" s="587">
        <f t="shared" si="5"/>
        <v>0</v>
      </c>
      <c r="L13" s="587">
        <f t="shared" si="5"/>
        <v>0</v>
      </c>
      <c r="M13" s="587">
        <f t="shared" si="5"/>
        <v>0</v>
      </c>
      <c r="N13" s="587">
        <f t="shared" si="5"/>
        <v>0</v>
      </c>
      <c r="O13" s="587">
        <f t="shared" si="5"/>
        <v>0</v>
      </c>
      <c r="P13" s="587">
        <f t="shared" si="5"/>
        <v>0</v>
      </c>
      <c r="Q13" s="587">
        <f t="shared" si="5"/>
        <v>0</v>
      </c>
      <c r="R13" s="587">
        <f t="shared" si="5"/>
        <v>0</v>
      </c>
      <c r="S13" s="587">
        <f t="shared" si="5"/>
        <v>0</v>
      </c>
      <c r="T13" s="587">
        <f t="shared" si="5"/>
        <v>0</v>
      </c>
      <c r="U13" s="587">
        <f t="shared" si="5"/>
        <v>0</v>
      </c>
      <c r="V13" s="587">
        <f t="shared" si="5"/>
        <v>0</v>
      </c>
      <c r="W13" s="587">
        <f t="shared" si="5"/>
        <v>0</v>
      </c>
      <c r="X13" s="587">
        <f t="shared" si="5"/>
        <v>0</v>
      </c>
      <c r="Y13" s="587">
        <f t="shared" si="5"/>
        <v>0</v>
      </c>
      <c r="Z13" s="587">
        <f t="shared" si="5"/>
        <v>0</v>
      </c>
      <c r="AA13" s="587">
        <f t="shared" si="5"/>
        <v>0</v>
      </c>
      <c r="AB13" s="587">
        <f t="shared" si="5"/>
        <v>0</v>
      </c>
      <c r="AC13" s="587">
        <f t="shared" si="5"/>
        <v>0</v>
      </c>
      <c r="AD13" s="587">
        <f t="shared" si="5"/>
        <v>0</v>
      </c>
      <c r="AE13" s="587">
        <f t="shared" si="5"/>
        <v>0</v>
      </c>
      <c r="AF13" s="587">
        <f t="shared" si="5"/>
        <v>0</v>
      </c>
      <c r="AG13" s="587">
        <f t="shared" si="5"/>
        <v>0</v>
      </c>
      <c r="AH13" s="587">
        <f t="shared" si="5"/>
        <v>0</v>
      </c>
      <c r="AI13" s="587">
        <f t="shared" si="5"/>
        <v>0</v>
      </c>
      <c r="AJ13" s="587">
        <f t="shared" si="5"/>
        <v>0</v>
      </c>
      <c r="AK13" s="587">
        <f t="shared" si="5"/>
        <v>0</v>
      </c>
      <c r="AL13" s="587">
        <f t="shared" si="5"/>
        <v>0</v>
      </c>
      <c r="AM13" s="587">
        <f t="shared" si="5"/>
        <v>0</v>
      </c>
      <c r="AN13" s="587">
        <f t="shared" si="5"/>
        <v>0</v>
      </c>
      <c r="AO13" s="587">
        <f t="shared" si="5"/>
        <v>0</v>
      </c>
      <c r="AP13" s="638">
        <f t="shared" si="5"/>
        <v>0</v>
      </c>
    </row>
    <row r="14" spans="1:42" ht="16.5" thickBot="1">
      <c r="A14" s="933" t="s">
        <v>1795</v>
      </c>
      <c r="B14" s="924">
        <f>'01_1_General Data'!D127</f>
        <v>0</v>
      </c>
      <c r="C14" s="611">
        <f t="shared" ref="C14:AP14" si="6">-$B14*C9</f>
        <v>0</v>
      </c>
      <c r="D14" s="611">
        <f t="shared" si="6"/>
        <v>0</v>
      </c>
      <c r="E14" s="611">
        <f t="shared" si="6"/>
        <v>0</v>
      </c>
      <c r="F14" s="611">
        <f t="shared" si="6"/>
        <v>0</v>
      </c>
      <c r="G14" s="611">
        <f t="shared" si="6"/>
        <v>0</v>
      </c>
      <c r="H14" s="611">
        <f t="shared" si="6"/>
        <v>0</v>
      </c>
      <c r="I14" s="611">
        <f t="shared" si="6"/>
        <v>0</v>
      </c>
      <c r="J14" s="611">
        <f t="shared" si="6"/>
        <v>0</v>
      </c>
      <c r="K14" s="611">
        <f t="shared" si="6"/>
        <v>0</v>
      </c>
      <c r="L14" s="611">
        <f t="shared" si="6"/>
        <v>0</v>
      </c>
      <c r="M14" s="611">
        <f t="shared" si="6"/>
        <v>0</v>
      </c>
      <c r="N14" s="611">
        <f t="shared" si="6"/>
        <v>0</v>
      </c>
      <c r="O14" s="611">
        <f t="shared" si="6"/>
        <v>0</v>
      </c>
      <c r="P14" s="611">
        <f t="shared" si="6"/>
        <v>0</v>
      </c>
      <c r="Q14" s="611">
        <f t="shared" si="6"/>
        <v>0</v>
      </c>
      <c r="R14" s="611">
        <f t="shared" si="6"/>
        <v>0</v>
      </c>
      <c r="S14" s="611">
        <f t="shared" si="6"/>
        <v>0</v>
      </c>
      <c r="T14" s="611">
        <f t="shared" si="6"/>
        <v>0</v>
      </c>
      <c r="U14" s="611">
        <f t="shared" si="6"/>
        <v>0</v>
      </c>
      <c r="V14" s="611">
        <f t="shared" si="6"/>
        <v>0</v>
      </c>
      <c r="W14" s="611">
        <f t="shared" si="6"/>
        <v>0</v>
      </c>
      <c r="X14" s="611">
        <f t="shared" si="6"/>
        <v>0</v>
      </c>
      <c r="Y14" s="611">
        <f t="shared" si="6"/>
        <v>0</v>
      </c>
      <c r="Z14" s="611">
        <f t="shared" si="6"/>
        <v>0</v>
      </c>
      <c r="AA14" s="611">
        <f t="shared" si="6"/>
        <v>0</v>
      </c>
      <c r="AB14" s="611">
        <f t="shared" si="6"/>
        <v>0</v>
      </c>
      <c r="AC14" s="611">
        <f t="shared" si="6"/>
        <v>0</v>
      </c>
      <c r="AD14" s="611">
        <f t="shared" si="6"/>
        <v>0</v>
      </c>
      <c r="AE14" s="611">
        <f t="shared" si="6"/>
        <v>0</v>
      </c>
      <c r="AF14" s="611">
        <f t="shared" si="6"/>
        <v>0</v>
      </c>
      <c r="AG14" s="611">
        <f t="shared" si="6"/>
        <v>0</v>
      </c>
      <c r="AH14" s="611">
        <f t="shared" si="6"/>
        <v>0</v>
      </c>
      <c r="AI14" s="611">
        <f t="shared" si="6"/>
        <v>0</v>
      </c>
      <c r="AJ14" s="611">
        <f t="shared" si="6"/>
        <v>0</v>
      </c>
      <c r="AK14" s="611">
        <f t="shared" si="6"/>
        <v>0</v>
      </c>
      <c r="AL14" s="611">
        <f t="shared" si="6"/>
        <v>0</v>
      </c>
      <c r="AM14" s="611">
        <f t="shared" si="6"/>
        <v>0</v>
      </c>
      <c r="AN14" s="611">
        <f t="shared" si="6"/>
        <v>0</v>
      </c>
      <c r="AO14" s="611">
        <f t="shared" si="6"/>
        <v>0</v>
      </c>
      <c r="AP14" s="640">
        <f t="shared" si="6"/>
        <v>0</v>
      </c>
    </row>
    <row r="15" spans="1:42" ht="16.5" thickBot="1">
      <c r="A15" s="930" t="s">
        <v>1073</v>
      </c>
      <c r="B15" s="926"/>
      <c r="C15" s="614">
        <f t="shared" ref="C15:AP15" si="7">SUM(C10:C14)</f>
        <v>0</v>
      </c>
      <c r="D15" s="614">
        <f t="shared" si="7"/>
        <v>0</v>
      </c>
      <c r="E15" s="614">
        <f t="shared" si="7"/>
        <v>0</v>
      </c>
      <c r="F15" s="614">
        <f t="shared" si="7"/>
        <v>0</v>
      </c>
      <c r="G15" s="614">
        <f t="shared" si="7"/>
        <v>0</v>
      </c>
      <c r="H15" s="614">
        <f t="shared" si="7"/>
        <v>0</v>
      </c>
      <c r="I15" s="614">
        <f t="shared" si="7"/>
        <v>0</v>
      </c>
      <c r="J15" s="614">
        <f t="shared" si="7"/>
        <v>0</v>
      </c>
      <c r="K15" s="614">
        <f t="shared" si="7"/>
        <v>0</v>
      </c>
      <c r="L15" s="614">
        <f t="shared" si="7"/>
        <v>0</v>
      </c>
      <c r="M15" s="614">
        <f t="shared" si="7"/>
        <v>0</v>
      </c>
      <c r="N15" s="614">
        <f t="shared" si="7"/>
        <v>0</v>
      </c>
      <c r="O15" s="614">
        <f t="shared" si="7"/>
        <v>0</v>
      </c>
      <c r="P15" s="614">
        <f t="shared" si="7"/>
        <v>0</v>
      </c>
      <c r="Q15" s="614">
        <f t="shared" si="7"/>
        <v>0</v>
      </c>
      <c r="R15" s="614">
        <f t="shared" si="7"/>
        <v>0</v>
      </c>
      <c r="S15" s="614">
        <f t="shared" si="7"/>
        <v>0</v>
      </c>
      <c r="T15" s="614">
        <f t="shared" si="7"/>
        <v>0</v>
      </c>
      <c r="U15" s="614">
        <f t="shared" si="7"/>
        <v>0</v>
      </c>
      <c r="V15" s="614">
        <f t="shared" si="7"/>
        <v>0</v>
      </c>
      <c r="W15" s="614">
        <f t="shared" si="7"/>
        <v>0</v>
      </c>
      <c r="X15" s="614">
        <f t="shared" si="7"/>
        <v>0</v>
      </c>
      <c r="Y15" s="614">
        <f t="shared" si="7"/>
        <v>0</v>
      </c>
      <c r="Z15" s="614">
        <f t="shared" si="7"/>
        <v>0</v>
      </c>
      <c r="AA15" s="614">
        <f t="shared" si="7"/>
        <v>0</v>
      </c>
      <c r="AB15" s="614">
        <f t="shared" si="7"/>
        <v>0</v>
      </c>
      <c r="AC15" s="614">
        <f t="shared" si="7"/>
        <v>0</v>
      </c>
      <c r="AD15" s="614">
        <f t="shared" si="7"/>
        <v>0</v>
      </c>
      <c r="AE15" s="614">
        <f t="shared" si="7"/>
        <v>0</v>
      </c>
      <c r="AF15" s="614">
        <f t="shared" si="7"/>
        <v>0</v>
      </c>
      <c r="AG15" s="614">
        <f t="shared" si="7"/>
        <v>0</v>
      </c>
      <c r="AH15" s="614">
        <f t="shared" si="7"/>
        <v>0</v>
      </c>
      <c r="AI15" s="614">
        <f t="shared" si="7"/>
        <v>0</v>
      </c>
      <c r="AJ15" s="614">
        <f t="shared" si="7"/>
        <v>0</v>
      </c>
      <c r="AK15" s="614">
        <f t="shared" si="7"/>
        <v>0</v>
      </c>
      <c r="AL15" s="614">
        <f t="shared" si="7"/>
        <v>0</v>
      </c>
      <c r="AM15" s="614">
        <f t="shared" si="7"/>
        <v>0</v>
      </c>
      <c r="AN15" s="614">
        <f t="shared" si="7"/>
        <v>0</v>
      </c>
      <c r="AO15" s="614">
        <f t="shared" si="7"/>
        <v>0</v>
      </c>
      <c r="AP15" s="615">
        <f t="shared" si="7"/>
        <v>0</v>
      </c>
    </row>
    <row r="16" spans="1:42"/>
    <row r="17" spans="1:42" ht="16.5" thickBot="1">
      <c r="A17" s="366" t="s">
        <v>1796</v>
      </c>
      <c r="B17" s="366"/>
    </row>
    <row r="18" spans="1:42">
      <c r="A18" s="927" t="s">
        <v>1745</v>
      </c>
      <c r="B18" s="922">
        <f>rng01_OpExRate</f>
        <v>0</v>
      </c>
      <c r="C18" s="636">
        <f>'02_2_EXPENSE'!$D$39-'02_2_EXPENSE'!$D$28</f>
        <v>0</v>
      </c>
      <c r="D18" s="636">
        <f>C18*(1+$B18)</f>
        <v>0</v>
      </c>
      <c r="E18" s="636">
        <f t="shared" ref="E18:V18" si="8">D18*(1+$B18)</f>
        <v>0</v>
      </c>
      <c r="F18" s="636">
        <f t="shared" si="8"/>
        <v>0</v>
      </c>
      <c r="G18" s="636">
        <f t="shared" si="8"/>
        <v>0</v>
      </c>
      <c r="H18" s="636">
        <f t="shared" si="8"/>
        <v>0</v>
      </c>
      <c r="I18" s="636">
        <f t="shared" si="8"/>
        <v>0</v>
      </c>
      <c r="J18" s="636">
        <f t="shared" si="8"/>
        <v>0</v>
      </c>
      <c r="K18" s="636">
        <f t="shared" si="8"/>
        <v>0</v>
      </c>
      <c r="L18" s="636">
        <f t="shared" si="8"/>
        <v>0</v>
      </c>
      <c r="M18" s="636">
        <f t="shared" si="8"/>
        <v>0</v>
      </c>
      <c r="N18" s="636">
        <f t="shared" si="8"/>
        <v>0</v>
      </c>
      <c r="O18" s="636">
        <f t="shared" si="8"/>
        <v>0</v>
      </c>
      <c r="P18" s="636">
        <f t="shared" si="8"/>
        <v>0</v>
      </c>
      <c r="Q18" s="636">
        <f t="shared" si="8"/>
        <v>0</v>
      </c>
      <c r="R18" s="636">
        <f t="shared" si="8"/>
        <v>0</v>
      </c>
      <c r="S18" s="636">
        <f t="shared" si="8"/>
        <v>0</v>
      </c>
      <c r="T18" s="636">
        <f t="shared" si="8"/>
        <v>0</v>
      </c>
      <c r="U18" s="636">
        <f t="shared" si="8"/>
        <v>0</v>
      </c>
      <c r="V18" s="636">
        <f t="shared" si="8"/>
        <v>0</v>
      </c>
      <c r="W18" s="636">
        <f t="shared" ref="W18:AP18" si="9">V18*(1+$B18)</f>
        <v>0</v>
      </c>
      <c r="X18" s="636">
        <f t="shared" si="9"/>
        <v>0</v>
      </c>
      <c r="Y18" s="636">
        <f t="shared" si="9"/>
        <v>0</v>
      </c>
      <c r="Z18" s="636">
        <f t="shared" si="9"/>
        <v>0</v>
      </c>
      <c r="AA18" s="636">
        <f t="shared" si="9"/>
        <v>0</v>
      </c>
      <c r="AB18" s="636">
        <f t="shared" si="9"/>
        <v>0</v>
      </c>
      <c r="AC18" s="636">
        <f t="shared" si="9"/>
        <v>0</v>
      </c>
      <c r="AD18" s="636">
        <f t="shared" si="9"/>
        <v>0</v>
      </c>
      <c r="AE18" s="636">
        <f t="shared" si="9"/>
        <v>0</v>
      </c>
      <c r="AF18" s="636">
        <f t="shared" si="9"/>
        <v>0</v>
      </c>
      <c r="AG18" s="636">
        <f t="shared" si="9"/>
        <v>0</v>
      </c>
      <c r="AH18" s="636">
        <f t="shared" si="9"/>
        <v>0</v>
      </c>
      <c r="AI18" s="636">
        <f t="shared" si="9"/>
        <v>0</v>
      </c>
      <c r="AJ18" s="636">
        <f t="shared" si="9"/>
        <v>0</v>
      </c>
      <c r="AK18" s="636">
        <f t="shared" si="9"/>
        <v>0</v>
      </c>
      <c r="AL18" s="636">
        <f t="shared" si="9"/>
        <v>0</v>
      </c>
      <c r="AM18" s="636">
        <f t="shared" si="9"/>
        <v>0</v>
      </c>
      <c r="AN18" s="636">
        <f t="shared" si="9"/>
        <v>0</v>
      </c>
      <c r="AO18" s="636">
        <f t="shared" si="9"/>
        <v>0</v>
      </c>
      <c r="AP18" s="637">
        <f t="shared" si="9"/>
        <v>0</v>
      </c>
    </row>
    <row r="19" spans="1:42">
      <c r="A19" s="928" t="s">
        <v>1797</v>
      </c>
      <c r="B19" s="934">
        <f>rng01_ManagementFee</f>
        <v>0</v>
      </c>
      <c r="C19" s="587">
        <f t="shared" ref="C19:AP19" si="10">C15*rng01_ManagementFee</f>
        <v>0</v>
      </c>
      <c r="D19" s="587">
        <f t="shared" si="10"/>
        <v>0</v>
      </c>
      <c r="E19" s="587">
        <f t="shared" si="10"/>
        <v>0</v>
      </c>
      <c r="F19" s="587">
        <f t="shared" si="10"/>
        <v>0</v>
      </c>
      <c r="G19" s="587">
        <f t="shared" si="10"/>
        <v>0</v>
      </c>
      <c r="H19" s="587">
        <f t="shared" si="10"/>
        <v>0</v>
      </c>
      <c r="I19" s="587">
        <f t="shared" si="10"/>
        <v>0</v>
      </c>
      <c r="J19" s="587">
        <f t="shared" si="10"/>
        <v>0</v>
      </c>
      <c r="K19" s="587">
        <f t="shared" si="10"/>
        <v>0</v>
      </c>
      <c r="L19" s="587">
        <f t="shared" si="10"/>
        <v>0</v>
      </c>
      <c r="M19" s="587">
        <f t="shared" si="10"/>
        <v>0</v>
      </c>
      <c r="N19" s="587">
        <f t="shared" si="10"/>
        <v>0</v>
      </c>
      <c r="O19" s="587">
        <f t="shared" si="10"/>
        <v>0</v>
      </c>
      <c r="P19" s="587">
        <f t="shared" si="10"/>
        <v>0</v>
      </c>
      <c r="Q19" s="587">
        <f t="shared" si="10"/>
        <v>0</v>
      </c>
      <c r="R19" s="587">
        <f t="shared" si="10"/>
        <v>0</v>
      </c>
      <c r="S19" s="587">
        <f t="shared" si="10"/>
        <v>0</v>
      </c>
      <c r="T19" s="587">
        <f t="shared" si="10"/>
        <v>0</v>
      </c>
      <c r="U19" s="587">
        <f t="shared" si="10"/>
        <v>0</v>
      </c>
      <c r="V19" s="587">
        <f t="shared" si="10"/>
        <v>0</v>
      </c>
      <c r="W19" s="587">
        <f t="shared" si="10"/>
        <v>0</v>
      </c>
      <c r="X19" s="587">
        <f t="shared" si="10"/>
        <v>0</v>
      </c>
      <c r="Y19" s="587">
        <f t="shared" si="10"/>
        <v>0</v>
      </c>
      <c r="Z19" s="587">
        <f t="shared" si="10"/>
        <v>0</v>
      </c>
      <c r="AA19" s="587">
        <f t="shared" si="10"/>
        <v>0</v>
      </c>
      <c r="AB19" s="587">
        <f t="shared" si="10"/>
        <v>0</v>
      </c>
      <c r="AC19" s="587">
        <f t="shared" si="10"/>
        <v>0</v>
      </c>
      <c r="AD19" s="587">
        <f t="shared" si="10"/>
        <v>0</v>
      </c>
      <c r="AE19" s="587">
        <f t="shared" si="10"/>
        <v>0</v>
      </c>
      <c r="AF19" s="587">
        <f t="shared" si="10"/>
        <v>0</v>
      </c>
      <c r="AG19" s="587">
        <f t="shared" si="10"/>
        <v>0</v>
      </c>
      <c r="AH19" s="587">
        <f t="shared" si="10"/>
        <v>0</v>
      </c>
      <c r="AI19" s="587">
        <f t="shared" si="10"/>
        <v>0</v>
      </c>
      <c r="AJ19" s="587">
        <f t="shared" si="10"/>
        <v>0</v>
      </c>
      <c r="AK19" s="587">
        <f t="shared" si="10"/>
        <v>0</v>
      </c>
      <c r="AL19" s="587">
        <f t="shared" si="10"/>
        <v>0</v>
      </c>
      <c r="AM19" s="587">
        <f t="shared" si="10"/>
        <v>0</v>
      </c>
      <c r="AN19" s="587">
        <f t="shared" si="10"/>
        <v>0</v>
      </c>
      <c r="AO19" s="587">
        <f t="shared" si="10"/>
        <v>0</v>
      </c>
      <c r="AP19" s="638">
        <f t="shared" si="10"/>
        <v>0</v>
      </c>
    </row>
    <row r="20" spans="1:42">
      <c r="A20" s="928" t="s">
        <v>1798</v>
      </c>
      <c r="B20" s="923">
        <f>rng01_OpExRate</f>
        <v>0</v>
      </c>
      <c r="C20" s="587">
        <f>'02_2_EXPENSE'!$D$47</f>
        <v>0</v>
      </c>
      <c r="D20" s="587">
        <f t="shared" ref="D20:V20" si="11">C20*(1+$B20)</f>
        <v>0</v>
      </c>
      <c r="E20" s="587">
        <f t="shared" si="11"/>
        <v>0</v>
      </c>
      <c r="F20" s="587">
        <f t="shared" si="11"/>
        <v>0</v>
      </c>
      <c r="G20" s="587">
        <f t="shared" si="11"/>
        <v>0</v>
      </c>
      <c r="H20" s="587">
        <f t="shared" si="11"/>
        <v>0</v>
      </c>
      <c r="I20" s="587">
        <f t="shared" si="11"/>
        <v>0</v>
      </c>
      <c r="J20" s="587">
        <f t="shared" si="11"/>
        <v>0</v>
      </c>
      <c r="K20" s="587">
        <f t="shared" si="11"/>
        <v>0</v>
      </c>
      <c r="L20" s="587">
        <f t="shared" si="11"/>
        <v>0</v>
      </c>
      <c r="M20" s="587">
        <f t="shared" si="11"/>
        <v>0</v>
      </c>
      <c r="N20" s="587">
        <f t="shared" si="11"/>
        <v>0</v>
      </c>
      <c r="O20" s="587">
        <f t="shared" si="11"/>
        <v>0</v>
      </c>
      <c r="P20" s="587">
        <f t="shared" si="11"/>
        <v>0</v>
      </c>
      <c r="Q20" s="587">
        <f t="shared" si="11"/>
        <v>0</v>
      </c>
      <c r="R20" s="587">
        <f t="shared" si="11"/>
        <v>0</v>
      </c>
      <c r="S20" s="587">
        <f t="shared" si="11"/>
        <v>0</v>
      </c>
      <c r="T20" s="587">
        <f t="shared" si="11"/>
        <v>0</v>
      </c>
      <c r="U20" s="587">
        <f t="shared" si="11"/>
        <v>0</v>
      </c>
      <c r="V20" s="587">
        <f t="shared" si="11"/>
        <v>0</v>
      </c>
      <c r="W20" s="587">
        <f t="shared" ref="W20:W26" si="12">V20*(1+$B20)</f>
        <v>0</v>
      </c>
      <c r="X20" s="587">
        <f t="shared" ref="X20:X26" si="13">W20*(1+$B20)</f>
        <v>0</v>
      </c>
      <c r="Y20" s="587">
        <f t="shared" ref="Y20:Y26" si="14">X20*(1+$B20)</f>
        <v>0</v>
      </c>
      <c r="Z20" s="587">
        <f t="shared" ref="Z20:Z26" si="15">Y20*(1+$B20)</f>
        <v>0</v>
      </c>
      <c r="AA20" s="587">
        <f t="shared" ref="AA20:AA26" si="16">Z20*(1+$B20)</f>
        <v>0</v>
      </c>
      <c r="AB20" s="587">
        <f t="shared" ref="AB20:AB26" si="17">AA20*(1+$B20)</f>
        <v>0</v>
      </c>
      <c r="AC20" s="587">
        <f t="shared" ref="AC20:AC26" si="18">AB20*(1+$B20)</f>
        <v>0</v>
      </c>
      <c r="AD20" s="587">
        <f t="shared" ref="AD20:AD26" si="19">AC20*(1+$B20)</f>
        <v>0</v>
      </c>
      <c r="AE20" s="587">
        <f t="shared" ref="AE20:AE26" si="20">AD20*(1+$B20)</f>
        <v>0</v>
      </c>
      <c r="AF20" s="587">
        <f t="shared" ref="AF20:AF26" si="21">AE20*(1+$B20)</f>
        <v>0</v>
      </c>
      <c r="AG20" s="587">
        <f t="shared" ref="AG20:AG26" si="22">AF20*(1+$B20)</f>
        <v>0</v>
      </c>
      <c r="AH20" s="587">
        <f t="shared" ref="AH20:AH26" si="23">AG20*(1+$B20)</f>
        <v>0</v>
      </c>
      <c r="AI20" s="587">
        <f t="shared" ref="AI20:AI26" si="24">AH20*(1+$B20)</f>
        <v>0</v>
      </c>
      <c r="AJ20" s="587">
        <f t="shared" ref="AJ20:AJ26" si="25">AI20*(1+$B20)</f>
        <v>0</v>
      </c>
      <c r="AK20" s="587">
        <f t="shared" ref="AK20:AK26" si="26">AJ20*(1+$B20)</f>
        <v>0</v>
      </c>
      <c r="AL20" s="587">
        <f t="shared" ref="AL20:AL26" si="27">AK20*(1+$B20)</f>
        <v>0</v>
      </c>
      <c r="AM20" s="587">
        <f t="shared" ref="AM20:AM26" si="28">AL20*(1+$B20)</f>
        <v>0</v>
      </c>
      <c r="AN20" s="587">
        <f t="shared" ref="AN20:AN26" si="29">AM20*(1+$B20)</f>
        <v>0</v>
      </c>
      <c r="AO20" s="587">
        <f t="shared" ref="AO20:AO26" si="30">AN20*(1+$B20)</f>
        <v>0</v>
      </c>
      <c r="AP20" s="638">
        <f t="shared" ref="AP20:AP26" si="31">AO20*(1+$B20)</f>
        <v>0</v>
      </c>
    </row>
    <row r="21" spans="1:42">
      <c r="A21" s="928" t="s">
        <v>1799</v>
      </c>
      <c r="B21" s="923">
        <f>rng01_OpExRate</f>
        <v>0</v>
      </c>
      <c r="C21" s="587">
        <f>'02_2_EXPENSE'!$D$74</f>
        <v>0</v>
      </c>
      <c r="D21" s="587">
        <f t="shared" ref="D21:V21" si="32">C21*(1+$B21)</f>
        <v>0</v>
      </c>
      <c r="E21" s="587">
        <f t="shared" si="32"/>
        <v>0</v>
      </c>
      <c r="F21" s="587">
        <f t="shared" si="32"/>
        <v>0</v>
      </c>
      <c r="G21" s="587">
        <f t="shared" si="32"/>
        <v>0</v>
      </c>
      <c r="H21" s="587">
        <f t="shared" si="32"/>
        <v>0</v>
      </c>
      <c r="I21" s="587">
        <f t="shared" si="32"/>
        <v>0</v>
      </c>
      <c r="J21" s="587">
        <f t="shared" si="32"/>
        <v>0</v>
      </c>
      <c r="K21" s="587">
        <f t="shared" si="32"/>
        <v>0</v>
      </c>
      <c r="L21" s="587">
        <f t="shared" si="32"/>
        <v>0</v>
      </c>
      <c r="M21" s="587">
        <f t="shared" si="32"/>
        <v>0</v>
      </c>
      <c r="N21" s="587">
        <f t="shared" si="32"/>
        <v>0</v>
      </c>
      <c r="O21" s="587">
        <f t="shared" si="32"/>
        <v>0</v>
      </c>
      <c r="P21" s="587">
        <f t="shared" si="32"/>
        <v>0</v>
      </c>
      <c r="Q21" s="587">
        <f t="shared" si="32"/>
        <v>0</v>
      </c>
      <c r="R21" s="587">
        <f t="shared" si="32"/>
        <v>0</v>
      </c>
      <c r="S21" s="587">
        <f t="shared" si="32"/>
        <v>0</v>
      </c>
      <c r="T21" s="587">
        <f t="shared" si="32"/>
        <v>0</v>
      </c>
      <c r="U21" s="587">
        <f t="shared" si="32"/>
        <v>0</v>
      </c>
      <c r="V21" s="587">
        <f t="shared" si="32"/>
        <v>0</v>
      </c>
      <c r="W21" s="587">
        <f t="shared" si="12"/>
        <v>0</v>
      </c>
      <c r="X21" s="587">
        <f t="shared" si="13"/>
        <v>0</v>
      </c>
      <c r="Y21" s="587">
        <f t="shared" si="14"/>
        <v>0</v>
      </c>
      <c r="Z21" s="587">
        <f t="shared" si="15"/>
        <v>0</v>
      </c>
      <c r="AA21" s="587">
        <f t="shared" si="16"/>
        <v>0</v>
      </c>
      <c r="AB21" s="587">
        <f t="shared" si="17"/>
        <v>0</v>
      </c>
      <c r="AC21" s="587">
        <f t="shared" si="18"/>
        <v>0</v>
      </c>
      <c r="AD21" s="587">
        <f t="shared" si="19"/>
        <v>0</v>
      </c>
      <c r="AE21" s="587">
        <f t="shared" si="20"/>
        <v>0</v>
      </c>
      <c r="AF21" s="587">
        <f t="shared" si="21"/>
        <v>0</v>
      </c>
      <c r="AG21" s="587">
        <f t="shared" si="22"/>
        <v>0</v>
      </c>
      <c r="AH21" s="587">
        <f t="shared" si="23"/>
        <v>0</v>
      </c>
      <c r="AI21" s="587">
        <f t="shared" si="24"/>
        <v>0</v>
      </c>
      <c r="AJ21" s="587">
        <f t="shared" si="25"/>
        <v>0</v>
      </c>
      <c r="AK21" s="587">
        <f t="shared" si="26"/>
        <v>0</v>
      </c>
      <c r="AL21" s="587">
        <f t="shared" si="27"/>
        <v>0</v>
      </c>
      <c r="AM21" s="587">
        <f t="shared" si="28"/>
        <v>0</v>
      </c>
      <c r="AN21" s="587">
        <f t="shared" si="29"/>
        <v>0</v>
      </c>
      <c r="AO21" s="587">
        <f t="shared" si="30"/>
        <v>0</v>
      </c>
      <c r="AP21" s="638">
        <f t="shared" si="31"/>
        <v>0</v>
      </c>
    </row>
    <row r="22" spans="1:42">
      <c r="A22" s="928" t="s">
        <v>1800</v>
      </c>
      <c r="B22" s="923">
        <f>'01_1_General Data'!$D$117</f>
        <v>0</v>
      </c>
      <c r="C22" s="587">
        <f>'02_2_EXPENSE'!$D$76</f>
        <v>0</v>
      </c>
      <c r="D22" s="587">
        <f>C22*(1+'01_1_General Data'!J117)</f>
        <v>0</v>
      </c>
      <c r="E22" s="587">
        <f>D22*(1+'01_1_General Data'!K117)</f>
        <v>0</v>
      </c>
      <c r="F22" s="587">
        <f>E22*(1+'01_1_General Data'!L117)</f>
        <v>0</v>
      </c>
      <c r="G22" s="587">
        <f>F22*(1+'01_1_General Data'!M117)</f>
        <v>0</v>
      </c>
      <c r="H22" s="587">
        <f>G22*(1+'01_1_General Data'!N117)</f>
        <v>0</v>
      </c>
      <c r="I22" s="587">
        <f>H22*(1+'01_1_General Data'!O117)</f>
        <v>0</v>
      </c>
      <c r="J22" s="587">
        <f>I22*(1+'01_1_General Data'!P117)</f>
        <v>0</v>
      </c>
      <c r="K22" s="587">
        <f>J22*(1+'01_1_General Data'!Q117)</f>
        <v>0</v>
      </c>
      <c r="L22" s="587">
        <f>K22*(1+'01_1_General Data'!R117)</f>
        <v>0</v>
      </c>
      <c r="M22" s="587">
        <f>L22*(1+'01_1_General Data'!S117)</f>
        <v>0</v>
      </c>
      <c r="N22" s="587">
        <f>M22*(1+'01_1_General Data'!T117)</f>
        <v>0</v>
      </c>
      <c r="O22" s="587">
        <f>N22*(1+'01_1_General Data'!U117)</f>
        <v>0</v>
      </c>
      <c r="P22" s="587">
        <f>O22*(1+'01_1_General Data'!V117)</f>
        <v>0</v>
      </c>
      <c r="Q22" s="587">
        <f>P22*(1+'01_1_General Data'!W117)</f>
        <v>0</v>
      </c>
      <c r="R22" s="587">
        <f>Q22*(1+'01_1_General Data'!X117)</f>
        <v>0</v>
      </c>
      <c r="S22" s="587">
        <f>R22*(1+'01_1_General Data'!Y117)</f>
        <v>0</v>
      </c>
      <c r="T22" s="587">
        <f>S22*(1+'01_1_General Data'!Z117)</f>
        <v>0</v>
      </c>
      <c r="U22" s="587">
        <f>T22*(1+'01_1_General Data'!AA117)</f>
        <v>0</v>
      </c>
      <c r="V22" s="587">
        <f>U22*(1+'01_1_General Data'!AB117)</f>
        <v>0</v>
      </c>
      <c r="W22" s="587">
        <f>V22*(1+'01_1_General Data'!AC117)</f>
        <v>0</v>
      </c>
      <c r="X22" s="587">
        <f>W22*(1+'01_1_General Data'!AD117)</f>
        <v>0</v>
      </c>
      <c r="Y22" s="587">
        <f>X22*(1+'01_1_General Data'!AE117)</f>
        <v>0</v>
      </c>
      <c r="Z22" s="587">
        <f>Y22*(1+'01_1_General Data'!AF117)</f>
        <v>0</v>
      </c>
      <c r="AA22" s="587">
        <f>Z22*(1+'01_1_General Data'!AG117)</f>
        <v>0</v>
      </c>
      <c r="AB22" s="587">
        <f>AA22*(1+'01_1_General Data'!AH117)</f>
        <v>0</v>
      </c>
      <c r="AC22" s="587">
        <f>AB22*(1+'01_1_General Data'!AI117)</f>
        <v>0</v>
      </c>
      <c r="AD22" s="587">
        <f>AC22*(1+'01_1_General Data'!AJ117)</f>
        <v>0</v>
      </c>
      <c r="AE22" s="587">
        <f>AD22*(1+'01_1_General Data'!AK117)</f>
        <v>0</v>
      </c>
      <c r="AF22" s="587">
        <f>AE22*(1+'01_1_General Data'!AL117)</f>
        <v>0</v>
      </c>
      <c r="AG22" s="587">
        <f>AF22*(1+'01_1_General Data'!AM117)</f>
        <v>0</v>
      </c>
      <c r="AH22" s="587">
        <f>AG22*(1+'01_1_General Data'!AN117)</f>
        <v>0</v>
      </c>
      <c r="AI22" s="587">
        <f>AH22*(1+'01_1_General Data'!AO117)</f>
        <v>0</v>
      </c>
      <c r="AJ22" s="587">
        <f>AI22*(1+'01_1_General Data'!AP117)</f>
        <v>0</v>
      </c>
      <c r="AK22" s="587">
        <f>AJ22*(1+'01_1_General Data'!AQ117)</f>
        <v>0</v>
      </c>
      <c r="AL22" s="587">
        <f>AK22*(1+'01_1_General Data'!AR117)</f>
        <v>0</v>
      </c>
      <c r="AM22" s="587">
        <f>AL22*(1+'01_1_General Data'!AS117)</f>
        <v>0</v>
      </c>
      <c r="AN22" s="587">
        <f>AM22*(1+'01_1_General Data'!AT117)</f>
        <v>0</v>
      </c>
      <c r="AO22" s="587">
        <f>AN22*(1+'01_1_General Data'!AU117)</f>
        <v>0</v>
      </c>
      <c r="AP22" s="638">
        <f>AO22*(1+'01_1_General Data'!AV117)</f>
        <v>0</v>
      </c>
    </row>
    <row r="23" spans="1:42">
      <c r="A23" s="928" t="s">
        <v>1801</v>
      </c>
      <c r="B23" s="923">
        <f>'01_1_General Data'!$D$118</f>
        <v>0</v>
      </c>
      <c r="C23" s="587">
        <f>'02_2_EXPENSE'!$D$79</f>
        <v>0</v>
      </c>
      <c r="D23" s="587">
        <f>C23*(1+'01_1_General Data'!J118)</f>
        <v>0</v>
      </c>
      <c r="E23" s="587">
        <f>D23*(1+'01_1_General Data'!K118)</f>
        <v>0</v>
      </c>
      <c r="F23" s="587">
        <f>E23*(1+'01_1_General Data'!L118)</f>
        <v>0</v>
      </c>
      <c r="G23" s="587">
        <f>F23*(1+'01_1_General Data'!M118)</f>
        <v>0</v>
      </c>
      <c r="H23" s="587">
        <f>G23*(1+'01_1_General Data'!N118)</f>
        <v>0</v>
      </c>
      <c r="I23" s="587">
        <f>H23*(1+'01_1_General Data'!O118)</f>
        <v>0</v>
      </c>
      <c r="J23" s="587">
        <f>I23*(1+'01_1_General Data'!P118)</f>
        <v>0</v>
      </c>
      <c r="K23" s="587">
        <f>J23*(1+'01_1_General Data'!Q118)</f>
        <v>0</v>
      </c>
      <c r="L23" s="587">
        <f>K23*(1+'01_1_General Data'!R118)</f>
        <v>0</v>
      </c>
      <c r="M23" s="587">
        <f>L23*(1+'01_1_General Data'!S118)</f>
        <v>0</v>
      </c>
      <c r="N23" s="587">
        <f>M23*(1+'01_1_General Data'!T118)</f>
        <v>0</v>
      </c>
      <c r="O23" s="587">
        <f>N23*(1+'01_1_General Data'!U118)</f>
        <v>0</v>
      </c>
      <c r="P23" s="587">
        <f>O23*(1+'01_1_General Data'!V118)</f>
        <v>0</v>
      </c>
      <c r="Q23" s="587">
        <f>P23*(1+'01_1_General Data'!W118)</f>
        <v>0</v>
      </c>
      <c r="R23" s="587">
        <f>Q23*(1+'01_1_General Data'!X118)</f>
        <v>0</v>
      </c>
      <c r="S23" s="587">
        <f>R23*(1+'01_1_General Data'!Y118)</f>
        <v>0</v>
      </c>
      <c r="T23" s="587">
        <f>S23*(1+'01_1_General Data'!Z118)</f>
        <v>0</v>
      </c>
      <c r="U23" s="587">
        <f>T23*(1+'01_1_General Data'!AA118)</f>
        <v>0</v>
      </c>
      <c r="V23" s="587">
        <f>U23*(1+'01_1_General Data'!AB118)</f>
        <v>0</v>
      </c>
      <c r="W23" s="587">
        <f>V23*(1+'01_1_General Data'!AC118)</f>
        <v>0</v>
      </c>
      <c r="X23" s="587">
        <f>W23*(1+'01_1_General Data'!AD118)</f>
        <v>0</v>
      </c>
      <c r="Y23" s="587">
        <f>X23*(1+'01_1_General Data'!AE118)</f>
        <v>0</v>
      </c>
      <c r="Z23" s="587">
        <f>Y23*(1+'01_1_General Data'!AF118)</f>
        <v>0</v>
      </c>
      <c r="AA23" s="587">
        <f>Z23*(1+'01_1_General Data'!AG118)</f>
        <v>0</v>
      </c>
      <c r="AB23" s="587">
        <f>AA23*(1+'01_1_General Data'!AH118)</f>
        <v>0</v>
      </c>
      <c r="AC23" s="587">
        <f>AB23*(1+'01_1_General Data'!AI118)</f>
        <v>0</v>
      </c>
      <c r="AD23" s="587">
        <f>AC23*(1+'01_1_General Data'!AJ118)</f>
        <v>0</v>
      </c>
      <c r="AE23" s="587">
        <f>AD23*(1+'01_1_General Data'!AK118)</f>
        <v>0</v>
      </c>
      <c r="AF23" s="587">
        <f>AE23*(1+'01_1_General Data'!AL118)</f>
        <v>0</v>
      </c>
      <c r="AG23" s="587">
        <f>AF23*(1+'01_1_General Data'!AM118)</f>
        <v>0</v>
      </c>
      <c r="AH23" s="587">
        <f>AG23*(1+'01_1_General Data'!AN118)</f>
        <v>0</v>
      </c>
      <c r="AI23" s="587">
        <f>AH23*(1+'01_1_General Data'!AO118)</f>
        <v>0</v>
      </c>
      <c r="AJ23" s="587">
        <f>AI23*(1+'01_1_General Data'!AP118)</f>
        <v>0</v>
      </c>
      <c r="AK23" s="587">
        <f>AJ23*(1+'01_1_General Data'!AQ118)</f>
        <v>0</v>
      </c>
      <c r="AL23" s="587">
        <f>AK23*(1+'01_1_General Data'!AR118)</f>
        <v>0</v>
      </c>
      <c r="AM23" s="587">
        <f>AL23*(1+'01_1_General Data'!AS118)</f>
        <v>0</v>
      </c>
      <c r="AN23" s="587">
        <f>AM23*(1+'01_1_General Data'!AT118)</f>
        <v>0</v>
      </c>
      <c r="AO23" s="587">
        <f>AN23*(1+'01_1_General Data'!AU118)</f>
        <v>0</v>
      </c>
      <c r="AP23" s="638">
        <f>AO23*(1+'01_1_General Data'!AV118)</f>
        <v>0</v>
      </c>
    </row>
    <row r="24" spans="1:42">
      <c r="A24" s="928" t="s">
        <v>1802</v>
      </c>
      <c r="B24" s="923">
        <f>'01_1_General Data'!$D$119</f>
        <v>0</v>
      </c>
      <c r="C24" s="587">
        <f>'02_2_EXPENSE'!$D$85-'02_2_EXPENSE'!$D$79-'02_2_EXPENSE'!$D$76</f>
        <v>0</v>
      </c>
      <c r="D24" s="587">
        <f>C24*(1+'01_1_General Data'!J119)</f>
        <v>0</v>
      </c>
      <c r="E24" s="587">
        <f>D24*(1+'01_1_General Data'!K119)</f>
        <v>0</v>
      </c>
      <c r="F24" s="587">
        <f>E24*(1+'01_1_General Data'!L119)</f>
        <v>0</v>
      </c>
      <c r="G24" s="587">
        <f>F24*(1+'01_1_General Data'!M119)</f>
        <v>0</v>
      </c>
      <c r="H24" s="587">
        <f>G24*(1+'01_1_General Data'!N119)</f>
        <v>0</v>
      </c>
      <c r="I24" s="587">
        <f>H24*(1+'01_1_General Data'!O119)</f>
        <v>0</v>
      </c>
      <c r="J24" s="587">
        <f>I24*(1+'01_1_General Data'!P119)</f>
        <v>0</v>
      </c>
      <c r="K24" s="587">
        <f>J24*(1+'01_1_General Data'!Q119)</f>
        <v>0</v>
      </c>
      <c r="L24" s="587">
        <f>K24*(1+'01_1_General Data'!R119)</f>
        <v>0</v>
      </c>
      <c r="M24" s="587">
        <f>L24*(1+'01_1_General Data'!S119)</f>
        <v>0</v>
      </c>
      <c r="N24" s="587">
        <f>M24*(1+'01_1_General Data'!T119)</f>
        <v>0</v>
      </c>
      <c r="O24" s="587">
        <f>N24*(1+'01_1_General Data'!U119)</f>
        <v>0</v>
      </c>
      <c r="P24" s="587">
        <f>O24*(1+'01_1_General Data'!V119)</f>
        <v>0</v>
      </c>
      <c r="Q24" s="587">
        <f>P24*(1+'01_1_General Data'!W119)</f>
        <v>0</v>
      </c>
      <c r="R24" s="587">
        <f>Q24*(1+'01_1_General Data'!X119)</f>
        <v>0</v>
      </c>
      <c r="S24" s="587">
        <f>R24*(1+'01_1_General Data'!Y119)</f>
        <v>0</v>
      </c>
      <c r="T24" s="587">
        <f>S24*(1+'01_1_General Data'!Z119)</f>
        <v>0</v>
      </c>
      <c r="U24" s="587">
        <f>T24*(1+'01_1_General Data'!AA119)</f>
        <v>0</v>
      </c>
      <c r="V24" s="587">
        <f>U24*(1+'01_1_General Data'!AB119)</f>
        <v>0</v>
      </c>
      <c r="W24" s="587">
        <f>V24*(1+'01_1_General Data'!AC119)</f>
        <v>0</v>
      </c>
      <c r="X24" s="587">
        <f>W24*(1+'01_1_General Data'!AD119)</f>
        <v>0</v>
      </c>
      <c r="Y24" s="587">
        <f>X24*(1+'01_1_General Data'!AE119)</f>
        <v>0</v>
      </c>
      <c r="Z24" s="587">
        <f>Y24*(1+'01_1_General Data'!AF119)</f>
        <v>0</v>
      </c>
      <c r="AA24" s="587">
        <f>Z24*(1+'01_1_General Data'!AG119)</f>
        <v>0</v>
      </c>
      <c r="AB24" s="587">
        <f>AA24*(1+'01_1_General Data'!AH119)</f>
        <v>0</v>
      </c>
      <c r="AC24" s="587">
        <f>AB24*(1+'01_1_General Data'!AI119)</f>
        <v>0</v>
      </c>
      <c r="AD24" s="587">
        <f>AC24*(1+'01_1_General Data'!AJ119)</f>
        <v>0</v>
      </c>
      <c r="AE24" s="587">
        <f>AD24*(1+'01_1_General Data'!AK119)</f>
        <v>0</v>
      </c>
      <c r="AF24" s="587">
        <f>AE24*(1+'01_1_General Data'!AL119)</f>
        <v>0</v>
      </c>
      <c r="AG24" s="587">
        <f>AF24*(1+'01_1_General Data'!AM119)</f>
        <v>0</v>
      </c>
      <c r="AH24" s="587">
        <f>AG24*(1+'01_1_General Data'!AN119)</f>
        <v>0</v>
      </c>
      <c r="AI24" s="587">
        <f>AH24*(1+'01_1_General Data'!AO119)</f>
        <v>0</v>
      </c>
      <c r="AJ24" s="587">
        <f>AI24*(1+'01_1_General Data'!AP119)</f>
        <v>0</v>
      </c>
      <c r="AK24" s="587">
        <f>AJ24*(1+'01_1_General Data'!AQ119)</f>
        <v>0</v>
      </c>
      <c r="AL24" s="587">
        <f>AK24*(1+'01_1_General Data'!AR119)</f>
        <v>0</v>
      </c>
      <c r="AM24" s="587">
        <f>AL24*(1+'01_1_General Data'!AS119)</f>
        <v>0</v>
      </c>
      <c r="AN24" s="587">
        <f>AM24*(1+'01_1_General Data'!AT119)</f>
        <v>0</v>
      </c>
      <c r="AO24" s="587">
        <f>AN24*(1+'01_1_General Data'!AU119)</f>
        <v>0</v>
      </c>
      <c r="AP24" s="638">
        <f>AO24*(1+'01_1_General Data'!AV119)</f>
        <v>0</v>
      </c>
    </row>
    <row r="25" spans="1:42" hidden="1">
      <c r="A25" s="928" t="s">
        <v>1803</v>
      </c>
      <c r="B25" s="923">
        <f>rng01_OpExRate</f>
        <v>0</v>
      </c>
      <c r="C25" s="587">
        <f>'02_2_EXPENSE'!$D$87*(1+$B25)</f>
        <v>0</v>
      </c>
      <c r="D25" s="587">
        <f t="shared" ref="D25:V25" si="33">C25*(1+$B25)</f>
        <v>0</v>
      </c>
      <c r="E25" s="587">
        <f t="shared" si="33"/>
        <v>0</v>
      </c>
      <c r="F25" s="587">
        <f t="shared" si="33"/>
        <v>0</v>
      </c>
      <c r="G25" s="587">
        <f t="shared" si="33"/>
        <v>0</v>
      </c>
      <c r="H25" s="587">
        <f t="shared" si="33"/>
        <v>0</v>
      </c>
      <c r="I25" s="587">
        <f t="shared" si="33"/>
        <v>0</v>
      </c>
      <c r="J25" s="587">
        <f t="shared" si="33"/>
        <v>0</v>
      </c>
      <c r="K25" s="587">
        <f t="shared" si="33"/>
        <v>0</v>
      </c>
      <c r="L25" s="587">
        <f t="shared" si="33"/>
        <v>0</v>
      </c>
      <c r="M25" s="587">
        <f t="shared" si="33"/>
        <v>0</v>
      </c>
      <c r="N25" s="587">
        <f t="shared" si="33"/>
        <v>0</v>
      </c>
      <c r="O25" s="587">
        <f t="shared" si="33"/>
        <v>0</v>
      </c>
      <c r="P25" s="587">
        <f t="shared" si="33"/>
        <v>0</v>
      </c>
      <c r="Q25" s="587">
        <f t="shared" si="33"/>
        <v>0</v>
      </c>
      <c r="R25" s="587">
        <f t="shared" si="33"/>
        <v>0</v>
      </c>
      <c r="S25" s="587">
        <f t="shared" si="33"/>
        <v>0</v>
      </c>
      <c r="T25" s="587">
        <f t="shared" si="33"/>
        <v>0</v>
      </c>
      <c r="U25" s="587">
        <f t="shared" si="33"/>
        <v>0</v>
      </c>
      <c r="V25" s="587">
        <f t="shared" si="33"/>
        <v>0</v>
      </c>
      <c r="W25" s="587">
        <f t="shared" si="12"/>
        <v>0</v>
      </c>
      <c r="X25" s="587">
        <f t="shared" si="13"/>
        <v>0</v>
      </c>
      <c r="Y25" s="587">
        <f t="shared" si="14"/>
        <v>0</v>
      </c>
      <c r="Z25" s="587">
        <f t="shared" si="15"/>
        <v>0</v>
      </c>
      <c r="AA25" s="587">
        <f t="shared" si="16"/>
        <v>0</v>
      </c>
      <c r="AB25" s="587">
        <f t="shared" si="17"/>
        <v>0</v>
      </c>
      <c r="AC25" s="587">
        <f t="shared" si="18"/>
        <v>0</v>
      </c>
      <c r="AD25" s="587">
        <f t="shared" si="19"/>
        <v>0</v>
      </c>
      <c r="AE25" s="587">
        <f t="shared" si="20"/>
        <v>0</v>
      </c>
      <c r="AF25" s="587">
        <f t="shared" si="21"/>
        <v>0</v>
      </c>
      <c r="AG25" s="587">
        <f t="shared" si="22"/>
        <v>0</v>
      </c>
      <c r="AH25" s="587">
        <f t="shared" si="23"/>
        <v>0</v>
      </c>
      <c r="AI25" s="587">
        <f t="shared" si="24"/>
        <v>0</v>
      </c>
      <c r="AJ25" s="587">
        <f t="shared" si="25"/>
        <v>0</v>
      </c>
      <c r="AK25" s="587">
        <f t="shared" si="26"/>
        <v>0</v>
      </c>
      <c r="AL25" s="587">
        <f t="shared" si="27"/>
        <v>0</v>
      </c>
      <c r="AM25" s="587">
        <f t="shared" si="28"/>
        <v>0</v>
      </c>
      <c r="AN25" s="587">
        <f t="shared" si="29"/>
        <v>0</v>
      </c>
      <c r="AO25" s="587">
        <f t="shared" si="30"/>
        <v>0</v>
      </c>
      <c r="AP25" s="638">
        <f t="shared" si="31"/>
        <v>0</v>
      </c>
    </row>
    <row r="26" spans="1:42" ht="16.5" thickBot="1">
      <c r="A26" s="929" t="s">
        <v>1310</v>
      </c>
      <c r="B26" s="924">
        <f>'01_1_General Data'!D130</f>
        <v>0</v>
      </c>
      <c r="C26" s="611">
        <f>'02_2_EXPENSE'!$D$89</f>
        <v>0</v>
      </c>
      <c r="D26" s="611">
        <f t="shared" ref="D26:V26" si="34">C26*(1+$B26)</f>
        <v>0</v>
      </c>
      <c r="E26" s="611">
        <f t="shared" si="34"/>
        <v>0</v>
      </c>
      <c r="F26" s="611">
        <f t="shared" si="34"/>
        <v>0</v>
      </c>
      <c r="G26" s="611">
        <f t="shared" si="34"/>
        <v>0</v>
      </c>
      <c r="H26" s="611">
        <f t="shared" si="34"/>
        <v>0</v>
      </c>
      <c r="I26" s="611">
        <f t="shared" si="34"/>
        <v>0</v>
      </c>
      <c r="J26" s="611">
        <f t="shared" si="34"/>
        <v>0</v>
      </c>
      <c r="K26" s="611">
        <f t="shared" si="34"/>
        <v>0</v>
      </c>
      <c r="L26" s="611">
        <f t="shared" si="34"/>
        <v>0</v>
      </c>
      <c r="M26" s="611">
        <f t="shared" si="34"/>
        <v>0</v>
      </c>
      <c r="N26" s="611">
        <f t="shared" si="34"/>
        <v>0</v>
      </c>
      <c r="O26" s="611">
        <f t="shared" si="34"/>
        <v>0</v>
      </c>
      <c r="P26" s="611">
        <f t="shared" si="34"/>
        <v>0</v>
      </c>
      <c r="Q26" s="611">
        <f t="shared" si="34"/>
        <v>0</v>
      </c>
      <c r="R26" s="611">
        <f t="shared" si="34"/>
        <v>0</v>
      </c>
      <c r="S26" s="611">
        <f t="shared" si="34"/>
        <v>0</v>
      </c>
      <c r="T26" s="611">
        <f t="shared" si="34"/>
        <v>0</v>
      </c>
      <c r="U26" s="611">
        <f t="shared" si="34"/>
        <v>0</v>
      </c>
      <c r="V26" s="611">
        <f t="shared" si="34"/>
        <v>0</v>
      </c>
      <c r="W26" s="611">
        <f t="shared" si="12"/>
        <v>0</v>
      </c>
      <c r="X26" s="611">
        <f t="shared" si="13"/>
        <v>0</v>
      </c>
      <c r="Y26" s="611">
        <f t="shared" si="14"/>
        <v>0</v>
      </c>
      <c r="Z26" s="611">
        <f t="shared" si="15"/>
        <v>0</v>
      </c>
      <c r="AA26" s="611">
        <f t="shared" si="16"/>
        <v>0</v>
      </c>
      <c r="AB26" s="611">
        <f t="shared" si="17"/>
        <v>0</v>
      </c>
      <c r="AC26" s="611">
        <f t="shared" si="18"/>
        <v>0</v>
      </c>
      <c r="AD26" s="611">
        <f t="shared" si="19"/>
        <v>0</v>
      </c>
      <c r="AE26" s="611">
        <f t="shared" si="20"/>
        <v>0</v>
      </c>
      <c r="AF26" s="611">
        <f t="shared" si="21"/>
        <v>0</v>
      </c>
      <c r="AG26" s="611">
        <f t="shared" si="22"/>
        <v>0</v>
      </c>
      <c r="AH26" s="611">
        <f t="shared" si="23"/>
        <v>0</v>
      </c>
      <c r="AI26" s="611">
        <f t="shared" si="24"/>
        <v>0</v>
      </c>
      <c r="AJ26" s="611">
        <f t="shared" si="25"/>
        <v>0</v>
      </c>
      <c r="AK26" s="611">
        <f t="shared" si="26"/>
        <v>0</v>
      </c>
      <c r="AL26" s="611">
        <f t="shared" si="27"/>
        <v>0</v>
      </c>
      <c r="AM26" s="611">
        <f t="shared" si="28"/>
        <v>0</v>
      </c>
      <c r="AN26" s="611">
        <f t="shared" si="29"/>
        <v>0</v>
      </c>
      <c r="AO26" s="611">
        <f t="shared" si="30"/>
        <v>0</v>
      </c>
      <c r="AP26" s="640">
        <f t="shared" si="31"/>
        <v>0</v>
      </c>
    </row>
    <row r="27" spans="1:42" ht="16.5" thickBot="1">
      <c r="A27" s="930" t="s">
        <v>1804</v>
      </c>
      <c r="B27" s="926"/>
      <c r="C27" s="614">
        <f>SUM(C18:C26)</f>
        <v>0</v>
      </c>
      <c r="D27" s="614">
        <f>SUM(D18:D26)</f>
        <v>0</v>
      </c>
      <c r="E27" s="614">
        <f t="shared" ref="E27:V27" si="35">SUM(E18:E26)</f>
        <v>0</v>
      </c>
      <c r="F27" s="614">
        <f t="shared" si="35"/>
        <v>0</v>
      </c>
      <c r="G27" s="614">
        <f t="shared" si="35"/>
        <v>0</v>
      </c>
      <c r="H27" s="614">
        <f t="shared" si="35"/>
        <v>0</v>
      </c>
      <c r="I27" s="614">
        <f t="shared" si="35"/>
        <v>0</v>
      </c>
      <c r="J27" s="614">
        <f t="shared" si="35"/>
        <v>0</v>
      </c>
      <c r="K27" s="614">
        <f t="shared" si="35"/>
        <v>0</v>
      </c>
      <c r="L27" s="614">
        <f t="shared" si="35"/>
        <v>0</v>
      </c>
      <c r="M27" s="614">
        <f t="shared" si="35"/>
        <v>0</v>
      </c>
      <c r="N27" s="614">
        <f t="shared" si="35"/>
        <v>0</v>
      </c>
      <c r="O27" s="614">
        <f t="shared" si="35"/>
        <v>0</v>
      </c>
      <c r="P27" s="614">
        <f t="shared" si="35"/>
        <v>0</v>
      </c>
      <c r="Q27" s="614">
        <f t="shared" si="35"/>
        <v>0</v>
      </c>
      <c r="R27" s="614">
        <f t="shared" si="35"/>
        <v>0</v>
      </c>
      <c r="S27" s="614">
        <f t="shared" si="35"/>
        <v>0</v>
      </c>
      <c r="T27" s="614">
        <f t="shared" si="35"/>
        <v>0</v>
      </c>
      <c r="U27" s="614">
        <f t="shared" si="35"/>
        <v>0</v>
      </c>
      <c r="V27" s="614">
        <f t="shared" si="35"/>
        <v>0</v>
      </c>
      <c r="W27" s="614">
        <f t="shared" ref="W27:AP27" si="36">SUM(W18:W26)</f>
        <v>0</v>
      </c>
      <c r="X27" s="614">
        <f t="shared" si="36"/>
        <v>0</v>
      </c>
      <c r="Y27" s="614">
        <f t="shared" si="36"/>
        <v>0</v>
      </c>
      <c r="Z27" s="614">
        <f t="shared" si="36"/>
        <v>0</v>
      </c>
      <c r="AA27" s="614">
        <f t="shared" si="36"/>
        <v>0</v>
      </c>
      <c r="AB27" s="614">
        <f t="shared" si="36"/>
        <v>0</v>
      </c>
      <c r="AC27" s="614">
        <f t="shared" si="36"/>
        <v>0</v>
      </c>
      <c r="AD27" s="614">
        <f t="shared" si="36"/>
        <v>0</v>
      </c>
      <c r="AE27" s="614">
        <f t="shared" si="36"/>
        <v>0</v>
      </c>
      <c r="AF27" s="614">
        <f t="shared" si="36"/>
        <v>0</v>
      </c>
      <c r="AG27" s="614">
        <f t="shared" si="36"/>
        <v>0</v>
      </c>
      <c r="AH27" s="614">
        <f t="shared" si="36"/>
        <v>0</v>
      </c>
      <c r="AI27" s="614">
        <f t="shared" si="36"/>
        <v>0</v>
      </c>
      <c r="AJ27" s="614">
        <f t="shared" si="36"/>
        <v>0</v>
      </c>
      <c r="AK27" s="614">
        <f t="shared" si="36"/>
        <v>0</v>
      </c>
      <c r="AL27" s="614">
        <f t="shared" si="36"/>
        <v>0</v>
      </c>
      <c r="AM27" s="614">
        <f t="shared" si="36"/>
        <v>0</v>
      </c>
      <c r="AN27" s="614">
        <f t="shared" si="36"/>
        <v>0</v>
      </c>
      <c r="AO27" s="614">
        <f t="shared" si="36"/>
        <v>0</v>
      </c>
      <c r="AP27" s="615">
        <f t="shared" si="36"/>
        <v>0</v>
      </c>
    </row>
    <row r="28" spans="1:42">
      <c r="A28" s="368" t="s">
        <v>1805</v>
      </c>
    </row>
    <row r="29" spans="1:42" ht="16.5" thickBot="1">
      <c r="A29" s="368"/>
    </row>
    <row r="30" spans="1:42" ht="16.5" thickBot="1">
      <c r="A30" s="936" t="s">
        <v>1806</v>
      </c>
      <c r="B30" s="935"/>
      <c r="C30" s="708">
        <f>C15-C27</f>
        <v>0</v>
      </c>
      <c r="D30" s="708">
        <f>D15-D27</f>
        <v>0</v>
      </c>
      <c r="E30" s="708">
        <f t="shared" ref="E30:V30" si="37">E15-E27</f>
        <v>0</v>
      </c>
      <c r="F30" s="708">
        <f t="shared" si="37"/>
        <v>0</v>
      </c>
      <c r="G30" s="708">
        <f t="shared" si="37"/>
        <v>0</v>
      </c>
      <c r="H30" s="708">
        <f t="shared" si="37"/>
        <v>0</v>
      </c>
      <c r="I30" s="708">
        <f t="shared" si="37"/>
        <v>0</v>
      </c>
      <c r="J30" s="708">
        <f t="shared" si="37"/>
        <v>0</v>
      </c>
      <c r="K30" s="708">
        <f t="shared" si="37"/>
        <v>0</v>
      </c>
      <c r="L30" s="708">
        <f t="shared" si="37"/>
        <v>0</v>
      </c>
      <c r="M30" s="708">
        <f t="shared" si="37"/>
        <v>0</v>
      </c>
      <c r="N30" s="708">
        <f t="shared" si="37"/>
        <v>0</v>
      </c>
      <c r="O30" s="708">
        <f t="shared" si="37"/>
        <v>0</v>
      </c>
      <c r="P30" s="708">
        <f t="shared" si="37"/>
        <v>0</v>
      </c>
      <c r="Q30" s="708">
        <f t="shared" si="37"/>
        <v>0</v>
      </c>
      <c r="R30" s="708">
        <f t="shared" si="37"/>
        <v>0</v>
      </c>
      <c r="S30" s="708">
        <f t="shared" si="37"/>
        <v>0</v>
      </c>
      <c r="T30" s="708">
        <f t="shared" si="37"/>
        <v>0</v>
      </c>
      <c r="U30" s="708">
        <f t="shared" si="37"/>
        <v>0</v>
      </c>
      <c r="V30" s="708">
        <f t="shared" si="37"/>
        <v>0</v>
      </c>
      <c r="W30" s="708">
        <f t="shared" ref="W30:AP30" si="38">W15-W27</f>
        <v>0</v>
      </c>
      <c r="X30" s="708">
        <f t="shared" si="38"/>
        <v>0</v>
      </c>
      <c r="Y30" s="708">
        <f t="shared" si="38"/>
        <v>0</v>
      </c>
      <c r="Z30" s="708">
        <f t="shared" si="38"/>
        <v>0</v>
      </c>
      <c r="AA30" s="708">
        <f t="shared" si="38"/>
        <v>0</v>
      </c>
      <c r="AB30" s="708">
        <f t="shared" si="38"/>
        <v>0</v>
      </c>
      <c r="AC30" s="708">
        <f t="shared" si="38"/>
        <v>0</v>
      </c>
      <c r="AD30" s="708">
        <f t="shared" si="38"/>
        <v>0</v>
      </c>
      <c r="AE30" s="708">
        <f t="shared" si="38"/>
        <v>0</v>
      </c>
      <c r="AF30" s="708">
        <f t="shared" si="38"/>
        <v>0</v>
      </c>
      <c r="AG30" s="708">
        <f t="shared" si="38"/>
        <v>0</v>
      </c>
      <c r="AH30" s="708">
        <f t="shared" si="38"/>
        <v>0</v>
      </c>
      <c r="AI30" s="708">
        <f t="shared" si="38"/>
        <v>0</v>
      </c>
      <c r="AJ30" s="708">
        <f t="shared" si="38"/>
        <v>0</v>
      </c>
      <c r="AK30" s="708">
        <f t="shared" si="38"/>
        <v>0</v>
      </c>
      <c r="AL30" s="708">
        <f t="shared" si="38"/>
        <v>0</v>
      </c>
      <c r="AM30" s="708">
        <f t="shared" si="38"/>
        <v>0</v>
      </c>
      <c r="AN30" s="708">
        <f t="shared" si="38"/>
        <v>0</v>
      </c>
      <c r="AO30" s="708">
        <f t="shared" si="38"/>
        <v>0</v>
      </c>
      <c r="AP30" s="709">
        <f t="shared" si="38"/>
        <v>0</v>
      </c>
    </row>
    <row r="31" spans="1:42"/>
    <row r="32" spans="1:42" ht="16.5" thickBot="1">
      <c r="A32" s="366" t="s">
        <v>1807</v>
      </c>
      <c r="B32" s="366"/>
    </row>
    <row r="33" spans="1:42">
      <c r="A33" s="927" t="str">
        <f>'06_2_Credit Committee'!$C$38</f>
        <v/>
      </c>
      <c r="B33" s="937"/>
      <c r="C33" s="636">
        <f>SUMIF('03_3_Amortizations'!$A$13:$A$492,'04_1_Pro Forma'!C4,'03_3_Amortizations'!$E$13:$E$492)</f>
        <v>0</v>
      </c>
      <c r="D33" s="636">
        <f>SUMIF('03_3_Amortizations'!$A$13:$A$492,'04_1_Pro Forma'!D4,'03_3_Amortizations'!$E$13:$E$492)</f>
        <v>0</v>
      </c>
      <c r="E33" s="636">
        <f>SUMIF('03_3_Amortizations'!$A$13:$A$492,'04_1_Pro Forma'!E4,'03_3_Amortizations'!$E$13:$E$492)</f>
        <v>0</v>
      </c>
      <c r="F33" s="636">
        <f>SUMIF('03_3_Amortizations'!$A$13:$A$492,'04_1_Pro Forma'!F4,'03_3_Amortizations'!$E$13:$E$492)</f>
        <v>0</v>
      </c>
      <c r="G33" s="636">
        <f>SUMIF('03_3_Amortizations'!$A$13:$A$492,'04_1_Pro Forma'!G4,'03_3_Amortizations'!$E$13:$E$492)</f>
        <v>0</v>
      </c>
      <c r="H33" s="636">
        <f>SUMIF('03_3_Amortizations'!$A$13:$A$492,'04_1_Pro Forma'!H4,'03_3_Amortizations'!$E$13:$E$492)</f>
        <v>0</v>
      </c>
      <c r="I33" s="636">
        <f>SUMIF('03_3_Amortizations'!$A$13:$A$492,'04_1_Pro Forma'!I4,'03_3_Amortizations'!$E$13:$E$492)</f>
        <v>0</v>
      </c>
      <c r="J33" s="636">
        <f>SUMIF('03_3_Amortizations'!$A$13:$A$492,'04_1_Pro Forma'!J4,'03_3_Amortizations'!$E$13:$E$492)</f>
        <v>0</v>
      </c>
      <c r="K33" s="636">
        <f>SUMIF('03_3_Amortizations'!$A$13:$A$492,'04_1_Pro Forma'!K4,'03_3_Amortizations'!$E$13:$E$492)</f>
        <v>0</v>
      </c>
      <c r="L33" s="636">
        <f>SUMIF('03_3_Amortizations'!$A$13:$A$492,'04_1_Pro Forma'!L4,'03_3_Amortizations'!$E$13:$E$492)</f>
        <v>0</v>
      </c>
      <c r="M33" s="636">
        <f>SUMIF('03_3_Amortizations'!$A$13:$A$492,'04_1_Pro Forma'!M4,'03_3_Amortizations'!$E$13:$E$492)</f>
        <v>0</v>
      </c>
      <c r="N33" s="636">
        <f>SUMIF('03_3_Amortizations'!$A$13:$A$492,'04_1_Pro Forma'!N4,'03_3_Amortizations'!$E$13:$E$492)</f>
        <v>0</v>
      </c>
      <c r="O33" s="636">
        <f>SUMIF('03_3_Amortizations'!$A$13:$A$492,'04_1_Pro Forma'!O4,'03_3_Amortizations'!$E$13:$E$492)</f>
        <v>0</v>
      </c>
      <c r="P33" s="636">
        <f>SUMIF('03_3_Amortizations'!$A$13:$A$492,'04_1_Pro Forma'!P4,'03_3_Amortizations'!$E$13:$E$492)</f>
        <v>0</v>
      </c>
      <c r="Q33" s="636">
        <f>SUMIF('03_3_Amortizations'!$A$13:$A$492,'04_1_Pro Forma'!Q4,'03_3_Amortizations'!$E$13:$E$492)</f>
        <v>0</v>
      </c>
      <c r="R33" s="636">
        <f>SUMIF('03_3_Amortizations'!$A$13:$A$492,'04_1_Pro Forma'!R4,'03_3_Amortizations'!$E$13:$E$492)</f>
        <v>0</v>
      </c>
      <c r="S33" s="636">
        <f>SUMIF('03_3_Amortizations'!$A$13:$A$492,'04_1_Pro Forma'!S4,'03_3_Amortizations'!$E$13:$E$492)</f>
        <v>0</v>
      </c>
      <c r="T33" s="636">
        <f>SUMIF('03_3_Amortizations'!$A$13:$A$492,'04_1_Pro Forma'!T4,'03_3_Amortizations'!$E$13:$E$492)</f>
        <v>0</v>
      </c>
      <c r="U33" s="636">
        <f>SUMIF('03_3_Amortizations'!$A$13:$A$492,'04_1_Pro Forma'!U4,'03_3_Amortizations'!$E$13:$E$492)</f>
        <v>0</v>
      </c>
      <c r="V33" s="636">
        <f>SUMIF('03_3_Amortizations'!$A$13:$A$492,'04_1_Pro Forma'!V4,'03_3_Amortizations'!$E$13:$E$492)</f>
        <v>0</v>
      </c>
      <c r="W33" s="636">
        <f>SUMIF('03_3_Amortizations'!$A$13:$A$492,'04_1_Pro Forma'!W4,'03_3_Amortizations'!$E$13:$E$492)</f>
        <v>0</v>
      </c>
      <c r="X33" s="636">
        <f>SUMIF('03_3_Amortizations'!$A$13:$A$492,'04_1_Pro Forma'!X4,'03_3_Amortizations'!$E$13:$E$492)</f>
        <v>0</v>
      </c>
      <c r="Y33" s="636">
        <f>SUMIF('03_3_Amortizations'!$A$13:$A$492,'04_1_Pro Forma'!Y4,'03_3_Amortizations'!$E$13:$E$492)</f>
        <v>0</v>
      </c>
      <c r="Z33" s="636">
        <f>SUMIF('03_3_Amortizations'!$A$13:$A$492,'04_1_Pro Forma'!Z4,'03_3_Amortizations'!$E$13:$E$492)</f>
        <v>0</v>
      </c>
      <c r="AA33" s="636">
        <f>SUMIF('03_3_Amortizations'!$A$13:$A$492,'04_1_Pro Forma'!AA4,'03_3_Amortizations'!$E$13:$E$492)</f>
        <v>0</v>
      </c>
      <c r="AB33" s="636">
        <f>SUMIF('03_3_Amortizations'!$A$13:$A$492,'04_1_Pro Forma'!AB4,'03_3_Amortizations'!$E$13:$E$492)</f>
        <v>0</v>
      </c>
      <c r="AC33" s="636">
        <f>SUMIF('03_3_Amortizations'!$A$13:$A$492,'04_1_Pro Forma'!AC4,'03_3_Amortizations'!$E$13:$E$492)</f>
        <v>0</v>
      </c>
      <c r="AD33" s="636">
        <f>SUMIF('03_3_Amortizations'!$A$13:$A$492,'04_1_Pro Forma'!AD4,'03_3_Amortizations'!$E$13:$E$492)</f>
        <v>0</v>
      </c>
      <c r="AE33" s="636">
        <f>SUMIF('03_3_Amortizations'!$A$13:$A$492,'04_1_Pro Forma'!AE4,'03_3_Amortizations'!$E$13:$E$492)</f>
        <v>0</v>
      </c>
      <c r="AF33" s="636">
        <f>SUMIF('03_3_Amortizations'!$A$13:$A$492,'04_1_Pro Forma'!AF4,'03_3_Amortizations'!$E$13:$E$492)</f>
        <v>0</v>
      </c>
      <c r="AG33" s="636">
        <f>SUMIF('03_3_Amortizations'!$A$13:$A$492,'04_1_Pro Forma'!AG4,'03_3_Amortizations'!$E$13:$E$492)</f>
        <v>0</v>
      </c>
      <c r="AH33" s="636">
        <f>SUMIF('03_3_Amortizations'!$A$13:$A$492,'04_1_Pro Forma'!AH4,'03_3_Amortizations'!$E$13:$E$492)</f>
        <v>0</v>
      </c>
      <c r="AI33" s="636">
        <f>SUMIF('03_3_Amortizations'!$A$13:$A$492,'04_1_Pro Forma'!AI4,'03_3_Amortizations'!$E$13:$E$492)</f>
        <v>0</v>
      </c>
      <c r="AJ33" s="636">
        <f>SUMIF('03_3_Amortizations'!$A$13:$A$492,'04_1_Pro Forma'!AJ4,'03_3_Amortizations'!$E$13:$E$492)</f>
        <v>0</v>
      </c>
      <c r="AK33" s="636">
        <f>SUMIF('03_3_Amortizations'!$A$13:$A$492,'04_1_Pro Forma'!AK4,'03_3_Amortizations'!$E$13:$E$492)</f>
        <v>0</v>
      </c>
      <c r="AL33" s="636">
        <f>SUMIF('03_3_Amortizations'!$A$13:$A$492,'04_1_Pro Forma'!AL4,'03_3_Amortizations'!$E$13:$E$492)</f>
        <v>0</v>
      </c>
      <c r="AM33" s="636">
        <f>SUMIF('03_3_Amortizations'!$A$13:$A$492,'04_1_Pro Forma'!AM4,'03_3_Amortizations'!$E$13:$E$492)</f>
        <v>0</v>
      </c>
      <c r="AN33" s="636">
        <f>SUMIF('03_3_Amortizations'!$A$13:$A$492,'04_1_Pro Forma'!AN4,'03_3_Amortizations'!$E$13:$E$492)</f>
        <v>0</v>
      </c>
      <c r="AO33" s="636">
        <f>SUMIF('03_3_Amortizations'!$A$13:$A$492,'04_1_Pro Forma'!AO4,'03_3_Amortizations'!$E$13:$E$492)</f>
        <v>0</v>
      </c>
      <c r="AP33" s="637">
        <f>SUMIF('03_3_Amortizations'!$A$13:$A$492,'04_1_Pro Forma'!AP4,'03_3_Amortizations'!$E$13:$E$492)</f>
        <v>0</v>
      </c>
    </row>
    <row r="34" spans="1:42">
      <c r="A34" s="928" t="s">
        <v>893</v>
      </c>
      <c r="B34" s="369"/>
      <c r="C34" s="587">
        <f>SUMIF('03_3_Amortizations'!$A$13:$A$492,'04_1_Pro Forma'!C4,'03_3_Amortizations'!$I$13:$I$492)</f>
        <v>0</v>
      </c>
      <c r="D34" s="587">
        <f>SUMIF('03_3_Amortizations'!$A$13:$A$492,'04_1_Pro Forma'!D4,'03_3_Amortizations'!$I$13:$I$492)</f>
        <v>0</v>
      </c>
      <c r="E34" s="587">
        <f>SUMIF('03_3_Amortizations'!$A$13:$A$492,'04_1_Pro Forma'!E4,'03_3_Amortizations'!$I$13:$I$492)</f>
        <v>0</v>
      </c>
      <c r="F34" s="587">
        <f>SUMIF('03_3_Amortizations'!$A$13:$A$492,'04_1_Pro Forma'!F4,'03_3_Amortizations'!$I$13:$I$492)</f>
        <v>0</v>
      </c>
      <c r="G34" s="587">
        <f>SUMIF('03_3_Amortizations'!$A$13:$A$492,'04_1_Pro Forma'!G4,'03_3_Amortizations'!$I$13:$I$492)</f>
        <v>0</v>
      </c>
      <c r="H34" s="587">
        <f>SUMIF('03_3_Amortizations'!$A$13:$A$492,'04_1_Pro Forma'!H4,'03_3_Amortizations'!$I$13:$I$492)</f>
        <v>0</v>
      </c>
      <c r="I34" s="587">
        <f>SUMIF('03_3_Amortizations'!$A$13:$A$492,'04_1_Pro Forma'!I4,'03_3_Amortizations'!$I$13:$I$492)</f>
        <v>0</v>
      </c>
      <c r="J34" s="587">
        <f>SUMIF('03_3_Amortizations'!$A$13:$A$492,'04_1_Pro Forma'!J4,'03_3_Amortizations'!$I$13:$I$492)</f>
        <v>0</v>
      </c>
      <c r="K34" s="587">
        <f>SUMIF('03_3_Amortizations'!$A$13:$A$492,'04_1_Pro Forma'!K4,'03_3_Amortizations'!$I$13:$I$492)</f>
        <v>0</v>
      </c>
      <c r="L34" s="587">
        <f>SUMIF('03_3_Amortizations'!$A$13:$A$492,'04_1_Pro Forma'!L4,'03_3_Amortizations'!$I$13:$I$492)</f>
        <v>0</v>
      </c>
      <c r="M34" s="587">
        <f>SUMIF('03_3_Amortizations'!$A$13:$A$492,'04_1_Pro Forma'!M4,'03_3_Amortizations'!$I$13:$I$492)</f>
        <v>0</v>
      </c>
      <c r="N34" s="587">
        <f>SUMIF('03_3_Amortizations'!$A$13:$A$492,'04_1_Pro Forma'!N4,'03_3_Amortizations'!$I$13:$I$492)</f>
        <v>0</v>
      </c>
      <c r="O34" s="587">
        <f>SUMIF('03_3_Amortizations'!$A$13:$A$492,'04_1_Pro Forma'!O4,'03_3_Amortizations'!$I$13:$I$492)</f>
        <v>0</v>
      </c>
      <c r="P34" s="587">
        <f>SUMIF('03_3_Amortizations'!$A$13:$A$492,'04_1_Pro Forma'!P4,'03_3_Amortizations'!$I$13:$I$492)</f>
        <v>0</v>
      </c>
      <c r="Q34" s="587">
        <f>SUMIF('03_3_Amortizations'!$A$13:$A$492,'04_1_Pro Forma'!Q4,'03_3_Amortizations'!$I$13:$I$492)</f>
        <v>0</v>
      </c>
      <c r="R34" s="587">
        <f>SUMIF('03_3_Amortizations'!$A$13:$A$492,'04_1_Pro Forma'!R4,'03_3_Amortizations'!$I$13:$I$492)</f>
        <v>0</v>
      </c>
      <c r="S34" s="587">
        <f>SUMIF('03_3_Amortizations'!$A$13:$A$492,'04_1_Pro Forma'!S4,'03_3_Amortizations'!$I$13:$I$492)</f>
        <v>0</v>
      </c>
      <c r="T34" s="587">
        <f>SUMIF('03_3_Amortizations'!$A$13:$A$492,'04_1_Pro Forma'!T4,'03_3_Amortizations'!$I$13:$I$492)</f>
        <v>0</v>
      </c>
      <c r="U34" s="587">
        <f>SUMIF('03_3_Amortizations'!$A$13:$A$492,'04_1_Pro Forma'!U4,'03_3_Amortizations'!$I$13:$I$492)</f>
        <v>0</v>
      </c>
      <c r="V34" s="587">
        <f>SUMIF('03_3_Amortizations'!$A$13:$A$492,'04_1_Pro Forma'!V4,'03_3_Amortizations'!$I$13:$I$492)</f>
        <v>0</v>
      </c>
      <c r="W34" s="587">
        <f>SUMIF('03_3_Amortizations'!$A$13:$A$492,'04_1_Pro Forma'!W4,'03_3_Amortizations'!$I$13:$I$492)</f>
        <v>0</v>
      </c>
      <c r="X34" s="587">
        <f>SUMIF('03_3_Amortizations'!$A$13:$A$492,'04_1_Pro Forma'!X4,'03_3_Amortizations'!$I$13:$I$492)</f>
        <v>0</v>
      </c>
      <c r="Y34" s="587">
        <f>SUMIF('03_3_Amortizations'!$A$13:$A$492,'04_1_Pro Forma'!Y4,'03_3_Amortizations'!$I$13:$I$492)</f>
        <v>0</v>
      </c>
      <c r="Z34" s="587">
        <f>SUMIF('03_3_Amortizations'!$A$13:$A$492,'04_1_Pro Forma'!Z4,'03_3_Amortizations'!$I$13:$I$492)</f>
        <v>0</v>
      </c>
      <c r="AA34" s="587">
        <f>SUMIF('03_3_Amortizations'!$A$13:$A$492,'04_1_Pro Forma'!AA4,'03_3_Amortizations'!$I$13:$I$492)</f>
        <v>0</v>
      </c>
      <c r="AB34" s="587">
        <f>SUMIF('03_3_Amortizations'!$A$13:$A$492,'04_1_Pro Forma'!AB4,'03_3_Amortizations'!$I$13:$I$492)</f>
        <v>0</v>
      </c>
      <c r="AC34" s="587">
        <f>SUMIF('03_3_Amortizations'!$A$13:$A$492,'04_1_Pro Forma'!AC4,'03_3_Amortizations'!$I$13:$I$492)</f>
        <v>0</v>
      </c>
      <c r="AD34" s="587">
        <f>SUMIF('03_3_Amortizations'!$A$13:$A$492,'04_1_Pro Forma'!AD4,'03_3_Amortizations'!$I$13:$I$492)</f>
        <v>0</v>
      </c>
      <c r="AE34" s="587">
        <f>SUMIF('03_3_Amortizations'!$A$13:$A$492,'04_1_Pro Forma'!AE4,'03_3_Amortizations'!$I$13:$I$492)</f>
        <v>0</v>
      </c>
      <c r="AF34" s="587">
        <f>SUMIF('03_3_Amortizations'!$A$13:$A$492,'04_1_Pro Forma'!AF4,'03_3_Amortizations'!$I$13:$I$492)</f>
        <v>0</v>
      </c>
      <c r="AG34" s="587">
        <f>SUMIF('03_3_Amortizations'!$A$13:$A$492,'04_1_Pro Forma'!AG4,'03_3_Amortizations'!$I$13:$I$492)</f>
        <v>0</v>
      </c>
      <c r="AH34" s="587">
        <f>SUMIF('03_3_Amortizations'!$A$13:$A$492,'04_1_Pro Forma'!AH4,'03_3_Amortizations'!$I$13:$I$492)</f>
        <v>0</v>
      </c>
      <c r="AI34" s="587">
        <f>SUMIF('03_3_Amortizations'!$A$13:$A$492,'04_1_Pro Forma'!AI4,'03_3_Amortizations'!$I$13:$I$492)</f>
        <v>0</v>
      </c>
      <c r="AJ34" s="587">
        <f>SUMIF('03_3_Amortizations'!$A$13:$A$492,'04_1_Pro Forma'!AJ4,'03_3_Amortizations'!$I$13:$I$492)</f>
        <v>0</v>
      </c>
      <c r="AK34" s="587">
        <f>SUMIF('03_3_Amortizations'!$A$13:$A$492,'04_1_Pro Forma'!AK4,'03_3_Amortizations'!$I$13:$I$492)</f>
        <v>0</v>
      </c>
      <c r="AL34" s="587">
        <f>SUMIF('03_3_Amortizations'!$A$13:$A$492,'04_1_Pro Forma'!AL4,'03_3_Amortizations'!$I$13:$I$492)</f>
        <v>0</v>
      </c>
      <c r="AM34" s="587">
        <f>SUMIF('03_3_Amortizations'!$A$13:$A$492,'04_1_Pro Forma'!AM4,'03_3_Amortizations'!$I$13:$I$492)</f>
        <v>0</v>
      </c>
      <c r="AN34" s="587">
        <f>SUMIF('03_3_Amortizations'!$A$13:$A$492,'04_1_Pro Forma'!AN4,'03_3_Amortizations'!$I$13:$I$492)</f>
        <v>0</v>
      </c>
      <c r="AO34" s="587">
        <f>SUMIF('03_3_Amortizations'!$A$13:$A$492,'04_1_Pro Forma'!AO4,'03_3_Amortizations'!$I$13:$I$492)</f>
        <v>0</v>
      </c>
      <c r="AP34" s="638">
        <f>SUMIF('03_3_Amortizations'!$A$13:$A$492,'04_1_Pro Forma'!AP4,'03_3_Amortizations'!$I$13:$I$492)</f>
        <v>0</v>
      </c>
    </row>
    <row r="35" spans="1:42">
      <c r="A35" s="928" t="s">
        <v>83</v>
      </c>
      <c r="B35" s="369"/>
      <c r="C35" s="587">
        <f>SUMIF('03_3_Amortizations'!$A$13:$A$492,'04_1_Pro Forma'!C4,'03_3_Amortizations'!$N$13:$N$492)</f>
        <v>0</v>
      </c>
      <c r="D35" s="587">
        <f>SUMIF('03_3_Amortizations'!$A$13:$A$492,'04_1_Pro Forma'!D4,'03_3_Amortizations'!$N$13:$N$492)</f>
        <v>0</v>
      </c>
      <c r="E35" s="587">
        <f>SUMIF('03_3_Amortizations'!$A$13:$A$492,'04_1_Pro Forma'!E4,'03_3_Amortizations'!$N$13:$N$492)</f>
        <v>0</v>
      </c>
      <c r="F35" s="587">
        <f>SUMIF('03_3_Amortizations'!$A$13:$A$492,'04_1_Pro Forma'!F4,'03_3_Amortizations'!$N$13:$N$492)</f>
        <v>0</v>
      </c>
      <c r="G35" s="587">
        <f>SUMIF('03_3_Amortizations'!$A$13:$A$492,'04_1_Pro Forma'!G4,'03_3_Amortizations'!$N$13:$N$492)</f>
        <v>0</v>
      </c>
      <c r="H35" s="587">
        <f>SUMIF('03_3_Amortizations'!$A$13:$A$492,'04_1_Pro Forma'!H4,'03_3_Amortizations'!$N$13:$N$492)</f>
        <v>0</v>
      </c>
      <c r="I35" s="587">
        <f>SUMIF('03_3_Amortizations'!$A$13:$A$492,'04_1_Pro Forma'!I4,'03_3_Amortizations'!$N$13:$N$492)</f>
        <v>0</v>
      </c>
      <c r="J35" s="587">
        <f>SUMIF('03_3_Amortizations'!$A$13:$A$492,'04_1_Pro Forma'!J4,'03_3_Amortizations'!$N$13:$N$492)</f>
        <v>0</v>
      </c>
      <c r="K35" s="587">
        <f>SUMIF('03_3_Amortizations'!$A$13:$A$492,'04_1_Pro Forma'!K4,'03_3_Amortizations'!$N$13:$N$492)</f>
        <v>0</v>
      </c>
      <c r="L35" s="587">
        <f>SUMIF('03_3_Amortizations'!$A$13:$A$492,'04_1_Pro Forma'!L4,'03_3_Amortizations'!$N$13:$N$492)</f>
        <v>0</v>
      </c>
      <c r="M35" s="587">
        <f>SUMIF('03_3_Amortizations'!$A$13:$A$492,'04_1_Pro Forma'!M4,'03_3_Amortizations'!$N$13:$N$492)</f>
        <v>0</v>
      </c>
      <c r="N35" s="587">
        <f>SUMIF('03_3_Amortizations'!$A$13:$A$492,'04_1_Pro Forma'!N4,'03_3_Amortizations'!$N$13:$N$492)</f>
        <v>0</v>
      </c>
      <c r="O35" s="587">
        <f>SUMIF('03_3_Amortizations'!$A$13:$A$492,'04_1_Pro Forma'!O4,'03_3_Amortizations'!$N$13:$N$492)</f>
        <v>0</v>
      </c>
      <c r="P35" s="587">
        <f>SUMIF('03_3_Amortizations'!$A$13:$A$492,'04_1_Pro Forma'!P4,'03_3_Amortizations'!$N$13:$N$492)</f>
        <v>0</v>
      </c>
      <c r="Q35" s="587">
        <f>SUMIF('03_3_Amortizations'!$A$13:$A$492,'04_1_Pro Forma'!Q4,'03_3_Amortizations'!$N$13:$N$492)</f>
        <v>0</v>
      </c>
      <c r="R35" s="587">
        <f>SUMIF('03_3_Amortizations'!$A$13:$A$492,'04_1_Pro Forma'!R4,'03_3_Amortizations'!$N$13:$N$492)</f>
        <v>0</v>
      </c>
      <c r="S35" s="587">
        <f>SUMIF('03_3_Amortizations'!$A$13:$A$492,'04_1_Pro Forma'!S4,'03_3_Amortizations'!$N$13:$N$492)</f>
        <v>0</v>
      </c>
      <c r="T35" s="587">
        <f>SUMIF('03_3_Amortizations'!$A$13:$A$492,'04_1_Pro Forma'!T4,'03_3_Amortizations'!$N$13:$N$492)</f>
        <v>0</v>
      </c>
      <c r="U35" s="587">
        <f>SUMIF('03_3_Amortizations'!$A$13:$A$492,'04_1_Pro Forma'!U4,'03_3_Amortizations'!$N$13:$N$492)</f>
        <v>0</v>
      </c>
      <c r="V35" s="587">
        <f>SUMIF('03_3_Amortizations'!$A$13:$A$492,'04_1_Pro Forma'!V4,'03_3_Amortizations'!$N$13:$N$492)</f>
        <v>0</v>
      </c>
      <c r="W35" s="587">
        <f>SUMIF('03_3_Amortizations'!$A$13:$A$492,'04_1_Pro Forma'!W4,'03_3_Amortizations'!$N$13:$N$492)</f>
        <v>0</v>
      </c>
      <c r="X35" s="587">
        <f>SUMIF('03_3_Amortizations'!$A$13:$A$492,'04_1_Pro Forma'!X4,'03_3_Amortizations'!$N$13:$N$492)</f>
        <v>0</v>
      </c>
      <c r="Y35" s="587">
        <f>SUMIF('03_3_Amortizations'!$A$13:$A$492,'04_1_Pro Forma'!Y4,'03_3_Amortizations'!$N$13:$N$492)</f>
        <v>0</v>
      </c>
      <c r="Z35" s="587">
        <f>SUMIF('03_3_Amortizations'!$A$13:$A$492,'04_1_Pro Forma'!Z4,'03_3_Amortizations'!$N$13:$N$492)</f>
        <v>0</v>
      </c>
      <c r="AA35" s="587">
        <f>SUMIF('03_3_Amortizations'!$A$13:$A$492,'04_1_Pro Forma'!AA4,'03_3_Amortizations'!$N$13:$N$492)</f>
        <v>0</v>
      </c>
      <c r="AB35" s="587">
        <f>SUMIF('03_3_Amortizations'!$A$13:$A$492,'04_1_Pro Forma'!AB4,'03_3_Amortizations'!$N$13:$N$492)</f>
        <v>0</v>
      </c>
      <c r="AC35" s="587">
        <f>SUMIF('03_3_Amortizations'!$A$13:$A$492,'04_1_Pro Forma'!AC4,'03_3_Amortizations'!$N$13:$N$492)</f>
        <v>0</v>
      </c>
      <c r="AD35" s="587">
        <f>SUMIF('03_3_Amortizations'!$A$13:$A$492,'04_1_Pro Forma'!AD4,'03_3_Amortizations'!$N$13:$N$492)</f>
        <v>0</v>
      </c>
      <c r="AE35" s="587">
        <f>SUMIF('03_3_Amortizations'!$A$13:$A$492,'04_1_Pro Forma'!AE4,'03_3_Amortizations'!$N$13:$N$492)</f>
        <v>0</v>
      </c>
      <c r="AF35" s="587">
        <f>SUMIF('03_3_Amortizations'!$A$13:$A$492,'04_1_Pro Forma'!AF4,'03_3_Amortizations'!$N$13:$N$492)</f>
        <v>0</v>
      </c>
      <c r="AG35" s="587">
        <f>SUMIF('03_3_Amortizations'!$A$13:$A$492,'04_1_Pro Forma'!AG4,'03_3_Amortizations'!$N$13:$N$492)</f>
        <v>0</v>
      </c>
      <c r="AH35" s="587">
        <f>SUMIF('03_3_Amortizations'!$A$13:$A$492,'04_1_Pro Forma'!AH4,'03_3_Amortizations'!$N$13:$N$492)</f>
        <v>0</v>
      </c>
      <c r="AI35" s="587">
        <f>SUMIF('03_3_Amortizations'!$A$13:$A$492,'04_1_Pro Forma'!AI4,'03_3_Amortizations'!$N$13:$N$492)</f>
        <v>0</v>
      </c>
      <c r="AJ35" s="587">
        <f>SUMIF('03_3_Amortizations'!$A$13:$A$492,'04_1_Pro Forma'!AJ4,'03_3_Amortizations'!$N$13:$N$492)</f>
        <v>0</v>
      </c>
      <c r="AK35" s="587">
        <f>SUMIF('03_3_Amortizations'!$A$13:$A$492,'04_1_Pro Forma'!AK4,'03_3_Amortizations'!$N$13:$N$492)</f>
        <v>0</v>
      </c>
      <c r="AL35" s="587">
        <f>SUMIF('03_3_Amortizations'!$A$13:$A$492,'04_1_Pro Forma'!AL4,'03_3_Amortizations'!$N$13:$N$492)</f>
        <v>0</v>
      </c>
      <c r="AM35" s="587">
        <f>SUMIF('03_3_Amortizations'!$A$13:$A$492,'04_1_Pro Forma'!AM4,'03_3_Amortizations'!$N$13:$N$492)</f>
        <v>0</v>
      </c>
      <c r="AN35" s="587">
        <f>SUMIF('03_3_Amortizations'!$A$13:$A$492,'04_1_Pro Forma'!AN4,'03_3_Amortizations'!$N$13:$N$492)</f>
        <v>0</v>
      </c>
      <c r="AO35" s="587">
        <f>SUMIF('03_3_Amortizations'!$A$13:$A$492,'04_1_Pro Forma'!AO4,'03_3_Amortizations'!$N$13:$N$492)</f>
        <v>0</v>
      </c>
      <c r="AP35" s="638">
        <f>SUMIF('03_3_Amortizations'!$A$13:$A$492,'04_1_Pro Forma'!AP4,'03_3_Amortizations'!$N$13:$N$492)</f>
        <v>0</v>
      </c>
    </row>
    <row r="36" spans="1:42">
      <c r="A36" s="928" t="s">
        <v>1808</v>
      </c>
      <c r="B36" s="369"/>
      <c r="C36" s="587">
        <f>SUM(C33:C35)</f>
        <v>0</v>
      </c>
      <c r="D36" s="587">
        <f t="shared" ref="D36:AP36" si="39">SUM(D33:D35)</f>
        <v>0</v>
      </c>
      <c r="E36" s="587">
        <f t="shared" si="39"/>
        <v>0</v>
      </c>
      <c r="F36" s="587">
        <f t="shared" si="39"/>
        <v>0</v>
      </c>
      <c r="G36" s="587">
        <f t="shared" si="39"/>
        <v>0</v>
      </c>
      <c r="H36" s="587">
        <f t="shared" si="39"/>
        <v>0</v>
      </c>
      <c r="I36" s="587">
        <f t="shared" si="39"/>
        <v>0</v>
      </c>
      <c r="J36" s="587">
        <f t="shared" si="39"/>
        <v>0</v>
      </c>
      <c r="K36" s="587">
        <f t="shared" si="39"/>
        <v>0</v>
      </c>
      <c r="L36" s="587">
        <f t="shared" si="39"/>
        <v>0</v>
      </c>
      <c r="M36" s="587">
        <f t="shared" si="39"/>
        <v>0</v>
      </c>
      <c r="N36" s="587">
        <f t="shared" si="39"/>
        <v>0</v>
      </c>
      <c r="O36" s="587">
        <f t="shared" si="39"/>
        <v>0</v>
      </c>
      <c r="P36" s="587">
        <f t="shared" si="39"/>
        <v>0</v>
      </c>
      <c r="Q36" s="587">
        <f t="shared" si="39"/>
        <v>0</v>
      </c>
      <c r="R36" s="587">
        <f t="shared" si="39"/>
        <v>0</v>
      </c>
      <c r="S36" s="587">
        <f t="shared" si="39"/>
        <v>0</v>
      </c>
      <c r="T36" s="587">
        <f t="shared" si="39"/>
        <v>0</v>
      </c>
      <c r="U36" s="587">
        <f t="shared" si="39"/>
        <v>0</v>
      </c>
      <c r="V36" s="587">
        <f t="shared" si="39"/>
        <v>0</v>
      </c>
      <c r="W36" s="587">
        <f t="shared" si="39"/>
        <v>0</v>
      </c>
      <c r="X36" s="587">
        <f t="shared" si="39"/>
        <v>0</v>
      </c>
      <c r="Y36" s="587">
        <f t="shared" si="39"/>
        <v>0</v>
      </c>
      <c r="Z36" s="587">
        <f t="shared" si="39"/>
        <v>0</v>
      </c>
      <c r="AA36" s="587">
        <f t="shared" si="39"/>
        <v>0</v>
      </c>
      <c r="AB36" s="587">
        <f t="shared" si="39"/>
        <v>0</v>
      </c>
      <c r="AC36" s="587">
        <f t="shared" si="39"/>
        <v>0</v>
      </c>
      <c r="AD36" s="587">
        <f t="shared" si="39"/>
        <v>0</v>
      </c>
      <c r="AE36" s="587">
        <f t="shared" si="39"/>
        <v>0</v>
      </c>
      <c r="AF36" s="587">
        <f t="shared" si="39"/>
        <v>0</v>
      </c>
      <c r="AG36" s="587">
        <f t="shared" si="39"/>
        <v>0</v>
      </c>
      <c r="AH36" s="587">
        <f t="shared" si="39"/>
        <v>0</v>
      </c>
      <c r="AI36" s="587">
        <f t="shared" si="39"/>
        <v>0</v>
      </c>
      <c r="AJ36" s="587">
        <f t="shared" si="39"/>
        <v>0</v>
      </c>
      <c r="AK36" s="587">
        <f t="shared" si="39"/>
        <v>0</v>
      </c>
      <c r="AL36" s="587">
        <f t="shared" si="39"/>
        <v>0</v>
      </c>
      <c r="AM36" s="587">
        <f t="shared" si="39"/>
        <v>0</v>
      </c>
      <c r="AN36" s="587">
        <f t="shared" si="39"/>
        <v>0</v>
      </c>
      <c r="AO36" s="587">
        <f t="shared" si="39"/>
        <v>0</v>
      </c>
      <c r="AP36" s="638">
        <f t="shared" si="39"/>
        <v>0</v>
      </c>
    </row>
    <row r="37" spans="1:42" ht="16.5" thickBot="1">
      <c r="A37" s="939" t="s">
        <v>1809</v>
      </c>
      <c r="B37" s="938"/>
      <c r="C37" s="611">
        <f>C30-C36</f>
        <v>0</v>
      </c>
      <c r="D37" s="611">
        <f t="shared" ref="D37:AP37" si="40">D30-D36</f>
        <v>0</v>
      </c>
      <c r="E37" s="611">
        <f t="shared" si="40"/>
        <v>0</v>
      </c>
      <c r="F37" s="611">
        <f t="shared" si="40"/>
        <v>0</v>
      </c>
      <c r="G37" s="611">
        <f t="shared" si="40"/>
        <v>0</v>
      </c>
      <c r="H37" s="611">
        <f t="shared" si="40"/>
        <v>0</v>
      </c>
      <c r="I37" s="611">
        <f t="shared" si="40"/>
        <v>0</v>
      </c>
      <c r="J37" s="611">
        <f t="shared" si="40"/>
        <v>0</v>
      </c>
      <c r="K37" s="611">
        <f t="shared" si="40"/>
        <v>0</v>
      </c>
      <c r="L37" s="611">
        <f t="shared" si="40"/>
        <v>0</v>
      </c>
      <c r="M37" s="611">
        <f t="shared" si="40"/>
        <v>0</v>
      </c>
      <c r="N37" s="611">
        <f t="shared" si="40"/>
        <v>0</v>
      </c>
      <c r="O37" s="611">
        <f t="shared" si="40"/>
        <v>0</v>
      </c>
      <c r="P37" s="611">
        <f t="shared" si="40"/>
        <v>0</v>
      </c>
      <c r="Q37" s="611">
        <f t="shared" si="40"/>
        <v>0</v>
      </c>
      <c r="R37" s="611">
        <f t="shared" si="40"/>
        <v>0</v>
      </c>
      <c r="S37" s="611">
        <f t="shared" si="40"/>
        <v>0</v>
      </c>
      <c r="T37" s="611">
        <f t="shared" si="40"/>
        <v>0</v>
      </c>
      <c r="U37" s="611">
        <f t="shared" si="40"/>
        <v>0</v>
      </c>
      <c r="V37" s="611">
        <f t="shared" si="40"/>
        <v>0</v>
      </c>
      <c r="W37" s="611">
        <f t="shared" si="40"/>
        <v>0</v>
      </c>
      <c r="X37" s="611">
        <f t="shared" si="40"/>
        <v>0</v>
      </c>
      <c r="Y37" s="611">
        <f t="shared" si="40"/>
        <v>0</v>
      </c>
      <c r="Z37" s="611">
        <f t="shared" si="40"/>
        <v>0</v>
      </c>
      <c r="AA37" s="611">
        <f t="shared" si="40"/>
        <v>0</v>
      </c>
      <c r="AB37" s="611">
        <f t="shared" si="40"/>
        <v>0</v>
      </c>
      <c r="AC37" s="611">
        <f t="shared" si="40"/>
        <v>0</v>
      </c>
      <c r="AD37" s="611">
        <f t="shared" si="40"/>
        <v>0</v>
      </c>
      <c r="AE37" s="611">
        <f t="shared" si="40"/>
        <v>0</v>
      </c>
      <c r="AF37" s="611">
        <f t="shared" si="40"/>
        <v>0</v>
      </c>
      <c r="AG37" s="611">
        <f t="shared" si="40"/>
        <v>0</v>
      </c>
      <c r="AH37" s="611">
        <f t="shared" si="40"/>
        <v>0</v>
      </c>
      <c r="AI37" s="611">
        <f t="shared" si="40"/>
        <v>0</v>
      </c>
      <c r="AJ37" s="611">
        <f t="shared" si="40"/>
        <v>0</v>
      </c>
      <c r="AK37" s="611">
        <f t="shared" si="40"/>
        <v>0</v>
      </c>
      <c r="AL37" s="611">
        <f t="shared" si="40"/>
        <v>0</v>
      </c>
      <c r="AM37" s="611">
        <f t="shared" si="40"/>
        <v>0</v>
      </c>
      <c r="AN37" s="611">
        <f t="shared" si="40"/>
        <v>0</v>
      </c>
      <c r="AO37" s="611">
        <f t="shared" si="40"/>
        <v>0</v>
      </c>
      <c r="AP37" s="640">
        <f t="shared" si="40"/>
        <v>0</v>
      </c>
    </row>
    <row r="38" spans="1:42" ht="16.5" thickBot="1">
      <c r="A38" s="930" t="s">
        <v>1810</v>
      </c>
      <c r="B38" s="693"/>
      <c r="C38" s="478">
        <f>IF(C36&lt;&gt;0, C30/C36, 0)</f>
        <v>0</v>
      </c>
      <c r="D38" s="478">
        <f t="shared" ref="D38:AP38" si="41">IF(D36&lt;&gt;0, D30/D36, 0)</f>
        <v>0</v>
      </c>
      <c r="E38" s="478">
        <f t="shared" si="41"/>
        <v>0</v>
      </c>
      <c r="F38" s="478">
        <f t="shared" si="41"/>
        <v>0</v>
      </c>
      <c r="G38" s="478">
        <f t="shared" si="41"/>
        <v>0</v>
      </c>
      <c r="H38" s="478">
        <f t="shared" si="41"/>
        <v>0</v>
      </c>
      <c r="I38" s="478">
        <f t="shared" si="41"/>
        <v>0</v>
      </c>
      <c r="J38" s="478">
        <f t="shared" si="41"/>
        <v>0</v>
      </c>
      <c r="K38" s="478">
        <f t="shared" si="41"/>
        <v>0</v>
      </c>
      <c r="L38" s="478">
        <f t="shared" si="41"/>
        <v>0</v>
      </c>
      <c r="M38" s="478">
        <f t="shared" si="41"/>
        <v>0</v>
      </c>
      <c r="N38" s="478">
        <f t="shared" si="41"/>
        <v>0</v>
      </c>
      <c r="O38" s="478">
        <f t="shared" si="41"/>
        <v>0</v>
      </c>
      <c r="P38" s="478">
        <f t="shared" si="41"/>
        <v>0</v>
      </c>
      <c r="Q38" s="478">
        <f t="shared" si="41"/>
        <v>0</v>
      </c>
      <c r="R38" s="478">
        <f t="shared" si="41"/>
        <v>0</v>
      </c>
      <c r="S38" s="478">
        <f t="shared" si="41"/>
        <v>0</v>
      </c>
      <c r="T38" s="478">
        <f t="shared" si="41"/>
        <v>0</v>
      </c>
      <c r="U38" s="478">
        <f t="shared" si="41"/>
        <v>0</v>
      </c>
      <c r="V38" s="478">
        <f t="shared" si="41"/>
        <v>0</v>
      </c>
      <c r="W38" s="478">
        <f t="shared" si="41"/>
        <v>0</v>
      </c>
      <c r="X38" s="478">
        <f t="shared" si="41"/>
        <v>0</v>
      </c>
      <c r="Y38" s="478">
        <f t="shared" si="41"/>
        <v>0</v>
      </c>
      <c r="Z38" s="478">
        <f t="shared" si="41"/>
        <v>0</v>
      </c>
      <c r="AA38" s="478">
        <f t="shared" si="41"/>
        <v>0</v>
      </c>
      <c r="AB38" s="478">
        <f t="shared" si="41"/>
        <v>0</v>
      </c>
      <c r="AC38" s="478">
        <f t="shared" si="41"/>
        <v>0</v>
      </c>
      <c r="AD38" s="478">
        <f t="shared" si="41"/>
        <v>0</v>
      </c>
      <c r="AE38" s="478">
        <f t="shared" si="41"/>
        <v>0</v>
      </c>
      <c r="AF38" s="478">
        <f t="shared" si="41"/>
        <v>0</v>
      </c>
      <c r="AG38" s="478">
        <f t="shared" si="41"/>
        <v>0</v>
      </c>
      <c r="AH38" s="478">
        <f t="shared" si="41"/>
        <v>0</v>
      </c>
      <c r="AI38" s="478">
        <f t="shared" si="41"/>
        <v>0</v>
      </c>
      <c r="AJ38" s="478">
        <f t="shared" si="41"/>
        <v>0</v>
      </c>
      <c r="AK38" s="478">
        <f t="shared" si="41"/>
        <v>0</v>
      </c>
      <c r="AL38" s="478">
        <f t="shared" si="41"/>
        <v>0</v>
      </c>
      <c r="AM38" s="478">
        <f t="shared" si="41"/>
        <v>0</v>
      </c>
      <c r="AN38" s="478">
        <f t="shared" si="41"/>
        <v>0</v>
      </c>
      <c r="AO38" s="478">
        <f t="shared" si="41"/>
        <v>0</v>
      </c>
      <c r="AP38" s="479">
        <f t="shared" si="41"/>
        <v>0</v>
      </c>
    </row>
    <row r="39" spans="1:42"/>
    <row r="40" spans="1:42" ht="16.5" thickBot="1">
      <c r="A40" s="366" t="s">
        <v>1811</v>
      </c>
      <c r="B40" s="366"/>
      <c r="C40" s="642"/>
    </row>
    <row r="41" spans="1:42">
      <c r="A41" s="927">
        <f>'02_3_SOURCES'!B11</f>
        <v>0</v>
      </c>
      <c r="B41" s="937"/>
      <c r="C41" s="636">
        <f>IF(MIN(C$37*'02_3_SOURCES'!$I11,SUMIF('03_3_Amortizations'!$A$13:$A$492,'04_1_Pro Forma'!C$4,'03_3_Amortizations'!$V$13:$V$492))&lt;0, 0, MIN(C$37*'02_3_SOURCES'!$I11,SUMIF('03_3_Amortizations'!$A$13:$A$492,'04_1_Pro Forma'!C$4,'03_3_Amortizations'!$V$13:$V$492)))</f>
        <v>0</v>
      </c>
      <c r="D41" s="636">
        <f>IF(MIN(D$37*'02_3_SOURCES'!$I11,SUMIF('03_3_Amortizations'!$A$13:$A$492,'04_1_Pro Forma'!D$4,'03_3_Amortizations'!$V$13:$V$492))&lt;0, 0, MIN(D$37*'02_3_SOURCES'!$I11,SUMIF('03_3_Amortizations'!$A$13:$A$492,'04_1_Pro Forma'!D$4,'03_3_Amortizations'!$V$13:$V$492)))</f>
        <v>0</v>
      </c>
      <c r="E41" s="636">
        <f>IF(MIN(E$37*'02_3_SOURCES'!$I11,SUMIF('03_3_Amortizations'!$A$13:$A$492,'04_1_Pro Forma'!E$4,'03_3_Amortizations'!$V$13:$V$492))&lt;0, 0, MIN(E$37*'02_3_SOURCES'!$I11,SUMIF('03_3_Amortizations'!$A$13:$A$492,'04_1_Pro Forma'!E$4,'03_3_Amortizations'!$V$13:$V$492)))</f>
        <v>0</v>
      </c>
      <c r="F41" s="636">
        <f>IF(MIN(F$37*'02_3_SOURCES'!$I11,SUMIF('03_3_Amortizations'!$A$13:$A$492,'04_1_Pro Forma'!F$4,'03_3_Amortizations'!$V$13:$V$492))&lt;0, 0, MIN(F$37*'02_3_SOURCES'!$I11,SUMIF('03_3_Amortizations'!$A$13:$A$492,'04_1_Pro Forma'!F$4,'03_3_Amortizations'!$V$13:$V$492)))</f>
        <v>0</v>
      </c>
      <c r="G41" s="636">
        <f>IF(MIN(G$37*'02_3_SOURCES'!$I11,SUMIF('03_3_Amortizations'!$A$13:$A$492,'04_1_Pro Forma'!G$4,'03_3_Amortizations'!$V$13:$V$492))&lt;0, 0, MIN(G$37*'02_3_SOURCES'!$I11,SUMIF('03_3_Amortizations'!$A$13:$A$492,'04_1_Pro Forma'!G$4,'03_3_Amortizations'!$V$13:$V$492)))</f>
        <v>0</v>
      </c>
      <c r="H41" s="636">
        <f>IF(MIN(H$37*'02_3_SOURCES'!$I11,SUMIF('03_3_Amortizations'!$A$13:$A$492,'04_1_Pro Forma'!H$4,'03_3_Amortizations'!$V$13:$V$492))&lt;0, 0, MIN(H$37*'02_3_SOURCES'!$I11,SUMIF('03_3_Amortizations'!$A$13:$A$492,'04_1_Pro Forma'!H$4,'03_3_Amortizations'!$V$13:$V$492)))</f>
        <v>0</v>
      </c>
      <c r="I41" s="636">
        <f>IF(MIN(I$37*'02_3_SOURCES'!$I11,SUMIF('03_3_Amortizations'!$A$13:$A$492,'04_1_Pro Forma'!I$4,'03_3_Amortizations'!$V$13:$V$492))&lt;0, 0, MIN(I$37*'02_3_SOURCES'!$I11,SUMIF('03_3_Amortizations'!$A$13:$A$492,'04_1_Pro Forma'!I$4,'03_3_Amortizations'!$V$13:$V$492)))</f>
        <v>0</v>
      </c>
      <c r="J41" s="636">
        <f>IF(MIN(J$37*'02_3_SOURCES'!$I11,SUMIF('03_3_Amortizations'!$A$13:$A$492,'04_1_Pro Forma'!J$4,'03_3_Amortizations'!$V$13:$V$492))&lt;0, 0, MIN(J$37*'02_3_SOURCES'!$I11,SUMIF('03_3_Amortizations'!$A$13:$A$492,'04_1_Pro Forma'!J$4,'03_3_Amortizations'!$V$13:$V$492)))</f>
        <v>0</v>
      </c>
      <c r="K41" s="636">
        <f>IF(MIN(K$37*'02_3_SOURCES'!$I11,SUMIF('03_3_Amortizations'!$A$13:$A$492,'04_1_Pro Forma'!K$4,'03_3_Amortizations'!$V$13:$V$492))&lt;0, 0, MIN(K$37*'02_3_SOURCES'!$I11,SUMIF('03_3_Amortizations'!$A$13:$A$492,'04_1_Pro Forma'!K$4,'03_3_Amortizations'!$V$13:$V$492)))</f>
        <v>0</v>
      </c>
      <c r="L41" s="636">
        <f>IF(MIN(L$37*'02_3_SOURCES'!$I11,SUMIF('03_3_Amortizations'!$A$13:$A$492,'04_1_Pro Forma'!L$4,'03_3_Amortizations'!$V$13:$V$492))&lt;0, 0, MIN(L$37*'02_3_SOURCES'!$I11,SUMIF('03_3_Amortizations'!$A$13:$A$492,'04_1_Pro Forma'!L$4,'03_3_Amortizations'!$V$13:$V$492)))</f>
        <v>0</v>
      </c>
      <c r="M41" s="636">
        <f>IF(MIN(M$37*'02_3_SOURCES'!$I11,SUMIF('03_3_Amortizations'!$A$13:$A$492,'04_1_Pro Forma'!M$4,'03_3_Amortizations'!$V$13:$V$492))&lt;0, 0, MIN(M$37*'02_3_SOURCES'!$I11,SUMIF('03_3_Amortizations'!$A$13:$A$492,'04_1_Pro Forma'!M$4,'03_3_Amortizations'!$V$13:$V$492)))</f>
        <v>0</v>
      </c>
      <c r="N41" s="636">
        <f>IF(MIN(N$37*'02_3_SOURCES'!$I11,SUMIF('03_3_Amortizations'!$A$13:$A$492,'04_1_Pro Forma'!N$4,'03_3_Amortizations'!$V$13:$V$492))&lt;0, 0, MIN(N$37*'02_3_SOURCES'!$I11,SUMIF('03_3_Amortizations'!$A$13:$A$492,'04_1_Pro Forma'!N$4,'03_3_Amortizations'!$V$13:$V$492)))</f>
        <v>0</v>
      </c>
      <c r="O41" s="636">
        <f>IF(MIN(O$37*'02_3_SOURCES'!$I11,SUMIF('03_3_Amortizations'!$A$13:$A$492,'04_1_Pro Forma'!O$4,'03_3_Amortizations'!$V$13:$V$492))&lt;0, 0, MIN(O$37*'02_3_SOURCES'!$I11,SUMIF('03_3_Amortizations'!$A$13:$A$492,'04_1_Pro Forma'!O$4,'03_3_Amortizations'!$V$13:$V$492)))</f>
        <v>0</v>
      </c>
      <c r="P41" s="636">
        <f>IF(MIN(P$37*'02_3_SOURCES'!$I11,SUMIF('03_3_Amortizations'!$A$13:$A$492,'04_1_Pro Forma'!P$4,'03_3_Amortizations'!$V$13:$V$492))&lt;0, 0, MIN(P$37*'02_3_SOURCES'!$I11,SUMIF('03_3_Amortizations'!$A$13:$A$492,'04_1_Pro Forma'!P$4,'03_3_Amortizations'!$V$13:$V$492)))</f>
        <v>0</v>
      </c>
      <c r="Q41" s="636">
        <f>IF(MIN(Q$37*'02_3_SOURCES'!$I11,SUMIF('03_3_Amortizations'!$A$13:$A$492,'04_1_Pro Forma'!Q$4,'03_3_Amortizations'!$V$13:$V$492))&lt;0, 0, MIN(Q$37*'02_3_SOURCES'!$I11,SUMIF('03_3_Amortizations'!$A$13:$A$492,'04_1_Pro Forma'!Q$4,'03_3_Amortizations'!$V$13:$V$492)))</f>
        <v>0</v>
      </c>
      <c r="R41" s="636">
        <f>IF(MIN(R$37*'02_3_SOURCES'!$I11,SUMIF('03_3_Amortizations'!$A$13:$A$492,'04_1_Pro Forma'!R$4,'03_3_Amortizations'!$V$13:$V$492))&lt;0, 0, MIN(R$37*'02_3_SOURCES'!$I11,SUMIF('03_3_Amortizations'!$A$13:$A$492,'04_1_Pro Forma'!R$4,'03_3_Amortizations'!$V$13:$V$492)))</f>
        <v>0</v>
      </c>
      <c r="S41" s="636">
        <f>IF(MIN(S$37*'02_3_SOURCES'!$I11,SUMIF('03_3_Amortizations'!$A$13:$A$492,'04_1_Pro Forma'!S$4,'03_3_Amortizations'!$V$13:$V$492))&lt;0, 0, MIN(S$37*'02_3_SOURCES'!$I11,SUMIF('03_3_Amortizations'!$A$13:$A$492,'04_1_Pro Forma'!S$4,'03_3_Amortizations'!$V$13:$V$492)))</f>
        <v>0</v>
      </c>
      <c r="T41" s="636">
        <f>IF(MIN(T$37*'02_3_SOURCES'!$I11,SUMIF('03_3_Amortizations'!$A$13:$A$492,'04_1_Pro Forma'!T$4,'03_3_Amortizations'!$V$13:$V$492))&lt;0, 0, MIN(T$37*'02_3_SOURCES'!$I11,SUMIF('03_3_Amortizations'!$A$13:$A$492,'04_1_Pro Forma'!T$4,'03_3_Amortizations'!$V$13:$V$492)))</f>
        <v>0</v>
      </c>
      <c r="U41" s="636">
        <f>IF(MIN(U$37*'02_3_SOURCES'!$I11,SUMIF('03_3_Amortizations'!$A$13:$A$492,'04_1_Pro Forma'!U$4,'03_3_Amortizations'!$V$13:$V$492))&lt;0, 0, MIN(U$37*'02_3_SOURCES'!$I11,SUMIF('03_3_Amortizations'!$A$13:$A$492,'04_1_Pro Forma'!U$4,'03_3_Amortizations'!$V$13:$V$492)))</f>
        <v>0</v>
      </c>
      <c r="V41" s="636">
        <f>IF(MIN(V$37*'02_3_SOURCES'!$I11,SUMIF('03_3_Amortizations'!$A$13:$A$492,'04_1_Pro Forma'!V$4,'03_3_Amortizations'!$V$13:$V$492))&lt;0, 0, MIN(V$37*'02_3_SOURCES'!$I11,SUMIF('03_3_Amortizations'!$A$13:$A$492,'04_1_Pro Forma'!V$4,'03_3_Amortizations'!$V$13:$V$492)))</f>
        <v>0</v>
      </c>
      <c r="W41" s="636">
        <f>IF(MIN(W$37*'02_3_SOURCES'!$I11,SUMIF('03_3_Amortizations'!$A$13:$A$492,'04_1_Pro Forma'!W$4,'03_3_Amortizations'!$V$13:$V$492))&lt;0, 0, MIN(W$37*'02_3_SOURCES'!$I11,SUMIF('03_3_Amortizations'!$A$13:$A$492,'04_1_Pro Forma'!W$4,'03_3_Amortizations'!$V$13:$V$492)))</f>
        <v>0</v>
      </c>
      <c r="X41" s="636">
        <f>IF(MIN(X$37*'02_3_SOURCES'!$I11,SUMIF('03_3_Amortizations'!$A$13:$A$492,'04_1_Pro Forma'!X$4,'03_3_Amortizations'!$V$13:$V$492))&lt;0, 0, MIN(X$37*'02_3_SOURCES'!$I11,SUMIF('03_3_Amortizations'!$A$13:$A$492,'04_1_Pro Forma'!X$4,'03_3_Amortizations'!$V$13:$V$492)))</f>
        <v>0</v>
      </c>
      <c r="Y41" s="636">
        <f>IF(MIN(Y$37*'02_3_SOURCES'!$I11,SUMIF('03_3_Amortizations'!$A$13:$A$492,'04_1_Pro Forma'!Y$4,'03_3_Amortizations'!$V$13:$V$492))&lt;0, 0, MIN(Y$37*'02_3_SOURCES'!$I11,SUMIF('03_3_Amortizations'!$A$13:$A$492,'04_1_Pro Forma'!Y$4,'03_3_Amortizations'!$V$13:$V$492)))</f>
        <v>0</v>
      </c>
      <c r="Z41" s="636">
        <f>IF(MIN(Z$37*'02_3_SOURCES'!$I11,SUMIF('03_3_Amortizations'!$A$13:$A$492,'04_1_Pro Forma'!Z$4,'03_3_Amortizations'!$V$13:$V$492))&lt;0, 0, MIN(Z$37*'02_3_SOURCES'!$I11,SUMIF('03_3_Amortizations'!$A$13:$A$492,'04_1_Pro Forma'!Z$4,'03_3_Amortizations'!$V$13:$V$492)))</f>
        <v>0</v>
      </c>
      <c r="AA41" s="636">
        <f>IF(MIN(AA$37*'02_3_SOURCES'!$I11,SUMIF('03_3_Amortizations'!$A$13:$A$492,'04_1_Pro Forma'!AA$4,'03_3_Amortizations'!$V$13:$V$492))&lt;0, 0, MIN(AA$37*'02_3_SOURCES'!$I11,SUMIF('03_3_Amortizations'!$A$13:$A$492,'04_1_Pro Forma'!AA$4,'03_3_Amortizations'!$V$13:$V$492)))</f>
        <v>0</v>
      </c>
      <c r="AB41" s="636">
        <f>IF(MIN(AB$37*'02_3_SOURCES'!$I11,SUMIF('03_3_Amortizations'!$A$13:$A$492,'04_1_Pro Forma'!AB$4,'03_3_Amortizations'!$V$13:$V$492))&lt;0, 0, MIN(AB$37*'02_3_SOURCES'!$I11,SUMIF('03_3_Amortizations'!$A$13:$A$492,'04_1_Pro Forma'!AB$4,'03_3_Amortizations'!$V$13:$V$492)))</f>
        <v>0</v>
      </c>
      <c r="AC41" s="636">
        <f>IF(MIN(AC$37*'02_3_SOURCES'!$I11,SUMIF('03_3_Amortizations'!$A$13:$A$492,'04_1_Pro Forma'!AC$4,'03_3_Amortizations'!$V$13:$V$492))&lt;0, 0, MIN(AC$37*'02_3_SOURCES'!$I11,SUMIF('03_3_Amortizations'!$A$13:$A$492,'04_1_Pro Forma'!AC$4,'03_3_Amortizations'!$V$13:$V$492)))</f>
        <v>0</v>
      </c>
      <c r="AD41" s="636">
        <f>IF(MIN(AD$37*'02_3_SOURCES'!$I11,SUMIF('03_3_Amortizations'!$A$13:$A$492,'04_1_Pro Forma'!AD$4,'03_3_Amortizations'!$V$13:$V$492))&lt;0, 0, MIN(AD$37*'02_3_SOURCES'!$I11,SUMIF('03_3_Amortizations'!$A$13:$A$492,'04_1_Pro Forma'!AD$4,'03_3_Amortizations'!$V$13:$V$492)))</f>
        <v>0</v>
      </c>
      <c r="AE41" s="636">
        <f>IF(MIN(AE$37*'02_3_SOURCES'!$I11,SUMIF('03_3_Amortizations'!$A$13:$A$492,'04_1_Pro Forma'!AE$4,'03_3_Amortizations'!$V$13:$V$492))&lt;0, 0, MIN(AE$37*'02_3_SOURCES'!$I11,SUMIF('03_3_Amortizations'!$A$13:$A$492,'04_1_Pro Forma'!AE$4,'03_3_Amortizations'!$V$13:$V$492)))</f>
        <v>0</v>
      </c>
      <c r="AF41" s="636">
        <f>IF(MIN(AF$37*'02_3_SOURCES'!$I11,SUMIF('03_3_Amortizations'!$A$13:$A$492,'04_1_Pro Forma'!AF$4,'03_3_Amortizations'!$V$13:$V$492))&lt;0, 0, MIN(AF$37*'02_3_SOURCES'!$I11,SUMIF('03_3_Amortizations'!$A$13:$A$492,'04_1_Pro Forma'!AF$4,'03_3_Amortizations'!$V$13:$V$492)))</f>
        <v>0</v>
      </c>
      <c r="AG41" s="636">
        <f>IF(MIN(AG$37*'02_3_SOURCES'!$I11,SUMIF('03_3_Amortizations'!$A$13:$A$492,'04_1_Pro Forma'!AG$4,'03_3_Amortizations'!$V$13:$V$492))&lt;0, 0, MIN(AG$37*'02_3_SOURCES'!$I11,SUMIF('03_3_Amortizations'!$A$13:$A$492,'04_1_Pro Forma'!AG$4,'03_3_Amortizations'!$V$13:$V$492)))</f>
        <v>0</v>
      </c>
      <c r="AH41" s="636">
        <f>IF(MIN(AH$37*'02_3_SOURCES'!$I11,SUMIF('03_3_Amortizations'!$A$13:$A$492,'04_1_Pro Forma'!AH$4,'03_3_Amortizations'!$V$13:$V$492))&lt;0, 0, MIN(AH$37*'02_3_SOURCES'!$I11,SUMIF('03_3_Amortizations'!$A$13:$A$492,'04_1_Pro Forma'!AH$4,'03_3_Amortizations'!$V$13:$V$492)))</f>
        <v>0</v>
      </c>
      <c r="AI41" s="636">
        <f>IF(MIN(AI$37*'02_3_SOURCES'!$I11,SUMIF('03_3_Amortizations'!$A$13:$A$492,'04_1_Pro Forma'!AI$4,'03_3_Amortizations'!$V$13:$V$492))&lt;0, 0, MIN(AI$37*'02_3_SOURCES'!$I11,SUMIF('03_3_Amortizations'!$A$13:$A$492,'04_1_Pro Forma'!AI$4,'03_3_Amortizations'!$V$13:$V$492)))</f>
        <v>0</v>
      </c>
      <c r="AJ41" s="636">
        <f>IF(MIN(AJ$37*'02_3_SOURCES'!$I11,SUMIF('03_3_Amortizations'!$A$13:$A$492,'04_1_Pro Forma'!AJ$4,'03_3_Amortizations'!$V$13:$V$492))&lt;0, 0, MIN(AJ$37*'02_3_SOURCES'!$I11,SUMIF('03_3_Amortizations'!$A$13:$A$492,'04_1_Pro Forma'!AJ$4,'03_3_Amortizations'!$V$13:$V$492)))</f>
        <v>0</v>
      </c>
      <c r="AK41" s="636">
        <f>IF(MIN(AK$37*'02_3_SOURCES'!$I11,SUMIF('03_3_Amortizations'!$A$13:$A$492,'04_1_Pro Forma'!AK$4,'03_3_Amortizations'!$V$13:$V$492))&lt;0, 0, MIN(AK$37*'02_3_SOURCES'!$I11,SUMIF('03_3_Amortizations'!$A$13:$A$492,'04_1_Pro Forma'!AK$4,'03_3_Amortizations'!$V$13:$V$492)))</f>
        <v>0</v>
      </c>
      <c r="AL41" s="636">
        <f>IF(MIN(AL$37*'02_3_SOURCES'!$I11,SUMIF('03_3_Amortizations'!$A$13:$A$492,'04_1_Pro Forma'!AL$4,'03_3_Amortizations'!$V$13:$V$492))&lt;0, 0, MIN(AL$37*'02_3_SOURCES'!$I11,SUMIF('03_3_Amortizations'!$A$13:$A$492,'04_1_Pro Forma'!AL$4,'03_3_Amortizations'!$V$13:$V$492)))</f>
        <v>0</v>
      </c>
      <c r="AM41" s="636">
        <f>IF(MIN(AM$37*'02_3_SOURCES'!$I11,SUMIF('03_3_Amortizations'!$A$13:$A$492,'04_1_Pro Forma'!AM$4,'03_3_Amortizations'!$V$13:$V$492))&lt;0, 0, MIN(AM$37*'02_3_SOURCES'!$I11,SUMIF('03_3_Amortizations'!$A$13:$A$492,'04_1_Pro Forma'!AM$4,'03_3_Amortizations'!$V$13:$V$492)))</f>
        <v>0</v>
      </c>
      <c r="AN41" s="636">
        <f>IF(MIN(AN$37*'02_3_SOURCES'!$I11,SUMIF('03_3_Amortizations'!$A$13:$A$492,'04_1_Pro Forma'!AN$4,'03_3_Amortizations'!$V$13:$V$492))&lt;0, 0, MIN(AN$37*'02_3_SOURCES'!$I11,SUMIF('03_3_Amortizations'!$A$13:$A$492,'04_1_Pro Forma'!AN$4,'03_3_Amortizations'!$V$13:$V$492)))</f>
        <v>0</v>
      </c>
      <c r="AO41" s="636">
        <f>IF(MIN(AO$37*'02_3_SOURCES'!$I11,SUMIF('03_3_Amortizations'!$A$13:$A$492,'04_1_Pro Forma'!AO$4,'03_3_Amortizations'!$V$13:$V$492))&lt;0, 0, MIN(AO$37*'02_3_SOURCES'!$I11,SUMIF('03_3_Amortizations'!$A$13:$A$492,'04_1_Pro Forma'!AO$4,'03_3_Amortizations'!$V$13:$V$492)))</f>
        <v>0</v>
      </c>
      <c r="AP41" s="637">
        <f>IF(MIN(AP$37*'02_3_SOURCES'!$I11,SUMIF('03_3_Amortizations'!$A$13:$A$492,'04_1_Pro Forma'!AP$4,'03_3_Amortizations'!$V$13:$V$492))&lt;0, 0, MIN(AP$37*'02_3_SOURCES'!$I11,SUMIF('03_3_Amortizations'!$A$13:$A$492,'04_1_Pro Forma'!AP$4,'03_3_Amortizations'!$V$13:$V$492)))</f>
        <v>0</v>
      </c>
    </row>
    <row r="42" spans="1:42">
      <c r="A42" s="928">
        <f>'02_3_SOURCES'!B12</f>
        <v>0</v>
      </c>
      <c r="B42" s="369"/>
      <c r="C42" s="587">
        <f>IF(MIN(C$37*'02_3_SOURCES'!$I12,SUMIF('03_3_Amortizations'!$A$13:$A$492,'04_1_Pro Forma'!C$4,'03_3_Amortizations'!$AD$13:$AD$492))&lt;0, 0, MIN(C$37*'02_3_SOURCES'!$I12,SUMIF('03_3_Amortizations'!$A$13:$A$492,'04_1_Pro Forma'!C$4,'03_3_Amortizations'!$AD$13:$AD$492)))</f>
        <v>0</v>
      </c>
      <c r="D42" s="587">
        <f>IF(MIN(D$37*'02_3_SOURCES'!$I12,SUMIF('03_3_Amortizations'!$A$13:$A$492,'04_1_Pro Forma'!D$4,'03_3_Amortizations'!$AD$13:$AD$492))&lt;0, 0, MIN(D$37*'02_3_SOURCES'!$I12,SUMIF('03_3_Amortizations'!$A$13:$A$492,'04_1_Pro Forma'!D$4,'03_3_Amortizations'!$AD$13:$AD$492)))</f>
        <v>0</v>
      </c>
      <c r="E42" s="587">
        <f>IF(MIN(E$37*'02_3_SOURCES'!$I12,SUMIF('03_3_Amortizations'!$A$13:$A$492,'04_1_Pro Forma'!E$4,'03_3_Amortizations'!$AD$13:$AD$492))&lt;0, 0, MIN(E$37*'02_3_SOURCES'!$I12,SUMIF('03_3_Amortizations'!$A$13:$A$492,'04_1_Pro Forma'!E$4,'03_3_Amortizations'!$AD$13:$AD$492)))</f>
        <v>0</v>
      </c>
      <c r="F42" s="587">
        <f>IF(MIN(F$37*'02_3_SOURCES'!$I12,SUMIF('03_3_Amortizations'!$A$13:$A$492,'04_1_Pro Forma'!F$4,'03_3_Amortizations'!$AD$13:$AD$492))&lt;0, 0, MIN(F$37*'02_3_SOURCES'!$I12,SUMIF('03_3_Amortizations'!$A$13:$A$492,'04_1_Pro Forma'!F$4,'03_3_Amortizations'!$AD$13:$AD$492)))</f>
        <v>0</v>
      </c>
      <c r="G42" s="587">
        <f>IF(MIN(G$37*'02_3_SOURCES'!$I12,SUMIF('03_3_Amortizations'!$A$13:$A$492,'04_1_Pro Forma'!G$4,'03_3_Amortizations'!$AD$13:$AD$492))&lt;0, 0, MIN(G$37*'02_3_SOURCES'!$I12,SUMIF('03_3_Amortizations'!$A$13:$A$492,'04_1_Pro Forma'!G$4,'03_3_Amortizations'!$AD$13:$AD$492)))</f>
        <v>0</v>
      </c>
      <c r="H42" s="587">
        <f>IF(MIN(H$37*'02_3_SOURCES'!$I12,SUMIF('03_3_Amortizations'!$A$13:$A$492,'04_1_Pro Forma'!H$4,'03_3_Amortizations'!$AD$13:$AD$492))&lt;0, 0, MIN(H$37*'02_3_SOURCES'!$I12,SUMIF('03_3_Amortizations'!$A$13:$A$492,'04_1_Pro Forma'!H$4,'03_3_Amortizations'!$AD$13:$AD$492)))</f>
        <v>0</v>
      </c>
      <c r="I42" s="587">
        <f>IF(MIN(I$37*'02_3_SOURCES'!$I12,SUMIF('03_3_Amortizations'!$A$13:$A$492,'04_1_Pro Forma'!I$4,'03_3_Amortizations'!$AD$13:$AD$492))&lt;0, 0, MIN(I$37*'02_3_SOURCES'!$I12,SUMIF('03_3_Amortizations'!$A$13:$A$492,'04_1_Pro Forma'!I$4,'03_3_Amortizations'!$AD$13:$AD$492)))</f>
        <v>0</v>
      </c>
      <c r="J42" s="587">
        <f>IF(MIN(J$37*'02_3_SOURCES'!$I12,SUMIF('03_3_Amortizations'!$A$13:$A$492,'04_1_Pro Forma'!J$4,'03_3_Amortizations'!$AD$13:$AD$492))&lt;0, 0, MIN(J$37*'02_3_SOURCES'!$I12,SUMIF('03_3_Amortizations'!$A$13:$A$492,'04_1_Pro Forma'!J$4,'03_3_Amortizations'!$AD$13:$AD$492)))</f>
        <v>0</v>
      </c>
      <c r="K42" s="587">
        <f>IF(MIN(K$37*'02_3_SOURCES'!$I12,SUMIF('03_3_Amortizations'!$A$13:$A$492,'04_1_Pro Forma'!K$4,'03_3_Amortizations'!$AD$13:$AD$492))&lt;0, 0, MIN(K$37*'02_3_SOURCES'!$I12,SUMIF('03_3_Amortizations'!$A$13:$A$492,'04_1_Pro Forma'!K$4,'03_3_Amortizations'!$AD$13:$AD$492)))</f>
        <v>0</v>
      </c>
      <c r="L42" s="587">
        <f>IF(MIN(L$37*'02_3_SOURCES'!$I12,SUMIF('03_3_Amortizations'!$A$13:$A$492,'04_1_Pro Forma'!L$4,'03_3_Amortizations'!$AD$13:$AD$492))&lt;0, 0, MIN(L$37*'02_3_SOURCES'!$I12,SUMIF('03_3_Amortizations'!$A$13:$A$492,'04_1_Pro Forma'!L$4,'03_3_Amortizations'!$AD$13:$AD$492)))</f>
        <v>0</v>
      </c>
      <c r="M42" s="587">
        <f>IF(MIN(M$37*'02_3_SOURCES'!$I12,SUMIF('03_3_Amortizations'!$A$13:$A$492,'04_1_Pro Forma'!M$4,'03_3_Amortizations'!$AD$13:$AD$492))&lt;0, 0, MIN(M$37*'02_3_SOURCES'!$I12,SUMIF('03_3_Amortizations'!$A$13:$A$492,'04_1_Pro Forma'!M$4,'03_3_Amortizations'!$AD$13:$AD$492)))</f>
        <v>0</v>
      </c>
      <c r="N42" s="587">
        <f>IF(MIN(N$37*'02_3_SOURCES'!$I12,SUMIF('03_3_Amortizations'!$A$13:$A$492,'04_1_Pro Forma'!N$4,'03_3_Amortizations'!$AD$13:$AD$492))&lt;0, 0, MIN(N$37*'02_3_SOURCES'!$I12,SUMIF('03_3_Amortizations'!$A$13:$A$492,'04_1_Pro Forma'!N$4,'03_3_Amortizations'!$AD$13:$AD$492)))</f>
        <v>0</v>
      </c>
      <c r="O42" s="587">
        <f>IF(MIN(O$37*'02_3_SOURCES'!$I12,SUMIF('03_3_Amortizations'!$A$13:$A$492,'04_1_Pro Forma'!O$4,'03_3_Amortizations'!$AD$13:$AD$492))&lt;0, 0, MIN(O$37*'02_3_SOURCES'!$I12,SUMIF('03_3_Amortizations'!$A$13:$A$492,'04_1_Pro Forma'!O$4,'03_3_Amortizations'!$AD$13:$AD$492)))</f>
        <v>0</v>
      </c>
      <c r="P42" s="587">
        <f>IF(MIN(P$37*'02_3_SOURCES'!$I12,SUMIF('03_3_Amortizations'!$A$13:$A$492,'04_1_Pro Forma'!P$4,'03_3_Amortizations'!$AD$13:$AD$492))&lt;0, 0, MIN(P$37*'02_3_SOURCES'!$I12,SUMIF('03_3_Amortizations'!$A$13:$A$492,'04_1_Pro Forma'!P$4,'03_3_Amortizations'!$AD$13:$AD$492)))</f>
        <v>0</v>
      </c>
      <c r="Q42" s="587">
        <f>IF(MIN(Q$37*'02_3_SOURCES'!$I12,SUMIF('03_3_Amortizations'!$A$13:$A$492,'04_1_Pro Forma'!Q$4,'03_3_Amortizations'!$AD$13:$AD$492))&lt;0, 0, MIN(Q$37*'02_3_SOURCES'!$I12,SUMIF('03_3_Amortizations'!$A$13:$A$492,'04_1_Pro Forma'!Q$4,'03_3_Amortizations'!$AD$13:$AD$492)))</f>
        <v>0</v>
      </c>
      <c r="R42" s="587">
        <f>IF(MIN(R$37*'02_3_SOURCES'!$I12,SUMIF('03_3_Amortizations'!$A$13:$A$492,'04_1_Pro Forma'!R$4,'03_3_Amortizations'!$AD$13:$AD$492))&lt;0, 0, MIN(R$37*'02_3_SOURCES'!$I12,SUMIF('03_3_Amortizations'!$A$13:$A$492,'04_1_Pro Forma'!R$4,'03_3_Amortizations'!$AD$13:$AD$492)))</f>
        <v>0</v>
      </c>
      <c r="S42" s="587">
        <f>IF(MIN(S$37*'02_3_SOURCES'!$I12,SUMIF('03_3_Amortizations'!$A$13:$A$492,'04_1_Pro Forma'!S$4,'03_3_Amortizations'!$AD$13:$AD$492))&lt;0, 0, MIN(S$37*'02_3_SOURCES'!$I12,SUMIF('03_3_Amortizations'!$A$13:$A$492,'04_1_Pro Forma'!S$4,'03_3_Amortizations'!$AD$13:$AD$492)))</f>
        <v>0</v>
      </c>
      <c r="T42" s="587">
        <f>IF(MIN(T$37*'02_3_SOURCES'!$I12,SUMIF('03_3_Amortizations'!$A$13:$A$492,'04_1_Pro Forma'!T$4,'03_3_Amortizations'!$AD$13:$AD$492))&lt;0, 0, MIN(T$37*'02_3_SOURCES'!$I12,SUMIF('03_3_Amortizations'!$A$13:$A$492,'04_1_Pro Forma'!T$4,'03_3_Amortizations'!$AD$13:$AD$492)))</f>
        <v>0</v>
      </c>
      <c r="U42" s="587">
        <f>IF(MIN(U$37*'02_3_SOURCES'!$I12,SUMIF('03_3_Amortizations'!$A$13:$A$492,'04_1_Pro Forma'!U$4,'03_3_Amortizations'!$AD$13:$AD$492))&lt;0, 0, MIN(U$37*'02_3_SOURCES'!$I12,SUMIF('03_3_Amortizations'!$A$13:$A$492,'04_1_Pro Forma'!U$4,'03_3_Amortizations'!$AD$13:$AD$492)))</f>
        <v>0</v>
      </c>
      <c r="V42" s="587">
        <f>IF(MIN(V$37*'02_3_SOURCES'!$I12,SUMIF('03_3_Amortizations'!$A$13:$A$492,'04_1_Pro Forma'!V$4,'03_3_Amortizations'!$AD$13:$AD$492))&lt;0, 0, MIN(V$37*'02_3_SOURCES'!$I12,SUMIF('03_3_Amortizations'!$A$13:$A$492,'04_1_Pro Forma'!V$4,'03_3_Amortizations'!$AD$13:$AD$492)))</f>
        <v>0</v>
      </c>
      <c r="W42" s="587">
        <f>IF(MIN(W$37*'02_3_SOURCES'!$I12,SUMIF('03_3_Amortizations'!$A$13:$A$492,'04_1_Pro Forma'!W$4,'03_3_Amortizations'!$AD$13:$AD$492))&lt;0, 0, MIN(W$37*'02_3_SOURCES'!$I12,SUMIF('03_3_Amortizations'!$A$13:$A$492,'04_1_Pro Forma'!W$4,'03_3_Amortizations'!$AD$13:$AD$492)))</f>
        <v>0</v>
      </c>
      <c r="X42" s="587">
        <f>IF(MIN(X$37*'02_3_SOURCES'!$I12,SUMIF('03_3_Amortizations'!$A$13:$A$492,'04_1_Pro Forma'!X$4,'03_3_Amortizations'!$AD$13:$AD$492))&lt;0, 0, MIN(X$37*'02_3_SOURCES'!$I12,SUMIF('03_3_Amortizations'!$A$13:$A$492,'04_1_Pro Forma'!X$4,'03_3_Amortizations'!$AD$13:$AD$492)))</f>
        <v>0</v>
      </c>
      <c r="Y42" s="587">
        <f>IF(MIN(Y$37*'02_3_SOURCES'!$I12,SUMIF('03_3_Amortizations'!$A$13:$A$492,'04_1_Pro Forma'!Y$4,'03_3_Amortizations'!$AD$13:$AD$492))&lt;0, 0, MIN(Y$37*'02_3_SOURCES'!$I12,SUMIF('03_3_Amortizations'!$A$13:$A$492,'04_1_Pro Forma'!Y$4,'03_3_Amortizations'!$AD$13:$AD$492)))</f>
        <v>0</v>
      </c>
      <c r="Z42" s="587">
        <f>IF(MIN(Z$37*'02_3_SOURCES'!$I12,SUMIF('03_3_Amortizations'!$A$13:$A$492,'04_1_Pro Forma'!Z$4,'03_3_Amortizations'!$AD$13:$AD$492))&lt;0, 0, MIN(Z$37*'02_3_SOURCES'!$I12,SUMIF('03_3_Amortizations'!$A$13:$A$492,'04_1_Pro Forma'!Z$4,'03_3_Amortizations'!$AD$13:$AD$492)))</f>
        <v>0</v>
      </c>
      <c r="AA42" s="587">
        <f>IF(MIN(AA$37*'02_3_SOURCES'!$I12,SUMIF('03_3_Amortizations'!$A$13:$A$492,'04_1_Pro Forma'!AA$4,'03_3_Amortizations'!$AD$13:$AD$492))&lt;0, 0, MIN(AA$37*'02_3_SOURCES'!$I12,SUMIF('03_3_Amortizations'!$A$13:$A$492,'04_1_Pro Forma'!AA$4,'03_3_Amortizations'!$AD$13:$AD$492)))</f>
        <v>0</v>
      </c>
      <c r="AB42" s="587">
        <f>IF(MIN(AB$37*'02_3_SOURCES'!$I12,SUMIF('03_3_Amortizations'!$A$13:$A$492,'04_1_Pro Forma'!AB$4,'03_3_Amortizations'!$AD$13:$AD$492))&lt;0, 0, MIN(AB$37*'02_3_SOURCES'!$I12,SUMIF('03_3_Amortizations'!$A$13:$A$492,'04_1_Pro Forma'!AB$4,'03_3_Amortizations'!$AD$13:$AD$492)))</f>
        <v>0</v>
      </c>
      <c r="AC42" s="587">
        <f>IF(MIN(AC$37*'02_3_SOURCES'!$I12,SUMIF('03_3_Amortizations'!$A$13:$A$492,'04_1_Pro Forma'!AC$4,'03_3_Amortizations'!$AD$13:$AD$492))&lt;0, 0, MIN(AC$37*'02_3_SOURCES'!$I12,SUMIF('03_3_Amortizations'!$A$13:$A$492,'04_1_Pro Forma'!AC$4,'03_3_Amortizations'!$AD$13:$AD$492)))</f>
        <v>0</v>
      </c>
      <c r="AD42" s="587">
        <f>IF(MIN(AD$37*'02_3_SOURCES'!$I12,SUMIF('03_3_Amortizations'!$A$13:$A$492,'04_1_Pro Forma'!AD$4,'03_3_Amortizations'!$AD$13:$AD$492))&lt;0, 0, MIN(AD$37*'02_3_SOURCES'!$I12,SUMIF('03_3_Amortizations'!$A$13:$A$492,'04_1_Pro Forma'!AD$4,'03_3_Amortizations'!$AD$13:$AD$492)))</f>
        <v>0</v>
      </c>
      <c r="AE42" s="587">
        <f>IF(MIN(AE$37*'02_3_SOURCES'!$I12,SUMIF('03_3_Amortizations'!$A$13:$A$492,'04_1_Pro Forma'!AE$4,'03_3_Amortizations'!$AD$13:$AD$492))&lt;0, 0, MIN(AE$37*'02_3_SOURCES'!$I12,SUMIF('03_3_Amortizations'!$A$13:$A$492,'04_1_Pro Forma'!AE$4,'03_3_Amortizations'!$AD$13:$AD$492)))</f>
        <v>0</v>
      </c>
      <c r="AF42" s="587">
        <f>IF(MIN(AF$37*'02_3_SOURCES'!$I12,SUMIF('03_3_Amortizations'!$A$13:$A$492,'04_1_Pro Forma'!AF$4,'03_3_Amortizations'!$AD$13:$AD$492))&lt;0, 0, MIN(AF$37*'02_3_SOURCES'!$I12,SUMIF('03_3_Amortizations'!$A$13:$A$492,'04_1_Pro Forma'!AF$4,'03_3_Amortizations'!$AD$13:$AD$492)))</f>
        <v>0</v>
      </c>
      <c r="AG42" s="587">
        <f>IF(MIN(AG$37*'02_3_SOURCES'!$I12,SUMIF('03_3_Amortizations'!$A$13:$A$492,'04_1_Pro Forma'!AG$4,'03_3_Amortizations'!$AD$13:$AD$492))&lt;0, 0, MIN(AG$37*'02_3_SOURCES'!$I12,SUMIF('03_3_Amortizations'!$A$13:$A$492,'04_1_Pro Forma'!AG$4,'03_3_Amortizations'!$AD$13:$AD$492)))</f>
        <v>0</v>
      </c>
      <c r="AH42" s="587">
        <f>IF(MIN(AH$37*'02_3_SOURCES'!$I12,SUMIF('03_3_Amortizations'!$A$13:$A$492,'04_1_Pro Forma'!AH$4,'03_3_Amortizations'!$AD$13:$AD$492))&lt;0, 0, MIN(AH$37*'02_3_SOURCES'!$I12,SUMIF('03_3_Amortizations'!$A$13:$A$492,'04_1_Pro Forma'!AH$4,'03_3_Amortizations'!$AD$13:$AD$492)))</f>
        <v>0</v>
      </c>
      <c r="AI42" s="587">
        <f>IF(MIN(AI$37*'02_3_SOURCES'!$I12,SUMIF('03_3_Amortizations'!$A$13:$A$492,'04_1_Pro Forma'!AI$4,'03_3_Amortizations'!$AD$13:$AD$492))&lt;0, 0, MIN(AI$37*'02_3_SOURCES'!$I12,SUMIF('03_3_Amortizations'!$A$13:$A$492,'04_1_Pro Forma'!AI$4,'03_3_Amortizations'!$AD$13:$AD$492)))</f>
        <v>0</v>
      </c>
      <c r="AJ42" s="587">
        <f>IF(MIN(AJ$37*'02_3_SOURCES'!$I12,SUMIF('03_3_Amortizations'!$A$13:$A$492,'04_1_Pro Forma'!AJ$4,'03_3_Amortizations'!$AD$13:$AD$492))&lt;0, 0, MIN(AJ$37*'02_3_SOURCES'!$I12,SUMIF('03_3_Amortizations'!$A$13:$A$492,'04_1_Pro Forma'!AJ$4,'03_3_Amortizations'!$AD$13:$AD$492)))</f>
        <v>0</v>
      </c>
      <c r="AK42" s="587">
        <f>IF(MIN(AK$37*'02_3_SOURCES'!$I12,SUMIF('03_3_Amortizations'!$A$13:$A$492,'04_1_Pro Forma'!AK$4,'03_3_Amortizations'!$AD$13:$AD$492))&lt;0, 0, MIN(AK$37*'02_3_SOURCES'!$I12,SUMIF('03_3_Amortizations'!$A$13:$A$492,'04_1_Pro Forma'!AK$4,'03_3_Amortizations'!$AD$13:$AD$492)))</f>
        <v>0</v>
      </c>
      <c r="AL42" s="587">
        <f>IF(MIN(AL$37*'02_3_SOURCES'!$I12,SUMIF('03_3_Amortizations'!$A$13:$A$492,'04_1_Pro Forma'!AL$4,'03_3_Amortizations'!$AD$13:$AD$492))&lt;0, 0, MIN(AL$37*'02_3_SOURCES'!$I12,SUMIF('03_3_Amortizations'!$A$13:$A$492,'04_1_Pro Forma'!AL$4,'03_3_Amortizations'!$AD$13:$AD$492)))</f>
        <v>0</v>
      </c>
      <c r="AM42" s="587">
        <f>IF(MIN(AM$37*'02_3_SOURCES'!$I12,SUMIF('03_3_Amortizations'!$A$13:$A$492,'04_1_Pro Forma'!AM$4,'03_3_Amortizations'!$AD$13:$AD$492))&lt;0, 0, MIN(AM$37*'02_3_SOURCES'!$I12,SUMIF('03_3_Amortizations'!$A$13:$A$492,'04_1_Pro Forma'!AM$4,'03_3_Amortizations'!$AD$13:$AD$492)))</f>
        <v>0</v>
      </c>
      <c r="AN42" s="587">
        <f>IF(MIN(AN$37*'02_3_SOURCES'!$I12,SUMIF('03_3_Amortizations'!$A$13:$A$492,'04_1_Pro Forma'!AN$4,'03_3_Amortizations'!$AD$13:$AD$492))&lt;0, 0, MIN(AN$37*'02_3_SOURCES'!$I12,SUMIF('03_3_Amortizations'!$A$13:$A$492,'04_1_Pro Forma'!AN$4,'03_3_Amortizations'!$AD$13:$AD$492)))</f>
        <v>0</v>
      </c>
      <c r="AO42" s="587">
        <f>IF(MIN(AO$37*'02_3_SOURCES'!$I12,SUMIF('03_3_Amortizations'!$A$13:$A$492,'04_1_Pro Forma'!AO$4,'03_3_Amortizations'!$AD$13:$AD$492))&lt;0, 0, MIN(AO$37*'02_3_SOURCES'!$I12,SUMIF('03_3_Amortizations'!$A$13:$A$492,'04_1_Pro Forma'!AO$4,'03_3_Amortizations'!$AD$13:$AD$492)))</f>
        <v>0</v>
      </c>
      <c r="AP42" s="638">
        <f>IF(MIN(AP$37*'02_3_SOURCES'!$I12,SUMIF('03_3_Amortizations'!$A$13:$A$492,'04_1_Pro Forma'!AP$4,'03_3_Amortizations'!$AD$13:$AD$492))&lt;0, 0, MIN(AP$37*'02_3_SOURCES'!$I12,SUMIF('03_3_Amortizations'!$A$13:$A$492,'04_1_Pro Forma'!AP$4,'03_3_Amortizations'!$AD$13:$AD$492)))</f>
        <v>0</v>
      </c>
    </row>
    <row r="43" spans="1:42">
      <c r="A43" s="928">
        <f>'02_3_SOURCES'!B13</f>
        <v>0</v>
      </c>
      <c r="B43" s="369"/>
      <c r="C43" s="587">
        <f>IF(MIN(C$37*'02_3_SOURCES'!$I13,SUMIF('03_3_Amortizations'!$A$13:$A$492,'04_1_Pro Forma'!C$4,'03_3_Amortizations'!$AL$13:$AL$492))&lt;0, 0, MIN(C$37*'02_3_SOURCES'!$I13,SUMIF('03_3_Amortizations'!$A$13:$A$492,'04_1_Pro Forma'!C$4,'03_3_Amortizations'!$AL$13:$AL$492)))</f>
        <v>0</v>
      </c>
      <c r="D43" s="587">
        <f>IF(MIN(D$37*'02_3_SOURCES'!$I13,SUMIF('03_3_Amortizations'!$A$13:$A$492,'04_1_Pro Forma'!D$4,'03_3_Amortizations'!$AL$13:$AL$492))&lt;0, 0, MIN(D$37*'02_3_SOURCES'!$I13,SUMIF('03_3_Amortizations'!$A$13:$A$492,'04_1_Pro Forma'!D$4,'03_3_Amortizations'!$AL$13:$AL$492)))</f>
        <v>0</v>
      </c>
      <c r="E43" s="587">
        <f>IF(MIN(E$37*'02_3_SOURCES'!$I13,SUMIF('03_3_Amortizations'!$A$13:$A$492,'04_1_Pro Forma'!E$4,'03_3_Amortizations'!$AL$13:$AL$492))&lt;0, 0, MIN(E$37*'02_3_SOURCES'!$I13,SUMIF('03_3_Amortizations'!$A$13:$A$492,'04_1_Pro Forma'!E$4,'03_3_Amortizations'!$AL$13:$AL$492)))</f>
        <v>0</v>
      </c>
      <c r="F43" s="587">
        <f>IF(MIN(F$37*'02_3_SOURCES'!$I13,SUMIF('03_3_Amortizations'!$A$13:$A$492,'04_1_Pro Forma'!F$4,'03_3_Amortizations'!$AL$13:$AL$492))&lt;0, 0, MIN(F$37*'02_3_SOURCES'!$I13,SUMIF('03_3_Amortizations'!$A$13:$A$492,'04_1_Pro Forma'!F$4,'03_3_Amortizations'!$AL$13:$AL$492)))</f>
        <v>0</v>
      </c>
      <c r="G43" s="587">
        <f>IF(MIN(G$37*'02_3_SOURCES'!$I13,SUMIF('03_3_Amortizations'!$A$13:$A$492,'04_1_Pro Forma'!G$4,'03_3_Amortizations'!$AL$13:$AL$492))&lt;0, 0, MIN(G$37*'02_3_SOURCES'!$I13,SUMIF('03_3_Amortizations'!$A$13:$A$492,'04_1_Pro Forma'!G$4,'03_3_Amortizations'!$AL$13:$AL$492)))</f>
        <v>0</v>
      </c>
      <c r="H43" s="587">
        <f>IF(MIN(H$37*'02_3_SOURCES'!$I13,SUMIF('03_3_Amortizations'!$A$13:$A$492,'04_1_Pro Forma'!H$4,'03_3_Amortizations'!$AL$13:$AL$492))&lt;0, 0, MIN(H$37*'02_3_SOURCES'!$I13,SUMIF('03_3_Amortizations'!$A$13:$A$492,'04_1_Pro Forma'!H$4,'03_3_Amortizations'!$AL$13:$AL$492)))</f>
        <v>0</v>
      </c>
      <c r="I43" s="587">
        <f>IF(MIN(I$37*'02_3_SOURCES'!$I13,SUMIF('03_3_Amortizations'!$A$13:$A$492,'04_1_Pro Forma'!I$4,'03_3_Amortizations'!$AL$13:$AL$492))&lt;0, 0, MIN(I$37*'02_3_SOURCES'!$I13,SUMIF('03_3_Amortizations'!$A$13:$A$492,'04_1_Pro Forma'!I$4,'03_3_Amortizations'!$AL$13:$AL$492)))</f>
        <v>0</v>
      </c>
      <c r="J43" s="587">
        <f>IF(MIN(J$37*'02_3_SOURCES'!$I13,SUMIF('03_3_Amortizations'!$A$13:$A$492,'04_1_Pro Forma'!J$4,'03_3_Amortizations'!$AL$13:$AL$492))&lt;0, 0, MIN(J$37*'02_3_SOURCES'!$I13,SUMIF('03_3_Amortizations'!$A$13:$A$492,'04_1_Pro Forma'!J$4,'03_3_Amortizations'!$AL$13:$AL$492)))</f>
        <v>0</v>
      </c>
      <c r="K43" s="587">
        <f>IF(MIN(K$37*'02_3_SOURCES'!$I13,SUMIF('03_3_Amortizations'!$A$13:$A$492,'04_1_Pro Forma'!K$4,'03_3_Amortizations'!$AL$13:$AL$492))&lt;0, 0, MIN(K$37*'02_3_SOURCES'!$I13,SUMIF('03_3_Amortizations'!$A$13:$A$492,'04_1_Pro Forma'!K$4,'03_3_Amortizations'!$AL$13:$AL$492)))</f>
        <v>0</v>
      </c>
      <c r="L43" s="587">
        <f>IF(MIN(L$37*'02_3_SOURCES'!$I13,SUMIF('03_3_Amortizations'!$A$13:$A$492,'04_1_Pro Forma'!L$4,'03_3_Amortizations'!$AL$13:$AL$492))&lt;0, 0, MIN(L$37*'02_3_SOURCES'!$I13,SUMIF('03_3_Amortizations'!$A$13:$A$492,'04_1_Pro Forma'!L$4,'03_3_Amortizations'!$AL$13:$AL$492)))</f>
        <v>0</v>
      </c>
      <c r="M43" s="587">
        <f>IF(MIN(M$37*'02_3_SOURCES'!$I13,SUMIF('03_3_Amortizations'!$A$13:$A$492,'04_1_Pro Forma'!M$4,'03_3_Amortizations'!$AL$13:$AL$492))&lt;0, 0, MIN(M$37*'02_3_SOURCES'!$I13,SUMIF('03_3_Amortizations'!$A$13:$A$492,'04_1_Pro Forma'!M$4,'03_3_Amortizations'!$AL$13:$AL$492)))</f>
        <v>0</v>
      </c>
      <c r="N43" s="587">
        <f>IF(MIN(N$37*'02_3_SOURCES'!$I13,SUMIF('03_3_Amortizations'!$A$13:$A$492,'04_1_Pro Forma'!N$4,'03_3_Amortizations'!$AL$13:$AL$492))&lt;0, 0, MIN(N$37*'02_3_SOURCES'!$I13,SUMIF('03_3_Amortizations'!$A$13:$A$492,'04_1_Pro Forma'!N$4,'03_3_Amortizations'!$AL$13:$AL$492)))</f>
        <v>0</v>
      </c>
      <c r="O43" s="587">
        <f>IF(MIN(O$37*'02_3_SOURCES'!$I13,SUMIF('03_3_Amortizations'!$A$13:$A$492,'04_1_Pro Forma'!O$4,'03_3_Amortizations'!$AL$13:$AL$492))&lt;0, 0, MIN(O$37*'02_3_SOURCES'!$I13,SUMIF('03_3_Amortizations'!$A$13:$A$492,'04_1_Pro Forma'!O$4,'03_3_Amortizations'!$AL$13:$AL$492)))</f>
        <v>0</v>
      </c>
      <c r="P43" s="587">
        <f>IF(MIN(P$37*'02_3_SOURCES'!$I13,SUMIF('03_3_Amortizations'!$A$13:$A$492,'04_1_Pro Forma'!P$4,'03_3_Amortizations'!$AL$13:$AL$492))&lt;0, 0, MIN(P$37*'02_3_SOURCES'!$I13,SUMIF('03_3_Amortizations'!$A$13:$A$492,'04_1_Pro Forma'!P$4,'03_3_Amortizations'!$AL$13:$AL$492)))</f>
        <v>0</v>
      </c>
      <c r="Q43" s="587">
        <f>IF(MIN(Q$37*'02_3_SOURCES'!$I13,SUMIF('03_3_Amortizations'!$A$13:$A$492,'04_1_Pro Forma'!Q$4,'03_3_Amortizations'!$AL$13:$AL$492))&lt;0, 0, MIN(Q$37*'02_3_SOURCES'!$I13,SUMIF('03_3_Amortizations'!$A$13:$A$492,'04_1_Pro Forma'!Q$4,'03_3_Amortizations'!$AL$13:$AL$492)))</f>
        <v>0</v>
      </c>
      <c r="R43" s="587">
        <f>IF(MIN(R$37*'02_3_SOURCES'!$I13,SUMIF('03_3_Amortizations'!$A$13:$A$492,'04_1_Pro Forma'!R$4,'03_3_Amortizations'!$AL$13:$AL$492))&lt;0, 0, MIN(R$37*'02_3_SOURCES'!$I13,SUMIF('03_3_Amortizations'!$A$13:$A$492,'04_1_Pro Forma'!R$4,'03_3_Amortizations'!$AL$13:$AL$492)))</f>
        <v>0</v>
      </c>
      <c r="S43" s="587">
        <f>IF(MIN(S$37*'02_3_SOURCES'!$I13,SUMIF('03_3_Amortizations'!$A$13:$A$492,'04_1_Pro Forma'!S$4,'03_3_Amortizations'!$AL$13:$AL$492))&lt;0, 0, MIN(S$37*'02_3_SOURCES'!$I13,SUMIF('03_3_Amortizations'!$A$13:$A$492,'04_1_Pro Forma'!S$4,'03_3_Amortizations'!$AL$13:$AL$492)))</f>
        <v>0</v>
      </c>
      <c r="T43" s="587">
        <f>IF(MIN(T$37*'02_3_SOURCES'!$I13,SUMIF('03_3_Amortizations'!$A$13:$A$492,'04_1_Pro Forma'!T$4,'03_3_Amortizations'!$AL$13:$AL$492))&lt;0, 0, MIN(T$37*'02_3_SOURCES'!$I13,SUMIF('03_3_Amortizations'!$A$13:$A$492,'04_1_Pro Forma'!T$4,'03_3_Amortizations'!$AL$13:$AL$492)))</f>
        <v>0</v>
      </c>
      <c r="U43" s="587">
        <f>IF(MIN(U$37*'02_3_SOURCES'!$I13,SUMIF('03_3_Amortizations'!$A$13:$A$492,'04_1_Pro Forma'!U$4,'03_3_Amortizations'!$AL$13:$AL$492))&lt;0, 0, MIN(U$37*'02_3_SOURCES'!$I13,SUMIF('03_3_Amortizations'!$A$13:$A$492,'04_1_Pro Forma'!U$4,'03_3_Amortizations'!$AL$13:$AL$492)))</f>
        <v>0</v>
      </c>
      <c r="V43" s="587">
        <f>IF(MIN(V$37*'02_3_SOURCES'!$I13,SUMIF('03_3_Amortizations'!$A$13:$A$492,'04_1_Pro Forma'!V$4,'03_3_Amortizations'!$AL$13:$AL$492))&lt;0, 0, MIN(V$37*'02_3_SOURCES'!$I13,SUMIF('03_3_Amortizations'!$A$13:$A$492,'04_1_Pro Forma'!V$4,'03_3_Amortizations'!$AL$13:$AL$492)))</f>
        <v>0</v>
      </c>
      <c r="W43" s="587">
        <f>IF(MIN(W$37*'02_3_SOURCES'!$I13,SUMIF('03_3_Amortizations'!$A$13:$A$492,'04_1_Pro Forma'!W$4,'03_3_Amortizations'!$AL$13:$AL$492))&lt;0, 0, MIN(W$37*'02_3_SOURCES'!$I13,SUMIF('03_3_Amortizations'!$A$13:$A$492,'04_1_Pro Forma'!W$4,'03_3_Amortizations'!$AL$13:$AL$492)))</f>
        <v>0</v>
      </c>
      <c r="X43" s="587">
        <f>IF(MIN(X$37*'02_3_SOURCES'!$I13,SUMIF('03_3_Amortizations'!$A$13:$A$492,'04_1_Pro Forma'!X$4,'03_3_Amortizations'!$AL$13:$AL$492))&lt;0, 0, MIN(X$37*'02_3_SOURCES'!$I13,SUMIF('03_3_Amortizations'!$A$13:$A$492,'04_1_Pro Forma'!X$4,'03_3_Amortizations'!$AL$13:$AL$492)))</f>
        <v>0</v>
      </c>
      <c r="Y43" s="587">
        <f>IF(MIN(Y$37*'02_3_SOURCES'!$I13,SUMIF('03_3_Amortizations'!$A$13:$A$492,'04_1_Pro Forma'!Y$4,'03_3_Amortizations'!$AL$13:$AL$492))&lt;0, 0, MIN(Y$37*'02_3_SOURCES'!$I13,SUMIF('03_3_Amortizations'!$A$13:$A$492,'04_1_Pro Forma'!Y$4,'03_3_Amortizations'!$AL$13:$AL$492)))</f>
        <v>0</v>
      </c>
      <c r="Z43" s="587">
        <f>IF(MIN(Z$37*'02_3_SOURCES'!$I13,SUMIF('03_3_Amortizations'!$A$13:$A$492,'04_1_Pro Forma'!Z$4,'03_3_Amortizations'!$AL$13:$AL$492))&lt;0, 0, MIN(Z$37*'02_3_SOURCES'!$I13,SUMIF('03_3_Amortizations'!$A$13:$A$492,'04_1_Pro Forma'!Z$4,'03_3_Amortizations'!$AL$13:$AL$492)))</f>
        <v>0</v>
      </c>
      <c r="AA43" s="587">
        <f>IF(MIN(AA$37*'02_3_SOURCES'!$I13,SUMIF('03_3_Amortizations'!$A$13:$A$492,'04_1_Pro Forma'!AA$4,'03_3_Amortizations'!$AL$13:$AL$492))&lt;0, 0, MIN(AA$37*'02_3_SOURCES'!$I13,SUMIF('03_3_Amortizations'!$A$13:$A$492,'04_1_Pro Forma'!AA$4,'03_3_Amortizations'!$AL$13:$AL$492)))</f>
        <v>0</v>
      </c>
      <c r="AB43" s="587">
        <f>IF(MIN(AB$37*'02_3_SOURCES'!$I13,SUMIF('03_3_Amortizations'!$A$13:$A$492,'04_1_Pro Forma'!AB$4,'03_3_Amortizations'!$AL$13:$AL$492))&lt;0, 0, MIN(AB$37*'02_3_SOURCES'!$I13,SUMIF('03_3_Amortizations'!$A$13:$A$492,'04_1_Pro Forma'!AB$4,'03_3_Amortizations'!$AL$13:$AL$492)))</f>
        <v>0</v>
      </c>
      <c r="AC43" s="587">
        <f>IF(MIN(AC$37*'02_3_SOURCES'!$I13,SUMIF('03_3_Amortizations'!$A$13:$A$492,'04_1_Pro Forma'!AC$4,'03_3_Amortizations'!$AL$13:$AL$492))&lt;0, 0, MIN(AC$37*'02_3_SOURCES'!$I13,SUMIF('03_3_Amortizations'!$A$13:$A$492,'04_1_Pro Forma'!AC$4,'03_3_Amortizations'!$AL$13:$AL$492)))</f>
        <v>0</v>
      </c>
      <c r="AD43" s="587">
        <f>IF(MIN(AD$37*'02_3_SOURCES'!$I13,SUMIF('03_3_Amortizations'!$A$13:$A$492,'04_1_Pro Forma'!AD$4,'03_3_Amortizations'!$AL$13:$AL$492))&lt;0, 0, MIN(AD$37*'02_3_SOURCES'!$I13,SUMIF('03_3_Amortizations'!$A$13:$A$492,'04_1_Pro Forma'!AD$4,'03_3_Amortizations'!$AL$13:$AL$492)))</f>
        <v>0</v>
      </c>
      <c r="AE43" s="587">
        <f>IF(MIN(AE$37*'02_3_SOURCES'!$I13,SUMIF('03_3_Amortizations'!$A$13:$A$492,'04_1_Pro Forma'!AE$4,'03_3_Amortizations'!$AL$13:$AL$492))&lt;0, 0, MIN(AE$37*'02_3_SOURCES'!$I13,SUMIF('03_3_Amortizations'!$A$13:$A$492,'04_1_Pro Forma'!AE$4,'03_3_Amortizations'!$AL$13:$AL$492)))</f>
        <v>0</v>
      </c>
      <c r="AF43" s="587">
        <f>IF(MIN(AF$37*'02_3_SOURCES'!$I13,SUMIF('03_3_Amortizations'!$A$13:$A$492,'04_1_Pro Forma'!AF$4,'03_3_Amortizations'!$AL$13:$AL$492))&lt;0, 0, MIN(AF$37*'02_3_SOURCES'!$I13,SUMIF('03_3_Amortizations'!$A$13:$A$492,'04_1_Pro Forma'!AF$4,'03_3_Amortizations'!$AL$13:$AL$492)))</f>
        <v>0</v>
      </c>
      <c r="AG43" s="587">
        <f>IF(MIN(AG$37*'02_3_SOURCES'!$I13,SUMIF('03_3_Amortizations'!$A$13:$A$492,'04_1_Pro Forma'!AG$4,'03_3_Amortizations'!$AL$13:$AL$492))&lt;0, 0, MIN(AG$37*'02_3_SOURCES'!$I13,SUMIF('03_3_Amortizations'!$A$13:$A$492,'04_1_Pro Forma'!AG$4,'03_3_Amortizations'!$AL$13:$AL$492)))</f>
        <v>0</v>
      </c>
      <c r="AH43" s="587">
        <f>IF(MIN(AH$37*'02_3_SOURCES'!$I13,SUMIF('03_3_Amortizations'!$A$13:$A$492,'04_1_Pro Forma'!AH$4,'03_3_Amortizations'!$AL$13:$AL$492))&lt;0, 0, MIN(AH$37*'02_3_SOURCES'!$I13,SUMIF('03_3_Amortizations'!$A$13:$A$492,'04_1_Pro Forma'!AH$4,'03_3_Amortizations'!$AL$13:$AL$492)))</f>
        <v>0</v>
      </c>
      <c r="AI43" s="587">
        <f>IF(MIN(AI$37*'02_3_SOURCES'!$I13,SUMIF('03_3_Amortizations'!$A$13:$A$492,'04_1_Pro Forma'!AI$4,'03_3_Amortizations'!$AL$13:$AL$492))&lt;0, 0, MIN(AI$37*'02_3_SOURCES'!$I13,SUMIF('03_3_Amortizations'!$A$13:$A$492,'04_1_Pro Forma'!AI$4,'03_3_Amortizations'!$AL$13:$AL$492)))</f>
        <v>0</v>
      </c>
      <c r="AJ43" s="587">
        <f>IF(MIN(AJ$37*'02_3_SOURCES'!$I13,SUMIF('03_3_Amortizations'!$A$13:$A$492,'04_1_Pro Forma'!AJ$4,'03_3_Amortizations'!$AL$13:$AL$492))&lt;0, 0, MIN(AJ$37*'02_3_SOURCES'!$I13,SUMIF('03_3_Amortizations'!$A$13:$A$492,'04_1_Pro Forma'!AJ$4,'03_3_Amortizations'!$AL$13:$AL$492)))</f>
        <v>0</v>
      </c>
      <c r="AK43" s="587">
        <f>IF(MIN(AK$37*'02_3_SOURCES'!$I13,SUMIF('03_3_Amortizations'!$A$13:$A$492,'04_1_Pro Forma'!AK$4,'03_3_Amortizations'!$AL$13:$AL$492))&lt;0, 0, MIN(AK$37*'02_3_SOURCES'!$I13,SUMIF('03_3_Amortizations'!$A$13:$A$492,'04_1_Pro Forma'!AK$4,'03_3_Amortizations'!$AL$13:$AL$492)))</f>
        <v>0</v>
      </c>
      <c r="AL43" s="587">
        <f>IF(MIN(AL$37*'02_3_SOURCES'!$I13,SUMIF('03_3_Amortizations'!$A$13:$A$492,'04_1_Pro Forma'!AL$4,'03_3_Amortizations'!$AL$13:$AL$492))&lt;0, 0, MIN(AL$37*'02_3_SOURCES'!$I13,SUMIF('03_3_Amortizations'!$A$13:$A$492,'04_1_Pro Forma'!AL$4,'03_3_Amortizations'!$AL$13:$AL$492)))</f>
        <v>0</v>
      </c>
      <c r="AM43" s="587">
        <f>IF(MIN(AM$37*'02_3_SOURCES'!$I13,SUMIF('03_3_Amortizations'!$A$13:$A$492,'04_1_Pro Forma'!AM$4,'03_3_Amortizations'!$AL$13:$AL$492))&lt;0, 0, MIN(AM$37*'02_3_SOURCES'!$I13,SUMIF('03_3_Amortizations'!$A$13:$A$492,'04_1_Pro Forma'!AM$4,'03_3_Amortizations'!$AL$13:$AL$492)))</f>
        <v>0</v>
      </c>
      <c r="AN43" s="587">
        <f>IF(MIN(AN$37*'02_3_SOURCES'!$I13,SUMIF('03_3_Amortizations'!$A$13:$A$492,'04_1_Pro Forma'!AN$4,'03_3_Amortizations'!$AL$13:$AL$492))&lt;0, 0, MIN(AN$37*'02_3_SOURCES'!$I13,SUMIF('03_3_Amortizations'!$A$13:$A$492,'04_1_Pro Forma'!AN$4,'03_3_Amortizations'!$AL$13:$AL$492)))</f>
        <v>0</v>
      </c>
      <c r="AO43" s="587">
        <f>IF(MIN(AO$37*'02_3_SOURCES'!$I13,SUMIF('03_3_Amortizations'!$A$13:$A$492,'04_1_Pro Forma'!AO$4,'03_3_Amortizations'!$AL$13:$AL$492))&lt;0, 0, MIN(AO$37*'02_3_SOURCES'!$I13,SUMIF('03_3_Amortizations'!$A$13:$A$492,'04_1_Pro Forma'!AO$4,'03_3_Amortizations'!$AL$13:$AL$492)))</f>
        <v>0</v>
      </c>
      <c r="AP43" s="638">
        <f>IF(MIN(AP$37*'02_3_SOURCES'!$I13,SUMIF('03_3_Amortizations'!$A$13:$A$492,'04_1_Pro Forma'!AP$4,'03_3_Amortizations'!$AL$13:$AL$492))&lt;0, 0, MIN(AP$37*'02_3_SOURCES'!$I13,SUMIF('03_3_Amortizations'!$A$13:$A$492,'04_1_Pro Forma'!AP$4,'03_3_Amortizations'!$AL$13:$AL$492)))</f>
        <v>0</v>
      </c>
    </row>
    <row r="44" spans="1:42">
      <c r="A44" s="928">
        <f>'02_3_SOURCES'!B14</f>
        <v>0</v>
      </c>
      <c r="B44" s="369"/>
      <c r="C44" s="587">
        <f>IF(MIN(C$37*'02_3_SOURCES'!$I14,SUMIF('03_3_Amortizations'!$A$13:$A$492,'04_1_Pro Forma'!C$4,'03_3_Amortizations'!$AT$13:$AT$492))&lt;0, 0, MIN(C$37*'02_3_SOURCES'!$I14,SUMIF('03_3_Amortizations'!$A$13:$A$492,'04_1_Pro Forma'!C$4,'03_3_Amortizations'!$AT$13:$AT$492)))</f>
        <v>0</v>
      </c>
      <c r="D44" s="587">
        <f>IF(MIN(D$37*'02_3_SOURCES'!$I14,SUMIF('03_3_Amortizations'!$A$13:$A$492,'04_1_Pro Forma'!D$4,'03_3_Amortizations'!$AT$13:$AT$492))&lt;0, 0, MIN(D$37*'02_3_SOURCES'!$I14,SUMIF('03_3_Amortizations'!$A$13:$A$492,'04_1_Pro Forma'!D$4,'03_3_Amortizations'!$AT$13:$AT$492)))</f>
        <v>0</v>
      </c>
      <c r="E44" s="587">
        <f>IF(MIN(E$37*'02_3_SOURCES'!$I14,SUMIF('03_3_Amortizations'!$A$13:$A$492,'04_1_Pro Forma'!E$4,'03_3_Amortizations'!$AT$13:$AT$492))&lt;0, 0, MIN(E$37*'02_3_SOURCES'!$I14,SUMIF('03_3_Amortizations'!$A$13:$A$492,'04_1_Pro Forma'!E$4,'03_3_Amortizations'!$AT$13:$AT$492)))</f>
        <v>0</v>
      </c>
      <c r="F44" s="587">
        <f>IF(MIN(F$37*'02_3_SOURCES'!$I14,SUMIF('03_3_Amortizations'!$A$13:$A$492,'04_1_Pro Forma'!F$4,'03_3_Amortizations'!$AT$13:$AT$492))&lt;0, 0, MIN(F$37*'02_3_SOURCES'!$I14,SUMIF('03_3_Amortizations'!$A$13:$A$492,'04_1_Pro Forma'!F$4,'03_3_Amortizations'!$AT$13:$AT$492)))</f>
        <v>0</v>
      </c>
      <c r="G44" s="587">
        <f>IF(MIN(G$37*'02_3_SOURCES'!$I14,SUMIF('03_3_Amortizations'!$A$13:$A$492,'04_1_Pro Forma'!G$4,'03_3_Amortizations'!$AT$13:$AT$492))&lt;0, 0, MIN(G$37*'02_3_SOURCES'!$I14,SUMIF('03_3_Amortizations'!$A$13:$A$492,'04_1_Pro Forma'!G$4,'03_3_Amortizations'!$AT$13:$AT$492)))</f>
        <v>0</v>
      </c>
      <c r="H44" s="587">
        <f>IF(MIN(H$37*'02_3_SOURCES'!$I14,SUMIF('03_3_Amortizations'!$A$13:$A$492,'04_1_Pro Forma'!H$4,'03_3_Amortizations'!$AT$13:$AT$492))&lt;0, 0, MIN(H$37*'02_3_SOURCES'!$I14,SUMIF('03_3_Amortizations'!$A$13:$A$492,'04_1_Pro Forma'!H$4,'03_3_Amortizations'!$AT$13:$AT$492)))</f>
        <v>0</v>
      </c>
      <c r="I44" s="587">
        <f>IF(MIN(I$37*'02_3_SOURCES'!$I14,SUMIF('03_3_Amortizations'!$A$13:$A$492,'04_1_Pro Forma'!I$4,'03_3_Amortizations'!$AT$13:$AT$492))&lt;0, 0, MIN(I$37*'02_3_SOURCES'!$I14,SUMIF('03_3_Amortizations'!$A$13:$A$492,'04_1_Pro Forma'!I$4,'03_3_Amortizations'!$AT$13:$AT$492)))</f>
        <v>0</v>
      </c>
      <c r="J44" s="587">
        <f>IF(MIN(J$37*'02_3_SOURCES'!$I14,SUMIF('03_3_Amortizations'!$A$13:$A$492,'04_1_Pro Forma'!J$4,'03_3_Amortizations'!$AT$13:$AT$492))&lt;0, 0, MIN(J$37*'02_3_SOURCES'!$I14,SUMIF('03_3_Amortizations'!$A$13:$A$492,'04_1_Pro Forma'!J$4,'03_3_Amortizations'!$AT$13:$AT$492)))</f>
        <v>0</v>
      </c>
      <c r="K44" s="587">
        <f>IF(MIN(K$37*'02_3_SOURCES'!$I14,SUMIF('03_3_Amortizations'!$A$13:$A$492,'04_1_Pro Forma'!K$4,'03_3_Amortizations'!$AT$13:$AT$492))&lt;0, 0, MIN(K$37*'02_3_SOURCES'!$I14,SUMIF('03_3_Amortizations'!$A$13:$A$492,'04_1_Pro Forma'!K$4,'03_3_Amortizations'!$AT$13:$AT$492)))</f>
        <v>0</v>
      </c>
      <c r="L44" s="587">
        <f>IF(MIN(L$37*'02_3_SOURCES'!$I14,SUMIF('03_3_Amortizations'!$A$13:$A$492,'04_1_Pro Forma'!L$4,'03_3_Amortizations'!$AT$13:$AT$492))&lt;0, 0, MIN(L$37*'02_3_SOURCES'!$I14,SUMIF('03_3_Amortizations'!$A$13:$A$492,'04_1_Pro Forma'!L$4,'03_3_Amortizations'!$AT$13:$AT$492)))</f>
        <v>0</v>
      </c>
      <c r="M44" s="587">
        <f>IF(MIN(M$37*'02_3_SOURCES'!$I14,SUMIF('03_3_Amortizations'!$A$13:$A$492,'04_1_Pro Forma'!M$4,'03_3_Amortizations'!$AT$13:$AT$492))&lt;0, 0, MIN(M$37*'02_3_SOURCES'!$I14,SUMIF('03_3_Amortizations'!$A$13:$A$492,'04_1_Pro Forma'!M$4,'03_3_Amortizations'!$AT$13:$AT$492)))</f>
        <v>0</v>
      </c>
      <c r="N44" s="587">
        <f>IF(MIN(N$37*'02_3_SOURCES'!$I14,SUMIF('03_3_Amortizations'!$A$13:$A$492,'04_1_Pro Forma'!N$4,'03_3_Amortizations'!$AT$13:$AT$492))&lt;0, 0, MIN(N$37*'02_3_SOURCES'!$I14,SUMIF('03_3_Amortizations'!$A$13:$A$492,'04_1_Pro Forma'!N$4,'03_3_Amortizations'!$AT$13:$AT$492)))</f>
        <v>0</v>
      </c>
      <c r="O44" s="587">
        <f>IF(MIN(O$37*'02_3_SOURCES'!$I14,SUMIF('03_3_Amortizations'!$A$13:$A$492,'04_1_Pro Forma'!O$4,'03_3_Amortizations'!$AT$13:$AT$492))&lt;0, 0, MIN(O$37*'02_3_SOURCES'!$I14,SUMIF('03_3_Amortizations'!$A$13:$A$492,'04_1_Pro Forma'!O$4,'03_3_Amortizations'!$AT$13:$AT$492)))</f>
        <v>0</v>
      </c>
      <c r="P44" s="587">
        <f>IF(MIN(P$37*'02_3_SOURCES'!$I14,SUMIF('03_3_Amortizations'!$A$13:$A$492,'04_1_Pro Forma'!P$4,'03_3_Amortizations'!$AT$13:$AT$492))&lt;0, 0, MIN(P$37*'02_3_SOURCES'!$I14,SUMIF('03_3_Amortizations'!$A$13:$A$492,'04_1_Pro Forma'!P$4,'03_3_Amortizations'!$AT$13:$AT$492)))</f>
        <v>0</v>
      </c>
      <c r="Q44" s="587">
        <f>IF(MIN(Q$37*'02_3_SOURCES'!$I14,SUMIF('03_3_Amortizations'!$A$13:$A$492,'04_1_Pro Forma'!Q$4,'03_3_Amortizations'!$AT$13:$AT$492))&lt;0, 0, MIN(Q$37*'02_3_SOURCES'!$I14,SUMIF('03_3_Amortizations'!$A$13:$A$492,'04_1_Pro Forma'!Q$4,'03_3_Amortizations'!$AT$13:$AT$492)))</f>
        <v>0</v>
      </c>
      <c r="R44" s="587">
        <f>IF(MIN(R$37*'02_3_SOURCES'!$I14,SUMIF('03_3_Amortizations'!$A$13:$A$492,'04_1_Pro Forma'!R$4,'03_3_Amortizations'!$AT$13:$AT$492))&lt;0, 0, MIN(R$37*'02_3_SOURCES'!$I14,SUMIF('03_3_Amortizations'!$A$13:$A$492,'04_1_Pro Forma'!R$4,'03_3_Amortizations'!$AT$13:$AT$492)))</f>
        <v>0</v>
      </c>
      <c r="S44" s="587">
        <f>IF(MIN(S$37*'02_3_SOURCES'!$I14,SUMIF('03_3_Amortizations'!$A$13:$A$492,'04_1_Pro Forma'!S$4,'03_3_Amortizations'!$AT$13:$AT$492))&lt;0, 0, MIN(S$37*'02_3_SOURCES'!$I14,SUMIF('03_3_Amortizations'!$A$13:$A$492,'04_1_Pro Forma'!S$4,'03_3_Amortizations'!$AT$13:$AT$492)))</f>
        <v>0</v>
      </c>
      <c r="T44" s="587">
        <f>IF(MIN(T$37*'02_3_SOURCES'!$I14,SUMIF('03_3_Amortizations'!$A$13:$A$492,'04_1_Pro Forma'!T$4,'03_3_Amortizations'!$AT$13:$AT$492))&lt;0, 0, MIN(T$37*'02_3_SOURCES'!$I14,SUMIF('03_3_Amortizations'!$A$13:$A$492,'04_1_Pro Forma'!T$4,'03_3_Amortizations'!$AT$13:$AT$492)))</f>
        <v>0</v>
      </c>
      <c r="U44" s="587">
        <f>IF(MIN(U$37*'02_3_SOURCES'!$I14,SUMIF('03_3_Amortizations'!$A$13:$A$492,'04_1_Pro Forma'!U$4,'03_3_Amortizations'!$AT$13:$AT$492))&lt;0, 0, MIN(U$37*'02_3_SOURCES'!$I14,SUMIF('03_3_Amortizations'!$A$13:$A$492,'04_1_Pro Forma'!U$4,'03_3_Amortizations'!$AT$13:$AT$492)))</f>
        <v>0</v>
      </c>
      <c r="V44" s="587">
        <f>IF(MIN(V$37*'02_3_SOURCES'!$I14,SUMIF('03_3_Amortizations'!$A$13:$A$492,'04_1_Pro Forma'!V$4,'03_3_Amortizations'!$AT$13:$AT$492))&lt;0, 0, MIN(V$37*'02_3_SOURCES'!$I14,SUMIF('03_3_Amortizations'!$A$13:$A$492,'04_1_Pro Forma'!V$4,'03_3_Amortizations'!$AT$13:$AT$492)))</f>
        <v>0</v>
      </c>
      <c r="W44" s="587">
        <f>IF(MIN(W$37*'02_3_SOURCES'!$I14,SUMIF('03_3_Amortizations'!$A$13:$A$492,'04_1_Pro Forma'!W$4,'03_3_Amortizations'!$AT$13:$AT$492))&lt;0, 0, MIN(W$37*'02_3_SOURCES'!$I14,SUMIF('03_3_Amortizations'!$A$13:$A$492,'04_1_Pro Forma'!W$4,'03_3_Amortizations'!$AT$13:$AT$492)))</f>
        <v>0</v>
      </c>
      <c r="X44" s="587">
        <f>IF(MIN(X$37*'02_3_SOURCES'!$I14,SUMIF('03_3_Amortizations'!$A$13:$A$492,'04_1_Pro Forma'!X$4,'03_3_Amortizations'!$AT$13:$AT$492))&lt;0, 0, MIN(X$37*'02_3_SOURCES'!$I14,SUMIF('03_3_Amortizations'!$A$13:$A$492,'04_1_Pro Forma'!X$4,'03_3_Amortizations'!$AT$13:$AT$492)))</f>
        <v>0</v>
      </c>
      <c r="Y44" s="587">
        <f>IF(MIN(Y$37*'02_3_SOURCES'!$I14,SUMIF('03_3_Amortizations'!$A$13:$A$492,'04_1_Pro Forma'!Y$4,'03_3_Amortizations'!$AT$13:$AT$492))&lt;0, 0, MIN(Y$37*'02_3_SOURCES'!$I14,SUMIF('03_3_Amortizations'!$A$13:$A$492,'04_1_Pro Forma'!Y$4,'03_3_Amortizations'!$AT$13:$AT$492)))</f>
        <v>0</v>
      </c>
      <c r="Z44" s="587">
        <f>IF(MIN(Z$37*'02_3_SOURCES'!$I14,SUMIF('03_3_Amortizations'!$A$13:$A$492,'04_1_Pro Forma'!Z$4,'03_3_Amortizations'!$AT$13:$AT$492))&lt;0, 0, MIN(Z$37*'02_3_SOURCES'!$I14,SUMIF('03_3_Amortizations'!$A$13:$A$492,'04_1_Pro Forma'!Z$4,'03_3_Amortizations'!$AT$13:$AT$492)))</f>
        <v>0</v>
      </c>
      <c r="AA44" s="587">
        <f>IF(MIN(AA$37*'02_3_SOURCES'!$I14,SUMIF('03_3_Amortizations'!$A$13:$A$492,'04_1_Pro Forma'!AA$4,'03_3_Amortizations'!$AT$13:$AT$492))&lt;0, 0, MIN(AA$37*'02_3_SOURCES'!$I14,SUMIF('03_3_Amortizations'!$A$13:$A$492,'04_1_Pro Forma'!AA$4,'03_3_Amortizations'!$AT$13:$AT$492)))</f>
        <v>0</v>
      </c>
      <c r="AB44" s="587">
        <f>IF(MIN(AB$37*'02_3_SOURCES'!$I14,SUMIF('03_3_Amortizations'!$A$13:$A$492,'04_1_Pro Forma'!AB$4,'03_3_Amortizations'!$AT$13:$AT$492))&lt;0, 0, MIN(AB$37*'02_3_SOURCES'!$I14,SUMIF('03_3_Amortizations'!$A$13:$A$492,'04_1_Pro Forma'!AB$4,'03_3_Amortizations'!$AT$13:$AT$492)))</f>
        <v>0</v>
      </c>
      <c r="AC44" s="587">
        <f>IF(MIN(AC$37*'02_3_SOURCES'!$I14,SUMIF('03_3_Amortizations'!$A$13:$A$492,'04_1_Pro Forma'!AC$4,'03_3_Amortizations'!$AT$13:$AT$492))&lt;0, 0, MIN(AC$37*'02_3_SOURCES'!$I14,SUMIF('03_3_Amortizations'!$A$13:$A$492,'04_1_Pro Forma'!AC$4,'03_3_Amortizations'!$AT$13:$AT$492)))</f>
        <v>0</v>
      </c>
      <c r="AD44" s="587">
        <f>IF(MIN(AD$37*'02_3_SOURCES'!$I14,SUMIF('03_3_Amortizations'!$A$13:$A$492,'04_1_Pro Forma'!AD$4,'03_3_Amortizations'!$AT$13:$AT$492))&lt;0, 0, MIN(AD$37*'02_3_SOURCES'!$I14,SUMIF('03_3_Amortizations'!$A$13:$A$492,'04_1_Pro Forma'!AD$4,'03_3_Amortizations'!$AT$13:$AT$492)))</f>
        <v>0</v>
      </c>
      <c r="AE44" s="587">
        <f>IF(MIN(AE$37*'02_3_SOURCES'!$I14,SUMIF('03_3_Amortizations'!$A$13:$A$492,'04_1_Pro Forma'!AE$4,'03_3_Amortizations'!$AT$13:$AT$492))&lt;0, 0, MIN(AE$37*'02_3_SOURCES'!$I14,SUMIF('03_3_Amortizations'!$A$13:$A$492,'04_1_Pro Forma'!AE$4,'03_3_Amortizations'!$AT$13:$AT$492)))</f>
        <v>0</v>
      </c>
      <c r="AF44" s="587">
        <f>IF(MIN(AF$37*'02_3_SOURCES'!$I14,SUMIF('03_3_Amortizations'!$A$13:$A$492,'04_1_Pro Forma'!AF$4,'03_3_Amortizations'!$AT$13:$AT$492))&lt;0, 0, MIN(AF$37*'02_3_SOURCES'!$I14,SUMIF('03_3_Amortizations'!$A$13:$A$492,'04_1_Pro Forma'!AF$4,'03_3_Amortizations'!$AT$13:$AT$492)))</f>
        <v>0</v>
      </c>
      <c r="AG44" s="587">
        <f>IF(MIN(AG$37*'02_3_SOURCES'!$I14,SUMIF('03_3_Amortizations'!$A$13:$A$492,'04_1_Pro Forma'!AG$4,'03_3_Amortizations'!$AT$13:$AT$492))&lt;0, 0, MIN(AG$37*'02_3_SOURCES'!$I14,SUMIF('03_3_Amortizations'!$A$13:$A$492,'04_1_Pro Forma'!AG$4,'03_3_Amortizations'!$AT$13:$AT$492)))</f>
        <v>0</v>
      </c>
      <c r="AH44" s="587">
        <f>IF(MIN(AH$37*'02_3_SOURCES'!$I14,SUMIF('03_3_Amortizations'!$A$13:$A$492,'04_1_Pro Forma'!AH$4,'03_3_Amortizations'!$AT$13:$AT$492))&lt;0, 0, MIN(AH$37*'02_3_SOURCES'!$I14,SUMIF('03_3_Amortizations'!$A$13:$A$492,'04_1_Pro Forma'!AH$4,'03_3_Amortizations'!$AT$13:$AT$492)))</f>
        <v>0</v>
      </c>
      <c r="AI44" s="587">
        <f>IF(MIN(AI$37*'02_3_SOURCES'!$I14,SUMIF('03_3_Amortizations'!$A$13:$A$492,'04_1_Pro Forma'!AI$4,'03_3_Amortizations'!$AT$13:$AT$492))&lt;0, 0, MIN(AI$37*'02_3_SOURCES'!$I14,SUMIF('03_3_Amortizations'!$A$13:$A$492,'04_1_Pro Forma'!AI$4,'03_3_Amortizations'!$AT$13:$AT$492)))</f>
        <v>0</v>
      </c>
      <c r="AJ44" s="587">
        <f>IF(MIN(AJ$37*'02_3_SOURCES'!$I14,SUMIF('03_3_Amortizations'!$A$13:$A$492,'04_1_Pro Forma'!AJ$4,'03_3_Amortizations'!$AT$13:$AT$492))&lt;0, 0, MIN(AJ$37*'02_3_SOURCES'!$I14,SUMIF('03_3_Amortizations'!$A$13:$A$492,'04_1_Pro Forma'!AJ$4,'03_3_Amortizations'!$AT$13:$AT$492)))</f>
        <v>0</v>
      </c>
      <c r="AK44" s="587">
        <f>IF(MIN(AK$37*'02_3_SOURCES'!$I14,SUMIF('03_3_Amortizations'!$A$13:$A$492,'04_1_Pro Forma'!AK$4,'03_3_Amortizations'!$AT$13:$AT$492))&lt;0, 0, MIN(AK$37*'02_3_SOURCES'!$I14,SUMIF('03_3_Amortizations'!$A$13:$A$492,'04_1_Pro Forma'!AK$4,'03_3_Amortizations'!$AT$13:$AT$492)))</f>
        <v>0</v>
      </c>
      <c r="AL44" s="587">
        <f>IF(MIN(AL$37*'02_3_SOURCES'!$I14,SUMIF('03_3_Amortizations'!$A$13:$A$492,'04_1_Pro Forma'!AL$4,'03_3_Amortizations'!$AT$13:$AT$492))&lt;0, 0, MIN(AL$37*'02_3_SOURCES'!$I14,SUMIF('03_3_Amortizations'!$A$13:$A$492,'04_1_Pro Forma'!AL$4,'03_3_Amortizations'!$AT$13:$AT$492)))</f>
        <v>0</v>
      </c>
      <c r="AM44" s="587">
        <f>IF(MIN(AM$37*'02_3_SOURCES'!$I14,SUMIF('03_3_Amortizations'!$A$13:$A$492,'04_1_Pro Forma'!AM$4,'03_3_Amortizations'!$AT$13:$AT$492))&lt;0, 0, MIN(AM$37*'02_3_SOURCES'!$I14,SUMIF('03_3_Amortizations'!$A$13:$A$492,'04_1_Pro Forma'!AM$4,'03_3_Amortizations'!$AT$13:$AT$492)))</f>
        <v>0</v>
      </c>
      <c r="AN44" s="587">
        <f>IF(MIN(AN$37*'02_3_SOURCES'!$I14,SUMIF('03_3_Amortizations'!$A$13:$A$492,'04_1_Pro Forma'!AN$4,'03_3_Amortizations'!$AT$13:$AT$492))&lt;0, 0, MIN(AN$37*'02_3_SOURCES'!$I14,SUMIF('03_3_Amortizations'!$A$13:$A$492,'04_1_Pro Forma'!AN$4,'03_3_Amortizations'!$AT$13:$AT$492)))</f>
        <v>0</v>
      </c>
      <c r="AO44" s="587">
        <f>IF(MIN(AO$37*'02_3_SOURCES'!$I14,SUMIF('03_3_Amortizations'!$A$13:$A$492,'04_1_Pro Forma'!AO$4,'03_3_Amortizations'!$AT$13:$AT$492))&lt;0, 0, MIN(AO$37*'02_3_SOURCES'!$I14,SUMIF('03_3_Amortizations'!$A$13:$A$492,'04_1_Pro Forma'!AO$4,'03_3_Amortizations'!$AT$13:$AT$492)))</f>
        <v>0</v>
      </c>
      <c r="AP44" s="638">
        <f>IF(MIN(AP$37*'02_3_SOURCES'!$I14,SUMIF('03_3_Amortizations'!$A$13:$A$492,'04_1_Pro Forma'!AP$4,'03_3_Amortizations'!$AT$13:$AT$492))&lt;0, 0, MIN(AP$37*'02_3_SOURCES'!$I14,SUMIF('03_3_Amortizations'!$A$13:$A$492,'04_1_Pro Forma'!AP$4,'03_3_Amortizations'!$AT$13:$AT$492)))</f>
        <v>0</v>
      </c>
    </row>
    <row r="45" spans="1:42">
      <c r="A45" s="928">
        <f>'02_3_SOURCES'!B15</f>
        <v>0</v>
      </c>
      <c r="B45" s="369"/>
      <c r="C45" s="587">
        <f>IF(MIN(C$37*'02_3_SOURCES'!$I15,SUMIF('03_3_Amortizations'!$A$13:$A$492,'04_1_Pro Forma'!C$4,'03_3_Amortizations'!$BB$13:$BB$492))&lt;0, 0, MIN(C$37*'02_3_SOURCES'!$I15,SUMIF('03_3_Amortizations'!$A$13:$A$492,'04_1_Pro Forma'!C$4,'03_3_Amortizations'!$BB$13:$BB$492)))</f>
        <v>0</v>
      </c>
      <c r="D45" s="587">
        <f>IF(MIN(D$37*'02_3_SOURCES'!$I15,SUMIF('03_3_Amortizations'!$A$13:$A$492,'04_1_Pro Forma'!D$4,'03_3_Amortizations'!$BB$13:$BB$492))&lt;0, 0, MIN(D$37*'02_3_SOURCES'!$I15,SUMIF('03_3_Amortizations'!$A$13:$A$492,'04_1_Pro Forma'!D$4,'03_3_Amortizations'!$BB$13:$BB$492)))</f>
        <v>0</v>
      </c>
      <c r="E45" s="587">
        <f>IF(MIN(E$37*'02_3_SOURCES'!$I15,SUMIF('03_3_Amortizations'!$A$13:$A$492,'04_1_Pro Forma'!E$4,'03_3_Amortizations'!$BB$13:$BB$492))&lt;0, 0, MIN(E$37*'02_3_SOURCES'!$I15,SUMIF('03_3_Amortizations'!$A$13:$A$492,'04_1_Pro Forma'!E$4,'03_3_Amortizations'!$BB$13:$BB$492)))</f>
        <v>0</v>
      </c>
      <c r="F45" s="587">
        <f>IF(MIN(F$37*'02_3_SOURCES'!$I15,SUMIF('03_3_Amortizations'!$A$13:$A$492,'04_1_Pro Forma'!F$4,'03_3_Amortizations'!$BB$13:$BB$492))&lt;0, 0, MIN(F$37*'02_3_SOURCES'!$I15,SUMIF('03_3_Amortizations'!$A$13:$A$492,'04_1_Pro Forma'!F$4,'03_3_Amortizations'!$BB$13:$BB$492)))</f>
        <v>0</v>
      </c>
      <c r="G45" s="587">
        <f>IF(MIN(G$37*'02_3_SOURCES'!$I15,SUMIF('03_3_Amortizations'!$A$13:$A$492,'04_1_Pro Forma'!G$4,'03_3_Amortizations'!$BB$13:$BB$492))&lt;0, 0, MIN(G$37*'02_3_SOURCES'!$I15,SUMIF('03_3_Amortizations'!$A$13:$A$492,'04_1_Pro Forma'!G$4,'03_3_Amortizations'!$BB$13:$BB$492)))</f>
        <v>0</v>
      </c>
      <c r="H45" s="587">
        <f>IF(MIN(H$37*'02_3_SOURCES'!$I15,SUMIF('03_3_Amortizations'!$A$13:$A$492,'04_1_Pro Forma'!H$4,'03_3_Amortizations'!$BB$13:$BB$492))&lt;0, 0, MIN(H$37*'02_3_SOURCES'!$I15,SUMIF('03_3_Amortizations'!$A$13:$A$492,'04_1_Pro Forma'!H$4,'03_3_Amortizations'!$BB$13:$BB$492)))</f>
        <v>0</v>
      </c>
      <c r="I45" s="587">
        <f>IF(MIN(I$37*'02_3_SOURCES'!$I15,SUMIF('03_3_Amortizations'!$A$13:$A$492,'04_1_Pro Forma'!I$4,'03_3_Amortizations'!$BB$13:$BB$492))&lt;0, 0, MIN(I$37*'02_3_SOURCES'!$I15,SUMIF('03_3_Amortizations'!$A$13:$A$492,'04_1_Pro Forma'!I$4,'03_3_Amortizations'!$BB$13:$BB$492)))</f>
        <v>0</v>
      </c>
      <c r="J45" s="587">
        <f>IF(MIN(J$37*'02_3_SOURCES'!$I15,SUMIF('03_3_Amortizations'!$A$13:$A$492,'04_1_Pro Forma'!J$4,'03_3_Amortizations'!$BB$13:$BB$492))&lt;0, 0, MIN(J$37*'02_3_SOURCES'!$I15,SUMIF('03_3_Amortizations'!$A$13:$A$492,'04_1_Pro Forma'!J$4,'03_3_Amortizations'!$BB$13:$BB$492)))</f>
        <v>0</v>
      </c>
      <c r="K45" s="587">
        <f>IF(MIN(K$37*'02_3_SOURCES'!$I15,SUMIF('03_3_Amortizations'!$A$13:$A$492,'04_1_Pro Forma'!K$4,'03_3_Amortizations'!$BB$13:$BB$492))&lt;0, 0, MIN(K$37*'02_3_SOURCES'!$I15,SUMIF('03_3_Amortizations'!$A$13:$A$492,'04_1_Pro Forma'!K$4,'03_3_Amortizations'!$BB$13:$BB$492)))</f>
        <v>0</v>
      </c>
      <c r="L45" s="587">
        <f>IF(MIN(L$37*'02_3_SOURCES'!$I15,SUMIF('03_3_Amortizations'!$A$13:$A$492,'04_1_Pro Forma'!L$4,'03_3_Amortizations'!$BB$13:$BB$492))&lt;0, 0, MIN(L$37*'02_3_SOURCES'!$I15,SUMIF('03_3_Amortizations'!$A$13:$A$492,'04_1_Pro Forma'!L$4,'03_3_Amortizations'!$BB$13:$BB$492)))</f>
        <v>0</v>
      </c>
      <c r="M45" s="587">
        <f>IF(MIN(M$37*'02_3_SOURCES'!$I15,SUMIF('03_3_Amortizations'!$A$13:$A$492,'04_1_Pro Forma'!M$4,'03_3_Amortizations'!$BB$13:$BB$492))&lt;0, 0, MIN(M$37*'02_3_SOURCES'!$I15,SUMIF('03_3_Amortizations'!$A$13:$A$492,'04_1_Pro Forma'!M$4,'03_3_Amortizations'!$BB$13:$BB$492)))</f>
        <v>0</v>
      </c>
      <c r="N45" s="587">
        <f>IF(MIN(N$37*'02_3_SOURCES'!$I15,SUMIF('03_3_Amortizations'!$A$13:$A$492,'04_1_Pro Forma'!N$4,'03_3_Amortizations'!$BB$13:$BB$492))&lt;0, 0, MIN(N$37*'02_3_SOURCES'!$I15,SUMIF('03_3_Amortizations'!$A$13:$A$492,'04_1_Pro Forma'!N$4,'03_3_Amortizations'!$BB$13:$BB$492)))</f>
        <v>0</v>
      </c>
      <c r="O45" s="587">
        <f>IF(MIN(O$37*'02_3_SOURCES'!$I15,SUMIF('03_3_Amortizations'!$A$13:$A$492,'04_1_Pro Forma'!O$4,'03_3_Amortizations'!$BB$13:$BB$492))&lt;0, 0, MIN(O$37*'02_3_SOURCES'!$I15,SUMIF('03_3_Amortizations'!$A$13:$A$492,'04_1_Pro Forma'!O$4,'03_3_Amortizations'!$BB$13:$BB$492)))</f>
        <v>0</v>
      </c>
      <c r="P45" s="587">
        <f>IF(MIN(P$37*'02_3_SOURCES'!$I15,SUMIF('03_3_Amortizations'!$A$13:$A$492,'04_1_Pro Forma'!P$4,'03_3_Amortizations'!$BB$13:$BB$492))&lt;0, 0, MIN(P$37*'02_3_SOURCES'!$I15,SUMIF('03_3_Amortizations'!$A$13:$A$492,'04_1_Pro Forma'!P$4,'03_3_Amortizations'!$BB$13:$BB$492)))</f>
        <v>0</v>
      </c>
      <c r="Q45" s="587">
        <f>IF(MIN(Q$37*'02_3_SOURCES'!$I15,SUMIF('03_3_Amortizations'!$A$13:$A$492,'04_1_Pro Forma'!Q$4,'03_3_Amortizations'!$BB$13:$BB$492))&lt;0, 0, MIN(Q$37*'02_3_SOURCES'!$I15,SUMIF('03_3_Amortizations'!$A$13:$A$492,'04_1_Pro Forma'!Q$4,'03_3_Amortizations'!$BB$13:$BB$492)))</f>
        <v>0</v>
      </c>
      <c r="R45" s="587">
        <f>IF(MIN(R$37*'02_3_SOURCES'!$I15,SUMIF('03_3_Amortizations'!$A$13:$A$492,'04_1_Pro Forma'!R$4,'03_3_Amortizations'!$BB$13:$BB$492))&lt;0, 0, MIN(R$37*'02_3_SOURCES'!$I15,SUMIF('03_3_Amortizations'!$A$13:$A$492,'04_1_Pro Forma'!R$4,'03_3_Amortizations'!$BB$13:$BB$492)))</f>
        <v>0</v>
      </c>
      <c r="S45" s="587">
        <f>IF(MIN(S$37*'02_3_SOURCES'!$I15,SUMIF('03_3_Amortizations'!$A$13:$A$492,'04_1_Pro Forma'!S$4,'03_3_Amortizations'!$BB$13:$BB$492))&lt;0, 0, MIN(S$37*'02_3_SOURCES'!$I15,SUMIF('03_3_Amortizations'!$A$13:$A$492,'04_1_Pro Forma'!S$4,'03_3_Amortizations'!$BB$13:$BB$492)))</f>
        <v>0</v>
      </c>
      <c r="T45" s="587">
        <f>IF(MIN(T$37*'02_3_SOURCES'!$I15,SUMIF('03_3_Amortizations'!$A$13:$A$492,'04_1_Pro Forma'!T$4,'03_3_Amortizations'!$BB$13:$BB$492))&lt;0, 0, MIN(T$37*'02_3_SOURCES'!$I15,SUMIF('03_3_Amortizations'!$A$13:$A$492,'04_1_Pro Forma'!T$4,'03_3_Amortizations'!$BB$13:$BB$492)))</f>
        <v>0</v>
      </c>
      <c r="U45" s="587">
        <f>IF(MIN(U$37*'02_3_SOURCES'!$I15,SUMIF('03_3_Amortizations'!$A$13:$A$492,'04_1_Pro Forma'!U$4,'03_3_Amortizations'!$BB$13:$BB$492))&lt;0, 0, MIN(U$37*'02_3_SOURCES'!$I15,SUMIF('03_3_Amortizations'!$A$13:$A$492,'04_1_Pro Forma'!U$4,'03_3_Amortizations'!$BB$13:$BB$492)))</f>
        <v>0</v>
      </c>
      <c r="V45" s="587">
        <f>IF(MIN(V$37*'02_3_SOURCES'!$I15,SUMIF('03_3_Amortizations'!$A$13:$A$492,'04_1_Pro Forma'!V$4,'03_3_Amortizations'!$BB$13:$BB$492))&lt;0, 0, MIN(V$37*'02_3_SOURCES'!$I15,SUMIF('03_3_Amortizations'!$A$13:$A$492,'04_1_Pro Forma'!V$4,'03_3_Amortizations'!$BB$13:$BB$492)))</f>
        <v>0</v>
      </c>
      <c r="W45" s="587">
        <f>IF(MIN(W$37*'02_3_SOURCES'!$I15,SUMIF('03_3_Amortizations'!$A$13:$A$492,'04_1_Pro Forma'!W$4,'03_3_Amortizations'!$BB$13:$BB$492))&lt;0, 0, MIN(W$37*'02_3_SOURCES'!$I15,SUMIF('03_3_Amortizations'!$A$13:$A$492,'04_1_Pro Forma'!W$4,'03_3_Amortizations'!$BB$13:$BB$492)))</f>
        <v>0</v>
      </c>
      <c r="X45" s="587">
        <f>IF(MIN(X$37*'02_3_SOURCES'!$I15,SUMIF('03_3_Amortizations'!$A$13:$A$492,'04_1_Pro Forma'!X$4,'03_3_Amortizations'!$BB$13:$BB$492))&lt;0, 0, MIN(X$37*'02_3_SOURCES'!$I15,SUMIF('03_3_Amortizations'!$A$13:$A$492,'04_1_Pro Forma'!X$4,'03_3_Amortizations'!$BB$13:$BB$492)))</f>
        <v>0</v>
      </c>
      <c r="Y45" s="587">
        <f>IF(MIN(Y$37*'02_3_SOURCES'!$I15,SUMIF('03_3_Amortizations'!$A$13:$A$492,'04_1_Pro Forma'!Y$4,'03_3_Amortizations'!$BB$13:$BB$492))&lt;0, 0, MIN(Y$37*'02_3_SOURCES'!$I15,SUMIF('03_3_Amortizations'!$A$13:$A$492,'04_1_Pro Forma'!Y$4,'03_3_Amortizations'!$BB$13:$BB$492)))</f>
        <v>0</v>
      </c>
      <c r="Z45" s="587">
        <f>IF(MIN(Z$37*'02_3_SOURCES'!$I15,SUMIF('03_3_Amortizations'!$A$13:$A$492,'04_1_Pro Forma'!Z$4,'03_3_Amortizations'!$BB$13:$BB$492))&lt;0, 0, MIN(Z$37*'02_3_SOURCES'!$I15,SUMIF('03_3_Amortizations'!$A$13:$A$492,'04_1_Pro Forma'!Z$4,'03_3_Amortizations'!$BB$13:$BB$492)))</f>
        <v>0</v>
      </c>
      <c r="AA45" s="587">
        <f>IF(MIN(AA$37*'02_3_SOURCES'!$I15,SUMIF('03_3_Amortizations'!$A$13:$A$492,'04_1_Pro Forma'!AA$4,'03_3_Amortizations'!$BB$13:$BB$492))&lt;0, 0, MIN(AA$37*'02_3_SOURCES'!$I15,SUMIF('03_3_Amortizations'!$A$13:$A$492,'04_1_Pro Forma'!AA$4,'03_3_Amortizations'!$BB$13:$BB$492)))</f>
        <v>0</v>
      </c>
      <c r="AB45" s="587">
        <f>IF(MIN(AB$37*'02_3_SOURCES'!$I15,SUMIF('03_3_Amortizations'!$A$13:$A$492,'04_1_Pro Forma'!AB$4,'03_3_Amortizations'!$BB$13:$BB$492))&lt;0, 0, MIN(AB$37*'02_3_SOURCES'!$I15,SUMIF('03_3_Amortizations'!$A$13:$A$492,'04_1_Pro Forma'!AB$4,'03_3_Amortizations'!$BB$13:$BB$492)))</f>
        <v>0</v>
      </c>
      <c r="AC45" s="587">
        <f>IF(MIN(AC$37*'02_3_SOURCES'!$I15,SUMIF('03_3_Amortizations'!$A$13:$A$492,'04_1_Pro Forma'!AC$4,'03_3_Amortizations'!$BB$13:$BB$492))&lt;0, 0, MIN(AC$37*'02_3_SOURCES'!$I15,SUMIF('03_3_Amortizations'!$A$13:$A$492,'04_1_Pro Forma'!AC$4,'03_3_Amortizations'!$BB$13:$BB$492)))</f>
        <v>0</v>
      </c>
      <c r="AD45" s="587">
        <f>IF(MIN(AD$37*'02_3_SOURCES'!$I15,SUMIF('03_3_Amortizations'!$A$13:$A$492,'04_1_Pro Forma'!AD$4,'03_3_Amortizations'!$BB$13:$BB$492))&lt;0, 0, MIN(AD$37*'02_3_SOURCES'!$I15,SUMIF('03_3_Amortizations'!$A$13:$A$492,'04_1_Pro Forma'!AD$4,'03_3_Amortizations'!$BB$13:$BB$492)))</f>
        <v>0</v>
      </c>
      <c r="AE45" s="587">
        <f>IF(MIN(AE$37*'02_3_SOURCES'!$I15,SUMIF('03_3_Amortizations'!$A$13:$A$492,'04_1_Pro Forma'!AE$4,'03_3_Amortizations'!$BB$13:$BB$492))&lt;0, 0, MIN(AE$37*'02_3_SOURCES'!$I15,SUMIF('03_3_Amortizations'!$A$13:$A$492,'04_1_Pro Forma'!AE$4,'03_3_Amortizations'!$BB$13:$BB$492)))</f>
        <v>0</v>
      </c>
      <c r="AF45" s="587">
        <f>IF(MIN(AF$37*'02_3_SOURCES'!$I15,SUMIF('03_3_Amortizations'!$A$13:$A$492,'04_1_Pro Forma'!AF$4,'03_3_Amortizations'!$BB$13:$BB$492))&lt;0, 0, MIN(AF$37*'02_3_SOURCES'!$I15,SUMIF('03_3_Amortizations'!$A$13:$A$492,'04_1_Pro Forma'!AF$4,'03_3_Amortizations'!$BB$13:$BB$492)))</f>
        <v>0</v>
      </c>
      <c r="AG45" s="587">
        <f>IF(MIN(AG$37*'02_3_SOURCES'!$I15,SUMIF('03_3_Amortizations'!$A$13:$A$492,'04_1_Pro Forma'!AG$4,'03_3_Amortizations'!$BB$13:$BB$492))&lt;0, 0, MIN(AG$37*'02_3_SOURCES'!$I15,SUMIF('03_3_Amortizations'!$A$13:$A$492,'04_1_Pro Forma'!AG$4,'03_3_Amortizations'!$BB$13:$BB$492)))</f>
        <v>0</v>
      </c>
      <c r="AH45" s="587">
        <f>IF(MIN(AH$37*'02_3_SOURCES'!$I15,SUMIF('03_3_Amortizations'!$A$13:$A$492,'04_1_Pro Forma'!AH$4,'03_3_Amortizations'!$BB$13:$BB$492))&lt;0, 0, MIN(AH$37*'02_3_SOURCES'!$I15,SUMIF('03_3_Amortizations'!$A$13:$A$492,'04_1_Pro Forma'!AH$4,'03_3_Amortizations'!$BB$13:$BB$492)))</f>
        <v>0</v>
      </c>
      <c r="AI45" s="587">
        <f>IF(MIN(AI$37*'02_3_SOURCES'!$I15,SUMIF('03_3_Amortizations'!$A$13:$A$492,'04_1_Pro Forma'!AI$4,'03_3_Amortizations'!$BB$13:$BB$492))&lt;0, 0, MIN(AI$37*'02_3_SOURCES'!$I15,SUMIF('03_3_Amortizations'!$A$13:$A$492,'04_1_Pro Forma'!AI$4,'03_3_Amortizations'!$BB$13:$BB$492)))</f>
        <v>0</v>
      </c>
      <c r="AJ45" s="587">
        <f>IF(MIN(AJ$37*'02_3_SOURCES'!$I15,SUMIF('03_3_Amortizations'!$A$13:$A$492,'04_1_Pro Forma'!AJ$4,'03_3_Amortizations'!$BB$13:$BB$492))&lt;0, 0, MIN(AJ$37*'02_3_SOURCES'!$I15,SUMIF('03_3_Amortizations'!$A$13:$A$492,'04_1_Pro Forma'!AJ$4,'03_3_Amortizations'!$BB$13:$BB$492)))</f>
        <v>0</v>
      </c>
      <c r="AK45" s="587">
        <f>IF(MIN(AK$37*'02_3_SOURCES'!$I15,SUMIF('03_3_Amortizations'!$A$13:$A$492,'04_1_Pro Forma'!AK$4,'03_3_Amortizations'!$BB$13:$BB$492))&lt;0, 0, MIN(AK$37*'02_3_SOURCES'!$I15,SUMIF('03_3_Amortizations'!$A$13:$A$492,'04_1_Pro Forma'!AK$4,'03_3_Amortizations'!$BB$13:$BB$492)))</f>
        <v>0</v>
      </c>
      <c r="AL45" s="587">
        <f>IF(MIN(AL$37*'02_3_SOURCES'!$I15,SUMIF('03_3_Amortizations'!$A$13:$A$492,'04_1_Pro Forma'!AL$4,'03_3_Amortizations'!$BB$13:$BB$492))&lt;0, 0, MIN(AL$37*'02_3_SOURCES'!$I15,SUMIF('03_3_Amortizations'!$A$13:$A$492,'04_1_Pro Forma'!AL$4,'03_3_Amortizations'!$BB$13:$BB$492)))</f>
        <v>0</v>
      </c>
      <c r="AM45" s="587">
        <f>IF(MIN(AM$37*'02_3_SOURCES'!$I15,SUMIF('03_3_Amortizations'!$A$13:$A$492,'04_1_Pro Forma'!AM$4,'03_3_Amortizations'!$BB$13:$BB$492))&lt;0, 0, MIN(AM$37*'02_3_SOURCES'!$I15,SUMIF('03_3_Amortizations'!$A$13:$A$492,'04_1_Pro Forma'!AM$4,'03_3_Amortizations'!$BB$13:$BB$492)))</f>
        <v>0</v>
      </c>
      <c r="AN45" s="587">
        <f>IF(MIN(AN$37*'02_3_SOURCES'!$I15,SUMIF('03_3_Amortizations'!$A$13:$A$492,'04_1_Pro Forma'!AN$4,'03_3_Amortizations'!$BB$13:$BB$492))&lt;0, 0, MIN(AN$37*'02_3_SOURCES'!$I15,SUMIF('03_3_Amortizations'!$A$13:$A$492,'04_1_Pro Forma'!AN$4,'03_3_Amortizations'!$BB$13:$BB$492)))</f>
        <v>0</v>
      </c>
      <c r="AO45" s="587">
        <f>IF(MIN(AO$37*'02_3_SOURCES'!$I15,SUMIF('03_3_Amortizations'!$A$13:$A$492,'04_1_Pro Forma'!AO$4,'03_3_Amortizations'!$BB$13:$BB$492))&lt;0, 0, MIN(AO$37*'02_3_SOURCES'!$I15,SUMIF('03_3_Amortizations'!$A$13:$A$492,'04_1_Pro Forma'!AO$4,'03_3_Amortizations'!$BB$13:$BB$492)))</f>
        <v>0</v>
      </c>
      <c r="AP45" s="638">
        <f>IF(MIN(AP$37*'02_3_SOURCES'!$I15,SUMIF('03_3_Amortizations'!$A$13:$A$492,'04_1_Pro Forma'!AP$4,'03_3_Amortizations'!$BB$13:$BB$492))&lt;0, 0, MIN(AP$37*'02_3_SOURCES'!$I15,SUMIF('03_3_Amortizations'!$A$13:$A$492,'04_1_Pro Forma'!AP$4,'03_3_Amortizations'!$BB$13:$BB$492)))</f>
        <v>0</v>
      </c>
    </row>
    <row r="46" spans="1:42" ht="16.5" thickBot="1">
      <c r="A46" s="941">
        <f>'02_3_SOURCES'!B16</f>
        <v>0</v>
      </c>
      <c r="B46" s="940"/>
      <c r="C46" s="643">
        <f>IF(MIN(C$37*'02_3_SOURCES'!$I16,SUMIF('03_3_Amortizations'!$A$13:$A$492,'04_1_Pro Forma'!C$4,'03_3_Amortizations'!$BJ$13:$BJ$492))&lt;0, 0, MIN(C$37*'02_3_SOURCES'!$I16,SUMIF('03_3_Amortizations'!$A$13:$A$492,'04_1_Pro Forma'!C$4,'03_3_Amortizations'!$BJ$13:$BJ$492)))</f>
        <v>0</v>
      </c>
      <c r="D46" s="643">
        <f>IF(MIN(D$37*'02_3_SOURCES'!$I16,SUMIF('03_3_Amortizations'!$A$13:$A$492,'04_1_Pro Forma'!D$4,'03_3_Amortizations'!$BJ$13:$BJ$492))&lt;0, 0, MIN(D$37*'02_3_SOURCES'!$I16,SUMIF('03_3_Amortizations'!$A$13:$A$492,'04_1_Pro Forma'!D$4,'03_3_Amortizations'!$BJ$13:$BJ$492)))</f>
        <v>0</v>
      </c>
      <c r="E46" s="643">
        <f>IF(MIN(E$37*'02_3_SOURCES'!$I16,SUMIF('03_3_Amortizations'!$A$13:$A$492,'04_1_Pro Forma'!E$4,'03_3_Amortizations'!$BJ$13:$BJ$492))&lt;0, 0, MIN(E$37*'02_3_SOURCES'!$I16,SUMIF('03_3_Amortizations'!$A$13:$A$492,'04_1_Pro Forma'!E$4,'03_3_Amortizations'!$BJ$13:$BJ$492)))</f>
        <v>0</v>
      </c>
      <c r="F46" s="643">
        <f>IF(MIN(F$37*'02_3_SOURCES'!$I16,SUMIF('03_3_Amortizations'!$A$13:$A$492,'04_1_Pro Forma'!F$4,'03_3_Amortizations'!$BJ$13:$BJ$492))&lt;0, 0, MIN(F$37*'02_3_SOURCES'!$I16,SUMIF('03_3_Amortizations'!$A$13:$A$492,'04_1_Pro Forma'!F$4,'03_3_Amortizations'!$BJ$13:$BJ$492)))</f>
        <v>0</v>
      </c>
      <c r="G46" s="643">
        <f>IF(MIN(G$37*'02_3_SOURCES'!$I16,SUMIF('03_3_Amortizations'!$A$13:$A$492,'04_1_Pro Forma'!G$4,'03_3_Amortizations'!$BJ$13:$BJ$492))&lt;0, 0, MIN(G$37*'02_3_SOURCES'!$I16,SUMIF('03_3_Amortizations'!$A$13:$A$492,'04_1_Pro Forma'!G$4,'03_3_Amortizations'!$BJ$13:$BJ$492)))</f>
        <v>0</v>
      </c>
      <c r="H46" s="643">
        <f>IF(MIN(H$37*'02_3_SOURCES'!$I16,SUMIF('03_3_Amortizations'!$A$13:$A$492,'04_1_Pro Forma'!H$4,'03_3_Amortizations'!$BJ$13:$BJ$492))&lt;0, 0, MIN(H$37*'02_3_SOURCES'!$I16,SUMIF('03_3_Amortizations'!$A$13:$A$492,'04_1_Pro Forma'!H$4,'03_3_Amortizations'!$BJ$13:$BJ$492)))</f>
        <v>0</v>
      </c>
      <c r="I46" s="643">
        <f>IF(MIN(I$37*'02_3_SOURCES'!$I16,SUMIF('03_3_Amortizations'!$A$13:$A$492,'04_1_Pro Forma'!I$4,'03_3_Amortizations'!$BJ$13:$BJ$492))&lt;0, 0, MIN(I$37*'02_3_SOURCES'!$I16,SUMIF('03_3_Amortizations'!$A$13:$A$492,'04_1_Pro Forma'!I$4,'03_3_Amortizations'!$BJ$13:$BJ$492)))</f>
        <v>0</v>
      </c>
      <c r="J46" s="643">
        <f>IF(MIN(J$37*'02_3_SOURCES'!$I16,SUMIF('03_3_Amortizations'!$A$13:$A$492,'04_1_Pro Forma'!J$4,'03_3_Amortizations'!$BJ$13:$BJ$492))&lt;0, 0, MIN(J$37*'02_3_SOURCES'!$I16,SUMIF('03_3_Amortizations'!$A$13:$A$492,'04_1_Pro Forma'!J$4,'03_3_Amortizations'!$BJ$13:$BJ$492)))</f>
        <v>0</v>
      </c>
      <c r="K46" s="643">
        <f>IF(MIN(K$37*'02_3_SOURCES'!$I16,SUMIF('03_3_Amortizations'!$A$13:$A$492,'04_1_Pro Forma'!K$4,'03_3_Amortizations'!$BJ$13:$BJ$492))&lt;0, 0, MIN(K$37*'02_3_SOURCES'!$I16,SUMIF('03_3_Amortizations'!$A$13:$A$492,'04_1_Pro Forma'!K$4,'03_3_Amortizations'!$BJ$13:$BJ$492)))</f>
        <v>0</v>
      </c>
      <c r="L46" s="643">
        <f>IF(MIN(L$37*'02_3_SOURCES'!$I16,SUMIF('03_3_Amortizations'!$A$13:$A$492,'04_1_Pro Forma'!L$4,'03_3_Amortizations'!$BJ$13:$BJ$492))&lt;0, 0, MIN(L$37*'02_3_SOURCES'!$I16,SUMIF('03_3_Amortizations'!$A$13:$A$492,'04_1_Pro Forma'!L$4,'03_3_Amortizations'!$BJ$13:$BJ$492)))</f>
        <v>0</v>
      </c>
      <c r="M46" s="643">
        <f>IF(MIN(M$37*'02_3_SOURCES'!$I16,SUMIF('03_3_Amortizations'!$A$13:$A$492,'04_1_Pro Forma'!M$4,'03_3_Amortizations'!$BJ$13:$BJ$492))&lt;0, 0, MIN(M$37*'02_3_SOURCES'!$I16,SUMIF('03_3_Amortizations'!$A$13:$A$492,'04_1_Pro Forma'!M$4,'03_3_Amortizations'!$BJ$13:$BJ$492)))</f>
        <v>0</v>
      </c>
      <c r="N46" s="643">
        <f>IF(MIN(N$37*'02_3_SOURCES'!$I16,SUMIF('03_3_Amortizations'!$A$13:$A$492,'04_1_Pro Forma'!N$4,'03_3_Amortizations'!$BJ$13:$BJ$492))&lt;0, 0, MIN(N$37*'02_3_SOURCES'!$I16,SUMIF('03_3_Amortizations'!$A$13:$A$492,'04_1_Pro Forma'!N$4,'03_3_Amortizations'!$BJ$13:$BJ$492)))</f>
        <v>0</v>
      </c>
      <c r="O46" s="643">
        <f>IF(MIN(O$37*'02_3_SOURCES'!$I16,SUMIF('03_3_Amortizations'!$A$13:$A$492,'04_1_Pro Forma'!O$4,'03_3_Amortizations'!$BJ$13:$BJ$492))&lt;0, 0, MIN(O$37*'02_3_SOURCES'!$I16,SUMIF('03_3_Amortizations'!$A$13:$A$492,'04_1_Pro Forma'!O$4,'03_3_Amortizations'!$BJ$13:$BJ$492)))</f>
        <v>0</v>
      </c>
      <c r="P46" s="643">
        <f>IF(MIN(P$37*'02_3_SOURCES'!$I16,SUMIF('03_3_Amortizations'!$A$13:$A$492,'04_1_Pro Forma'!P$4,'03_3_Amortizations'!$BJ$13:$BJ$492))&lt;0, 0, MIN(P$37*'02_3_SOURCES'!$I16,SUMIF('03_3_Amortizations'!$A$13:$A$492,'04_1_Pro Forma'!P$4,'03_3_Amortizations'!$BJ$13:$BJ$492)))</f>
        <v>0</v>
      </c>
      <c r="Q46" s="643">
        <f>IF(MIN(Q$37*'02_3_SOURCES'!$I16,SUMIF('03_3_Amortizations'!$A$13:$A$492,'04_1_Pro Forma'!Q$4,'03_3_Amortizations'!$BJ$13:$BJ$492))&lt;0, 0, MIN(Q$37*'02_3_SOURCES'!$I16,SUMIF('03_3_Amortizations'!$A$13:$A$492,'04_1_Pro Forma'!Q$4,'03_3_Amortizations'!$BJ$13:$BJ$492)))</f>
        <v>0</v>
      </c>
      <c r="R46" s="643">
        <f>IF(MIN(R$37*'02_3_SOURCES'!$I16,SUMIF('03_3_Amortizations'!$A$13:$A$492,'04_1_Pro Forma'!R$4,'03_3_Amortizations'!$BJ$13:$BJ$492))&lt;0, 0, MIN(R$37*'02_3_SOURCES'!$I16,SUMIF('03_3_Amortizations'!$A$13:$A$492,'04_1_Pro Forma'!R$4,'03_3_Amortizations'!$BJ$13:$BJ$492)))</f>
        <v>0</v>
      </c>
      <c r="S46" s="643">
        <f>IF(MIN(S$37*'02_3_SOURCES'!$I16,SUMIF('03_3_Amortizations'!$A$13:$A$492,'04_1_Pro Forma'!S$4,'03_3_Amortizations'!$BJ$13:$BJ$492))&lt;0, 0, MIN(S$37*'02_3_SOURCES'!$I16,SUMIF('03_3_Amortizations'!$A$13:$A$492,'04_1_Pro Forma'!S$4,'03_3_Amortizations'!$BJ$13:$BJ$492)))</f>
        <v>0</v>
      </c>
      <c r="T46" s="643">
        <f>IF(MIN(T$37*'02_3_SOURCES'!$I16,SUMIF('03_3_Amortizations'!$A$13:$A$492,'04_1_Pro Forma'!T$4,'03_3_Amortizations'!$BJ$13:$BJ$492))&lt;0, 0, MIN(T$37*'02_3_SOURCES'!$I16,SUMIF('03_3_Amortizations'!$A$13:$A$492,'04_1_Pro Forma'!T$4,'03_3_Amortizations'!$BJ$13:$BJ$492)))</f>
        <v>0</v>
      </c>
      <c r="U46" s="643">
        <f>IF(MIN(U$37*'02_3_SOURCES'!$I16,SUMIF('03_3_Amortizations'!$A$13:$A$492,'04_1_Pro Forma'!U$4,'03_3_Amortizations'!$BJ$13:$BJ$492))&lt;0, 0, MIN(U$37*'02_3_SOURCES'!$I16,SUMIF('03_3_Amortizations'!$A$13:$A$492,'04_1_Pro Forma'!U$4,'03_3_Amortizations'!$BJ$13:$BJ$492)))</f>
        <v>0</v>
      </c>
      <c r="V46" s="643">
        <f>IF(MIN(V$37*'02_3_SOURCES'!$I16,SUMIF('03_3_Amortizations'!$A$13:$A$492,'04_1_Pro Forma'!V$4,'03_3_Amortizations'!$BJ$13:$BJ$492))&lt;0, 0, MIN(V$37*'02_3_SOURCES'!$I16,SUMIF('03_3_Amortizations'!$A$13:$A$492,'04_1_Pro Forma'!V$4,'03_3_Amortizations'!$BJ$13:$BJ$492)))</f>
        <v>0</v>
      </c>
      <c r="W46" s="643">
        <f>IF(MIN(W$37*'02_3_SOURCES'!$I16,SUMIF('03_3_Amortizations'!$A$13:$A$492,'04_1_Pro Forma'!W$4,'03_3_Amortizations'!$BJ$13:$BJ$492))&lt;0, 0, MIN(W$37*'02_3_SOURCES'!$I16,SUMIF('03_3_Amortizations'!$A$13:$A$492,'04_1_Pro Forma'!W$4,'03_3_Amortizations'!$BJ$13:$BJ$492)))</f>
        <v>0</v>
      </c>
      <c r="X46" s="643">
        <f>IF(MIN(X$37*'02_3_SOURCES'!$I16,SUMIF('03_3_Amortizations'!$A$13:$A$492,'04_1_Pro Forma'!X$4,'03_3_Amortizations'!$BJ$13:$BJ$492))&lt;0, 0, MIN(X$37*'02_3_SOURCES'!$I16,SUMIF('03_3_Amortizations'!$A$13:$A$492,'04_1_Pro Forma'!X$4,'03_3_Amortizations'!$BJ$13:$BJ$492)))</f>
        <v>0</v>
      </c>
      <c r="Y46" s="643">
        <f>IF(MIN(Y$37*'02_3_SOURCES'!$I16,SUMIF('03_3_Amortizations'!$A$13:$A$492,'04_1_Pro Forma'!Y$4,'03_3_Amortizations'!$BJ$13:$BJ$492))&lt;0, 0, MIN(Y$37*'02_3_SOURCES'!$I16,SUMIF('03_3_Amortizations'!$A$13:$A$492,'04_1_Pro Forma'!Y$4,'03_3_Amortizations'!$BJ$13:$BJ$492)))</f>
        <v>0</v>
      </c>
      <c r="Z46" s="643">
        <f>IF(MIN(Z$37*'02_3_SOURCES'!$I16,SUMIF('03_3_Amortizations'!$A$13:$A$492,'04_1_Pro Forma'!Z$4,'03_3_Amortizations'!$BJ$13:$BJ$492))&lt;0, 0, MIN(Z$37*'02_3_SOURCES'!$I16,SUMIF('03_3_Amortizations'!$A$13:$A$492,'04_1_Pro Forma'!Z$4,'03_3_Amortizations'!$BJ$13:$BJ$492)))</f>
        <v>0</v>
      </c>
      <c r="AA46" s="643">
        <f>IF(MIN(AA$37*'02_3_SOURCES'!$I16,SUMIF('03_3_Amortizations'!$A$13:$A$492,'04_1_Pro Forma'!AA$4,'03_3_Amortizations'!$BJ$13:$BJ$492))&lt;0, 0, MIN(AA$37*'02_3_SOURCES'!$I16,SUMIF('03_3_Amortizations'!$A$13:$A$492,'04_1_Pro Forma'!AA$4,'03_3_Amortizations'!$BJ$13:$BJ$492)))</f>
        <v>0</v>
      </c>
      <c r="AB46" s="643">
        <f>IF(MIN(AB$37*'02_3_SOURCES'!$I16,SUMIF('03_3_Amortizations'!$A$13:$A$492,'04_1_Pro Forma'!AB$4,'03_3_Amortizations'!$BJ$13:$BJ$492))&lt;0, 0, MIN(AB$37*'02_3_SOURCES'!$I16,SUMIF('03_3_Amortizations'!$A$13:$A$492,'04_1_Pro Forma'!AB$4,'03_3_Amortizations'!$BJ$13:$BJ$492)))</f>
        <v>0</v>
      </c>
      <c r="AC46" s="643">
        <f>IF(MIN(AC$37*'02_3_SOURCES'!$I16,SUMIF('03_3_Amortizations'!$A$13:$A$492,'04_1_Pro Forma'!AC$4,'03_3_Amortizations'!$BJ$13:$BJ$492))&lt;0, 0, MIN(AC$37*'02_3_SOURCES'!$I16,SUMIF('03_3_Amortizations'!$A$13:$A$492,'04_1_Pro Forma'!AC$4,'03_3_Amortizations'!$BJ$13:$BJ$492)))</f>
        <v>0</v>
      </c>
      <c r="AD46" s="643">
        <f>IF(MIN(AD$37*'02_3_SOURCES'!$I16,SUMIF('03_3_Amortizations'!$A$13:$A$492,'04_1_Pro Forma'!AD$4,'03_3_Amortizations'!$BJ$13:$BJ$492))&lt;0, 0, MIN(AD$37*'02_3_SOURCES'!$I16,SUMIF('03_3_Amortizations'!$A$13:$A$492,'04_1_Pro Forma'!AD$4,'03_3_Amortizations'!$BJ$13:$BJ$492)))</f>
        <v>0</v>
      </c>
      <c r="AE46" s="643">
        <f>IF(MIN(AE$37*'02_3_SOURCES'!$I16,SUMIF('03_3_Amortizations'!$A$13:$A$492,'04_1_Pro Forma'!AE$4,'03_3_Amortizations'!$BJ$13:$BJ$492))&lt;0, 0, MIN(AE$37*'02_3_SOURCES'!$I16,SUMIF('03_3_Amortizations'!$A$13:$A$492,'04_1_Pro Forma'!AE$4,'03_3_Amortizations'!$BJ$13:$BJ$492)))</f>
        <v>0</v>
      </c>
      <c r="AF46" s="643">
        <f>IF(MIN(AF$37*'02_3_SOURCES'!$I16,SUMIF('03_3_Amortizations'!$A$13:$A$492,'04_1_Pro Forma'!AF$4,'03_3_Amortizations'!$BJ$13:$BJ$492))&lt;0, 0, MIN(AF$37*'02_3_SOURCES'!$I16,SUMIF('03_3_Amortizations'!$A$13:$A$492,'04_1_Pro Forma'!AF$4,'03_3_Amortizations'!$BJ$13:$BJ$492)))</f>
        <v>0</v>
      </c>
      <c r="AG46" s="643">
        <f>IF(MIN(AG$37*'02_3_SOURCES'!$I16,SUMIF('03_3_Amortizations'!$A$13:$A$492,'04_1_Pro Forma'!AG$4,'03_3_Amortizations'!$BJ$13:$BJ$492))&lt;0, 0, MIN(AG$37*'02_3_SOURCES'!$I16,SUMIF('03_3_Amortizations'!$A$13:$A$492,'04_1_Pro Forma'!AG$4,'03_3_Amortizations'!$BJ$13:$BJ$492)))</f>
        <v>0</v>
      </c>
      <c r="AH46" s="643">
        <f>IF(MIN(AH$37*'02_3_SOURCES'!$I16,SUMIF('03_3_Amortizations'!$A$13:$A$492,'04_1_Pro Forma'!AH$4,'03_3_Amortizations'!$BJ$13:$BJ$492))&lt;0, 0, MIN(AH$37*'02_3_SOURCES'!$I16,SUMIF('03_3_Amortizations'!$A$13:$A$492,'04_1_Pro Forma'!AH$4,'03_3_Amortizations'!$BJ$13:$BJ$492)))</f>
        <v>0</v>
      </c>
      <c r="AI46" s="643">
        <f>IF(MIN(AI$37*'02_3_SOURCES'!$I16,SUMIF('03_3_Amortizations'!$A$13:$A$492,'04_1_Pro Forma'!AI$4,'03_3_Amortizations'!$BJ$13:$BJ$492))&lt;0, 0, MIN(AI$37*'02_3_SOURCES'!$I16,SUMIF('03_3_Amortizations'!$A$13:$A$492,'04_1_Pro Forma'!AI$4,'03_3_Amortizations'!$BJ$13:$BJ$492)))</f>
        <v>0</v>
      </c>
      <c r="AJ46" s="643">
        <f>IF(MIN(AJ$37*'02_3_SOURCES'!$I16,SUMIF('03_3_Amortizations'!$A$13:$A$492,'04_1_Pro Forma'!AJ$4,'03_3_Amortizations'!$BJ$13:$BJ$492))&lt;0, 0, MIN(AJ$37*'02_3_SOURCES'!$I16,SUMIF('03_3_Amortizations'!$A$13:$A$492,'04_1_Pro Forma'!AJ$4,'03_3_Amortizations'!$BJ$13:$BJ$492)))</f>
        <v>0</v>
      </c>
      <c r="AK46" s="643">
        <f>IF(MIN(AK$37*'02_3_SOURCES'!$I16,SUMIF('03_3_Amortizations'!$A$13:$A$492,'04_1_Pro Forma'!AK$4,'03_3_Amortizations'!$BJ$13:$BJ$492))&lt;0, 0, MIN(AK$37*'02_3_SOURCES'!$I16,SUMIF('03_3_Amortizations'!$A$13:$A$492,'04_1_Pro Forma'!AK$4,'03_3_Amortizations'!$BJ$13:$BJ$492)))</f>
        <v>0</v>
      </c>
      <c r="AL46" s="643">
        <f>IF(MIN(AL$37*'02_3_SOURCES'!$I16,SUMIF('03_3_Amortizations'!$A$13:$A$492,'04_1_Pro Forma'!AL$4,'03_3_Amortizations'!$BJ$13:$BJ$492))&lt;0, 0, MIN(AL$37*'02_3_SOURCES'!$I16,SUMIF('03_3_Amortizations'!$A$13:$A$492,'04_1_Pro Forma'!AL$4,'03_3_Amortizations'!$BJ$13:$BJ$492)))</f>
        <v>0</v>
      </c>
      <c r="AM46" s="643">
        <f>IF(MIN(AM$37*'02_3_SOURCES'!$I16,SUMIF('03_3_Amortizations'!$A$13:$A$492,'04_1_Pro Forma'!AM$4,'03_3_Amortizations'!$BJ$13:$BJ$492))&lt;0, 0, MIN(AM$37*'02_3_SOURCES'!$I16,SUMIF('03_3_Amortizations'!$A$13:$A$492,'04_1_Pro Forma'!AM$4,'03_3_Amortizations'!$BJ$13:$BJ$492)))</f>
        <v>0</v>
      </c>
      <c r="AN46" s="643">
        <f>IF(MIN(AN$37*'02_3_SOURCES'!$I16,SUMIF('03_3_Amortizations'!$A$13:$A$492,'04_1_Pro Forma'!AN$4,'03_3_Amortizations'!$BJ$13:$BJ$492))&lt;0, 0, MIN(AN$37*'02_3_SOURCES'!$I16,SUMIF('03_3_Amortizations'!$A$13:$A$492,'04_1_Pro Forma'!AN$4,'03_3_Amortizations'!$BJ$13:$BJ$492)))</f>
        <v>0</v>
      </c>
      <c r="AO46" s="643">
        <f>IF(MIN(AO$37*'02_3_SOURCES'!$I16,SUMIF('03_3_Amortizations'!$A$13:$A$492,'04_1_Pro Forma'!AO$4,'03_3_Amortizations'!$BJ$13:$BJ$492))&lt;0, 0, MIN(AO$37*'02_3_SOURCES'!$I16,SUMIF('03_3_Amortizations'!$A$13:$A$492,'04_1_Pro Forma'!AO$4,'03_3_Amortizations'!$BJ$13:$BJ$492)))</f>
        <v>0</v>
      </c>
      <c r="AP46" s="644">
        <f>IF(MIN(AP$37*'02_3_SOURCES'!$I16,SUMIF('03_3_Amortizations'!$A$13:$A$492,'04_1_Pro Forma'!AP$4,'03_3_Amortizations'!$BJ$13:$BJ$492))&lt;0, 0, MIN(AP$37*'02_3_SOURCES'!$I16,SUMIF('03_3_Amortizations'!$A$13:$A$492,'04_1_Pro Forma'!AP$4,'03_3_Amortizations'!$BJ$13:$BJ$492)))</f>
        <v>0</v>
      </c>
    </row>
    <row r="47" spans="1:42" ht="16.5" thickBot="1"/>
    <row r="48" spans="1:42">
      <c r="A48" s="927" t="s">
        <v>1812</v>
      </c>
      <c r="B48" s="937"/>
      <c r="C48" s="636">
        <f t="shared" ref="C48:AP48" si="42">SUM(C41:C46)</f>
        <v>0</v>
      </c>
      <c r="D48" s="636">
        <f t="shared" si="42"/>
        <v>0</v>
      </c>
      <c r="E48" s="636">
        <f t="shared" si="42"/>
        <v>0</v>
      </c>
      <c r="F48" s="636">
        <f t="shared" si="42"/>
        <v>0</v>
      </c>
      <c r="G48" s="636">
        <f t="shared" si="42"/>
        <v>0</v>
      </c>
      <c r="H48" s="636">
        <f t="shared" si="42"/>
        <v>0</v>
      </c>
      <c r="I48" s="636">
        <f t="shared" si="42"/>
        <v>0</v>
      </c>
      <c r="J48" s="636">
        <f t="shared" si="42"/>
        <v>0</v>
      </c>
      <c r="K48" s="636">
        <f t="shared" si="42"/>
        <v>0</v>
      </c>
      <c r="L48" s="636">
        <f t="shared" si="42"/>
        <v>0</v>
      </c>
      <c r="M48" s="636">
        <f t="shared" si="42"/>
        <v>0</v>
      </c>
      <c r="N48" s="636">
        <f t="shared" si="42"/>
        <v>0</v>
      </c>
      <c r="O48" s="636">
        <f t="shared" si="42"/>
        <v>0</v>
      </c>
      <c r="P48" s="636">
        <f t="shared" si="42"/>
        <v>0</v>
      </c>
      <c r="Q48" s="636">
        <f t="shared" si="42"/>
        <v>0</v>
      </c>
      <c r="R48" s="636">
        <f t="shared" si="42"/>
        <v>0</v>
      </c>
      <c r="S48" s="636">
        <f t="shared" si="42"/>
        <v>0</v>
      </c>
      <c r="T48" s="636">
        <f t="shared" si="42"/>
        <v>0</v>
      </c>
      <c r="U48" s="636">
        <f t="shared" si="42"/>
        <v>0</v>
      </c>
      <c r="V48" s="636">
        <f t="shared" si="42"/>
        <v>0</v>
      </c>
      <c r="W48" s="636">
        <f t="shared" si="42"/>
        <v>0</v>
      </c>
      <c r="X48" s="636">
        <f t="shared" si="42"/>
        <v>0</v>
      </c>
      <c r="Y48" s="636">
        <f t="shared" si="42"/>
        <v>0</v>
      </c>
      <c r="Z48" s="636">
        <f t="shared" si="42"/>
        <v>0</v>
      </c>
      <c r="AA48" s="636">
        <f t="shared" si="42"/>
        <v>0</v>
      </c>
      <c r="AB48" s="636">
        <f t="shared" si="42"/>
        <v>0</v>
      </c>
      <c r="AC48" s="636">
        <f t="shared" si="42"/>
        <v>0</v>
      </c>
      <c r="AD48" s="636">
        <f t="shared" si="42"/>
        <v>0</v>
      </c>
      <c r="AE48" s="636">
        <f t="shared" si="42"/>
        <v>0</v>
      </c>
      <c r="AF48" s="636">
        <f t="shared" si="42"/>
        <v>0</v>
      </c>
      <c r="AG48" s="636">
        <f t="shared" si="42"/>
        <v>0</v>
      </c>
      <c r="AH48" s="636">
        <f t="shared" si="42"/>
        <v>0</v>
      </c>
      <c r="AI48" s="636">
        <f t="shared" si="42"/>
        <v>0</v>
      </c>
      <c r="AJ48" s="636">
        <f t="shared" si="42"/>
        <v>0</v>
      </c>
      <c r="AK48" s="636">
        <f t="shared" si="42"/>
        <v>0</v>
      </c>
      <c r="AL48" s="636">
        <f t="shared" si="42"/>
        <v>0</v>
      </c>
      <c r="AM48" s="636">
        <f t="shared" si="42"/>
        <v>0</v>
      </c>
      <c r="AN48" s="636">
        <f t="shared" si="42"/>
        <v>0</v>
      </c>
      <c r="AO48" s="636">
        <f t="shared" si="42"/>
        <v>0</v>
      </c>
      <c r="AP48" s="637">
        <f t="shared" si="42"/>
        <v>0</v>
      </c>
    </row>
    <row r="49" spans="1:42" ht="16.5" thickBot="1">
      <c r="A49" s="1064" t="s">
        <v>1813</v>
      </c>
      <c r="B49" s="940"/>
      <c r="C49" s="643">
        <f t="shared" ref="C49:AP49" si="43">C37-C48</f>
        <v>0</v>
      </c>
      <c r="D49" s="643">
        <f t="shared" si="43"/>
        <v>0</v>
      </c>
      <c r="E49" s="643">
        <f t="shared" si="43"/>
        <v>0</v>
      </c>
      <c r="F49" s="643">
        <f t="shared" si="43"/>
        <v>0</v>
      </c>
      <c r="G49" s="643">
        <f t="shared" si="43"/>
        <v>0</v>
      </c>
      <c r="H49" s="643">
        <f t="shared" si="43"/>
        <v>0</v>
      </c>
      <c r="I49" s="643">
        <f t="shared" si="43"/>
        <v>0</v>
      </c>
      <c r="J49" s="643">
        <f t="shared" si="43"/>
        <v>0</v>
      </c>
      <c r="K49" s="643">
        <f t="shared" si="43"/>
        <v>0</v>
      </c>
      <c r="L49" s="643">
        <f t="shared" si="43"/>
        <v>0</v>
      </c>
      <c r="M49" s="643">
        <f t="shared" si="43"/>
        <v>0</v>
      </c>
      <c r="N49" s="643">
        <f t="shared" si="43"/>
        <v>0</v>
      </c>
      <c r="O49" s="643">
        <f t="shared" si="43"/>
        <v>0</v>
      </c>
      <c r="P49" s="643">
        <f t="shared" si="43"/>
        <v>0</v>
      </c>
      <c r="Q49" s="643">
        <f t="shared" si="43"/>
        <v>0</v>
      </c>
      <c r="R49" s="643">
        <f t="shared" si="43"/>
        <v>0</v>
      </c>
      <c r="S49" s="643">
        <f t="shared" si="43"/>
        <v>0</v>
      </c>
      <c r="T49" s="643">
        <f t="shared" si="43"/>
        <v>0</v>
      </c>
      <c r="U49" s="643">
        <f t="shared" si="43"/>
        <v>0</v>
      </c>
      <c r="V49" s="643">
        <f t="shared" si="43"/>
        <v>0</v>
      </c>
      <c r="W49" s="643">
        <f t="shared" si="43"/>
        <v>0</v>
      </c>
      <c r="X49" s="643">
        <f t="shared" si="43"/>
        <v>0</v>
      </c>
      <c r="Y49" s="643">
        <f t="shared" si="43"/>
        <v>0</v>
      </c>
      <c r="Z49" s="643">
        <f t="shared" si="43"/>
        <v>0</v>
      </c>
      <c r="AA49" s="643">
        <f t="shared" si="43"/>
        <v>0</v>
      </c>
      <c r="AB49" s="643">
        <f t="shared" si="43"/>
        <v>0</v>
      </c>
      <c r="AC49" s="643">
        <f t="shared" si="43"/>
        <v>0</v>
      </c>
      <c r="AD49" s="643">
        <f t="shared" si="43"/>
        <v>0</v>
      </c>
      <c r="AE49" s="643">
        <f t="shared" si="43"/>
        <v>0</v>
      </c>
      <c r="AF49" s="643">
        <f t="shared" si="43"/>
        <v>0</v>
      </c>
      <c r="AG49" s="643">
        <f t="shared" si="43"/>
        <v>0</v>
      </c>
      <c r="AH49" s="643">
        <f t="shared" si="43"/>
        <v>0</v>
      </c>
      <c r="AI49" s="643">
        <f t="shared" si="43"/>
        <v>0</v>
      </c>
      <c r="AJ49" s="643">
        <f t="shared" si="43"/>
        <v>0</v>
      </c>
      <c r="AK49" s="643">
        <f t="shared" si="43"/>
        <v>0</v>
      </c>
      <c r="AL49" s="643">
        <f t="shared" si="43"/>
        <v>0</v>
      </c>
      <c r="AM49" s="643">
        <f t="shared" si="43"/>
        <v>0</v>
      </c>
      <c r="AN49" s="643">
        <f t="shared" si="43"/>
        <v>0</v>
      </c>
      <c r="AO49" s="643">
        <f t="shared" si="43"/>
        <v>0</v>
      </c>
      <c r="AP49" s="644">
        <f t="shared" si="43"/>
        <v>0</v>
      </c>
    </row>
    <row r="50" spans="1:42"/>
    <row r="51" spans="1:42"/>
    <row r="52" spans="1:42"/>
    <row r="53" spans="1:42"/>
    <row r="54" spans="1:42"/>
    <row r="55" spans="1:42"/>
    <row r="56" spans="1:42"/>
    <row r="57" spans="1:42"/>
    <row r="58" spans="1:42"/>
    <row r="59" spans="1:42"/>
    <row r="60" spans="1:42"/>
    <row r="61" spans="1:42"/>
    <row r="62" spans="1:42"/>
    <row r="63" spans="1:42"/>
    <row r="64" spans="1:42"/>
    <row r="65"/>
    <row r="66"/>
    <row r="67"/>
    <row r="68"/>
    <row r="69"/>
    <row r="70"/>
    <row r="71"/>
    <row r="72"/>
    <row r="73"/>
    <row r="74"/>
    <row r="75"/>
    <row r="76"/>
    <row r="207"/>
    <row r="208"/>
  </sheetData>
  <sheetProtection algorithmName="SHA-512" hashValue="nNl5XW3dODUl7ewucHZI3yf7sIAfVTVg9+JFq2OqvrIOZdfc4tQ7HUjkYn3i9PQNAIeNUOnWjaqsekmHzx4SKQ==" saltValue="NpYdYDbSzWiFg5/izKngsQ==" spinCount="100000" sheet="1" objects="1" scenarios="1" formatCells="0" formatColumns="0" formatRows="0"/>
  <pageMargins left="0.7" right="0.7" top="0.75" bottom="0.75" header="0.3" footer="0.3"/>
  <pageSetup scale="52" fitToWidth="0" fitToHeight="0" orientation="landscape" useFirstPageNumber="1" r:id="rId1"/>
  <headerFooter scaleWithDoc="0" alignWithMargins="0">
    <oddFooter>&amp;C&amp;"Garamond,Regular"&amp;12&amp;P&amp;R&amp;"Garamond,Italic"&amp;11PRO FORMA &amp;D</oddFooter>
  </headerFooter>
  <rowBreaks count="1" manualBreakCount="1">
    <brk id="49" max="16383" man="1"/>
  </rowBreaks>
  <colBreaks count="3" manualBreakCount="3">
    <brk id="12" max="1048575" man="1"/>
    <brk id="22" max="48" man="1"/>
    <brk id="32" max="4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codeName="wst04_3_Reserves">
    <tabColor theme="3" tint="-0.499984740745262"/>
    <pageSetUpPr fitToPage="1"/>
  </sheetPr>
  <dimension ref="A1:AO48"/>
  <sheetViews>
    <sheetView zoomScale="85" zoomScaleNormal="85" workbookViewId="0"/>
  </sheetViews>
  <sheetFormatPr defaultColWidth="12" defaultRowHeight="15.75"/>
  <cols>
    <col min="1" max="1" width="68.5" style="78" customWidth="1"/>
    <col min="2" max="41" width="16" style="78" customWidth="1"/>
    <col min="42" max="16384" width="12" style="78"/>
  </cols>
  <sheetData>
    <row r="1" spans="1:41" ht="26.25">
      <c r="A1" s="79" t="s">
        <v>1814</v>
      </c>
      <c r="B1" s="79"/>
      <c r="C1" s="79"/>
      <c r="D1" s="79"/>
      <c r="E1" s="79"/>
      <c r="F1" s="79"/>
      <c r="G1" s="79"/>
      <c r="H1" s="79"/>
      <c r="I1" s="79"/>
      <c r="J1" s="79"/>
      <c r="K1" s="79"/>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c r="AM1" s="1230"/>
      <c r="AN1" s="1230"/>
      <c r="AO1" s="1230"/>
    </row>
    <row r="2" spans="1:41" ht="21.75" thickBot="1">
      <c r="A2" s="678" t="str">
        <f>IF(rng01_ProjectName="","[Project Name]", rng01_ProjectName)</f>
        <v>[Project Name]</v>
      </c>
      <c r="B2" s="678"/>
      <c r="C2" s="678"/>
      <c r="D2" s="678"/>
      <c r="E2" s="678"/>
      <c r="F2" s="678"/>
      <c r="G2" s="678"/>
      <c r="H2" s="678"/>
      <c r="I2" s="678"/>
      <c r="J2" s="678"/>
      <c r="K2" s="678"/>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AL2" s="550"/>
      <c r="AM2" s="550"/>
      <c r="AN2" s="550"/>
      <c r="AO2" s="550"/>
    </row>
    <row r="3" spans="1:41" ht="16.5" thickBot="1">
      <c r="A3" s="485"/>
      <c r="B3" s="1231" t="str">
        <f>'04_1_Pro Forma'!C3</f>
        <v>Year 1</v>
      </c>
      <c r="C3" s="1232" t="str">
        <f>'04_1_Pro Forma'!D3</f>
        <v>Year 2</v>
      </c>
      <c r="D3" s="1232" t="str">
        <f>'04_1_Pro Forma'!E3</f>
        <v>Year 3</v>
      </c>
      <c r="E3" s="1232" t="str">
        <f>'04_1_Pro Forma'!F3</f>
        <v>Year 4</v>
      </c>
      <c r="F3" s="1232" t="str">
        <f>'04_1_Pro Forma'!G3</f>
        <v>Year 5</v>
      </c>
      <c r="G3" s="1232" t="str">
        <f>'04_1_Pro Forma'!H3</f>
        <v>Year 6</v>
      </c>
      <c r="H3" s="1232" t="str">
        <f>'04_1_Pro Forma'!I3</f>
        <v>Year 7</v>
      </c>
      <c r="I3" s="1232" t="str">
        <f>'04_1_Pro Forma'!J3</f>
        <v>Year 8</v>
      </c>
      <c r="J3" s="1232" t="str">
        <f>'04_1_Pro Forma'!K3</f>
        <v>Year 9</v>
      </c>
      <c r="K3" s="1233" t="str">
        <f>'04_1_Pro Forma'!L3</f>
        <v>Year 10</v>
      </c>
    </row>
    <row r="4" spans="1:41" ht="16.5" thickBot="1">
      <c r="A4" s="485"/>
      <c r="B4" s="1223">
        <f>'04_1_Pro Forma'!C4</f>
        <v>1901</v>
      </c>
      <c r="C4" s="694">
        <f>'04_1_Pro Forma'!D4</f>
        <v>1902</v>
      </c>
      <c r="D4" s="694">
        <f>'04_1_Pro Forma'!E4</f>
        <v>1903</v>
      </c>
      <c r="E4" s="694">
        <f>'04_1_Pro Forma'!F4</f>
        <v>1904</v>
      </c>
      <c r="F4" s="694">
        <f>'04_1_Pro Forma'!G4</f>
        <v>1905</v>
      </c>
      <c r="G4" s="694">
        <f>'04_1_Pro Forma'!H4</f>
        <v>1906</v>
      </c>
      <c r="H4" s="694">
        <f>'04_1_Pro Forma'!I4</f>
        <v>1907</v>
      </c>
      <c r="I4" s="694">
        <f>'04_1_Pro Forma'!J4</f>
        <v>1908</v>
      </c>
      <c r="J4" s="694">
        <f>'04_1_Pro Forma'!K4</f>
        <v>1909</v>
      </c>
      <c r="K4" s="695">
        <f>'04_1_Pro Forma'!L4</f>
        <v>1910</v>
      </c>
    </row>
    <row r="5" spans="1:41" ht="16.5" thickBot="1">
      <c r="A5" s="485" t="s">
        <v>1815</v>
      </c>
      <c r="B5" s="1224"/>
      <c r="C5" s="703"/>
      <c r="D5" s="703"/>
      <c r="E5" s="703"/>
      <c r="F5" s="703"/>
      <c r="G5" s="703"/>
      <c r="H5" s="703"/>
      <c r="I5" s="703"/>
      <c r="J5" s="703"/>
      <c r="K5" s="704"/>
    </row>
    <row r="6" spans="1:41">
      <c r="A6" s="480" t="s">
        <v>1816</v>
      </c>
      <c r="B6" s="480">
        <f>'02_4_USES'!F80</f>
        <v>0</v>
      </c>
      <c r="C6" s="78">
        <f>B11</f>
        <v>0</v>
      </c>
      <c r="D6" s="78">
        <f t="shared" ref="D6:K6" si="0">C11</f>
        <v>0</v>
      </c>
      <c r="E6" s="78">
        <f t="shared" si="0"/>
        <v>0</v>
      </c>
      <c r="F6" s="78">
        <f t="shared" si="0"/>
        <v>0</v>
      </c>
      <c r="G6" s="78">
        <f t="shared" si="0"/>
        <v>0</v>
      </c>
      <c r="H6" s="78">
        <f t="shared" si="0"/>
        <v>0</v>
      </c>
      <c r="I6" s="78">
        <f t="shared" si="0"/>
        <v>0</v>
      </c>
      <c r="J6" s="78">
        <f t="shared" si="0"/>
        <v>0</v>
      </c>
      <c r="K6" s="481">
        <f t="shared" si="0"/>
        <v>0</v>
      </c>
    </row>
    <row r="7" spans="1:41">
      <c r="A7" s="696" t="s">
        <v>1817</v>
      </c>
      <c r="B7" s="1225">
        <f>'04_1_Pro Forma'!C26</f>
        <v>0</v>
      </c>
      <c r="C7" s="697">
        <f>'04_1_Pro Forma'!D26</f>
        <v>0</v>
      </c>
      <c r="D7" s="697">
        <f>'04_1_Pro Forma'!E26</f>
        <v>0</v>
      </c>
      <c r="E7" s="697">
        <f>'04_1_Pro Forma'!F26</f>
        <v>0</v>
      </c>
      <c r="F7" s="697">
        <f>'04_1_Pro Forma'!G26</f>
        <v>0</v>
      </c>
      <c r="G7" s="697">
        <f>'04_1_Pro Forma'!H26</f>
        <v>0</v>
      </c>
      <c r="H7" s="697">
        <f>'04_1_Pro Forma'!I26</f>
        <v>0</v>
      </c>
      <c r="I7" s="697">
        <f>'04_1_Pro Forma'!J26</f>
        <v>0</v>
      </c>
      <c r="J7" s="697">
        <f>'04_1_Pro Forma'!K26</f>
        <v>0</v>
      </c>
      <c r="K7" s="698">
        <f>'04_1_Pro Forma'!L26</f>
        <v>0</v>
      </c>
    </row>
    <row r="8" spans="1:41">
      <c r="A8" s="480" t="s">
        <v>1818</v>
      </c>
      <c r="B8" s="480">
        <f>B6+B7</f>
        <v>0</v>
      </c>
      <c r="C8" s="78">
        <f t="shared" ref="C8:K8" si="1">C6+C7</f>
        <v>0</v>
      </c>
      <c r="D8" s="78">
        <f t="shared" si="1"/>
        <v>0</v>
      </c>
      <c r="E8" s="78">
        <f t="shared" si="1"/>
        <v>0</v>
      </c>
      <c r="F8" s="78">
        <f t="shared" si="1"/>
        <v>0</v>
      </c>
      <c r="G8" s="78">
        <f t="shared" si="1"/>
        <v>0</v>
      </c>
      <c r="H8" s="78">
        <f t="shared" si="1"/>
        <v>0</v>
      </c>
      <c r="I8" s="78">
        <f t="shared" si="1"/>
        <v>0</v>
      </c>
      <c r="J8" s="78">
        <f t="shared" si="1"/>
        <v>0</v>
      </c>
      <c r="K8" s="481">
        <f t="shared" si="1"/>
        <v>0</v>
      </c>
    </row>
    <row r="9" spans="1:41">
      <c r="A9" s="692" t="s">
        <v>1819</v>
      </c>
      <c r="B9" s="480">
        <f>-B5</f>
        <v>0</v>
      </c>
      <c r="C9" s="78">
        <f t="shared" ref="C9:K9" si="2">-C5</f>
        <v>0</v>
      </c>
      <c r="D9" s="78">
        <f t="shared" si="2"/>
        <v>0</v>
      </c>
      <c r="E9" s="78">
        <f t="shared" si="2"/>
        <v>0</v>
      </c>
      <c r="F9" s="78">
        <f t="shared" si="2"/>
        <v>0</v>
      </c>
      <c r="G9" s="78">
        <f t="shared" si="2"/>
        <v>0</v>
      </c>
      <c r="H9" s="78">
        <f t="shared" si="2"/>
        <v>0</v>
      </c>
      <c r="I9" s="78">
        <f t="shared" si="2"/>
        <v>0</v>
      </c>
      <c r="J9" s="78">
        <f t="shared" si="2"/>
        <v>0</v>
      </c>
      <c r="K9" s="481">
        <f t="shared" si="2"/>
        <v>0</v>
      </c>
    </row>
    <row r="10" spans="1:41">
      <c r="A10" s="692" t="s">
        <v>1820</v>
      </c>
      <c r="B10" s="480">
        <f t="shared" ref="B10:K10" si="3">B6*rng01_ReserveInterest</f>
        <v>0</v>
      </c>
      <c r="C10" s="78">
        <f t="shared" si="3"/>
        <v>0</v>
      </c>
      <c r="D10" s="78">
        <f t="shared" si="3"/>
        <v>0</v>
      </c>
      <c r="E10" s="78">
        <f t="shared" si="3"/>
        <v>0</v>
      </c>
      <c r="F10" s="78">
        <f t="shared" si="3"/>
        <v>0</v>
      </c>
      <c r="G10" s="78">
        <f t="shared" si="3"/>
        <v>0</v>
      </c>
      <c r="H10" s="78">
        <f t="shared" si="3"/>
        <v>0</v>
      </c>
      <c r="I10" s="78">
        <f t="shared" si="3"/>
        <v>0</v>
      </c>
      <c r="J10" s="78">
        <f t="shared" si="3"/>
        <v>0</v>
      </c>
      <c r="K10" s="481">
        <f t="shared" si="3"/>
        <v>0</v>
      </c>
    </row>
    <row r="11" spans="1:41" ht="16.5" thickBot="1">
      <c r="A11" s="639" t="s">
        <v>1821</v>
      </c>
      <c r="B11" s="1226">
        <f>SUM(B8:B10)</f>
        <v>0</v>
      </c>
      <c r="C11" s="699">
        <f t="shared" ref="C11:K11" si="4">SUM(C8:C10)</f>
        <v>0</v>
      </c>
      <c r="D11" s="699">
        <f t="shared" si="4"/>
        <v>0</v>
      </c>
      <c r="E11" s="699">
        <f t="shared" si="4"/>
        <v>0</v>
      </c>
      <c r="F11" s="699">
        <f t="shared" si="4"/>
        <v>0</v>
      </c>
      <c r="G11" s="699">
        <f t="shared" si="4"/>
        <v>0</v>
      </c>
      <c r="H11" s="699">
        <f t="shared" si="4"/>
        <v>0</v>
      </c>
      <c r="I11" s="699">
        <f t="shared" si="4"/>
        <v>0</v>
      </c>
      <c r="J11" s="699">
        <f t="shared" si="4"/>
        <v>0</v>
      </c>
      <c r="K11" s="700">
        <f t="shared" si="4"/>
        <v>0</v>
      </c>
    </row>
    <row r="12" spans="1:41" ht="16.5" thickBot="1">
      <c r="A12" s="701" t="s">
        <v>1822</v>
      </c>
      <c r="B12" s="701" t="str">
        <f>IF(B11&lt;1, "DEFICIT","")</f>
        <v>DEFICIT</v>
      </c>
      <c r="C12" s="693" t="str">
        <f t="shared" ref="C12:K12" si="5">IF(C11&lt;1, "DEFICIT","")</f>
        <v>DEFICIT</v>
      </c>
      <c r="D12" s="693" t="str">
        <f t="shared" si="5"/>
        <v>DEFICIT</v>
      </c>
      <c r="E12" s="693" t="str">
        <f t="shared" si="5"/>
        <v>DEFICIT</v>
      </c>
      <c r="F12" s="693" t="str">
        <f t="shared" si="5"/>
        <v>DEFICIT</v>
      </c>
      <c r="G12" s="693" t="str">
        <f t="shared" si="5"/>
        <v>DEFICIT</v>
      </c>
      <c r="H12" s="693" t="str">
        <f t="shared" si="5"/>
        <v>DEFICIT</v>
      </c>
      <c r="I12" s="693" t="str">
        <f t="shared" si="5"/>
        <v>DEFICIT</v>
      </c>
      <c r="J12" s="693" t="str">
        <f t="shared" si="5"/>
        <v>DEFICIT</v>
      </c>
      <c r="K12" s="702" t="str">
        <f t="shared" si="5"/>
        <v>DEFICIT</v>
      </c>
    </row>
    <row r="14" spans="1:41" ht="16.5" thickBot="1"/>
    <row r="15" spans="1:41" ht="16.5" thickBot="1">
      <c r="A15" s="485"/>
      <c r="B15" s="1231" t="str">
        <f>'04_1_Pro Forma'!M3</f>
        <v>Year 11</v>
      </c>
      <c r="C15" s="1232" t="str">
        <f>'04_1_Pro Forma'!N3</f>
        <v>Year 12</v>
      </c>
      <c r="D15" s="1232" t="str">
        <f>'04_1_Pro Forma'!O3</f>
        <v>Year 13</v>
      </c>
      <c r="E15" s="1232" t="str">
        <f>'04_1_Pro Forma'!P3</f>
        <v>Year 14</v>
      </c>
      <c r="F15" s="1232" t="str">
        <f>'04_1_Pro Forma'!Q3</f>
        <v>Year 15</v>
      </c>
      <c r="G15" s="1232" t="str">
        <f>'04_1_Pro Forma'!R3</f>
        <v>Year 16</v>
      </c>
      <c r="H15" s="1232" t="str">
        <f>'04_1_Pro Forma'!S3</f>
        <v>Year 17</v>
      </c>
      <c r="I15" s="1232" t="str">
        <f>'04_1_Pro Forma'!T3</f>
        <v>Year 18</v>
      </c>
      <c r="J15" s="1232" t="str">
        <f>'04_1_Pro Forma'!U3</f>
        <v>Year 19</v>
      </c>
      <c r="K15" s="1233" t="str">
        <f>'04_1_Pro Forma'!V3</f>
        <v>Year 20</v>
      </c>
    </row>
    <row r="16" spans="1:41" ht="16.5" thickBot="1">
      <c r="A16" s="485"/>
      <c r="B16" s="1223">
        <f>'04_1_Pro Forma'!M4</f>
        <v>1911</v>
      </c>
      <c r="C16" s="694">
        <f>'04_1_Pro Forma'!N4</f>
        <v>1912</v>
      </c>
      <c r="D16" s="694">
        <f>'04_1_Pro Forma'!O4</f>
        <v>1913</v>
      </c>
      <c r="E16" s="694">
        <f>'04_1_Pro Forma'!P4</f>
        <v>1914</v>
      </c>
      <c r="F16" s="694">
        <f>'04_1_Pro Forma'!Q4</f>
        <v>1915</v>
      </c>
      <c r="G16" s="694">
        <f>'04_1_Pro Forma'!R4</f>
        <v>1916</v>
      </c>
      <c r="H16" s="694">
        <f>'04_1_Pro Forma'!S4</f>
        <v>1917</v>
      </c>
      <c r="I16" s="694">
        <f>'04_1_Pro Forma'!T4</f>
        <v>1918</v>
      </c>
      <c r="J16" s="694">
        <f>'04_1_Pro Forma'!U4</f>
        <v>1919</v>
      </c>
      <c r="K16" s="695">
        <f>'04_1_Pro Forma'!V4</f>
        <v>1920</v>
      </c>
    </row>
    <row r="17" spans="1:11" ht="16.5" thickBot="1">
      <c r="A17" s="485" t="s">
        <v>1815</v>
      </c>
      <c r="B17" s="1224"/>
      <c r="C17" s="703"/>
      <c r="D17" s="703"/>
      <c r="E17" s="703"/>
      <c r="F17" s="703"/>
      <c r="G17" s="703"/>
      <c r="H17" s="703"/>
      <c r="I17" s="703"/>
      <c r="J17" s="703"/>
      <c r="K17" s="704"/>
    </row>
    <row r="18" spans="1:11">
      <c r="A18" s="480" t="s">
        <v>1816</v>
      </c>
      <c r="B18" s="480">
        <f>K11</f>
        <v>0</v>
      </c>
      <c r="C18" s="78">
        <f t="shared" ref="C18:K18" si="6">B23</f>
        <v>0</v>
      </c>
      <c r="D18" s="78">
        <f t="shared" si="6"/>
        <v>0</v>
      </c>
      <c r="E18" s="78">
        <f t="shared" si="6"/>
        <v>0</v>
      </c>
      <c r="F18" s="78">
        <f t="shared" si="6"/>
        <v>0</v>
      </c>
      <c r="G18" s="78">
        <f t="shared" si="6"/>
        <v>0</v>
      </c>
      <c r="H18" s="78">
        <f t="shared" si="6"/>
        <v>0</v>
      </c>
      <c r="I18" s="78">
        <f t="shared" si="6"/>
        <v>0</v>
      </c>
      <c r="J18" s="78">
        <f t="shared" si="6"/>
        <v>0</v>
      </c>
      <c r="K18" s="481">
        <f t="shared" si="6"/>
        <v>0</v>
      </c>
    </row>
    <row r="19" spans="1:11">
      <c r="A19" s="696" t="s">
        <v>1817</v>
      </c>
      <c r="B19" s="1225">
        <f>'04_1_Pro Forma'!M26</f>
        <v>0</v>
      </c>
      <c r="C19" s="697">
        <f>'04_1_Pro Forma'!N26</f>
        <v>0</v>
      </c>
      <c r="D19" s="697">
        <f>'04_1_Pro Forma'!O26</f>
        <v>0</v>
      </c>
      <c r="E19" s="697">
        <f>'04_1_Pro Forma'!P26</f>
        <v>0</v>
      </c>
      <c r="F19" s="697">
        <f>'04_1_Pro Forma'!Q26</f>
        <v>0</v>
      </c>
      <c r="G19" s="697">
        <f>'04_1_Pro Forma'!R26</f>
        <v>0</v>
      </c>
      <c r="H19" s="697">
        <f>'04_1_Pro Forma'!S26</f>
        <v>0</v>
      </c>
      <c r="I19" s="697">
        <f>'04_1_Pro Forma'!T26</f>
        <v>0</v>
      </c>
      <c r="J19" s="697">
        <f>'04_1_Pro Forma'!U26</f>
        <v>0</v>
      </c>
      <c r="K19" s="698">
        <f>'04_1_Pro Forma'!V26</f>
        <v>0</v>
      </c>
    </row>
    <row r="20" spans="1:11">
      <c r="A20" s="480" t="s">
        <v>1818</v>
      </c>
      <c r="B20" s="480">
        <f t="shared" ref="B20:K20" si="7">B18+B19</f>
        <v>0</v>
      </c>
      <c r="C20" s="78">
        <f t="shared" si="7"/>
        <v>0</v>
      </c>
      <c r="D20" s="78">
        <f t="shared" si="7"/>
        <v>0</v>
      </c>
      <c r="E20" s="78">
        <f t="shared" si="7"/>
        <v>0</v>
      </c>
      <c r="F20" s="78">
        <f t="shared" si="7"/>
        <v>0</v>
      </c>
      <c r="G20" s="78">
        <f t="shared" si="7"/>
        <v>0</v>
      </c>
      <c r="H20" s="78">
        <f t="shared" si="7"/>
        <v>0</v>
      </c>
      <c r="I20" s="78">
        <f t="shared" si="7"/>
        <v>0</v>
      </c>
      <c r="J20" s="78">
        <f t="shared" si="7"/>
        <v>0</v>
      </c>
      <c r="K20" s="481">
        <f t="shared" si="7"/>
        <v>0</v>
      </c>
    </row>
    <row r="21" spans="1:11">
      <c r="A21" s="692" t="s">
        <v>1819</v>
      </c>
      <c r="B21" s="480">
        <f t="shared" ref="B21:K21" si="8">-B17</f>
        <v>0</v>
      </c>
      <c r="C21" s="78">
        <f t="shared" si="8"/>
        <v>0</v>
      </c>
      <c r="D21" s="78">
        <f t="shared" si="8"/>
        <v>0</v>
      </c>
      <c r="E21" s="78">
        <f t="shared" si="8"/>
        <v>0</v>
      </c>
      <c r="F21" s="78">
        <f t="shared" si="8"/>
        <v>0</v>
      </c>
      <c r="G21" s="78">
        <f t="shared" si="8"/>
        <v>0</v>
      </c>
      <c r="H21" s="78">
        <f t="shared" si="8"/>
        <v>0</v>
      </c>
      <c r="I21" s="78">
        <f t="shared" si="8"/>
        <v>0</v>
      </c>
      <c r="J21" s="78">
        <f t="shared" si="8"/>
        <v>0</v>
      </c>
      <c r="K21" s="481">
        <f t="shared" si="8"/>
        <v>0</v>
      </c>
    </row>
    <row r="22" spans="1:11">
      <c r="A22" s="692" t="s">
        <v>1820</v>
      </c>
      <c r="B22" s="480">
        <f t="shared" ref="B22:K22" si="9">B18*rng01_ReserveInterest</f>
        <v>0</v>
      </c>
      <c r="C22" s="78">
        <f t="shared" si="9"/>
        <v>0</v>
      </c>
      <c r="D22" s="78">
        <f t="shared" si="9"/>
        <v>0</v>
      </c>
      <c r="E22" s="78">
        <f t="shared" si="9"/>
        <v>0</v>
      </c>
      <c r="F22" s="78">
        <f t="shared" si="9"/>
        <v>0</v>
      </c>
      <c r="G22" s="78">
        <f t="shared" si="9"/>
        <v>0</v>
      </c>
      <c r="H22" s="78">
        <f t="shared" si="9"/>
        <v>0</v>
      </c>
      <c r="I22" s="78">
        <f t="shared" si="9"/>
        <v>0</v>
      </c>
      <c r="J22" s="78">
        <f t="shared" si="9"/>
        <v>0</v>
      </c>
      <c r="K22" s="481">
        <f t="shared" si="9"/>
        <v>0</v>
      </c>
    </row>
    <row r="23" spans="1:11" ht="16.5" thickBot="1">
      <c r="A23" s="639" t="s">
        <v>1821</v>
      </c>
      <c r="B23" s="1226">
        <f t="shared" ref="B23:K23" si="10">SUM(B20:B22)</f>
        <v>0</v>
      </c>
      <c r="C23" s="699">
        <f t="shared" si="10"/>
        <v>0</v>
      </c>
      <c r="D23" s="699">
        <f t="shared" si="10"/>
        <v>0</v>
      </c>
      <c r="E23" s="699">
        <f t="shared" si="10"/>
        <v>0</v>
      </c>
      <c r="F23" s="699">
        <f t="shared" si="10"/>
        <v>0</v>
      </c>
      <c r="G23" s="699">
        <f t="shared" si="10"/>
        <v>0</v>
      </c>
      <c r="H23" s="699">
        <f t="shared" si="10"/>
        <v>0</v>
      </c>
      <c r="I23" s="699">
        <f t="shared" si="10"/>
        <v>0</v>
      </c>
      <c r="J23" s="699">
        <f t="shared" si="10"/>
        <v>0</v>
      </c>
      <c r="K23" s="700">
        <f t="shared" si="10"/>
        <v>0</v>
      </c>
    </row>
    <row r="24" spans="1:11" ht="16.5" thickBot="1">
      <c r="A24" s="701" t="s">
        <v>1822</v>
      </c>
      <c r="B24" s="701" t="str">
        <f t="shared" ref="B24:K24" si="11">IF(B23&lt;1, "DEFICIT","")</f>
        <v>DEFICIT</v>
      </c>
      <c r="C24" s="693" t="str">
        <f t="shared" si="11"/>
        <v>DEFICIT</v>
      </c>
      <c r="D24" s="693" t="str">
        <f t="shared" si="11"/>
        <v>DEFICIT</v>
      </c>
      <c r="E24" s="693" t="str">
        <f t="shared" si="11"/>
        <v>DEFICIT</v>
      </c>
      <c r="F24" s="693" t="str">
        <f t="shared" si="11"/>
        <v>DEFICIT</v>
      </c>
      <c r="G24" s="693" t="str">
        <f t="shared" si="11"/>
        <v>DEFICIT</v>
      </c>
      <c r="H24" s="693" t="str">
        <f t="shared" si="11"/>
        <v>DEFICIT</v>
      </c>
      <c r="I24" s="693" t="str">
        <f t="shared" si="11"/>
        <v>DEFICIT</v>
      </c>
      <c r="J24" s="693" t="str">
        <f t="shared" si="11"/>
        <v>DEFICIT</v>
      </c>
      <c r="K24" s="702" t="str">
        <f t="shared" si="11"/>
        <v>DEFICIT</v>
      </c>
    </row>
    <row r="26" spans="1:11" ht="16.5" thickBot="1"/>
    <row r="27" spans="1:11" ht="16.5" thickBot="1">
      <c r="A27" s="485"/>
      <c r="B27" s="1231" t="str">
        <f>'04_1_Pro Forma'!W3</f>
        <v>Year 21</v>
      </c>
      <c r="C27" s="1232" t="str">
        <f>'04_1_Pro Forma'!X3</f>
        <v>Year 22</v>
      </c>
      <c r="D27" s="1232" t="str">
        <f>'04_1_Pro Forma'!Y3</f>
        <v>Year 23</v>
      </c>
      <c r="E27" s="1232" t="str">
        <f>'04_1_Pro Forma'!Z3</f>
        <v>Year 24</v>
      </c>
      <c r="F27" s="1232" t="str">
        <f>'04_1_Pro Forma'!AA3</f>
        <v>Year 25</v>
      </c>
      <c r="G27" s="1232" t="str">
        <f>'04_1_Pro Forma'!AB3</f>
        <v>Year 26</v>
      </c>
      <c r="H27" s="1232" t="str">
        <f>'04_1_Pro Forma'!AC3</f>
        <v>Year 27</v>
      </c>
      <c r="I27" s="1232" t="str">
        <f>'04_1_Pro Forma'!AD3</f>
        <v>Year 28</v>
      </c>
      <c r="J27" s="1232" t="str">
        <f>'04_1_Pro Forma'!AE3</f>
        <v>Year 29</v>
      </c>
      <c r="K27" s="1233" t="str">
        <f>'04_1_Pro Forma'!AF3</f>
        <v>Year 30</v>
      </c>
    </row>
    <row r="28" spans="1:11" ht="16.5" thickBot="1">
      <c r="A28" s="485"/>
      <c r="B28" s="1223">
        <f>'04_1_Pro Forma'!W4</f>
        <v>1921</v>
      </c>
      <c r="C28" s="694">
        <f>'04_1_Pro Forma'!X4</f>
        <v>1922</v>
      </c>
      <c r="D28" s="694">
        <f>'04_1_Pro Forma'!Y4</f>
        <v>1923</v>
      </c>
      <c r="E28" s="694">
        <f>'04_1_Pro Forma'!Z4</f>
        <v>1924</v>
      </c>
      <c r="F28" s="694">
        <f>'04_1_Pro Forma'!AA4</f>
        <v>1925</v>
      </c>
      <c r="G28" s="694">
        <f>'04_1_Pro Forma'!AB4</f>
        <v>1926</v>
      </c>
      <c r="H28" s="694">
        <f>'04_1_Pro Forma'!AC4</f>
        <v>1927</v>
      </c>
      <c r="I28" s="694">
        <f>'04_1_Pro Forma'!AD4</f>
        <v>1928</v>
      </c>
      <c r="J28" s="694">
        <f>'04_1_Pro Forma'!AE4</f>
        <v>1929</v>
      </c>
      <c r="K28" s="695">
        <f>'04_1_Pro Forma'!AF4</f>
        <v>1930</v>
      </c>
    </row>
    <row r="29" spans="1:11" ht="16.5" thickBot="1">
      <c r="A29" s="485" t="s">
        <v>1815</v>
      </c>
      <c r="B29" s="1224"/>
      <c r="C29" s="703"/>
      <c r="D29" s="703"/>
      <c r="E29" s="703"/>
      <c r="F29" s="703"/>
      <c r="G29" s="703"/>
      <c r="H29" s="703"/>
      <c r="I29" s="703"/>
      <c r="J29" s="703"/>
      <c r="K29" s="704"/>
    </row>
    <row r="30" spans="1:11">
      <c r="A30" s="480" t="s">
        <v>1816</v>
      </c>
      <c r="B30" s="480">
        <f>K23</f>
        <v>0</v>
      </c>
      <c r="C30" s="78">
        <f t="shared" ref="C30:K30" si="12">B35</f>
        <v>0</v>
      </c>
      <c r="D30" s="78">
        <f t="shared" si="12"/>
        <v>0</v>
      </c>
      <c r="E30" s="78">
        <f t="shared" si="12"/>
        <v>0</v>
      </c>
      <c r="F30" s="78">
        <f t="shared" si="12"/>
        <v>0</v>
      </c>
      <c r="G30" s="78">
        <f t="shared" si="12"/>
        <v>0</v>
      </c>
      <c r="H30" s="78">
        <f t="shared" si="12"/>
        <v>0</v>
      </c>
      <c r="I30" s="78">
        <f t="shared" si="12"/>
        <v>0</v>
      </c>
      <c r="J30" s="78">
        <f t="shared" si="12"/>
        <v>0</v>
      </c>
      <c r="K30" s="481">
        <f t="shared" si="12"/>
        <v>0</v>
      </c>
    </row>
    <row r="31" spans="1:11">
      <c r="A31" s="696" t="s">
        <v>1817</v>
      </c>
      <c r="B31" s="1225">
        <f>'04_1_Pro Forma'!W26</f>
        <v>0</v>
      </c>
      <c r="C31" s="697">
        <f>'04_1_Pro Forma'!X26</f>
        <v>0</v>
      </c>
      <c r="D31" s="697">
        <f>'04_1_Pro Forma'!Y26</f>
        <v>0</v>
      </c>
      <c r="E31" s="697">
        <f>'04_1_Pro Forma'!Z26</f>
        <v>0</v>
      </c>
      <c r="F31" s="697">
        <f>'04_1_Pro Forma'!AA26</f>
        <v>0</v>
      </c>
      <c r="G31" s="697">
        <f>'04_1_Pro Forma'!AB26</f>
        <v>0</v>
      </c>
      <c r="H31" s="697">
        <f>'04_1_Pro Forma'!AC26</f>
        <v>0</v>
      </c>
      <c r="I31" s="697">
        <f>'04_1_Pro Forma'!AD26</f>
        <v>0</v>
      </c>
      <c r="J31" s="697">
        <f>'04_1_Pro Forma'!AE26</f>
        <v>0</v>
      </c>
      <c r="K31" s="698">
        <f>'04_1_Pro Forma'!AF26</f>
        <v>0</v>
      </c>
    </row>
    <row r="32" spans="1:11">
      <c r="A32" s="480" t="s">
        <v>1818</v>
      </c>
      <c r="B32" s="480">
        <f t="shared" ref="B32:K32" si="13">B30+B31</f>
        <v>0</v>
      </c>
      <c r="C32" s="78">
        <f t="shared" si="13"/>
        <v>0</v>
      </c>
      <c r="D32" s="78">
        <f t="shared" si="13"/>
        <v>0</v>
      </c>
      <c r="E32" s="78">
        <f t="shared" si="13"/>
        <v>0</v>
      </c>
      <c r="F32" s="78">
        <f t="shared" si="13"/>
        <v>0</v>
      </c>
      <c r="G32" s="78">
        <f t="shared" si="13"/>
        <v>0</v>
      </c>
      <c r="H32" s="78">
        <f t="shared" si="13"/>
        <v>0</v>
      </c>
      <c r="I32" s="78">
        <f t="shared" si="13"/>
        <v>0</v>
      </c>
      <c r="J32" s="78">
        <f t="shared" si="13"/>
        <v>0</v>
      </c>
      <c r="K32" s="481">
        <f t="shared" si="13"/>
        <v>0</v>
      </c>
    </row>
    <row r="33" spans="1:11">
      <c r="A33" s="692" t="s">
        <v>1819</v>
      </c>
      <c r="B33" s="480">
        <f t="shared" ref="B33:K33" si="14">-B29</f>
        <v>0</v>
      </c>
      <c r="C33" s="78">
        <f t="shared" si="14"/>
        <v>0</v>
      </c>
      <c r="D33" s="78">
        <f t="shared" si="14"/>
        <v>0</v>
      </c>
      <c r="E33" s="78">
        <f t="shared" si="14"/>
        <v>0</v>
      </c>
      <c r="F33" s="78">
        <f t="shared" si="14"/>
        <v>0</v>
      </c>
      <c r="G33" s="78">
        <f t="shared" si="14"/>
        <v>0</v>
      </c>
      <c r="H33" s="78">
        <f t="shared" si="14"/>
        <v>0</v>
      </c>
      <c r="I33" s="78">
        <f t="shared" si="14"/>
        <v>0</v>
      </c>
      <c r="J33" s="78">
        <f t="shared" si="14"/>
        <v>0</v>
      </c>
      <c r="K33" s="481">
        <f t="shared" si="14"/>
        <v>0</v>
      </c>
    </row>
    <row r="34" spans="1:11">
      <c r="A34" s="692" t="s">
        <v>1820</v>
      </c>
      <c r="B34" s="480">
        <f t="shared" ref="B34:K34" si="15">B30*rng01_ReserveInterest</f>
        <v>0</v>
      </c>
      <c r="C34" s="78">
        <f t="shared" si="15"/>
        <v>0</v>
      </c>
      <c r="D34" s="78">
        <f t="shared" si="15"/>
        <v>0</v>
      </c>
      <c r="E34" s="78">
        <f t="shared" si="15"/>
        <v>0</v>
      </c>
      <c r="F34" s="78">
        <f t="shared" si="15"/>
        <v>0</v>
      </c>
      <c r="G34" s="78">
        <f t="shared" si="15"/>
        <v>0</v>
      </c>
      <c r="H34" s="78">
        <f t="shared" si="15"/>
        <v>0</v>
      </c>
      <c r="I34" s="78">
        <f t="shared" si="15"/>
        <v>0</v>
      </c>
      <c r="J34" s="78">
        <f t="shared" si="15"/>
        <v>0</v>
      </c>
      <c r="K34" s="481">
        <f t="shared" si="15"/>
        <v>0</v>
      </c>
    </row>
    <row r="35" spans="1:11" ht="16.5" thickBot="1">
      <c r="A35" s="639" t="s">
        <v>1821</v>
      </c>
      <c r="B35" s="1226">
        <f t="shared" ref="B35:K35" si="16">SUM(B32:B34)</f>
        <v>0</v>
      </c>
      <c r="C35" s="699">
        <f t="shared" si="16"/>
        <v>0</v>
      </c>
      <c r="D35" s="699">
        <f t="shared" si="16"/>
        <v>0</v>
      </c>
      <c r="E35" s="699">
        <f t="shared" si="16"/>
        <v>0</v>
      </c>
      <c r="F35" s="699">
        <f t="shared" si="16"/>
        <v>0</v>
      </c>
      <c r="G35" s="699">
        <f t="shared" si="16"/>
        <v>0</v>
      </c>
      <c r="H35" s="699">
        <f t="shared" si="16"/>
        <v>0</v>
      </c>
      <c r="I35" s="699">
        <f t="shared" si="16"/>
        <v>0</v>
      </c>
      <c r="J35" s="699">
        <f t="shared" si="16"/>
        <v>0</v>
      </c>
      <c r="K35" s="700">
        <f t="shared" si="16"/>
        <v>0</v>
      </c>
    </row>
    <row r="36" spans="1:11" ht="16.5" thickBot="1">
      <c r="A36" s="701" t="s">
        <v>1822</v>
      </c>
      <c r="B36" s="701" t="str">
        <f t="shared" ref="B36:K36" si="17">IF(B35&lt;1, "DEFICIT","")</f>
        <v>DEFICIT</v>
      </c>
      <c r="C36" s="693" t="str">
        <f t="shared" si="17"/>
        <v>DEFICIT</v>
      </c>
      <c r="D36" s="693" t="str">
        <f t="shared" si="17"/>
        <v>DEFICIT</v>
      </c>
      <c r="E36" s="693" t="str">
        <f t="shared" si="17"/>
        <v>DEFICIT</v>
      </c>
      <c r="F36" s="693" t="str">
        <f t="shared" si="17"/>
        <v>DEFICIT</v>
      </c>
      <c r="G36" s="693" t="str">
        <f t="shared" si="17"/>
        <v>DEFICIT</v>
      </c>
      <c r="H36" s="693" t="str">
        <f t="shared" si="17"/>
        <v>DEFICIT</v>
      </c>
      <c r="I36" s="693" t="str">
        <f t="shared" si="17"/>
        <v>DEFICIT</v>
      </c>
      <c r="J36" s="693" t="str">
        <f t="shared" si="17"/>
        <v>DEFICIT</v>
      </c>
      <c r="K36" s="702" t="str">
        <f t="shared" si="17"/>
        <v>DEFICIT</v>
      </c>
    </row>
    <row r="38" spans="1:11" ht="16.5" thickBot="1"/>
    <row r="39" spans="1:11" ht="16.5" thickBot="1">
      <c r="A39" s="485"/>
      <c r="B39" s="1231" t="str">
        <f>'04_1_Pro Forma'!AG3</f>
        <v>Year 31</v>
      </c>
      <c r="C39" s="1232" t="str">
        <f>'04_1_Pro Forma'!AH3</f>
        <v>Year 32</v>
      </c>
      <c r="D39" s="1232" t="str">
        <f>'04_1_Pro Forma'!AI3</f>
        <v>Year 33</v>
      </c>
      <c r="E39" s="1232" t="str">
        <f>'04_1_Pro Forma'!AJ3</f>
        <v>Year 34</v>
      </c>
      <c r="F39" s="1232" t="str">
        <f>'04_1_Pro Forma'!AK3</f>
        <v>Year 35</v>
      </c>
      <c r="G39" s="1232" t="str">
        <f>'04_1_Pro Forma'!AL3</f>
        <v>Year 36</v>
      </c>
      <c r="H39" s="1232" t="str">
        <f>'04_1_Pro Forma'!AM3</f>
        <v>Year 37</v>
      </c>
      <c r="I39" s="1232" t="str">
        <f>'04_1_Pro Forma'!AN3</f>
        <v>Year 38</v>
      </c>
      <c r="J39" s="1232" t="str">
        <f>'04_1_Pro Forma'!AO3</f>
        <v>Year 39</v>
      </c>
      <c r="K39" s="1233" t="str">
        <f>'04_1_Pro Forma'!AP3</f>
        <v>Year 40</v>
      </c>
    </row>
    <row r="40" spans="1:11" ht="16.5" thickBot="1">
      <c r="A40" s="485"/>
      <c r="B40" s="1223">
        <f>'04_1_Pro Forma'!AG4</f>
        <v>1931</v>
      </c>
      <c r="C40" s="694">
        <f>'04_1_Pro Forma'!AH4</f>
        <v>1932</v>
      </c>
      <c r="D40" s="694">
        <f>'04_1_Pro Forma'!AI4</f>
        <v>1933</v>
      </c>
      <c r="E40" s="694">
        <f>'04_1_Pro Forma'!AJ4</f>
        <v>1934</v>
      </c>
      <c r="F40" s="694">
        <f>'04_1_Pro Forma'!AK4</f>
        <v>1935</v>
      </c>
      <c r="G40" s="694">
        <f>'04_1_Pro Forma'!AL4</f>
        <v>1936</v>
      </c>
      <c r="H40" s="694">
        <f>'04_1_Pro Forma'!AM4</f>
        <v>1937</v>
      </c>
      <c r="I40" s="694">
        <f>'04_1_Pro Forma'!AN4</f>
        <v>1938</v>
      </c>
      <c r="J40" s="694">
        <f>'04_1_Pro Forma'!AO4</f>
        <v>1939</v>
      </c>
      <c r="K40" s="695">
        <f>'04_1_Pro Forma'!AP4</f>
        <v>1940</v>
      </c>
    </row>
    <row r="41" spans="1:11" ht="16.5" thickBot="1">
      <c r="A41" s="485" t="s">
        <v>1815</v>
      </c>
      <c r="B41" s="1224"/>
      <c r="C41" s="703"/>
      <c r="D41" s="703"/>
      <c r="E41" s="703"/>
      <c r="F41" s="703"/>
      <c r="G41" s="703"/>
      <c r="H41" s="703"/>
      <c r="I41" s="703"/>
      <c r="J41" s="703"/>
      <c r="K41" s="704"/>
    </row>
    <row r="42" spans="1:11">
      <c r="A42" s="480" t="s">
        <v>1816</v>
      </c>
      <c r="B42" s="480">
        <f>K35</f>
        <v>0</v>
      </c>
      <c r="C42" s="78">
        <f t="shared" ref="C42:K42" si="18">B47</f>
        <v>0</v>
      </c>
      <c r="D42" s="78">
        <f t="shared" si="18"/>
        <v>0</v>
      </c>
      <c r="E42" s="78">
        <f t="shared" si="18"/>
        <v>0</v>
      </c>
      <c r="F42" s="78">
        <f t="shared" si="18"/>
        <v>0</v>
      </c>
      <c r="G42" s="78">
        <f t="shared" si="18"/>
        <v>0</v>
      </c>
      <c r="H42" s="78">
        <f t="shared" si="18"/>
        <v>0</v>
      </c>
      <c r="I42" s="78">
        <f t="shared" si="18"/>
        <v>0</v>
      </c>
      <c r="J42" s="78">
        <f t="shared" si="18"/>
        <v>0</v>
      </c>
      <c r="K42" s="481">
        <f t="shared" si="18"/>
        <v>0</v>
      </c>
    </row>
    <row r="43" spans="1:11">
      <c r="A43" s="696" t="s">
        <v>1817</v>
      </c>
      <c r="B43" s="1225">
        <f>'04_1_Pro Forma'!AG26</f>
        <v>0</v>
      </c>
      <c r="C43" s="697">
        <f>'04_1_Pro Forma'!AH26</f>
        <v>0</v>
      </c>
      <c r="D43" s="697">
        <f>'04_1_Pro Forma'!AI26</f>
        <v>0</v>
      </c>
      <c r="E43" s="697">
        <f>'04_1_Pro Forma'!AJ26</f>
        <v>0</v>
      </c>
      <c r="F43" s="697">
        <f>'04_1_Pro Forma'!AK26</f>
        <v>0</v>
      </c>
      <c r="G43" s="697">
        <f>'04_1_Pro Forma'!AL26</f>
        <v>0</v>
      </c>
      <c r="H43" s="697">
        <f>'04_1_Pro Forma'!AM26</f>
        <v>0</v>
      </c>
      <c r="I43" s="697">
        <f>'04_1_Pro Forma'!AN26</f>
        <v>0</v>
      </c>
      <c r="J43" s="697">
        <f>'04_1_Pro Forma'!AO26</f>
        <v>0</v>
      </c>
      <c r="K43" s="698">
        <f>'04_1_Pro Forma'!AP26</f>
        <v>0</v>
      </c>
    </row>
    <row r="44" spans="1:11">
      <c r="A44" s="480" t="s">
        <v>1818</v>
      </c>
      <c r="B44" s="480">
        <f t="shared" ref="B44:K44" si="19">B42+B43</f>
        <v>0</v>
      </c>
      <c r="C44" s="78">
        <f t="shared" si="19"/>
        <v>0</v>
      </c>
      <c r="D44" s="78">
        <f t="shared" si="19"/>
        <v>0</v>
      </c>
      <c r="E44" s="78">
        <f t="shared" si="19"/>
        <v>0</v>
      </c>
      <c r="F44" s="78">
        <f t="shared" si="19"/>
        <v>0</v>
      </c>
      <c r="G44" s="78">
        <f t="shared" si="19"/>
        <v>0</v>
      </c>
      <c r="H44" s="78">
        <f t="shared" si="19"/>
        <v>0</v>
      </c>
      <c r="I44" s="78">
        <f t="shared" si="19"/>
        <v>0</v>
      </c>
      <c r="J44" s="78">
        <f t="shared" si="19"/>
        <v>0</v>
      </c>
      <c r="K44" s="481">
        <f t="shared" si="19"/>
        <v>0</v>
      </c>
    </row>
    <row r="45" spans="1:11">
      <c r="A45" s="692" t="s">
        <v>1819</v>
      </c>
      <c r="B45" s="480">
        <f t="shared" ref="B45:K45" si="20">-B41</f>
        <v>0</v>
      </c>
      <c r="C45" s="78">
        <f t="shared" si="20"/>
        <v>0</v>
      </c>
      <c r="D45" s="78">
        <f t="shared" si="20"/>
        <v>0</v>
      </c>
      <c r="E45" s="78">
        <f t="shared" si="20"/>
        <v>0</v>
      </c>
      <c r="F45" s="78">
        <f t="shared" si="20"/>
        <v>0</v>
      </c>
      <c r="G45" s="78">
        <f t="shared" si="20"/>
        <v>0</v>
      </c>
      <c r="H45" s="78">
        <f t="shared" si="20"/>
        <v>0</v>
      </c>
      <c r="I45" s="78">
        <f t="shared" si="20"/>
        <v>0</v>
      </c>
      <c r="J45" s="78">
        <f t="shared" si="20"/>
        <v>0</v>
      </c>
      <c r="K45" s="481">
        <f t="shared" si="20"/>
        <v>0</v>
      </c>
    </row>
    <row r="46" spans="1:11">
      <c r="A46" s="692" t="s">
        <v>1820</v>
      </c>
      <c r="B46" s="480">
        <f t="shared" ref="B46:K46" si="21">B42*rng01_ReserveInterest</f>
        <v>0</v>
      </c>
      <c r="C46" s="78">
        <f t="shared" si="21"/>
        <v>0</v>
      </c>
      <c r="D46" s="78">
        <f t="shared" si="21"/>
        <v>0</v>
      </c>
      <c r="E46" s="78">
        <f t="shared" si="21"/>
        <v>0</v>
      </c>
      <c r="F46" s="78">
        <f t="shared" si="21"/>
        <v>0</v>
      </c>
      <c r="G46" s="78">
        <f t="shared" si="21"/>
        <v>0</v>
      </c>
      <c r="H46" s="78">
        <f t="shared" si="21"/>
        <v>0</v>
      </c>
      <c r="I46" s="78">
        <f t="shared" si="21"/>
        <v>0</v>
      </c>
      <c r="J46" s="78">
        <f t="shared" si="21"/>
        <v>0</v>
      </c>
      <c r="K46" s="481">
        <f t="shared" si="21"/>
        <v>0</v>
      </c>
    </row>
    <row r="47" spans="1:11" ht="16.5" thickBot="1">
      <c r="A47" s="639" t="s">
        <v>1821</v>
      </c>
      <c r="B47" s="1226">
        <f t="shared" ref="B47:K47" si="22">SUM(B44:B46)</f>
        <v>0</v>
      </c>
      <c r="C47" s="699">
        <f t="shared" si="22"/>
        <v>0</v>
      </c>
      <c r="D47" s="699">
        <f t="shared" si="22"/>
        <v>0</v>
      </c>
      <c r="E47" s="699">
        <f t="shared" si="22"/>
        <v>0</v>
      </c>
      <c r="F47" s="699">
        <f t="shared" si="22"/>
        <v>0</v>
      </c>
      <c r="G47" s="699">
        <f t="shared" si="22"/>
        <v>0</v>
      </c>
      <c r="H47" s="699">
        <f t="shared" si="22"/>
        <v>0</v>
      </c>
      <c r="I47" s="699">
        <f t="shared" si="22"/>
        <v>0</v>
      </c>
      <c r="J47" s="699">
        <f t="shared" si="22"/>
        <v>0</v>
      </c>
      <c r="K47" s="700">
        <f t="shared" si="22"/>
        <v>0</v>
      </c>
    </row>
    <row r="48" spans="1:11" ht="16.5" thickBot="1">
      <c r="A48" s="701" t="s">
        <v>1822</v>
      </c>
      <c r="B48" s="701" t="str">
        <f t="shared" ref="B48:K48" si="23">IF(B47&lt;1, "DEFICIT","")</f>
        <v>DEFICIT</v>
      </c>
      <c r="C48" s="693" t="str">
        <f t="shared" si="23"/>
        <v>DEFICIT</v>
      </c>
      <c r="D48" s="693" t="str">
        <f t="shared" si="23"/>
        <v>DEFICIT</v>
      </c>
      <c r="E48" s="693" t="str">
        <f t="shared" si="23"/>
        <v>DEFICIT</v>
      </c>
      <c r="F48" s="693" t="str">
        <f t="shared" si="23"/>
        <v>DEFICIT</v>
      </c>
      <c r="G48" s="693" t="str">
        <f t="shared" si="23"/>
        <v>DEFICIT</v>
      </c>
      <c r="H48" s="693" t="str">
        <f t="shared" si="23"/>
        <v>DEFICIT</v>
      </c>
      <c r="I48" s="693" t="str">
        <f t="shared" si="23"/>
        <v>DEFICIT</v>
      </c>
      <c r="J48" s="693" t="str">
        <f t="shared" si="23"/>
        <v>DEFICIT</v>
      </c>
      <c r="K48" s="702" t="str">
        <f t="shared" si="23"/>
        <v>DEFICIT</v>
      </c>
    </row>
  </sheetData>
  <sheetProtection algorithmName="SHA-512" hashValue="GhYeKuqUa4WVFGJquEwGX0nNZ8PNCkogGSlGiJiGLFp4YyWlmDYg7est/kOGaiFgsmjzOmxoU7w2Z1aITRk/Ig==" saltValue="H6AV/h2S05h0LfHivMgNFg==" spinCount="100000" sheet="1" objects="1" scenarios="1" formatCells="0" formatColumns="0" formatRows="0"/>
  <pageMargins left="0.7" right="0.7" top="0.75" bottom="0.75" header="0.3" footer="0.3"/>
  <pageSetup scale="59" firstPageNumber="22" orientation="landscape" useFirstPageNumber="1" r:id="rId1"/>
  <headerFooter alignWithMargins="0">
    <oddFooter>&amp;L&amp;"Times New Roman,Italic"&amp;8CDA Form 202 (08/01/05)&amp;C&amp;P&amp;R&amp;"Times New Roman,Italic"&amp;8PRO FORMA &amp;D</oddFooter>
  </headerFooter>
  <colBreaks count="2" manualBreakCount="2">
    <brk id="21" max="1048575" man="1"/>
    <brk id="31"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wst06_1_Summary">
    <tabColor theme="1"/>
    <pageSetUpPr autoPageBreaks="0" fitToPage="1"/>
  </sheetPr>
  <dimension ref="A1:L104"/>
  <sheetViews>
    <sheetView zoomScale="85" zoomScaleNormal="85" workbookViewId="0"/>
  </sheetViews>
  <sheetFormatPr defaultColWidth="9" defaultRowHeight="12.75"/>
  <cols>
    <col min="1" max="1" width="3" style="11" customWidth="1"/>
    <col min="2" max="2" width="2.5" style="11" customWidth="1"/>
    <col min="3" max="3" width="33.5" style="11" customWidth="1"/>
    <col min="4" max="4" width="18.5" style="11" customWidth="1"/>
    <col min="5" max="5" width="16.5" style="11" customWidth="1"/>
    <col min="6" max="6" width="12.5" style="11" customWidth="1"/>
    <col min="7" max="7" width="2" style="11" customWidth="1"/>
    <col min="8" max="8" width="2.5" style="11" customWidth="1"/>
    <col min="9" max="9" width="32.5" style="11" customWidth="1"/>
    <col min="10" max="11" width="16" style="11" customWidth="1"/>
    <col min="12" max="12" width="12" style="11" customWidth="1"/>
    <col min="13" max="16" width="9" style="11"/>
    <col min="17" max="17" width="12.5" style="11" bestFit="1" customWidth="1"/>
    <col min="18" max="16384" width="9" style="11"/>
  </cols>
  <sheetData>
    <row r="1" spans="1:12">
      <c r="A1" s="365"/>
    </row>
    <row r="2" spans="1:12" ht="21">
      <c r="B2" s="128" t="s">
        <v>1823</v>
      </c>
      <c r="C2" s="128"/>
      <c r="H2" s="357" t="str">
        <f>IF(J39&lt;0,"NOTE: USES CURRENTLY EXCEED SOURCES","")</f>
        <v/>
      </c>
    </row>
    <row r="3" spans="1:12" ht="18.75">
      <c r="B3" s="134">
        <f>rng01_ProjectName</f>
        <v>0</v>
      </c>
      <c r="C3" s="134"/>
    </row>
    <row r="4" spans="1:12" ht="15.75">
      <c r="B4" s="534" t="s">
        <v>245</v>
      </c>
      <c r="C4" s="534"/>
      <c r="D4" s="535">
        <f>tbl00ModelProgress[[#Totals],[Date of Progress /
Last Edit]]</f>
        <v>0</v>
      </c>
      <c r="I4" s="254" t="s">
        <v>1824</v>
      </c>
      <c r="J4" s="2333">
        <f>'01_1_General Data'!C48</f>
        <v>0</v>
      </c>
      <c r="K4" s="2334"/>
      <c r="L4" s="2335"/>
    </row>
    <row r="5" spans="1:12" ht="13.5" thickBot="1"/>
    <row r="6" spans="1:12" ht="16.5" thickBot="1">
      <c r="B6" s="542" t="s">
        <v>1677</v>
      </c>
      <c r="C6" s="539"/>
      <c r="D6" s="540" t="s">
        <v>1002</v>
      </c>
      <c r="E6" s="540" t="s">
        <v>1825</v>
      </c>
      <c r="F6" s="541" t="s">
        <v>1826</v>
      </c>
      <c r="G6" s="546"/>
      <c r="H6" s="542" t="s">
        <v>1679</v>
      </c>
      <c r="I6" s="539"/>
      <c r="J6" s="540" t="s">
        <v>1002</v>
      </c>
      <c r="K6" s="540" t="s">
        <v>1825</v>
      </c>
      <c r="L6" s="541" t="s">
        <v>1826</v>
      </c>
    </row>
    <row r="7" spans="1:12" ht="15.75" thickBot="1">
      <c r="B7" s="1452" t="s">
        <v>1827</v>
      </c>
      <c r="C7" s="1453"/>
      <c r="D7" s="1454"/>
      <c r="E7" s="1455"/>
      <c r="F7" s="1456"/>
      <c r="G7" s="9"/>
      <c r="H7" s="1420"/>
      <c r="I7" s="1457" t="s">
        <v>75</v>
      </c>
      <c r="J7" s="1458">
        <f>'02_4_USES'!F15</f>
        <v>0</v>
      </c>
      <c r="K7" s="1458" t="e">
        <f>J7/'02_1_INCOME'!$F$38</f>
        <v>#DIV/0!</v>
      </c>
      <c r="L7" s="1459" t="e">
        <f>J7/SUM('01_1_General Data'!$G$66:$G$67)</f>
        <v>#DIV/0!</v>
      </c>
    </row>
    <row r="8" spans="1:12" ht="15">
      <c r="B8" s="1460"/>
      <c r="C8" s="1461" t="str">
        <f>IF('01_1_General Data'!K11="No", '02_3_SOURCES'!C9, '02_3_SOURCES'!B9)</f>
        <v/>
      </c>
      <c r="D8" s="1458">
        <f>'02_3_SOURCES'!K9</f>
        <v>0</v>
      </c>
      <c r="E8" s="1458" t="e">
        <f>D8/'02_1_INCOME'!$F$38</f>
        <v>#DIV/0!</v>
      </c>
      <c r="F8" s="1459" t="e">
        <f>D8/SUM('01_1_General Data'!$G$66:$G$67)</f>
        <v>#DIV/0!</v>
      </c>
      <c r="G8" s="9"/>
      <c r="H8" s="1420"/>
      <c r="I8" s="1462" t="str">
        <f>IF(AA2=0,"Construction","First Mortgage Payoff")</f>
        <v>Construction</v>
      </c>
      <c r="J8" s="1463">
        <f>'02_4_USES'!F26</f>
        <v>0</v>
      </c>
      <c r="K8" s="1463" t="e">
        <f>J8/'02_1_INCOME'!$F$38</f>
        <v>#DIV/0!</v>
      </c>
      <c r="L8" s="1464" t="e">
        <f>J8/SUM('01_1_General Data'!$G$66:$G$67)</f>
        <v>#DIV/0!</v>
      </c>
    </row>
    <row r="9" spans="1:12" ht="15">
      <c r="B9" s="1420"/>
      <c r="C9" s="1465" t="str">
        <f>IF('02_3_SOURCES'!B10="Other", '02_3_SOURCES'!C10, '02_3_SOURCES'!B10)</f>
        <v>RIH Second Mortgage</v>
      </c>
      <c r="D9" s="1463">
        <f>'02_3_SOURCES'!K10</f>
        <v>0</v>
      </c>
      <c r="E9" s="1463" t="e">
        <f>D9/'02_1_INCOME'!$F$38</f>
        <v>#DIV/0!</v>
      </c>
      <c r="F9" s="1464" t="e">
        <f>D9/SUM('01_1_General Data'!$G$66:$G$67)</f>
        <v>#DIV/0!</v>
      </c>
      <c r="G9" s="9"/>
      <c r="H9" s="1420"/>
      <c r="I9" s="1466" t="str">
        <f>IF(AA2=0,"Contingency","Sale Proceeds/Equity Purchase")</f>
        <v>Contingency</v>
      </c>
      <c r="J9" s="1463">
        <f>'02_4_USES'!F27</f>
        <v>0</v>
      </c>
      <c r="K9" s="1463" t="e">
        <f>J9/'02_1_INCOME'!$F$38</f>
        <v>#DIV/0!</v>
      </c>
      <c r="L9" s="1464" t="e">
        <f>J9/SUM('01_1_General Data'!$G$66:$G$67)</f>
        <v>#DIV/0!</v>
      </c>
    </row>
    <row r="10" spans="1:12" ht="15">
      <c r="B10" s="1420"/>
      <c r="C10" s="1465">
        <f>IF('02_3_SOURCES'!B11="Other", '02_3_SOURCES'!C11, '02_3_SOURCES'!B11)</f>
        <v>0</v>
      </c>
      <c r="D10" s="1463">
        <f>'02_3_SOURCES'!K11</f>
        <v>0</v>
      </c>
      <c r="E10" s="1463" t="e">
        <f>D10/'02_1_INCOME'!$F$38</f>
        <v>#DIV/0!</v>
      </c>
      <c r="F10" s="1464" t="e">
        <f>D10/SUM('01_1_General Data'!$G$66:$G$67)</f>
        <v>#DIV/0!</v>
      </c>
      <c r="G10" s="9"/>
      <c r="H10" s="1420"/>
      <c r="I10" s="1466" t="s">
        <v>79</v>
      </c>
      <c r="J10" s="1463">
        <f>'02_4_USES'!F59</f>
        <v>0</v>
      </c>
      <c r="K10" s="1463" t="e">
        <f>J10/'02_1_INCOME'!$F$38</f>
        <v>#DIV/0!</v>
      </c>
      <c r="L10" s="1464" t="e">
        <f>J10/SUM('01_1_General Data'!$G$66:$G$67)</f>
        <v>#DIV/0!</v>
      </c>
    </row>
    <row r="11" spans="1:12" ht="15">
      <c r="B11" s="1420"/>
      <c r="C11" s="1465">
        <f>IF('02_3_SOURCES'!B12="Other", '02_3_SOURCES'!C12, '02_3_SOURCES'!B12)</f>
        <v>0</v>
      </c>
      <c r="D11" s="1463">
        <f>'02_3_SOURCES'!K12</f>
        <v>0</v>
      </c>
      <c r="E11" s="1463" t="e">
        <f>D11/'02_1_INCOME'!$F$38</f>
        <v>#DIV/0!</v>
      </c>
      <c r="F11" s="1464" t="e">
        <f>D11/SUM('01_1_General Data'!$G$66:$G$67)</f>
        <v>#DIV/0!</v>
      </c>
      <c r="G11" s="9"/>
      <c r="H11" s="1420"/>
      <c r="I11" s="1466" t="s">
        <v>1828</v>
      </c>
      <c r="J11" s="1463">
        <f>'02_4_USES'!F74</f>
        <v>0</v>
      </c>
      <c r="K11" s="1463" t="e">
        <f>J11/'02_1_INCOME'!$F$38</f>
        <v>#DIV/0!</v>
      </c>
      <c r="L11" s="1464" t="e">
        <f>J11/SUM('01_1_General Data'!$G$66:$G$67)</f>
        <v>#DIV/0!</v>
      </c>
    </row>
    <row r="12" spans="1:12" ht="15">
      <c r="B12" s="1420"/>
      <c r="C12" s="1465">
        <f>IF('02_3_SOURCES'!B13="Other", '02_3_SOURCES'!C13, '02_3_SOURCES'!B13)</f>
        <v>0</v>
      </c>
      <c r="D12" s="1463">
        <f>'02_3_SOURCES'!K13</f>
        <v>0</v>
      </c>
      <c r="E12" s="1463" t="e">
        <f>D12/'02_1_INCOME'!$F$38</f>
        <v>#DIV/0!</v>
      </c>
      <c r="F12" s="1464" t="e">
        <f>D12/SUM('01_1_General Data'!$G$66:$G$67)</f>
        <v>#DIV/0!</v>
      </c>
      <c r="G12" s="9"/>
      <c r="H12" s="1419" t="str">
        <f>IF(AA2=0,"Replacement Cost","")</f>
        <v>Replacement Cost</v>
      </c>
      <c r="I12" s="1466"/>
      <c r="J12" s="1467">
        <f>SUM(J7:J11)</f>
        <v>0</v>
      </c>
      <c r="K12" s="1467" t="e">
        <f>J12/'02_1_INCOME'!$F$38</f>
        <v>#DIV/0!</v>
      </c>
      <c r="L12" s="1468" t="e">
        <f>J12/SUM('01_1_General Data'!$G$66:$G$67)</f>
        <v>#DIV/0!</v>
      </c>
    </row>
    <row r="13" spans="1:12" ht="15">
      <c r="B13" s="1420"/>
      <c r="C13" s="1469">
        <f>IF('02_3_SOURCES'!B14="Other", '02_3_SOURCES'!C14, '02_3_SOURCES'!B14)</f>
        <v>0</v>
      </c>
      <c r="D13" s="1467">
        <f>'02_3_SOURCES'!K14</f>
        <v>0</v>
      </c>
      <c r="E13" s="1467" t="e">
        <f>D13/'02_1_INCOME'!$F$38</f>
        <v>#DIV/0!</v>
      </c>
      <c r="F13" s="1470" t="e">
        <f>D13/SUM('01_1_General Data'!$G$66:$G$67)</f>
        <v>#DIV/0!</v>
      </c>
      <c r="G13" s="9"/>
      <c r="H13" s="1420"/>
      <c r="I13" s="1466" t="str">
        <f>IF(AA2=0,"Base Developer Fee","Transaction Costs")</f>
        <v>Base Developer Fee</v>
      </c>
      <c r="J13" s="1467">
        <f>'02_4_USES'!F86</f>
        <v>0</v>
      </c>
      <c r="K13" s="1467" t="e">
        <f>J13/'02_1_INCOME'!$F$38</f>
        <v>#DIV/0!</v>
      </c>
      <c r="L13" s="1468" t="e">
        <f>J13/SUM('01_1_General Data'!$G$66:$G$67)</f>
        <v>#DIV/0!</v>
      </c>
    </row>
    <row r="14" spans="1:12" ht="15">
      <c r="B14" s="1420"/>
      <c r="C14" s="1469">
        <f>IF('02_3_SOURCES'!B15="Other", '02_3_SOURCES'!C15, '02_3_SOURCES'!B15)</f>
        <v>0</v>
      </c>
      <c r="D14" s="1467">
        <f>'02_3_SOURCES'!K15</f>
        <v>0</v>
      </c>
      <c r="E14" s="1467" t="e">
        <f>D14/'02_1_INCOME'!$F$38</f>
        <v>#DIV/0!</v>
      </c>
      <c r="F14" s="1470" t="e">
        <f>D14/SUM('01_1_General Data'!$G$66:$G$67)</f>
        <v>#DIV/0!</v>
      </c>
      <c r="G14" s="9"/>
      <c r="H14" s="1419" t="str">
        <f>IF(AA2=0,"Approved Cost","")</f>
        <v>Approved Cost</v>
      </c>
      <c r="I14" s="1466"/>
      <c r="J14" s="1467">
        <f>IF(AA2=0,J12+J13,0)</f>
        <v>0</v>
      </c>
      <c r="K14" s="1467" t="e">
        <f>J14/'02_1_INCOME'!$F$38</f>
        <v>#DIV/0!</v>
      </c>
      <c r="L14" s="1468" t="e">
        <f>J14/SUM('01_1_General Data'!$G$66:$G$67)</f>
        <v>#DIV/0!</v>
      </c>
    </row>
    <row r="15" spans="1:12" ht="15">
      <c r="B15" s="1476"/>
      <c r="C15" s="1469">
        <f>IF('02_3_SOURCES'!B16="Other", '02_3_SOURCES'!C16, '02_3_SOURCES'!B16)</f>
        <v>0</v>
      </c>
      <c r="D15" s="1467">
        <f>'02_3_SOURCES'!K16</f>
        <v>0</v>
      </c>
      <c r="E15" s="1467" t="e">
        <f>D15/'02_1_INCOME'!$F$38</f>
        <v>#DIV/0!</v>
      </c>
      <c r="F15" s="1470" t="e">
        <f>D15/SUM('01_1_General Data'!$G$66:$G$67)</f>
        <v>#DIV/0!</v>
      </c>
      <c r="G15" s="9"/>
      <c r="H15" s="1419"/>
      <c r="I15" s="1466" t="str">
        <f>IF(AA2=0,"Incentive Developer Fee","Developer's Fee")</f>
        <v>Incentive Developer Fee</v>
      </c>
      <c r="J15" s="1467">
        <f>'02_4_USES'!F87</f>
        <v>0</v>
      </c>
      <c r="K15" s="1467" t="e">
        <f>J15/'02_1_INCOME'!$F$38</f>
        <v>#DIV/0!</v>
      </c>
      <c r="L15" s="1468" t="e">
        <f>J15/SUM('01_1_General Data'!$G$66:$G$67)</f>
        <v>#DIV/0!</v>
      </c>
    </row>
    <row r="16" spans="1:12" ht="15">
      <c r="B16" s="1476"/>
      <c r="C16" s="1469">
        <f>IF('02_3_SOURCES'!B17="Other", '02_3_SOURCES'!C17, '02_3_SOURCES'!B17)</f>
        <v>0</v>
      </c>
      <c r="D16" s="1467">
        <f>'02_3_SOURCES'!K17</f>
        <v>0</v>
      </c>
      <c r="E16" s="1467" t="e">
        <f>D16/'02_1_INCOME'!$F$38</f>
        <v>#DIV/0!</v>
      </c>
      <c r="F16" s="1470" t="e">
        <f>D16/SUM('01_1_General Data'!$G$66:$G$67)</f>
        <v>#DIV/0!</v>
      </c>
      <c r="G16" s="9"/>
      <c r="H16" s="1419" t="str">
        <f>IF(AA2=0,"TDC Net of Reserves","")</f>
        <v>TDC Net of Reserves</v>
      </c>
      <c r="I16" s="1466"/>
      <c r="J16" s="1467">
        <f>IF(AA2=0,J14+J15,0)</f>
        <v>0</v>
      </c>
      <c r="K16" s="1467" t="e">
        <f>J16/'02_1_INCOME'!$F$38</f>
        <v>#DIV/0!</v>
      </c>
      <c r="L16" s="1468" t="e">
        <f>J16/SUM('01_1_General Data'!$G$66:$G$67)</f>
        <v>#DIV/0!</v>
      </c>
    </row>
    <row r="17" spans="2:12" ht="15">
      <c r="B17" s="1476"/>
      <c r="C17" s="1469">
        <f>IF('02_3_SOURCES'!B18="Other", '02_3_SOURCES'!C18, '02_3_SOURCES'!B18)</f>
        <v>0</v>
      </c>
      <c r="D17" s="1467">
        <f>'02_3_SOURCES'!K18</f>
        <v>0</v>
      </c>
      <c r="E17" s="1467" t="e">
        <f>D17/'02_1_INCOME'!$F$38</f>
        <v>#DIV/0!</v>
      </c>
      <c r="F17" s="1470" t="e">
        <f>D17/SUM('01_1_General Data'!$G$66:$G$67)</f>
        <v>#DIV/0!</v>
      </c>
      <c r="G17" s="9"/>
      <c r="H17" s="1419"/>
      <c r="I17" s="1466" t="str">
        <f>IF(AA2=0,"Operating Reserve","Rehabiliation")</f>
        <v>Operating Reserve</v>
      </c>
      <c r="J17" s="1467">
        <f>rng02_Uses_DevRehabCosts_Reserves_OperatingReserve</f>
        <v>0</v>
      </c>
      <c r="K17" s="1467" t="e">
        <f>J17/'02_1_INCOME'!$F$38</f>
        <v>#DIV/0!</v>
      </c>
      <c r="L17" s="1468" t="e">
        <f>J17/SUM('01_1_General Data'!$G$66:$G$67)</f>
        <v>#DIV/0!</v>
      </c>
    </row>
    <row r="18" spans="2:12" ht="15">
      <c r="B18" s="1476"/>
      <c r="C18" s="1469">
        <f>IF('02_3_SOURCES'!B19="Other", '02_3_SOURCES'!C19, '02_3_SOURCES'!B19)</f>
        <v>0</v>
      </c>
      <c r="D18" s="1467">
        <f>'02_3_SOURCES'!K19</f>
        <v>0</v>
      </c>
      <c r="E18" s="1467" t="e">
        <f>D18/'02_1_INCOME'!$F$38</f>
        <v>#DIV/0!</v>
      </c>
      <c r="F18" s="1470" t="e">
        <f>D18/SUM('01_1_General Data'!$G$66:$G$67)</f>
        <v>#DIV/0!</v>
      </c>
      <c r="G18" s="9"/>
      <c r="H18" s="1419"/>
      <c r="I18" s="1466" t="s">
        <v>1310</v>
      </c>
      <c r="J18" s="1467">
        <f>rng02_Uses_DevRehabCosts_Reserves_ReplacementReserve</f>
        <v>0</v>
      </c>
      <c r="K18" s="1467" t="e">
        <f>J18/'02_1_INCOME'!$F$38</f>
        <v>#DIV/0!</v>
      </c>
      <c r="L18" s="1468" t="e">
        <f>J18/SUM('01_1_General Data'!$G$66:$G$67)</f>
        <v>#DIV/0!</v>
      </c>
    </row>
    <row r="19" spans="2:12" ht="15">
      <c r="B19" s="1476"/>
      <c r="C19" s="1469">
        <f>IF('02_3_SOURCES'!B20="Other", '02_3_SOURCES'!C20, '02_3_SOURCES'!B20)</f>
        <v>0</v>
      </c>
      <c r="D19" s="1467">
        <f>'02_3_SOURCES'!K20</f>
        <v>0</v>
      </c>
      <c r="E19" s="1467" t="e">
        <f>D19/'02_1_INCOME'!$F$38</f>
        <v>#DIV/0!</v>
      </c>
      <c r="F19" s="1470" t="e">
        <f>D19/SUM('01_1_General Data'!$G$66:$G$67)</f>
        <v>#DIV/0!</v>
      </c>
      <c r="G19" s="9"/>
      <c r="H19" s="1419"/>
      <c r="I19" s="1466" t="s">
        <v>1830</v>
      </c>
      <c r="J19" s="1467">
        <f>rng02_Uses_DevRehabCosts_Reserves_1YrPropTaxEscrow+rng02_Uses_DevRehabCosts_Reserves_1YrInsEscrow</f>
        <v>0</v>
      </c>
      <c r="K19" s="1467" t="e">
        <f>J19/'02_1_INCOME'!$F$38</f>
        <v>#DIV/0!</v>
      </c>
      <c r="L19" s="1468" t="e">
        <f>J19/SUM('01_1_General Data'!$G$66:$G$67)</f>
        <v>#DIV/0!</v>
      </c>
    </row>
    <row r="20" spans="2:12" ht="15">
      <c r="B20" s="1476"/>
      <c r="C20" s="1469">
        <f>IF('02_3_SOURCES'!B21="Other", '02_3_SOURCES'!C21, '02_3_SOURCES'!B21)</f>
        <v>0</v>
      </c>
      <c r="D20" s="1467">
        <f>'02_3_SOURCES'!K21</f>
        <v>0</v>
      </c>
      <c r="E20" s="1467" t="e">
        <f>D20/'02_1_INCOME'!$F$38</f>
        <v>#DIV/0!</v>
      </c>
      <c r="F20" s="1470" t="e">
        <f>D20/SUM('01_1_General Data'!$G$66:$G$67)</f>
        <v>#DIV/0!</v>
      </c>
      <c r="G20" s="9"/>
      <c r="H20" s="1419"/>
      <c r="I20" s="1466" t="s">
        <v>1311</v>
      </c>
      <c r="J20" s="1467">
        <f>rng02_Uses_DevRehabCosts_Reserves_LeaseUpReserve</f>
        <v>0</v>
      </c>
      <c r="K20" s="1467" t="e">
        <f>J20/'02_1_INCOME'!$F$38</f>
        <v>#DIV/0!</v>
      </c>
      <c r="L20" s="1468" t="e">
        <f>J20/SUM('01_1_General Data'!$G$66:$G$67)</f>
        <v>#DIV/0!</v>
      </c>
    </row>
    <row r="21" spans="2:12" ht="15.75" thickBot="1">
      <c r="B21" s="1476"/>
      <c r="C21" s="1469">
        <f>IF('02_3_SOURCES'!B22="Other", '02_3_SOURCES'!C22, '02_3_SOURCES'!B22)</f>
        <v>0</v>
      </c>
      <c r="D21" s="1467">
        <f>'02_3_SOURCES'!K22</f>
        <v>0</v>
      </c>
      <c r="E21" s="1467" t="e">
        <f>D21/'02_1_INCOME'!$F$38</f>
        <v>#DIV/0!</v>
      </c>
      <c r="F21" s="1470" t="e">
        <f>D21/SUM('01_1_General Data'!$G$66:$G$67)</f>
        <v>#DIV/0!</v>
      </c>
      <c r="G21" s="9"/>
      <c r="H21" s="1419"/>
      <c r="I21" s="1477" t="s">
        <v>96</v>
      </c>
      <c r="J21" s="1472">
        <f>rng02_Uses_DevRehabCosts_Reserves_Other1</f>
        <v>0</v>
      </c>
      <c r="K21" s="1472" t="e">
        <f>J21/'02_1_INCOME'!$F$38</f>
        <v>#DIV/0!</v>
      </c>
      <c r="L21" s="1478" t="e">
        <f>J21/SUM('01_1_General Data'!$G$66:$G$67)</f>
        <v>#DIV/0!</v>
      </c>
    </row>
    <row r="22" spans="2:12" ht="16.5" thickTop="1" thickBot="1">
      <c r="B22" s="1422" t="str">
        <f>IF(AA2=0,"Total Loans","Total Loans &amp; GAP Funds")</f>
        <v>Total Loans</v>
      </c>
      <c r="C22" s="1473"/>
      <c r="D22" s="1474">
        <f>SUM(D8:D21)</f>
        <v>0</v>
      </c>
      <c r="E22" s="1474" t="e">
        <f>SUM(E8:E21)</f>
        <v>#DIV/0!</v>
      </c>
      <c r="F22" s="1475" t="e">
        <f>SUM(F8:F21)</f>
        <v>#DIV/0!</v>
      </c>
      <c r="G22" s="9"/>
      <c r="H22" s="1826" t="str">
        <f>IF(AA2=0,"TDC Including Reserves","")</f>
        <v>TDC Including Reserves</v>
      </c>
      <c r="I22" s="1827"/>
      <c r="J22" s="1828">
        <f>SUM(J16:J21)</f>
        <v>0</v>
      </c>
      <c r="K22" s="1828" t="e">
        <f>J22/'02_1_INCOME'!$F$38</f>
        <v>#DIV/0!</v>
      </c>
      <c r="L22" s="1829" t="e">
        <f>J22/SUM('01_1_General Data'!$G$66:$G$67)</f>
        <v>#DIV/0!</v>
      </c>
    </row>
    <row r="23" spans="2:12" ht="15.75" thickBot="1">
      <c r="B23" s="1452" t="s">
        <v>1829</v>
      </c>
      <c r="C23" s="1453"/>
      <c r="D23" s="1454"/>
      <c r="E23" s="1455"/>
      <c r="F23" s="1456"/>
      <c r="G23" s="9"/>
      <c r="H23" s="1836"/>
      <c r="I23" s="1830"/>
      <c r="J23" s="1831"/>
      <c r="K23" s="1831"/>
      <c r="L23" s="1832"/>
    </row>
    <row r="24" spans="2:12" ht="15">
      <c r="B24" s="1460"/>
      <c r="C24" s="1457" t="str">
        <f>'02_3_SOURCES'!B27</f>
        <v>LIHTC Proceeds</v>
      </c>
      <c r="D24" s="1458">
        <f>'02_3_SOURCES'!F27</f>
        <v>0</v>
      </c>
      <c r="E24" s="1458" t="e">
        <f>D24/'02_1_INCOME'!$F$38</f>
        <v>#DIV/0!</v>
      </c>
      <c r="F24" s="1459" t="e">
        <f>D24/SUM('01_1_General Data'!$G$66:$G$67)</f>
        <v>#DIV/0!</v>
      </c>
      <c r="G24" s="9"/>
      <c r="H24" s="1837"/>
      <c r="I24" s="1833"/>
      <c r="J24" s="1834"/>
      <c r="K24" s="1834"/>
      <c r="L24" s="1835"/>
    </row>
    <row r="25" spans="2:12" ht="15">
      <c r="B25" s="1420"/>
      <c r="C25" s="1466" t="str">
        <f>'02_3_SOURCES'!B28</f>
        <v>Fed. Historic Tax Credit Proceeds</v>
      </c>
      <c r="D25" s="1463">
        <f>'02_3_SOURCES'!F28</f>
        <v>0</v>
      </c>
      <c r="E25" s="1463" t="e">
        <f>D25/'02_1_INCOME'!$F$38</f>
        <v>#DIV/0!</v>
      </c>
      <c r="F25" s="1464" t="e">
        <f>D25/SUM('01_1_General Data'!$G$66:$G$67)</f>
        <v>#DIV/0!</v>
      </c>
      <c r="G25" s="9"/>
      <c r="H25" s="1837"/>
      <c r="I25" s="1833"/>
      <c r="J25" s="1834"/>
      <c r="K25" s="1834"/>
      <c r="L25" s="1835"/>
    </row>
    <row r="26" spans="2:12" ht="15">
      <c r="B26" s="1420"/>
      <c r="C26" s="1466" t="str">
        <f>'02_3_SOURCES'!B29</f>
        <v>General Partner Capital</v>
      </c>
      <c r="D26" s="1463">
        <f>'02_3_SOURCES'!F29</f>
        <v>0</v>
      </c>
      <c r="E26" s="1463" t="e">
        <f>D26/'02_1_INCOME'!$F$38</f>
        <v>#DIV/0!</v>
      </c>
      <c r="F26" s="1464" t="e">
        <f>D26/SUM('01_1_General Data'!$G$66:$G$67)</f>
        <v>#DIV/0!</v>
      </c>
      <c r="G26" s="9"/>
      <c r="H26" s="1837"/>
      <c r="I26" s="1833"/>
      <c r="J26" s="1834"/>
      <c r="K26" s="1834"/>
      <c r="L26" s="1835"/>
    </row>
    <row r="27" spans="2:12" ht="15">
      <c r="B27" s="1420"/>
      <c r="C27" s="1466" t="str">
        <f>'02_3_SOURCES'!B30</f>
        <v>State Historic TC Proceeds</v>
      </c>
      <c r="D27" s="1463">
        <f>'02_3_SOURCES'!F30</f>
        <v>0</v>
      </c>
      <c r="E27" s="1463" t="e">
        <f>D27/'02_1_INCOME'!$F$38</f>
        <v>#DIV/0!</v>
      </c>
      <c r="F27" s="1464" t="e">
        <f>D27/SUM('01_1_General Data'!$G$66:$G$67)</f>
        <v>#DIV/0!</v>
      </c>
      <c r="G27" s="9"/>
      <c r="H27" s="1838"/>
      <c r="I27" s="1833"/>
      <c r="J27" s="1834"/>
      <c r="K27" s="1834"/>
      <c r="L27" s="1835"/>
    </row>
    <row r="28" spans="2:12" ht="15">
      <c r="B28" s="1476"/>
      <c r="C28" s="2008" t="str">
        <f>'02_3_SOURCES'!B31</f>
        <v>State LIHTC</v>
      </c>
      <c r="D28" s="1463">
        <f>'02_3_SOURCES'!F31</f>
        <v>0</v>
      </c>
      <c r="E28" s="1463" t="e">
        <f>D28/'02_1_INCOME'!$F$38</f>
        <v>#DIV/0!</v>
      </c>
      <c r="F28" s="1464" t="e">
        <f>D28/SUM('01_1_General Data'!$G$66:$G$67)</f>
        <v>#DIV/0!</v>
      </c>
      <c r="G28" s="9"/>
      <c r="H28" s="1838"/>
      <c r="I28" s="1833"/>
      <c r="J28" s="1834"/>
      <c r="K28" s="1834"/>
      <c r="L28" s="1835"/>
    </row>
    <row r="29" spans="2:12" ht="15.75" thickBot="1">
      <c r="B29" s="1471"/>
      <c r="C29" s="1477" t="str">
        <f>'02_3_SOURCES'!B32</f>
        <v>Other Equity</v>
      </c>
      <c r="D29" s="1463">
        <f>'02_3_SOURCES'!F32</f>
        <v>0</v>
      </c>
      <c r="E29" s="1463" t="e">
        <f>D29/'02_1_INCOME'!$F$38</f>
        <v>#DIV/0!</v>
      </c>
      <c r="F29" s="1478" t="e">
        <f>D29/SUM('01_1_General Data'!$G$66:$G$67)</f>
        <v>#DIV/0!</v>
      </c>
      <c r="G29" s="9"/>
      <c r="H29" s="1837"/>
      <c r="I29" s="1833"/>
      <c r="J29" s="1834"/>
      <c r="K29" s="1834"/>
      <c r="L29" s="1835"/>
    </row>
    <row r="30" spans="2:12" ht="16.5" thickTop="1" thickBot="1">
      <c r="B30" s="1422" t="s">
        <v>1831</v>
      </c>
      <c r="C30" s="1473"/>
      <c r="D30" s="1479">
        <f>SUM(D24:D29)</f>
        <v>0</v>
      </c>
      <c r="E30" s="1479" t="e">
        <f>SUM(E24:E29)</f>
        <v>#DIV/0!</v>
      </c>
      <c r="F30" s="1475" t="e">
        <f>SUM(F24:F29)</f>
        <v>#DIV/0!</v>
      </c>
      <c r="G30" s="9"/>
      <c r="H30" s="1837"/>
      <c r="I30" s="1833"/>
      <c r="J30" s="1834"/>
      <c r="K30" s="1834"/>
      <c r="L30" s="1835"/>
    </row>
    <row r="31" spans="2:12" ht="15.75" thickBot="1">
      <c r="B31" s="1452" t="s">
        <v>1832</v>
      </c>
      <c r="C31" s="1453"/>
      <c r="D31" s="1454"/>
      <c r="E31" s="1455"/>
      <c r="F31" s="1456"/>
      <c r="G31" s="9"/>
      <c r="H31" s="1837"/>
      <c r="I31" s="1833"/>
      <c r="J31" s="1834"/>
      <c r="K31" s="1834"/>
      <c r="L31" s="1835"/>
    </row>
    <row r="32" spans="2:12" ht="15.75" thickBot="1">
      <c r="B32" s="1460"/>
      <c r="C32" s="1457" t="str">
        <f>IF('02_3_SOURCES'!F37=0,"None",'02_3_SOURCES'!B37)</f>
        <v>None</v>
      </c>
      <c r="D32" s="1458">
        <f>'02_3_SOURCES'!F37</f>
        <v>0</v>
      </c>
      <c r="E32" s="1458" t="e">
        <f>D32/'02_1_INCOME'!$F$38</f>
        <v>#DIV/0!</v>
      </c>
      <c r="F32" s="1459" t="e">
        <f>D32/SUM('01_1_General Data'!$G$66:$G$67)</f>
        <v>#DIV/0!</v>
      </c>
      <c r="G32" s="9"/>
      <c r="H32" s="1490" t="s">
        <v>1236</v>
      </c>
      <c r="I32" s="1486"/>
      <c r="J32" s="1487">
        <f>J22</f>
        <v>0</v>
      </c>
      <c r="K32" s="1839" t="e">
        <f>J32/'02_1_INCOME'!$F$38</f>
        <v>#DIV/0!</v>
      </c>
      <c r="L32" s="1488" t="e">
        <f>J32/SUM('01_1_General Data'!$G$66:$G$67)</f>
        <v>#DIV/0!</v>
      </c>
    </row>
    <row r="33" spans="2:12" ht="15">
      <c r="B33" s="1420"/>
      <c r="C33" s="1466" t="str">
        <f>IF('02_3_SOURCES'!F38=0,"None",'02_3_SOURCES'!B38)</f>
        <v>None</v>
      </c>
      <c r="D33" s="1463">
        <f>'02_3_SOURCES'!F38</f>
        <v>0</v>
      </c>
      <c r="E33" s="1463" t="e">
        <f>D33/'02_1_INCOME'!$F$38</f>
        <v>#DIV/0!</v>
      </c>
      <c r="F33" s="1464" t="e">
        <f>D33/SUM('01_1_General Data'!$G$66:$G$67)</f>
        <v>#DIV/0!</v>
      </c>
      <c r="G33" s="9"/>
      <c r="H33" s="1383"/>
      <c r="I33" s="9"/>
      <c r="J33" s="9"/>
      <c r="K33" s="9"/>
      <c r="L33" s="1480"/>
    </row>
    <row r="34" spans="2:12" ht="15">
      <c r="B34" s="1420"/>
      <c r="C34" s="1466" t="str">
        <f>IF('02_3_SOURCES'!F39=0,"None",'02_3_SOURCES'!B39)</f>
        <v>None</v>
      </c>
      <c r="D34" s="1463">
        <f>'02_3_SOURCES'!F39</f>
        <v>0</v>
      </c>
      <c r="E34" s="1463" t="e">
        <f>D34/'02_1_INCOME'!$F$38</f>
        <v>#DIV/0!</v>
      </c>
      <c r="F34" s="1464" t="e">
        <f>D34/SUM('01_1_General Data'!$G$66:$G$67)</f>
        <v>#DIV/0!</v>
      </c>
      <c r="G34" s="9"/>
      <c r="H34" s="1383"/>
      <c r="I34" s="9" t="s">
        <v>1833</v>
      </c>
      <c r="J34" s="1467">
        <f>'02_4_USES'!F28</f>
        <v>0</v>
      </c>
      <c r="K34" s="1467" t="e">
        <f>IF(J34="N/A","N/A",J34/'02_1_INCOME'!$F$38)</f>
        <v>#DIV/0!</v>
      </c>
      <c r="L34" s="1468" t="e">
        <f>IF(J34="N/A","N/A",J34/SUM('01_1_General Data'!$G$66:$G$67))</f>
        <v>#DIV/0!</v>
      </c>
    </row>
    <row r="35" spans="2:12" ht="15">
      <c r="B35" s="1420"/>
      <c r="C35" s="1466" t="str">
        <f>IF('02_3_SOURCES'!F40=0,"None",'02_3_SOURCES'!B40)</f>
        <v>None</v>
      </c>
      <c r="D35" s="1463">
        <f>'02_3_SOURCES'!F40</f>
        <v>0</v>
      </c>
      <c r="E35" s="1463" t="e">
        <f>D35/'02_1_INCOME'!$F$38</f>
        <v>#DIV/0!</v>
      </c>
      <c r="F35" s="1464" t="e">
        <f>D35/SUM('01_1_General Data'!$G$66:$G$67)</f>
        <v>#DIV/0!</v>
      </c>
      <c r="G35" s="9"/>
      <c r="H35" s="1383"/>
      <c r="I35" s="9" t="s">
        <v>1834</v>
      </c>
      <c r="J35" s="1467">
        <f>'04_1_Pro Forma'!C27</f>
        <v>0</v>
      </c>
      <c r="K35" s="1467" t="e">
        <f>J35/'02_1_INCOME'!$F$38</f>
        <v>#DIV/0!</v>
      </c>
      <c r="L35" s="1468" t="e">
        <f>J35/SUM('01_1_General Data'!$G$66:$G$67)</f>
        <v>#DIV/0!</v>
      </c>
    </row>
    <row r="36" spans="2:12" ht="15.75" thickBot="1">
      <c r="B36" s="1471"/>
      <c r="C36" s="1477" t="str">
        <f>IF('02_3_SOURCES'!F41=0,"None",'02_3_SOURCES'!B41)</f>
        <v>None</v>
      </c>
      <c r="D36" s="1463">
        <f>'02_3_SOURCES'!F41</f>
        <v>0</v>
      </c>
      <c r="E36" s="1463" t="e">
        <f>D36/'02_1_INCOME'!$F$38</f>
        <v>#DIV/0!</v>
      </c>
      <c r="F36" s="1478" t="e">
        <f>D36/SUM('01_1_General Data'!$G$66:$G$67)</f>
        <v>#DIV/0!</v>
      </c>
      <c r="G36" s="9"/>
      <c r="H36" s="1383"/>
      <c r="I36" s="9"/>
      <c r="J36" s="9"/>
      <c r="K36" s="9"/>
      <c r="L36" s="1480"/>
    </row>
    <row r="37" spans="2:12" ht="16.5" thickTop="1" thickBot="1">
      <c r="B37" s="1422" t="s">
        <v>1835</v>
      </c>
      <c r="C37" s="1473"/>
      <c r="D37" s="1479">
        <f>SUM(D32:D36)</f>
        <v>0</v>
      </c>
      <c r="E37" s="1479" t="e">
        <f>SUM(E32:E36)</f>
        <v>#DIV/0!</v>
      </c>
      <c r="F37" s="1475" t="e">
        <f>SUM(F32:F36)</f>
        <v>#DIV/0!</v>
      </c>
      <c r="G37" s="9"/>
      <c r="H37" s="1383"/>
      <c r="I37" s="9"/>
      <c r="J37" s="9"/>
      <c r="K37" s="9"/>
      <c r="L37" s="1480"/>
    </row>
    <row r="38" spans="2:12" ht="15.75" thickBot="1">
      <c r="B38" s="1383"/>
      <c r="C38" s="9"/>
      <c r="D38" s="9"/>
      <c r="E38" s="9"/>
      <c r="F38" s="1480"/>
      <c r="G38" s="1481"/>
      <c r="H38" s="1383"/>
      <c r="I38" s="1482"/>
      <c r="J38" s="1483" t="s">
        <v>1002</v>
      </c>
      <c r="K38" s="1484" t="s">
        <v>1825</v>
      </c>
      <c r="L38" s="1485" t="s">
        <v>1836</v>
      </c>
    </row>
    <row r="39" spans="2:12" ht="14.25" customHeight="1" thickBot="1">
      <c r="B39" s="1489" t="s">
        <v>1235</v>
      </c>
      <c r="C39" s="1486"/>
      <c r="D39" s="1487">
        <f>D22+D30+D37</f>
        <v>0</v>
      </c>
      <c r="E39" s="1487" t="e">
        <f>D39/'02_1_INCOME'!$F$38</f>
        <v>#DIV/0!</v>
      </c>
      <c r="F39" s="1488" t="e">
        <f>D39/SUM('01_1_General Data'!$G$66:$G$67)</f>
        <v>#DIV/0!</v>
      </c>
      <c r="G39" s="9"/>
      <c r="H39" s="1490" t="str">
        <f>IF(J39&lt;0,"PROJECT GAP","PROJECT SURPLUS")</f>
        <v>PROJECT SURPLUS</v>
      </c>
      <c r="I39" s="1486"/>
      <c r="J39" s="1491">
        <f>D39-J32</f>
        <v>0</v>
      </c>
      <c r="K39" s="1491" t="e">
        <f>J39/'02_1_INCOME'!$F$38</f>
        <v>#DIV/0!</v>
      </c>
      <c r="L39" s="1492" t="e">
        <f>J39/SUM('01_1_General Data'!$G$66:$G$67)</f>
        <v>#DIV/0!</v>
      </c>
    </row>
    <row r="40" spans="2:12" ht="14.25" customHeight="1">
      <c r="G40" s="9"/>
    </row>
    <row r="41" spans="2:12" ht="40.5" customHeight="1" thickBot="1"/>
    <row r="42" spans="2:12" ht="16.5" thickBot="1">
      <c r="B42" s="543" t="s">
        <v>1837</v>
      </c>
      <c r="C42" s="544"/>
      <c r="D42" s="544"/>
      <c r="E42" s="544"/>
      <c r="F42" s="544"/>
      <c r="G42" s="544"/>
      <c r="H42" s="544"/>
      <c r="I42" s="544"/>
      <c r="J42" s="544"/>
      <c r="K42" s="544"/>
      <c r="L42" s="545"/>
    </row>
    <row r="43" spans="2:12" ht="13.5" thickBot="1">
      <c r="B43" s="537"/>
      <c r="C43" s="536"/>
      <c r="D43" s="536"/>
      <c r="E43" s="536"/>
      <c r="K43" s="536"/>
      <c r="L43" s="119"/>
    </row>
    <row r="44" spans="2:12" ht="15">
      <c r="B44" s="1418" t="s">
        <v>1219</v>
      </c>
      <c r="C44" s="1423"/>
      <c r="D44" s="1423"/>
      <c r="E44" s="1423"/>
      <c r="F44" s="1424">
        <f>'01_1_General Data'!$K$14</f>
        <v>0</v>
      </c>
      <c r="G44" s="9"/>
      <c r="H44" s="10"/>
      <c r="I44" s="1418" t="s">
        <v>1838</v>
      </c>
      <c r="J44" s="1423"/>
      <c r="K44" s="1423"/>
      <c r="L44" s="1425">
        <f>'01_1_General Data'!K11</f>
        <v>0</v>
      </c>
    </row>
    <row r="45" spans="2:12" ht="15">
      <c r="B45" s="1419" t="s">
        <v>1839</v>
      </c>
      <c r="C45" s="154"/>
      <c r="D45" s="2336" t="str">
        <f>'02_3_SOURCES'!C27</f>
        <v>$000 per year at $0.000 per Credit</v>
      </c>
      <c r="E45" s="2336"/>
      <c r="F45" s="2337"/>
      <c r="G45" s="9"/>
      <c r="H45" s="10"/>
      <c r="I45" s="1419" t="s">
        <v>1840</v>
      </c>
      <c r="J45" s="154"/>
      <c r="K45" s="154"/>
      <c r="L45" s="1426">
        <f>'01_1_General Data'!K12</f>
        <v>0</v>
      </c>
    </row>
    <row r="46" spans="2:12" ht="15">
      <c r="B46" s="1420"/>
      <c r="C46" s="154"/>
      <c r="D46" s="154"/>
      <c r="E46" s="154"/>
      <c r="F46" s="1427"/>
      <c r="G46" s="9"/>
      <c r="H46" s="10"/>
      <c r="I46" s="1419" t="s">
        <v>1841</v>
      </c>
      <c r="J46" s="154"/>
      <c r="K46" s="154"/>
      <c r="L46" s="1426">
        <f>'01_1_General Data'!C35</f>
        <v>0</v>
      </c>
    </row>
    <row r="47" spans="2:12" ht="15">
      <c r="B47" s="1421" t="s">
        <v>1842</v>
      </c>
      <c r="C47" s="153"/>
      <c r="D47" s="153"/>
      <c r="E47" s="153"/>
      <c r="F47" s="1428">
        <f>rng01_FirstYearProforma</f>
        <v>1901</v>
      </c>
      <c r="G47" s="9"/>
      <c r="H47" s="10"/>
      <c r="I47" s="1419" t="s">
        <v>1843</v>
      </c>
      <c r="J47" s="154"/>
      <c r="K47" s="154"/>
      <c r="L47" s="1429" t="str">
        <f>IF($L$44="Yes",'01_1_General Data'!K13,"Not RIH")</f>
        <v>Not RIH</v>
      </c>
    </row>
    <row r="48" spans="2:12" ht="15.75" thickBot="1">
      <c r="B48" s="1422" t="s">
        <v>1844</v>
      </c>
      <c r="C48" s="158"/>
      <c r="D48" s="158"/>
      <c r="E48" s="9"/>
      <c r="F48" s="1430">
        <f>SUM(E57:F57)</f>
        <v>0</v>
      </c>
      <c r="G48" s="9"/>
      <c r="H48" s="9"/>
      <c r="I48" s="1431" t="s">
        <v>1845</v>
      </c>
      <c r="J48" s="155"/>
      <c r="K48" s="1432"/>
      <c r="L48" s="1433" t="str">
        <f>IF($L$44="Yes",'01_1_General Data'!K15,"Not RIH")</f>
        <v>Not RIH</v>
      </c>
    </row>
    <row r="49" spans="2:12" ht="15.75" thickBot="1">
      <c r="B49" s="1434" t="s">
        <v>1846</v>
      </c>
      <c r="C49" s="705"/>
      <c r="D49" s="705"/>
      <c r="E49" s="1435" t="s">
        <v>170</v>
      </c>
      <c r="F49" s="1436" t="s">
        <v>1847</v>
      </c>
      <c r="G49" s="9"/>
      <c r="H49" s="9"/>
      <c r="I49" s="1418" t="str">
        <f>IF(AND('02_3_SOURCES'!G10="Cash Flow",'03_3_Amortizations'!M13&gt;0),"Second Mortgage is a Cash Flow Mortgage",IF(AND('02_3_SOURCES'!G10="Debt Service",'03_3_Amortizations'!M13&gt;0),"Second Mortgage is Standard Amortizing","Second Mortgage Not Applicable"))</f>
        <v>Second Mortgage Not Applicable</v>
      </c>
      <c r="J49" s="1423"/>
      <c r="K49" s="1423"/>
      <c r="L49" s="1437"/>
    </row>
    <row r="50" spans="2:12" ht="15">
      <c r="B50" s="1421"/>
      <c r="C50" s="153" t="s">
        <v>141</v>
      </c>
      <c r="D50" s="153"/>
      <c r="E50" s="1438">
        <f>rng02_Summary_Res_Config_NoMktUnitSRO</f>
        <v>0</v>
      </c>
      <c r="F50" s="1428">
        <f>rng02_Summary_Res_Config_NoUnitSRO</f>
        <v>0</v>
      </c>
      <c r="G50" s="9"/>
      <c r="H50" s="9"/>
      <c r="I50" s="1419" t="str">
        <f>"Financing Status is "&amp;'01_1_General Data'!K16</f>
        <v xml:space="preserve">Financing Status is </v>
      </c>
      <c r="J50" s="154"/>
      <c r="K50" s="154"/>
      <c r="L50" s="1439"/>
    </row>
    <row r="51" spans="2:12" ht="15.75" thickBot="1">
      <c r="B51" s="1421"/>
      <c r="C51" s="153" t="s">
        <v>168</v>
      </c>
      <c r="D51" s="153"/>
      <c r="E51" s="1438">
        <f>rng02_Summary_Res_Config_NoMktUnitEFF</f>
        <v>0</v>
      </c>
      <c r="F51" s="1428">
        <f>rng02_Summary_Res_Config_NoUnitsEfficiency</f>
        <v>0</v>
      </c>
      <c r="G51" s="9"/>
      <c r="H51" s="9"/>
      <c r="I51" s="1422" t="s">
        <v>1849</v>
      </c>
      <c r="J51" s="158"/>
      <c r="K51" s="158"/>
      <c r="L51" s="1442" t="e">
        <f>'06_2_Credit Committee'!D29</f>
        <v>#DIV/0!</v>
      </c>
    </row>
    <row r="52" spans="2:12" ht="15">
      <c r="B52" s="1419"/>
      <c r="C52" s="154" t="s">
        <v>1848</v>
      </c>
      <c r="D52" s="154"/>
      <c r="E52" s="1440">
        <f>'02_1_INCOME'!D106</f>
        <v>0</v>
      </c>
      <c r="F52" s="1441">
        <f>'02_1_INCOME'!C106</f>
        <v>0</v>
      </c>
      <c r="G52" s="9"/>
      <c r="H52" s="9"/>
      <c r="I52" s="1418" t="s">
        <v>1851</v>
      </c>
      <c r="J52" s="1423"/>
      <c r="K52" s="1423"/>
      <c r="L52" s="1437"/>
    </row>
    <row r="53" spans="2:12" ht="15">
      <c r="B53" s="1419"/>
      <c r="C53" s="154" t="s">
        <v>1850</v>
      </c>
      <c r="D53" s="154"/>
      <c r="E53" s="1440">
        <f>'02_1_INCOME'!D107</f>
        <v>0</v>
      </c>
      <c r="F53" s="1441">
        <f>'02_1_INCOME'!C107</f>
        <v>0</v>
      </c>
      <c r="G53" s="9"/>
      <c r="H53" s="9"/>
      <c r="I53" s="1420" t="s">
        <v>1853</v>
      </c>
      <c r="J53" s="154"/>
      <c r="K53" s="154"/>
      <c r="L53" s="1426">
        <f>'01_1_General Data'!D123</f>
        <v>0</v>
      </c>
    </row>
    <row r="54" spans="2:12" ht="15">
      <c r="B54" s="1419"/>
      <c r="C54" s="154" t="s">
        <v>1852</v>
      </c>
      <c r="D54" s="154"/>
      <c r="E54" s="1440">
        <f>'02_1_INCOME'!D108</f>
        <v>0</v>
      </c>
      <c r="F54" s="1441">
        <f>'02_1_INCOME'!C108</f>
        <v>0</v>
      </c>
      <c r="G54" s="9"/>
      <c r="H54" s="9"/>
      <c r="I54" s="1420" t="s">
        <v>1855</v>
      </c>
      <c r="J54" s="154"/>
      <c r="K54" s="154"/>
      <c r="L54" s="1426">
        <f>'01_1_General Data'!D124</f>
        <v>0</v>
      </c>
    </row>
    <row r="55" spans="2:12" ht="15">
      <c r="B55" s="1419"/>
      <c r="C55" s="154" t="s">
        <v>1854</v>
      </c>
      <c r="D55" s="154"/>
      <c r="E55" s="1440">
        <f>'02_1_INCOME'!D109</f>
        <v>0</v>
      </c>
      <c r="F55" s="1441">
        <f>'02_1_INCOME'!C109</f>
        <v>0</v>
      </c>
      <c r="G55" s="9"/>
      <c r="H55" s="9"/>
      <c r="I55" s="1420" t="s">
        <v>1857</v>
      </c>
      <c r="J55" s="154"/>
      <c r="K55" s="154"/>
      <c r="L55" s="1426">
        <f>'01_1_General Data'!D125</f>
        <v>0</v>
      </c>
    </row>
    <row r="56" spans="2:12" ht="15.75" thickBot="1">
      <c r="B56" s="1431"/>
      <c r="C56" s="1443" t="s">
        <v>1856</v>
      </c>
      <c r="D56" s="1443"/>
      <c r="E56" s="1444">
        <f>'02_1_INCOME'!D110</f>
        <v>0</v>
      </c>
      <c r="F56" s="1445">
        <f>'02_1_INCOME'!C110</f>
        <v>0</v>
      </c>
      <c r="G56" s="9"/>
      <c r="H56" s="9"/>
      <c r="I56" s="1450" t="s">
        <v>1859</v>
      </c>
      <c r="J56" s="1443"/>
      <c r="K56" s="1443"/>
      <c r="L56" s="1451">
        <f>'01_1_General Data'!D126</f>
        <v>0</v>
      </c>
    </row>
    <row r="57" spans="2:12" ht="15.75" thickBot="1">
      <c r="B57" s="1446" t="s">
        <v>1858</v>
      </c>
      <c r="C57" s="1447"/>
      <c r="D57" s="706"/>
      <c r="E57" s="1448">
        <f>SUM(E50:E56)</f>
        <v>0</v>
      </c>
      <c r="F57" s="1449">
        <f>SUM(F50:F56)</f>
        <v>0</v>
      </c>
      <c r="I57" s="9"/>
      <c r="J57" s="9"/>
      <c r="K57" s="9"/>
      <c r="L57" s="1860"/>
    </row>
    <row r="58" spans="2:12">
      <c r="B58" s="536"/>
    </row>
    <row r="66" spans="2:11">
      <c r="H66" s="159"/>
    </row>
    <row r="67" spans="2:11">
      <c r="H67" s="159"/>
      <c r="K67" s="999"/>
    </row>
    <row r="68" spans="2:11">
      <c r="H68" s="159"/>
      <c r="K68" s="999"/>
    </row>
    <row r="69" spans="2:11">
      <c r="H69" s="159"/>
      <c r="K69" s="999"/>
    </row>
    <row r="70" spans="2:11">
      <c r="H70" s="159"/>
      <c r="K70" s="999"/>
    </row>
    <row r="71" spans="2:11">
      <c r="H71" s="159"/>
      <c r="K71" s="999"/>
    </row>
    <row r="72" spans="2:11">
      <c r="B72" s="159"/>
      <c r="E72" s="998"/>
      <c r="H72" s="159"/>
      <c r="K72" s="999"/>
    </row>
    <row r="73" spans="2:11">
      <c r="B73" s="159"/>
      <c r="E73" s="998"/>
      <c r="H73" s="159"/>
      <c r="K73" s="999"/>
    </row>
    <row r="74" spans="2:11">
      <c r="B74" s="159"/>
      <c r="E74" s="998"/>
      <c r="H74" s="159"/>
      <c r="K74" s="999"/>
    </row>
    <row r="75" spans="2:11">
      <c r="B75" s="159"/>
      <c r="E75" s="998"/>
      <c r="H75" s="159"/>
      <c r="K75" s="999"/>
    </row>
    <row r="76" spans="2:11">
      <c r="B76" s="159"/>
      <c r="E76" s="998"/>
      <c r="H76" s="159"/>
      <c r="K76" s="999"/>
    </row>
    <row r="77" spans="2:11">
      <c r="B77" s="159"/>
      <c r="E77" s="998"/>
      <c r="H77" s="159"/>
      <c r="K77" s="999"/>
    </row>
    <row r="78" spans="2:11">
      <c r="B78" s="159"/>
      <c r="E78" s="998"/>
      <c r="H78" s="159"/>
      <c r="K78" s="999"/>
    </row>
    <row r="79" spans="2:11">
      <c r="B79" s="159"/>
      <c r="E79" s="998"/>
      <c r="H79" s="159"/>
      <c r="K79" s="999"/>
    </row>
    <row r="80" spans="2:11">
      <c r="B80" s="159"/>
      <c r="E80" s="998"/>
      <c r="H80" s="159"/>
      <c r="K80" s="999"/>
    </row>
    <row r="81" spans="2:11">
      <c r="B81" s="159"/>
      <c r="E81" s="998"/>
      <c r="H81" s="159"/>
      <c r="K81" s="999"/>
    </row>
    <row r="82" spans="2:11">
      <c r="B82" s="159"/>
      <c r="E82" s="998"/>
      <c r="H82" s="159"/>
      <c r="K82" s="999"/>
    </row>
    <row r="83" spans="2:11">
      <c r="B83" s="159"/>
      <c r="E83" s="998"/>
      <c r="K83" s="999"/>
    </row>
    <row r="85" spans="2:11">
      <c r="B85" s="159"/>
    </row>
    <row r="92" spans="2:11">
      <c r="C92" s="1228" t="s">
        <v>1860</v>
      </c>
      <c r="D92" s="1228"/>
    </row>
    <row r="93" spans="2:11">
      <c r="C93" s="1228" t="s">
        <v>1861</v>
      </c>
      <c r="D93" s="1229">
        <f>SUM(D8:D9)</f>
        <v>0</v>
      </c>
    </row>
    <row r="94" spans="2:11">
      <c r="C94" s="1228" t="s">
        <v>1862</v>
      </c>
      <c r="D94" s="1229">
        <f>SUM(D10:D21)</f>
        <v>0</v>
      </c>
    </row>
    <row r="95" spans="2:11">
      <c r="C95" s="1228" t="s">
        <v>1829</v>
      </c>
      <c r="D95" s="1229">
        <f>SUM(D24:D29)</f>
        <v>0</v>
      </c>
    </row>
    <row r="96" spans="2:11">
      <c r="C96" s="1228" t="s">
        <v>1863</v>
      </c>
      <c r="D96" s="1229">
        <f>SUM(D32:D36)</f>
        <v>0</v>
      </c>
    </row>
    <row r="98" spans="3:4">
      <c r="C98" s="1228" t="s">
        <v>1864</v>
      </c>
      <c r="D98" s="1228"/>
    </row>
    <row r="99" spans="3:4">
      <c r="C99" s="1228" t="s">
        <v>75</v>
      </c>
      <c r="D99" s="1229">
        <f>J7</f>
        <v>0</v>
      </c>
    </row>
    <row r="100" spans="3:4">
      <c r="C100" s="1228" t="s">
        <v>1865</v>
      </c>
      <c r="D100" s="1229">
        <f>J8</f>
        <v>0</v>
      </c>
    </row>
    <row r="101" spans="3:4">
      <c r="C101" s="1228" t="s">
        <v>79</v>
      </c>
      <c r="D101" s="1229">
        <f>J10</f>
        <v>0</v>
      </c>
    </row>
    <row r="102" spans="3:4">
      <c r="C102" s="1228" t="s">
        <v>81</v>
      </c>
      <c r="D102" s="1229">
        <f>J13+J22</f>
        <v>0</v>
      </c>
    </row>
    <row r="103" spans="3:4">
      <c r="C103" s="1228" t="s">
        <v>80</v>
      </c>
      <c r="D103" s="1229">
        <f>SUM(J24:J29)</f>
        <v>0</v>
      </c>
    </row>
    <row r="104" spans="3:4">
      <c r="C104" s="1228" t="s">
        <v>96</v>
      </c>
      <c r="D104" s="1229">
        <f>J9+J11</f>
        <v>0</v>
      </c>
    </row>
  </sheetData>
  <sheetProtection algorithmName="SHA-512" hashValue="R7+wyZ3nt+K7mjFk4sB9tfjbME/u/5DIADLKgY4JRFA6iUsEED5xs3KBbNCTfciDQlTxSRj05Lk/wdOfozdhyQ==" saltValue="a4PO9GZlyR4C2ANA12wBBg==" spinCount="100000" sheet="1" objects="1" scenarios="1" formatCells="0" formatColumns="0" formatRows="0"/>
  <mergeCells count="2">
    <mergeCell ref="J4:L4"/>
    <mergeCell ref="D45:F45"/>
  </mergeCells>
  <phoneticPr fontId="58" type="noConversion"/>
  <printOptions horizontalCentered="1" verticalCentered="1"/>
  <pageMargins left="0.25" right="0.25" top="0.75" bottom="0.75" header="0.3" footer="0.3"/>
  <pageSetup scale="55" orientation="portrait" r:id="rId1"/>
  <headerFooter alignWithMargins="0">
    <oddFooter>&amp;R&amp;"Garamond,Italic"&amp;11Project Summary &amp;D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wst06_2_CreditCommittee">
    <tabColor theme="1"/>
  </sheetPr>
  <dimension ref="A1:AW283"/>
  <sheetViews>
    <sheetView zoomScale="85" zoomScaleNormal="85" workbookViewId="0"/>
  </sheetViews>
  <sheetFormatPr defaultColWidth="9.5" defaultRowHeight="15" zeroHeight="1"/>
  <cols>
    <col min="1" max="1" width="2.5" style="9" customWidth="1"/>
    <col min="2" max="2" width="12" style="9" customWidth="1"/>
    <col min="3" max="3" width="41.5" style="9" customWidth="1"/>
    <col min="4" max="9" width="21" style="9" customWidth="1"/>
    <col min="10" max="10" width="23" style="9" customWidth="1"/>
    <col min="11" max="11" width="21" style="9" customWidth="1"/>
    <col min="12" max="12" width="23" style="9" customWidth="1"/>
    <col min="13" max="14" width="21" style="9" customWidth="1"/>
    <col min="15" max="18" width="9.5" style="9" customWidth="1"/>
    <col min="19" max="19" width="51.1640625" style="9" customWidth="1"/>
    <col min="20" max="20" width="22.6640625" style="9" customWidth="1"/>
    <col min="21" max="21" width="57.5" style="9" customWidth="1"/>
    <col min="22" max="22" width="9.5" style="9" customWidth="1"/>
    <col min="23" max="23" width="25.33203125" style="9" customWidth="1"/>
    <col min="24" max="24" width="34.6640625" style="9" customWidth="1"/>
    <col min="25" max="25" width="21.33203125" style="9" customWidth="1"/>
    <col min="26" max="26" width="16.1640625" style="9" customWidth="1"/>
    <col min="27" max="27" width="9.5" style="9" customWidth="1"/>
    <col min="28" max="28" width="32.83203125" style="9" customWidth="1"/>
    <col min="29" max="29" width="12.5" style="9" bestFit="1" customWidth="1"/>
    <col min="30" max="30" width="7.6640625" style="9" customWidth="1"/>
    <col min="31" max="31" width="41.83203125" style="9" bestFit="1" customWidth="1"/>
    <col min="32" max="32" width="10.33203125" style="9" bestFit="1" customWidth="1"/>
    <col min="33" max="48" width="9.5" style="9" customWidth="1"/>
    <col min="49" max="16384" width="9.5" style="9"/>
  </cols>
  <sheetData>
    <row r="1" spans="1:49" s="11" customFormat="1" ht="26.25">
      <c r="A1" s="61" t="s">
        <v>1866</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row>
    <row r="2" spans="1:49" s="26" customFormat="1" ht="21">
      <c r="A2" s="668" t="str">
        <f>IF(rng01_ProjectName="","[Project Name]", rng01_ProjectName)</f>
        <v>[Project Name]</v>
      </c>
      <c r="B2" s="664"/>
      <c r="C2" s="666"/>
      <c r="D2" s="666"/>
      <c r="E2" s="666"/>
      <c r="F2" s="666"/>
      <c r="G2" s="667"/>
      <c r="H2" s="681" t="s">
        <v>245</v>
      </c>
      <c r="I2" s="682">
        <f>tbl00ModelProgress[[#Totals],[Date of Progress /
Last Edit]]</f>
        <v>0</v>
      </c>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row>
    <row r="3" spans="1:49" ht="18.75">
      <c r="B3" s="134"/>
      <c r="C3" s="142"/>
    </row>
    <row r="4" spans="1:49"/>
    <row r="5" spans="1:49" ht="18.75">
      <c r="B5" s="617" t="s">
        <v>1867</v>
      </c>
      <c r="C5" s="618"/>
      <c r="D5" s="619"/>
      <c r="E5" s="619"/>
      <c r="F5" s="619"/>
      <c r="G5" s="619"/>
      <c r="H5" s="619"/>
      <c r="I5" s="619"/>
      <c r="J5" s="619"/>
      <c r="K5" s="619"/>
      <c r="S5" s="617" t="s">
        <v>1868</v>
      </c>
      <c r="T5" s="619"/>
      <c r="U5" s="619"/>
      <c r="W5" s="617" t="s">
        <v>1869</v>
      </c>
      <c r="X5" s="619"/>
      <c r="Y5" s="619"/>
      <c r="Z5" s="619"/>
      <c r="AB5" s="617" t="s">
        <v>1870</v>
      </c>
      <c r="AC5" s="619"/>
      <c r="AD5" s="619"/>
      <c r="AE5" s="619"/>
      <c r="AF5" s="619"/>
      <c r="AG5" s="619"/>
      <c r="AH5" s="619"/>
      <c r="AI5" s="619"/>
    </row>
    <row r="6" spans="1:49"/>
    <row r="7" spans="1:49" ht="15.75" thickBot="1"/>
    <row r="8" spans="1:49" ht="15.75">
      <c r="C8" s="11"/>
      <c r="D8" s="435" t="s">
        <v>1871</v>
      </c>
      <c r="E8" s="436" t="s">
        <v>1825</v>
      </c>
      <c r="F8" s="437" t="s">
        <v>1872</v>
      </c>
      <c r="G8" s="435" t="s">
        <v>1873</v>
      </c>
      <c r="H8" s="436" t="s">
        <v>1825</v>
      </c>
      <c r="I8" s="1312"/>
      <c r="J8" s="1312"/>
      <c r="K8" s="1312"/>
      <c r="S8" s="10" t="s">
        <v>1874</v>
      </c>
      <c r="W8" s="10" t="s">
        <v>1875</v>
      </c>
    </row>
    <row r="9" spans="1:49" ht="16.5" thickBot="1">
      <c r="C9" s="8" t="s">
        <v>1876</v>
      </c>
      <c r="D9" s="1557">
        <f>SUM('02_2_EXPENSE'!F12:F12)</f>
        <v>0</v>
      </c>
      <c r="E9" s="1861" t="e">
        <f>D9/'02_1_INCOME'!$F$38</f>
        <v>#DIV/0!</v>
      </c>
      <c r="F9" s="439">
        <f t="shared" ref="F9:F15" si="0">+G9-D9</f>
        <v>0</v>
      </c>
      <c r="G9" s="445">
        <f>'02_1_INCOME'!N38</f>
        <v>0</v>
      </c>
      <c r="H9" s="438" t="e">
        <f>G9/'02_1_INCOME'!$F$38</f>
        <v>#DIV/0!</v>
      </c>
      <c r="I9" s="1313"/>
      <c r="J9" s="1313"/>
      <c r="K9" s="1313"/>
      <c r="AA9" s="10"/>
    </row>
    <row r="10" spans="1:49" ht="18.75">
      <c r="C10" s="8" t="s">
        <v>1877</v>
      </c>
      <c r="D10" s="1557">
        <f>'02_2_EXPENSE'!F13</f>
        <v>0</v>
      </c>
      <c r="E10" s="1861" t="e">
        <f>D10/'02_1_INCOME'!$F$38</f>
        <v>#DIV/0!</v>
      </c>
      <c r="F10" s="439">
        <f t="shared" si="0"/>
        <v>0</v>
      </c>
      <c r="G10" s="445">
        <f>'02_1_INCOME'!H60</f>
        <v>0</v>
      </c>
      <c r="H10" s="438" t="e">
        <f>G10/'02_1_INCOME'!$F$38</f>
        <v>#DIV/0!</v>
      </c>
      <c r="I10" s="1313"/>
      <c r="J10" s="1313"/>
      <c r="K10" s="1313"/>
      <c r="S10" s="1588" t="s">
        <v>1878</v>
      </c>
      <c r="T10" s="1589" t="s">
        <v>1214</v>
      </c>
      <c r="U10" s="1590" t="s">
        <v>962</v>
      </c>
      <c r="W10" s="1612"/>
      <c r="X10" s="1613" t="s">
        <v>1879</v>
      </c>
      <c r="Y10" s="1613" t="s">
        <v>1880</v>
      </c>
      <c r="Z10" s="1614" t="s">
        <v>1881</v>
      </c>
      <c r="AB10" s="1609" t="s">
        <v>1882</v>
      </c>
      <c r="AC10" s="1610"/>
      <c r="AE10" s="1609" t="s">
        <v>1883</v>
      </c>
      <c r="AF10" s="1610"/>
    </row>
    <row r="11" spans="1:49" ht="15.75">
      <c r="C11" s="8" t="s">
        <v>1884</v>
      </c>
      <c r="D11" s="1557">
        <f>'02_2_EXPENSE'!F15</f>
        <v>0</v>
      </c>
      <c r="E11" s="1861" t="e">
        <f>D11/'02_1_INCOME'!$F$38</f>
        <v>#DIV/0!</v>
      </c>
      <c r="F11" s="439">
        <f t="shared" si="0"/>
        <v>0</v>
      </c>
      <c r="G11" s="445">
        <f>'03_4_NH-Assisted Living Data'!C18</f>
        <v>0</v>
      </c>
      <c r="H11" s="438" t="e">
        <f>G11/'02_1_INCOME'!$F$38</f>
        <v>#DIV/0!</v>
      </c>
      <c r="I11" s="1313"/>
      <c r="J11" s="1313"/>
      <c r="K11" s="1313"/>
      <c r="S11" s="1591" t="s">
        <v>1885</v>
      </c>
      <c r="T11" s="1595" t="e">
        <v>#DIV/0!</v>
      </c>
      <c r="U11" s="1592"/>
      <c r="W11" s="1615" t="s">
        <v>1886</v>
      </c>
      <c r="X11" s="1620">
        <f>rng01_Developer</f>
        <v>0</v>
      </c>
      <c r="Y11" s="1611" t="str">
        <f>'01_1_General Data'!D170&amp;", "&amp;'01_1_General Data'!D171</f>
        <v xml:space="preserve">, </v>
      </c>
      <c r="Z11" s="1616"/>
      <c r="AB11" s="1605" t="s">
        <v>1887</v>
      </c>
      <c r="AC11" s="1601">
        <f>'04_1_Pro Forma'!C27</f>
        <v>0</v>
      </c>
      <c r="AE11" s="1605" t="s">
        <v>888</v>
      </c>
      <c r="AF11" s="1603">
        <f>AC12</f>
        <v>0</v>
      </c>
    </row>
    <row r="12" spans="1:49" ht="15.75">
      <c r="C12" s="8" t="s">
        <v>1888</v>
      </c>
      <c r="D12" s="1557">
        <f>'02_2_EXPENSE'!F16</f>
        <v>0</v>
      </c>
      <c r="E12" s="1861" t="e">
        <f>D12/'02_1_INCOME'!$F$38</f>
        <v>#DIV/0!</v>
      </c>
      <c r="F12" s="439">
        <f t="shared" si="0"/>
        <v>0</v>
      </c>
      <c r="G12" s="445">
        <f>'02_1_INCOME'!H81</f>
        <v>0</v>
      </c>
      <c r="H12" s="438" t="e">
        <f>G12/'02_1_INCOME'!$F$38</f>
        <v>#DIV/0!</v>
      </c>
      <c r="I12" s="1313"/>
      <c r="J12" s="1313"/>
      <c r="K12" s="1313"/>
      <c r="S12" s="1591" t="s">
        <v>1889</v>
      </c>
      <c r="T12" s="1596">
        <f>'01_1_General Data'!D124</f>
        <v>0</v>
      </c>
      <c r="U12" s="1592"/>
      <c r="W12" s="1615" t="s">
        <v>622</v>
      </c>
      <c r="X12" s="1611">
        <f>'01_1_General Data'!K29</f>
        <v>0</v>
      </c>
      <c r="Y12" s="1611" t="str">
        <f>'01_1_General Data'!K31&amp;", "&amp;'01_1_General Data'!K32</f>
        <v xml:space="preserve">, </v>
      </c>
      <c r="Z12" s="1616"/>
      <c r="AB12" s="1605" t="s">
        <v>888</v>
      </c>
      <c r="AC12" s="1601">
        <f>'04_1_Pro Forma'!C33</f>
        <v>0</v>
      </c>
      <c r="AE12" s="1605" t="s">
        <v>1890</v>
      </c>
      <c r="AF12" s="1604">
        <f>'02_3_SOURCES'!H9</f>
        <v>0</v>
      </c>
    </row>
    <row r="13" spans="1:49" ht="15.75">
      <c r="C13" s="182" t="s">
        <v>1891</v>
      </c>
      <c r="D13" s="441">
        <f>SUM(D9:D12)</f>
        <v>0</v>
      </c>
      <c r="E13" s="1862" t="e">
        <f>D13/'02_1_INCOME'!$F$38</f>
        <v>#DIV/0!</v>
      </c>
      <c r="F13" s="447">
        <f t="shared" si="0"/>
        <v>0</v>
      </c>
      <c r="G13" s="440">
        <f>SUM(G9:G12)</f>
        <v>0</v>
      </c>
      <c r="H13" s="446" t="e">
        <f>G13/'02_1_INCOME'!$F$38</f>
        <v>#DIV/0!</v>
      </c>
      <c r="I13" s="1314"/>
      <c r="J13" s="1314"/>
      <c r="K13" s="1314"/>
      <c r="S13" s="1591" t="s">
        <v>1892</v>
      </c>
      <c r="T13" s="1597">
        <f>'04_1_Pro Forma'!C38</f>
        <v>0</v>
      </c>
      <c r="U13" s="1592"/>
      <c r="W13" s="1615" t="s">
        <v>653</v>
      </c>
      <c r="X13" s="1628">
        <f>'01_1_General Data'!D197</f>
        <v>0</v>
      </c>
      <c r="Y13" s="1611" t="str">
        <f>'01_1_General Data'!D200&amp;", "&amp;'01_1_General Data'!D201</f>
        <v xml:space="preserve">, </v>
      </c>
      <c r="Z13" s="1616"/>
      <c r="AB13" s="1605" t="s">
        <v>1002</v>
      </c>
      <c r="AC13" s="1601">
        <f>SUM(AC11:AC12)</f>
        <v>0</v>
      </c>
      <c r="AE13" s="1607" t="s">
        <v>1893</v>
      </c>
      <c r="AF13" s="1603">
        <f>AF11*AF12</f>
        <v>0</v>
      </c>
    </row>
    <row r="14" spans="1:49" ht="15.75">
      <c r="C14" s="8" t="s">
        <v>1086</v>
      </c>
      <c r="D14" s="1557">
        <f>'02_2_EXPENSE'!F14</f>
        <v>0</v>
      </c>
      <c r="E14" s="1861" t="e">
        <f>D14/'02_1_INCOME'!$F$38</f>
        <v>#DIV/0!</v>
      </c>
      <c r="F14" s="439">
        <f t="shared" si="0"/>
        <v>0</v>
      </c>
      <c r="G14" s="445">
        <f>SUM('04_1_Pro Forma'!C11:C14)</f>
        <v>0</v>
      </c>
      <c r="H14" s="438" t="e">
        <f>G14/'02_1_INCOME'!$F$38</f>
        <v>#DIV/0!</v>
      </c>
      <c r="I14" s="1313"/>
      <c r="J14" s="1313"/>
      <c r="K14" s="1313"/>
      <c r="S14" s="1591" t="s">
        <v>1894</v>
      </c>
      <c r="T14" s="1597">
        <f>'04_1_Pro Forma'!Q38</f>
        <v>0</v>
      </c>
      <c r="U14" s="1592"/>
      <c r="W14" s="1615" t="s">
        <v>608</v>
      </c>
      <c r="X14" s="1628">
        <f>'01_1_General Data'!I187</f>
        <v>0</v>
      </c>
      <c r="Y14" s="1611" t="str">
        <f>'01_1_General Data'!I190&amp;", "&amp;'01_1_General Data'!I191</f>
        <v xml:space="preserve">, </v>
      </c>
      <c r="Z14" s="1616"/>
      <c r="AB14" s="1606" t="s">
        <v>1895</v>
      </c>
      <c r="AC14" s="1601">
        <f>'02_1_INCOME'!N38</f>
        <v>0</v>
      </c>
      <c r="AE14" s="1605" t="s">
        <v>1896</v>
      </c>
      <c r="AF14" s="1646" t="e">
        <f>1-((AC14-(T15-AF13))/AC14)</f>
        <v>#DIV/0!</v>
      </c>
    </row>
    <row r="15" spans="1:49" ht="16.5" thickBot="1">
      <c r="C15" s="182" t="s">
        <v>1126</v>
      </c>
      <c r="D15" s="441">
        <f>+D13+D14</f>
        <v>0</v>
      </c>
      <c r="E15" s="1862" t="e">
        <f>D15/'02_1_INCOME'!$F$38</f>
        <v>#DIV/0!</v>
      </c>
      <c r="F15" s="447">
        <f t="shared" si="0"/>
        <v>0</v>
      </c>
      <c r="G15" s="441">
        <f>+G13+G14</f>
        <v>0</v>
      </c>
      <c r="H15" s="446" t="e">
        <f>G15/'02_1_INCOME'!$F$38</f>
        <v>#DIV/0!</v>
      </c>
      <c r="I15" s="1314"/>
      <c r="J15" s="1314"/>
      <c r="K15" s="1314"/>
      <c r="S15" s="1591" t="s">
        <v>1897</v>
      </c>
      <c r="T15" s="1595">
        <f>'04_1_Pro Forma'!C30</f>
        <v>0</v>
      </c>
      <c r="U15" s="1592"/>
      <c r="W15" s="1615" t="s">
        <v>1020</v>
      </c>
      <c r="X15" s="1628">
        <f>'01_1_General Data'!I167</f>
        <v>0</v>
      </c>
      <c r="Y15" s="1611" t="str">
        <f>'01_1_General Data'!I170&amp;", "&amp;'01_1_General Data'!I171</f>
        <v xml:space="preserve">, </v>
      </c>
      <c r="Z15" s="1616"/>
      <c r="AB15" s="1605" t="s">
        <v>1898</v>
      </c>
      <c r="AC15" s="1602" t="e">
        <f>1-(AC13/AC14)</f>
        <v>#DIV/0!</v>
      </c>
      <c r="AE15" s="1608" t="s">
        <v>1899</v>
      </c>
      <c r="AF15" s="1600" t="e">
        <f>rng02_TotalUnit*AF14</f>
        <v>#DIV/0!</v>
      </c>
    </row>
    <row r="16" spans="1:49" ht="16.5" thickBot="1">
      <c r="C16" s="8"/>
      <c r="D16" s="445"/>
      <c r="E16" s="1861"/>
      <c r="F16" s="439"/>
      <c r="G16" s="445"/>
      <c r="H16" s="438"/>
      <c r="I16" s="1313"/>
      <c r="J16" s="1313"/>
      <c r="K16" s="1313"/>
      <c r="S16" s="1591" t="s">
        <v>1900</v>
      </c>
      <c r="T16" s="1598">
        <f>rng01_RentalIncomeRate</f>
        <v>0</v>
      </c>
      <c r="U16" s="1592"/>
      <c r="W16" s="1615" t="s">
        <v>644</v>
      </c>
      <c r="X16" s="1628">
        <f>'01_1_General Data'!D187</f>
        <v>0</v>
      </c>
      <c r="Y16" s="1611" t="str">
        <f>'01_1_General Data'!D190&amp;", "&amp;'01_1_General Data'!D191</f>
        <v xml:space="preserve">, </v>
      </c>
      <c r="Z16" s="1616"/>
      <c r="AB16" s="1608" t="s">
        <v>1901</v>
      </c>
      <c r="AC16" s="1600" t="e">
        <f>rng02_TotalUnit*AC15</f>
        <v>#DIV/0!</v>
      </c>
    </row>
    <row r="17" spans="2:26" ht="15.75">
      <c r="C17" s="8" t="s">
        <v>1902</v>
      </c>
      <c r="D17" s="445">
        <f>'02_2_EXPENSE'!F39</f>
        <v>0</v>
      </c>
      <c r="E17" s="1861" t="e">
        <f>D17/'02_1_INCOME'!$F$38</f>
        <v>#DIV/0!</v>
      </c>
      <c r="F17" s="439">
        <f t="shared" ref="F17:F22" si="1">+G17-D17</f>
        <v>0</v>
      </c>
      <c r="G17" s="445">
        <f>'02_2_EXPENSE'!D39</f>
        <v>0</v>
      </c>
      <c r="H17" s="438" t="e">
        <f>G17/'02_1_INCOME'!$F$38</f>
        <v>#DIV/0!</v>
      </c>
      <c r="I17" s="1313"/>
      <c r="J17" s="1313"/>
      <c r="K17" s="1313"/>
      <c r="S17" s="1591" t="s">
        <v>1903</v>
      </c>
      <c r="T17" s="1598">
        <f>rng01_OpExRate</f>
        <v>0</v>
      </c>
      <c r="U17" s="1592"/>
      <c r="W17" s="1615" t="s">
        <v>1447</v>
      </c>
      <c r="X17" s="1628">
        <f>'01_1_General Data'!D207</f>
        <v>0</v>
      </c>
      <c r="Y17" s="1611" t="str">
        <f>'01_1_General Data'!D210&amp;", "&amp;'01_1_General Data'!D211</f>
        <v xml:space="preserve">, </v>
      </c>
      <c r="Z17" s="1616"/>
    </row>
    <row r="18" spans="2:26" ht="16.5" thickBot="1">
      <c r="C18" s="8" t="s">
        <v>1904</v>
      </c>
      <c r="D18" s="445">
        <f>'02_2_EXPENSE'!F47</f>
        <v>0</v>
      </c>
      <c r="E18" s="1861" t="e">
        <f>D18/'02_1_INCOME'!$F$38</f>
        <v>#DIV/0!</v>
      </c>
      <c r="F18" s="439">
        <f t="shared" si="1"/>
        <v>0</v>
      </c>
      <c r="G18" s="445">
        <f>'02_2_EXPENSE'!D47</f>
        <v>0</v>
      </c>
      <c r="H18" s="438" t="e">
        <f>G18/'02_1_INCOME'!$F$38</f>
        <v>#DIV/0!</v>
      </c>
      <c r="I18" s="1313"/>
      <c r="J18" s="1313"/>
      <c r="K18" s="1313"/>
      <c r="S18" s="1591" t="s">
        <v>1849</v>
      </c>
      <c r="T18" s="1596" t="e">
        <f>D29</f>
        <v>#DIV/0!</v>
      </c>
      <c r="U18" s="1592"/>
      <c r="W18" s="1617" t="s">
        <v>635</v>
      </c>
      <c r="X18" s="1629">
        <f>'01_1_General Data'!I197</f>
        <v>0</v>
      </c>
      <c r="Y18" s="1618" t="str">
        <f>'01_1_General Data'!I200&amp;", "&amp;'01_1_General Data'!I201</f>
        <v xml:space="preserve">, </v>
      </c>
      <c r="Z18" s="1619"/>
    </row>
    <row r="19" spans="2:26" ht="15.75">
      <c r="C19" s="8" t="s">
        <v>1905</v>
      </c>
      <c r="D19" s="445">
        <f>'02_2_EXPENSE'!F74</f>
        <v>0</v>
      </c>
      <c r="E19" s="1861" t="e">
        <f>D19/'02_1_INCOME'!$F$38</f>
        <v>#DIV/0!</v>
      </c>
      <c r="F19" s="439">
        <f t="shared" si="1"/>
        <v>0</v>
      </c>
      <c r="G19" s="445">
        <f>'02_2_EXPENSE'!D74</f>
        <v>0</v>
      </c>
      <c r="H19" s="438" t="e">
        <f>G19/'02_1_INCOME'!$F$38</f>
        <v>#DIV/0!</v>
      </c>
      <c r="I19" s="1313"/>
      <c r="J19" s="1313"/>
      <c r="K19" s="1313"/>
      <c r="S19" s="1591" t="s">
        <v>1906</v>
      </c>
      <c r="T19" s="1598" t="e">
        <f>'01_1_General Data'!E90</f>
        <v>#DIV/0!</v>
      </c>
      <c r="U19" s="1592"/>
    </row>
    <row r="20" spans="2:26" ht="30">
      <c r="C20" s="8" t="s">
        <v>1907</v>
      </c>
      <c r="D20" s="445">
        <f>'02_2_EXPENSE'!F85</f>
        <v>0</v>
      </c>
      <c r="E20" s="1861" t="e">
        <f>D20/'02_1_INCOME'!$F$38</f>
        <v>#DIV/0!</v>
      </c>
      <c r="F20" s="439">
        <f t="shared" si="1"/>
        <v>0</v>
      </c>
      <c r="G20" s="445">
        <f>'02_2_EXPENSE'!D85</f>
        <v>0</v>
      </c>
      <c r="H20" s="438" t="e">
        <f>G20/'02_1_INCOME'!$F$38</f>
        <v>#DIV/0!</v>
      </c>
      <c r="I20" s="1313"/>
      <c r="J20" s="1313"/>
      <c r="K20" s="1313"/>
      <c r="S20" s="1591" t="s">
        <v>1908</v>
      </c>
      <c r="T20" s="1598" t="s">
        <v>1909</v>
      </c>
      <c r="U20" s="1592"/>
    </row>
    <row r="21" spans="2:26" ht="30">
      <c r="C21" s="8" t="s">
        <v>1910</v>
      </c>
      <c r="D21" s="445"/>
      <c r="E21" s="1861" t="e">
        <f>D21/'02_1_INCOME'!$F$38</f>
        <v>#DIV/0!</v>
      </c>
      <c r="F21" s="439">
        <f t="shared" si="1"/>
        <v>0</v>
      </c>
      <c r="G21" s="445"/>
      <c r="H21" s="438" t="e">
        <f>G21/'02_1_INCOME'!$F$38</f>
        <v>#DIV/0!</v>
      </c>
      <c r="I21" s="1313"/>
      <c r="J21" s="1313"/>
      <c r="K21" s="1313"/>
      <c r="S21" s="1591" t="s">
        <v>1911</v>
      </c>
      <c r="T21" s="1598">
        <f>'02_4_USES'!C79</f>
        <v>0</v>
      </c>
      <c r="U21" s="1592"/>
    </row>
    <row r="22" spans="2:26" ht="30.75" thickBot="1">
      <c r="C22" s="8" t="s">
        <v>1194</v>
      </c>
      <c r="D22" s="445">
        <f>'02_2_EXPENSE'!F89</f>
        <v>0</v>
      </c>
      <c r="E22" s="1861" t="e">
        <f>D22/'02_1_INCOME'!$F$38</f>
        <v>#DIV/0!</v>
      </c>
      <c r="F22" s="439">
        <f t="shared" si="1"/>
        <v>0</v>
      </c>
      <c r="G22" s="445">
        <f>'02_2_EXPENSE'!D89</f>
        <v>0</v>
      </c>
      <c r="H22" s="438" t="e">
        <f>G22/'02_1_INCOME'!$F$38</f>
        <v>#DIV/0!</v>
      </c>
      <c r="I22" s="1313"/>
      <c r="J22" s="1313"/>
      <c r="K22" s="1313"/>
      <c r="S22" s="1593" t="s">
        <v>1912</v>
      </c>
      <c r="T22" s="1599">
        <f>'02_4_USES'!C80</f>
        <v>0</v>
      </c>
      <c r="U22" s="1594"/>
    </row>
    <row r="23" spans="2:26" ht="15.75">
      <c r="C23" s="182" t="s">
        <v>1913</v>
      </c>
      <c r="D23" s="441">
        <f>SUM(D17:D22)</f>
        <v>0</v>
      </c>
      <c r="E23" s="1862" t="e">
        <f>D23/'02_1_INCOME'!$F$38</f>
        <v>#DIV/0!</v>
      </c>
      <c r="F23" s="447">
        <f>+D23-G23</f>
        <v>0</v>
      </c>
      <c r="G23" s="441">
        <f>SUM(G17:G22)</f>
        <v>0</v>
      </c>
      <c r="H23" s="446" t="e">
        <f>G23/'02_1_INCOME'!$F$38</f>
        <v>#DIV/0!</v>
      </c>
      <c r="I23" s="1314"/>
      <c r="J23" s="1314"/>
      <c r="K23" s="1314"/>
    </row>
    <row r="24" spans="2:26" ht="15.75">
      <c r="C24" s="8"/>
      <c r="D24" s="442"/>
      <c r="E24" s="1863"/>
      <c r="F24" s="439"/>
      <c r="G24" s="442"/>
      <c r="H24" s="438"/>
      <c r="I24" s="1313"/>
      <c r="J24" s="1313"/>
      <c r="K24" s="1313"/>
    </row>
    <row r="25" spans="2:26" ht="15.75">
      <c r="C25" s="377" t="s">
        <v>1196</v>
      </c>
      <c r="D25" s="442">
        <f>+D15-D23</f>
        <v>0</v>
      </c>
      <c r="E25" s="1863" t="e">
        <f>D25/'02_1_INCOME'!$F$38</f>
        <v>#DIV/0!</v>
      </c>
      <c r="F25" s="448">
        <f>+G25-D25</f>
        <v>0</v>
      </c>
      <c r="G25" s="442">
        <f>+G15-G23</f>
        <v>0</v>
      </c>
      <c r="H25" s="443" t="e">
        <f>G25/'02_1_INCOME'!$F$38</f>
        <v>#DIV/0!</v>
      </c>
      <c r="I25" s="1314"/>
      <c r="J25" s="1314"/>
      <c r="K25" s="1314"/>
    </row>
    <row r="26" spans="2:26" ht="16.5" thickBot="1">
      <c r="C26" s="378" t="s">
        <v>1914</v>
      </c>
      <c r="D26" s="1526">
        <v>0.06</v>
      </c>
      <c r="E26" s="1864"/>
      <c r="F26" s="380"/>
      <c r="G26" s="1527">
        <f>D26</f>
        <v>0.06</v>
      </c>
      <c r="H26" s="379"/>
      <c r="I26" s="11"/>
      <c r="J26" s="11"/>
      <c r="K26" s="11"/>
    </row>
    <row r="27" spans="2:26" ht="15.75">
      <c r="C27" s="377" t="s">
        <v>1915</v>
      </c>
      <c r="D27" s="442">
        <f>+D25/D26</f>
        <v>0</v>
      </c>
      <c r="E27" s="1863" t="e">
        <f>D27/'02_1_INCOME'!$F$38</f>
        <v>#DIV/0!</v>
      </c>
      <c r="F27" s="448">
        <f>+G27-D27</f>
        <v>0</v>
      </c>
      <c r="G27" s="442">
        <f>+G25/G26</f>
        <v>0</v>
      </c>
      <c r="H27" s="443" t="e">
        <f>G27/'02_1_INCOME'!$F$38</f>
        <v>#DIV/0!</v>
      </c>
      <c r="I27" s="1314"/>
      <c r="J27" s="1314"/>
      <c r="K27" s="1314"/>
    </row>
    <row r="28" spans="2:26" ht="15.75">
      <c r="C28" s="377" t="s">
        <v>1916</v>
      </c>
      <c r="D28" s="444">
        <f>'02_3_SOURCES'!$K$9</f>
        <v>0</v>
      </c>
      <c r="E28" s="1861" t="e">
        <f>D28/'02_1_INCOME'!$F$38</f>
        <v>#DIV/0!</v>
      </c>
      <c r="F28" s="439"/>
      <c r="G28" s="444">
        <f>'02_3_SOURCES'!$K$9</f>
        <v>0</v>
      </c>
      <c r="H28" s="438" t="e">
        <f>G28/'02_1_INCOME'!$F$38</f>
        <v>#DIV/0!</v>
      </c>
      <c r="I28" s="1313"/>
      <c r="J28" s="1313"/>
      <c r="K28" s="1313"/>
    </row>
    <row r="29" spans="2:26" ht="16.5" thickBot="1">
      <c r="C29" s="377" t="s">
        <v>1917</v>
      </c>
      <c r="D29" s="449" t="e">
        <f>D28/D27</f>
        <v>#DIV/0!</v>
      </c>
      <c r="E29" s="450"/>
      <c r="F29" s="451" t="e">
        <f>+G29-D29</f>
        <v>#DIV/0!</v>
      </c>
      <c r="G29" s="449" t="e">
        <f>G28/G27</f>
        <v>#DIV/0!</v>
      </c>
      <c r="H29" s="452"/>
      <c r="I29" s="1315"/>
      <c r="J29" s="1315"/>
      <c r="K29" s="1315"/>
    </row>
    <row r="30" spans="2:26"/>
    <row r="31" spans="2:26"/>
    <row r="32" spans="2:26" ht="18.75">
      <c r="B32" s="617" t="s">
        <v>1918</v>
      </c>
      <c r="C32" s="618"/>
      <c r="D32" s="619"/>
      <c r="E32" s="619"/>
      <c r="F32" s="619"/>
      <c r="G32" s="619"/>
      <c r="H32" s="619"/>
      <c r="I32" s="619"/>
      <c r="J32" s="619"/>
      <c r="K32" s="619"/>
    </row>
    <row r="33" spans="2:12" ht="15" customHeight="1"/>
    <row r="34" spans="2:12" ht="15" customHeight="1">
      <c r="B34" s="151"/>
      <c r="C34" s="8"/>
      <c r="D34" s="10"/>
    </row>
    <row r="35" spans="2:12" ht="15" customHeight="1" thickBot="1">
      <c r="B35" s="142"/>
      <c r="D35" s="10"/>
    </row>
    <row r="36" spans="2:12" ht="15" customHeight="1">
      <c r="C36" s="8"/>
      <c r="D36" s="2338" t="s">
        <v>1919</v>
      </c>
      <c r="E36" s="2339"/>
      <c r="F36" s="8"/>
      <c r="G36" s="2338" t="s">
        <v>1920</v>
      </c>
      <c r="H36" s="2339"/>
      <c r="I36" s="260"/>
      <c r="J36" s="260"/>
      <c r="K36" s="260"/>
    </row>
    <row r="37" spans="2:12" ht="15" customHeight="1" thickBot="1">
      <c r="C37" s="1528" t="s">
        <v>59</v>
      </c>
      <c r="D37" s="1529" t="s">
        <v>1214</v>
      </c>
      <c r="E37" s="1530" t="s">
        <v>1825</v>
      </c>
      <c r="F37" s="437" t="s">
        <v>1921</v>
      </c>
      <c r="G37" s="1529" t="s">
        <v>1214</v>
      </c>
      <c r="H37" s="1530" t="s">
        <v>1825</v>
      </c>
      <c r="I37" s="260"/>
      <c r="J37" s="260"/>
      <c r="K37" s="260"/>
      <c r="L37" s="9" t="s">
        <v>1922</v>
      </c>
    </row>
    <row r="38" spans="2:12" ht="15.75">
      <c r="C38" s="130" t="str">
        <f>'06_1_Summary Printout'!C8</f>
        <v/>
      </c>
      <c r="D38" s="1531">
        <f>rng02_Sources_Debt_Total1</f>
        <v>0</v>
      </c>
      <c r="E38" s="1865" t="e">
        <f>D38/'02_1_INCOME'!$F$38</f>
        <v>#DIV/0!</v>
      </c>
      <c r="F38" s="1533">
        <f>G38-D38</f>
        <v>0</v>
      </c>
      <c r="G38" s="1531">
        <f>'06_1_Summary Printout'!D8</f>
        <v>0</v>
      </c>
      <c r="H38" s="1532" t="e">
        <f>G38/'02_1_INCOME'!$F$38</f>
        <v>#DIV/0!</v>
      </c>
      <c r="I38" s="1316"/>
      <c r="J38" s="1316"/>
      <c r="K38" s="1316"/>
      <c r="L38" s="9" t="e">
        <f>(G38-D38)/D38</f>
        <v>#DIV/0!</v>
      </c>
    </row>
    <row r="39" spans="2:12" ht="15.75">
      <c r="C39" s="130" t="str">
        <f>'06_1_Summary Printout'!C9</f>
        <v>RIH Second Mortgage</v>
      </c>
      <c r="D39" s="1531">
        <f>rng02_Sources_Debt_Total2</f>
        <v>0</v>
      </c>
      <c r="E39" s="1865" t="e">
        <f>D39/'02_1_INCOME'!$F$38</f>
        <v>#DIV/0!</v>
      </c>
      <c r="F39" s="1533">
        <f t="shared" ref="F39:F64" si="2">G39-D39</f>
        <v>0</v>
      </c>
      <c r="G39" s="1531">
        <f>'06_1_Summary Printout'!D9</f>
        <v>0</v>
      </c>
      <c r="H39" s="1532" t="e">
        <f>G39/'02_1_INCOME'!$F$38</f>
        <v>#DIV/0!</v>
      </c>
      <c r="I39" s="1316"/>
      <c r="J39" s="1316"/>
      <c r="K39" s="1316"/>
      <c r="L39" s="9" t="e">
        <f t="shared" ref="L39:L64" si="3">(G39-D39)/D39</f>
        <v>#DIV/0!</v>
      </c>
    </row>
    <row r="40" spans="2:12" ht="15.75">
      <c r="C40" s="130">
        <f>'06_1_Summary Printout'!C10</f>
        <v>0</v>
      </c>
      <c r="D40" s="1531">
        <f>rng02_Sources_Debt_Total3</f>
        <v>0</v>
      </c>
      <c r="E40" s="1865" t="e">
        <f>D40/'02_1_INCOME'!$F$38</f>
        <v>#DIV/0!</v>
      </c>
      <c r="F40" s="1533">
        <f t="shared" si="2"/>
        <v>0</v>
      </c>
      <c r="G40" s="1531">
        <f>'06_1_Summary Printout'!D10</f>
        <v>0</v>
      </c>
      <c r="H40" s="1532" t="e">
        <f>G40/'02_1_INCOME'!$F$38</f>
        <v>#DIV/0!</v>
      </c>
      <c r="I40" s="1316"/>
      <c r="J40" s="1316"/>
      <c r="K40" s="1316"/>
      <c r="L40" s="9" t="e">
        <f t="shared" si="3"/>
        <v>#DIV/0!</v>
      </c>
    </row>
    <row r="41" spans="2:12" ht="15.75">
      <c r="C41" s="130">
        <f>'06_1_Summary Printout'!C11</f>
        <v>0</v>
      </c>
      <c r="D41" s="1531">
        <f>rng02_Sources_Debt_Total4</f>
        <v>0</v>
      </c>
      <c r="E41" s="1865" t="e">
        <f>D41/'02_1_INCOME'!$F$38</f>
        <v>#DIV/0!</v>
      </c>
      <c r="F41" s="1533">
        <f t="shared" si="2"/>
        <v>0</v>
      </c>
      <c r="G41" s="1531">
        <f>'06_1_Summary Printout'!D11</f>
        <v>0</v>
      </c>
      <c r="H41" s="1532" t="e">
        <f>G41/'02_1_INCOME'!$F$38</f>
        <v>#DIV/0!</v>
      </c>
      <c r="I41" s="1316"/>
      <c r="J41" s="1316"/>
      <c r="K41" s="1316"/>
      <c r="L41" s="9" t="e">
        <f t="shared" si="3"/>
        <v>#DIV/0!</v>
      </c>
    </row>
    <row r="42" spans="2:12" ht="15.75">
      <c r="C42" s="130">
        <f>'06_1_Summary Printout'!C12</f>
        <v>0</v>
      </c>
      <c r="D42" s="1531">
        <f>rng02_Sources_Debt_Total5</f>
        <v>0</v>
      </c>
      <c r="E42" s="1865" t="e">
        <f>D42/'02_1_INCOME'!$F$38</f>
        <v>#DIV/0!</v>
      </c>
      <c r="F42" s="1533">
        <f t="shared" si="2"/>
        <v>0</v>
      </c>
      <c r="G42" s="1531">
        <f>'06_1_Summary Printout'!D12</f>
        <v>0</v>
      </c>
      <c r="H42" s="1532" t="e">
        <f>G42/'02_1_INCOME'!$F$38</f>
        <v>#DIV/0!</v>
      </c>
      <c r="I42" s="1316"/>
      <c r="J42" s="1316"/>
      <c r="K42" s="1316"/>
      <c r="L42" s="9" t="e">
        <f t="shared" si="3"/>
        <v>#DIV/0!</v>
      </c>
    </row>
    <row r="43" spans="2:12" ht="15.75">
      <c r="C43" s="130">
        <f>'06_1_Summary Printout'!C13</f>
        <v>0</v>
      </c>
      <c r="D43" s="1531">
        <f>rng02_Sources_Debt_Total6</f>
        <v>0</v>
      </c>
      <c r="E43" s="1865" t="e">
        <f>D43/'02_1_INCOME'!$F$38</f>
        <v>#DIV/0!</v>
      </c>
      <c r="F43" s="1533">
        <f t="shared" si="2"/>
        <v>0</v>
      </c>
      <c r="G43" s="1531">
        <f>'06_1_Summary Printout'!D13</f>
        <v>0</v>
      </c>
      <c r="H43" s="1532" t="e">
        <f>G43/'02_1_INCOME'!$F$38</f>
        <v>#DIV/0!</v>
      </c>
      <c r="I43" s="1316"/>
      <c r="J43" s="1316"/>
      <c r="K43" s="1316"/>
      <c r="L43" s="9" t="e">
        <f t="shared" si="3"/>
        <v>#DIV/0!</v>
      </c>
    </row>
    <row r="44" spans="2:12" ht="15.75">
      <c r="C44" s="130">
        <f>'06_1_Summary Printout'!C14</f>
        <v>0</v>
      </c>
      <c r="D44" s="1531">
        <f>rng02_Sources_Debt_Total7</f>
        <v>0</v>
      </c>
      <c r="E44" s="1865" t="e">
        <f>D44/'02_1_INCOME'!$F$38</f>
        <v>#DIV/0!</v>
      </c>
      <c r="F44" s="1533">
        <f t="shared" si="2"/>
        <v>0</v>
      </c>
      <c r="G44" s="1531">
        <f>'06_1_Summary Printout'!D14</f>
        <v>0</v>
      </c>
      <c r="H44" s="1532" t="e">
        <f>G44/'02_1_INCOME'!$F$38</f>
        <v>#DIV/0!</v>
      </c>
      <c r="I44" s="1316"/>
      <c r="J44" s="1316"/>
      <c r="K44" s="1316"/>
      <c r="L44" s="9" t="e">
        <f t="shared" si="3"/>
        <v>#DIV/0!</v>
      </c>
    </row>
    <row r="45" spans="2:12" ht="15.75">
      <c r="C45" s="130">
        <f>'06_1_Summary Printout'!C15</f>
        <v>0</v>
      </c>
      <c r="D45" s="1531">
        <f>rng02_Sources_Debt_Total8</f>
        <v>0</v>
      </c>
      <c r="E45" s="1865" t="e">
        <f>D45/'02_1_INCOME'!$F$38</f>
        <v>#DIV/0!</v>
      </c>
      <c r="F45" s="1533">
        <f t="shared" si="2"/>
        <v>0</v>
      </c>
      <c r="G45" s="1531">
        <f>'06_1_Summary Printout'!D15</f>
        <v>0</v>
      </c>
      <c r="H45" s="1532" t="e">
        <f>G45/'02_1_INCOME'!$F$38</f>
        <v>#DIV/0!</v>
      </c>
      <c r="I45" s="1316"/>
      <c r="J45" s="1316"/>
      <c r="K45" s="1316"/>
      <c r="L45" s="9" t="e">
        <f t="shared" si="3"/>
        <v>#DIV/0!</v>
      </c>
    </row>
    <row r="46" spans="2:12" ht="15" customHeight="1">
      <c r="C46" s="130">
        <f>'06_1_Summary Printout'!C16</f>
        <v>0</v>
      </c>
      <c r="D46" s="1531">
        <f>rng02_Sources_Debt_Total9</f>
        <v>0</v>
      </c>
      <c r="E46" s="1865" t="e">
        <f>D46/'02_1_INCOME'!$F$38</f>
        <v>#DIV/0!</v>
      </c>
      <c r="F46" s="1533">
        <f t="shared" si="2"/>
        <v>0</v>
      </c>
      <c r="G46" s="1531">
        <f>'06_1_Summary Printout'!D16</f>
        <v>0</v>
      </c>
      <c r="H46" s="1532" t="e">
        <f>G46/'02_1_INCOME'!$F$38</f>
        <v>#DIV/0!</v>
      </c>
      <c r="I46" s="1316"/>
      <c r="J46" s="1316"/>
      <c r="K46" s="1316"/>
      <c r="L46" s="9" t="e">
        <f t="shared" si="3"/>
        <v>#DIV/0!</v>
      </c>
    </row>
    <row r="47" spans="2:12" ht="15.75">
      <c r="C47" s="130">
        <f>'06_1_Summary Printout'!C17</f>
        <v>0</v>
      </c>
      <c r="D47" s="1531">
        <f>rng02_Sources_Debt_Total10</f>
        <v>0</v>
      </c>
      <c r="E47" s="1865" t="e">
        <f>D47/'02_1_INCOME'!$F$38</f>
        <v>#DIV/0!</v>
      </c>
      <c r="F47" s="1533">
        <f t="shared" si="2"/>
        <v>0</v>
      </c>
      <c r="G47" s="1531">
        <f>'06_1_Summary Printout'!D17</f>
        <v>0</v>
      </c>
      <c r="H47" s="1532" t="e">
        <f>G47/'02_1_INCOME'!$F$38</f>
        <v>#DIV/0!</v>
      </c>
      <c r="I47" s="1316"/>
      <c r="J47" s="1316"/>
      <c r="K47" s="1316"/>
      <c r="L47" s="9" t="e">
        <f t="shared" si="3"/>
        <v>#DIV/0!</v>
      </c>
    </row>
    <row r="48" spans="2:12" ht="15.75">
      <c r="C48" s="130">
        <f>'06_1_Summary Printout'!C18</f>
        <v>0</v>
      </c>
      <c r="D48" s="1531">
        <f>rng02_Sources_Debt_Total11</f>
        <v>0</v>
      </c>
      <c r="E48" s="1865" t="e">
        <f>D48/'02_1_INCOME'!$F$38</f>
        <v>#DIV/0!</v>
      </c>
      <c r="F48" s="1533">
        <f t="shared" si="2"/>
        <v>0</v>
      </c>
      <c r="G48" s="1531">
        <f>'06_1_Summary Printout'!D18</f>
        <v>0</v>
      </c>
      <c r="H48" s="1532" t="e">
        <f>G48/'02_1_INCOME'!$F$38</f>
        <v>#DIV/0!</v>
      </c>
      <c r="I48" s="1316"/>
      <c r="J48" s="1316"/>
      <c r="K48" s="1316"/>
      <c r="L48" s="9" t="e">
        <f t="shared" si="3"/>
        <v>#DIV/0!</v>
      </c>
    </row>
    <row r="49" spans="3:12" ht="15.75">
      <c r="C49" s="130">
        <f>'06_1_Summary Printout'!C19</f>
        <v>0</v>
      </c>
      <c r="D49" s="1531">
        <f>rng02_Sources_Debt_Total12</f>
        <v>0</v>
      </c>
      <c r="E49" s="1865" t="e">
        <f>D49/'02_1_INCOME'!$F$38</f>
        <v>#DIV/0!</v>
      </c>
      <c r="F49" s="1533">
        <f t="shared" si="2"/>
        <v>0</v>
      </c>
      <c r="G49" s="1531">
        <f>'06_1_Summary Printout'!D19</f>
        <v>0</v>
      </c>
      <c r="H49" s="1532" t="e">
        <f>G49/'02_1_INCOME'!$F$38</f>
        <v>#DIV/0!</v>
      </c>
      <c r="I49" s="1316"/>
      <c r="J49" s="1316"/>
      <c r="K49" s="1316"/>
      <c r="L49" s="9" t="e">
        <f t="shared" si="3"/>
        <v>#DIV/0!</v>
      </c>
    </row>
    <row r="50" spans="3:12" ht="15.75">
      <c r="C50" s="130">
        <f>'06_1_Summary Printout'!C20</f>
        <v>0</v>
      </c>
      <c r="D50" s="1531">
        <f>rng02_Sources_Debt_Total13</f>
        <v>0</v>
      </c>
      <c r="E50" s="1865" t="e">
        <f>D50/'02_1_INCOME'!$F$38</f>
        <v>#DIV/0!</v>
      </c>
      <c r="F50" s="1533">
        <f t="shared" si="2"/>
        <v>0</v>
      </c>
      <c r="G50" s="1531">
        <f>'06_1_Summary Printout'!D20</f>
        <v>0</v>
      </c>
      <c r="H50" s="1532" t="e">
        <f>G50/'02_1_INCOME'!$F$38</f>
        <v>#DIV/0!</v>
      </c>
      <c r="I50" s="1316"/>
      <c r="J50" s="1316"/>
      <c r="K50" s="1316"/>
      <c r="L50" s="9" t="e">
        <f t="shared" si="3"/>
        <v>#DIV/0!</v>
      </c>
    </row>
    <row r="51" spans="3:12" ht="15.75">
      <c r="C51" s="130">
        <f>'06_1_Summary Printout'!C21</f>
        <v>0</v>
      </c>
      <c r="D51" s="1531">
        <f>rng02_Sources_Debt_Total14</f>
        <v>0</v>
      </c>
      <c r="E51" s="1865" t="e">
        <f>D51/'02_1_INCOME'!$F$38</f>
        <v>#DIV/0!</v>
      </c>
      <c r="F51" s="1533">
        <f t="shared" si="2"/>
        <v>0</v>
      </c>
      <c r="G51" s="1531">
        <f>'06_1_Summary Printout'!D21</f>
        <v>0</v>
      </c>
      <c r="H51" s="1532" t="e">
        <f>G51/'02_1_INCOME'!$F$38</f>
        <v>#DIV/0!</v>
      </c>
      <c r="I51" s="1316"/>
      <c r="J51" s="1316"/>
      <c r="K51" s="1316"/>
      <c r="L51" s="9" t="e">
        <f t="shared" si="3"/>
        <v>#DIV/0!</v>
      </c>
    </row>
    <row r="52" spans="3:12" ht="15.75">
      <c r="C52" s="130">
        <f>'06_1_Summary Printout'!C22</f>
        <v>0</v>
      </c>
      <c r="D52" s="1531">
        <f>rng02_Sources_Debt_Total14</f>
        <v>0</v>
      </c>
      <c r="E52" s="1865" t="e">
        <f>D52/'02_1_INCOME'!$F$38</f>
        <v>#DIV/0!</v>
      </c>
      <c r="F52" s="1533">
        <f t="shared" ref="F52" si="4">G52-D52</f>
        <v>0</v>
      </c>
      <c r="G52" s="1531">
        <f>'06_1_Summary Printout'!D22</f>
        <v>0</v>
      </c>
      <c r="H52" s="1532" t="e">
        <f>G52/'02_1_INCOME'!$F$38</f>
        <v>#DIV/0!</v>
      </c>
      <c r="I52" s="1316"/>
      <c r="J52" s="1316"/>
      <c r="K52" s="1316"/>
      <c r="L52" s="9" t="e">
        <f t="shared" si="3"/>
        <v>#DIV/0!</v>
      </c>
    </row>
    <row r="53" spans="3:12" ht="15.75">
      <c r="C53" s="130" t="str">
        <f>'06_1_Summary Printout'!C24</f>
        <v>LIHTC Proceeds</v>
      </c>
      <c r="D53" s="1531">
        <f>rng02_Sources_Equity_LIHTCProceeds_Tot</f>
        <v>0</v>
      </c>
      <c r="E53" s="1865" t="e">
        <f>D53/'02_1_INCOME'!$F$38</f>
        <v>#DIV/0!</v>
      </c>
      <c r="F53" s="1533">
        <f t="shared" si="2"/>
        <v>0</v>
      </c>
      <c r="G53" s="1531">
        <f>'06_1_Summary Printout'!D24</f>
        <v>0</v>
      </c>
      <c r="H53" s="1532" t="e">
        <f>G53/'02_1_INCOME'!$F$38</f>
        <v>#DIV/0!</v>
      </c>
      <c r="I53" s="1316"/>
      <c r="J53" s="1316"/>
      <c r="K53" s="1316"/>
      <c r="L53" s="9" t="e">
        <f t="shared" si="3"/>
        <v>#DIV/0!</v>
      </c>
    </row>
    <row r="54" spans="3:12" ht="15.75">
      <c r="C54" s="130" t="str">
        <f>'06_1_Summary Printout'!C25</f>
        <v>Fed. Historic Tax Credit Proceeds</v>
      </c>
      <c r="D54" s="1531">
        <f>rng02_Sources_Equiy_FedHistTaxCredProceeds_Tot</f>
        <v>0</v>
      </c>
      <c r="E54" s="1865" t="e">
        <f>D54/'02_1_INCOME'!$F$38</f>
        <v>#DIV/0!</v>
      </c>
      <c r="F54" s="1533">
        <f t="shared" si="2"/>
        <v>0</v>
      </c>
      <c r="G54" s="1531">
        <f>'06_1_Summary Printout'!D25</f>
        <v>0</v>
      </c>
      <c r="H54" s="1532" t="e">
        <f>G54/'02_1_INCOME'!$F$38</f>
        <v>#DIV/0!</v>
      </c>
      <c r="I54" s="1316"/>
      <c r="J54" s="1316"/>
      <c r="K54" s="1316"/>
      <c r="L54" s="9" t="e">
        <f t="shared" si="3"/>
        <v>#DIV/0!</v>
      </c>
    </row>
    <row r="55" spans="3:12" ht="15.75">
      <c r="C55" s="130" t="str">
        <f>'06_1_Summary Printout'!C26</f>
        <v>General Partner Capital</v>
      </c>
      <c r="D55" s="1531">
        <f>rng02_Sources_Equity_GenPartCap_Tot</f>
        <v>0</v>
      </c>
      <c r="E55" s="1865" t="e">
        <f>D55/'02_1_INCOME'!$F$38</f>
        <v>#DIV/0!</v>
      </c>
      <c r="F55" s="1533">
        <f t="shared" si="2"/>
        <v>0</v>
      </c>
      <c r="G55" s="1531">
        <f>'06_1_Summary Printout'!D26</f>
        <v>0</v>
      </c>
      <c r="H55" s="1532" t="e">
        <f>G55/'02_1_INCOME'!$F$38</f>
        <v>#DIV/0!</v>
      </c>
      <c r="I55" s="1316"/>
      <c r="J55" s="1316"/>
      <c r="K55" s="1316"/>
      <c r="L55" s="9" t="e">
        <f t="shared" si="3"/>
        <v>#DIV/0!</v>
      </c>
    </row>
    <row r="56" spans="3:12" ht="15.75">
      <c r="C56" s="130" t="str">
        <f>'06_1_Summary Printout'!C27</f>
        <v>State Historic TC Proceeds</v>
      </c>
      <c r="D56" s="1531">
        <f>rng02_Sources_Equity_StateHistTCProceeds_Tot</f>
        <v>0</v>
      </c>
      <c r="E56" s="1865" t="e">
        <f>D56/'02_1_INCOME'!$F$38</f>
        <v>#DIV/0!</v>
      </c>
      <c r="F56" s="1533">
        <f t="shared" si="2"/>
        <v>0</v>
      </c>
      <c r="G56" s="1531">
        <f>'06_1_Summary Printout'!D27</f>
        <v>0</v>
      </c>
      <c r="H56" s="1532" t="e">
        <f>G56/'02_1_INCOME'!$F$38</f>
        <v>#DIV/0!</v>
      </c>
      <c r="I56" s="1316"/>
      <c r="J56" s="1316"/>
      <c r="K56" s="1316"/>
    </row>
    <row r="57" spans="3:12" ht="15.75">
      <c r="C57" s="2009" t="str">
        <f>'06_1_Summary Printout'!C28</f>
        <v>State LIHTC</v>
      </c>
      <c r="D57" s="1531">
        <f>'06_1_Summary Printout'!D28</f>
        <v>0</v>
      </c>
      <c r="E57" s="1865" t="e">
        <f>D57/'02_1_INCOME'!$F$38</f>
        <v>#DIV/0!</v>
      </c>
      <c r="F57" s="1533">
        <f t="shared" si="2"/>
        <v>0</v>
      </c>
      <c r="G57" s="1531">
        <f>'06_1_Summary Printout'!D28</f>
        <v>0</v>
      </c>
      <c r="H57" s="1532" t="e">
        <f>G57/'02_1_INCOME'!$F$38</f>
        <v>#DIV/0!</v>
      </c>
      <c r="I57" s="1316"/>
      <c r="J57" s="1316"/>
      <c r="K57" s="1316"/>
    </row>
    <row r="58" spans="3:12" ht="15.75">
      <c r="C58" s="130" t="str">
        <f>'06_1_Summary Printout'!C29</f>
        <v>Other Equity</v>
      </c>
      <c r="D58" s="1531">
        <f>rng02_Sources_Equity_Other_Tot</f>
        <v>0</v>
      </c>
      <c r="E58" s="1865" t="e">
        <f>D58/'02_1_INCOME'!$F$38</f>
        <v>#DIV/0!</v>
      </c>
      <c r="F58" s="1533">
        <f t="shared" si="2"/>
        <v>0</v>
      </c>
      <c r="G58" s="1531">
        <f>'06_1_Summary Printout'!D29</f>
        <v>0</v>
      </c>
      <c r="H58" s="1532" t="e">
        <f>G58/'02_1_INCOME'!$F$38</f>
        <v>#DIV/0!</v>
      </c>
      <c r="I58" s="1316"/>
      <c r="J58" s="1316"/>
      <c r="K58" s="1316"/>
    </row>
    <row r="59" spans="3:12" ht="15.75">
      <c r="C59" s="130" t="str">
        <f>'06_1_Summary Printout'!C32</f>
        <v>None</v>
      </c>
      <c r="D59" s="1531">
        <f>'06_1_Summary Printout'!D32</f>
        <v>0</v>
      </c>
      <c r="E59" s="1865" t="e">
        <f>D59/'02_1_INCOME'!$F$38</f>
        <v>#DIV/0!</v>
      </c>
      <c r="F59" s="1533">
        <f t="shared" si="2"/>
        <v>0</v>
      </c>
      <c r="G59" s="1531">
        <f>'06_1_Summary Printout'!D32</f>
        <v>0</v>
      </c>
      <c r="H59" s="1532" t="e">
        <f>G59/'02_1_INCOME'!$F$38</f>
        <v>#DIV/0!</v>
      </c>
      <c r="I59" s="1316"/>
      <c r="J59" s="1316"/>
      <c r="K59" s="1316"/>
    </row>
    <row r="60" spans="3:12" ht="15.75">
      <c r="C60" s="130" t="str">
        <f>'06_1_Summary Printout'!C33</f>
        <v>None</v>
      </c>
      <c r="D60" s="1531">
        <f>'06_1_Summary Printout'!D33</f>
        <v>0</v>
      </c>
      <c r="E60" s="1865" t="e">
        <f>D60/'02_1_INCOME'!$F$38</f>
        <v>#DIV/0!</v>
      </c>
      <c r="F60" s="1533">
        <f t="shared" si="2"/>
        <v>0</v>
      </c>
      <c r="G60" s="1531">
        <f>'06_1_Summary Printout'!D33</f>
        <v>0</v>
      </c>
      <c r="H60" s="1532" t="e">
        <f>G60/'02_1_INCOME'!$F$38</f>
        <v>#DIV/0!</v>
      </c>
      <c r="I60" s="1316"/>
      <c r="J60" s="1316"/>
      <c r="K60" s="1316"/>
    </row>
    <row r="61" spans="3:12" ht="15.75">
      <c r="C61" s="130" t="str">
        <f>'06_1_Summary Printout'!C34</f>
        <v>None</v>
      </c>
      <c r="D61" s="1531">
        <f>'06_1_Summary Printout'!D34</f>
        <v>0</v>
      </c>
      <c r="E61" s="1865" t="e">
        <f>D61/'02_1_INCOME'!$F$38</f>
        <v>#DIV/0!</v>
      </c>
      <c r="F61" s="1533">
        <f t="shared" si="2"/>
        <v>0</v>
      </c>
      <c r="G61" s="1531">
        <f>'06_1_Summary Printout'!D34</f>
        <v>0</v>
      </c>
      <c r="H61" s="1532" t="e">
        <f>G61/'02_1_INCOME'!$F$38</f>
        <v>#DIV/0!</v>
      </c>
      <c r="I61" s="1316"/>
      <c r="J61" s="1316"/>
      <c r="K61" s="1316"/>
    </row>
    <row r="62" spans="3:12" ht="15.75">
      <c r="C62" s="130" t="str">
        <f>'06_1_Summary Printout'!C35</f>
        <v>None</v>
      </c>
      <c r="D62" s="1531">
        <f>'06_1_Summary Printout'!D35</f>
        <v>0</v>
      </c>
      <c r="E62" s="1865" t="e">
        <f>D62/'02_1_INCOME'!$F$38</f>
        <v>#DIV/0!</v>
      </c>
      <c r="F62" s="1533">
        <f t="shared" si="2"/>
        <v>0</v>
      </c>
      <c r="G62" s="1531">
        <f>'06_1_Summary Printout'!D35</f>
        <v>0</v>
      </c>
      <c r="H62" s="1532" t="e">
        <f>G62/'02_1_INCOME'!$F$38</f>
        <v>#DIV/0!</v>
      </c>
      <c r="I62" s="1316"/>
      <c r="J62" s="1316"/>
      <c r="K62" s="1316"/>
    </row>
    <row r="63" spans="3:12" ht="16.5" thickBot="1">
      <c r="C63" s="130" t="str">
        <f>'06_1_Summary Printout'!C36</f>
        <v>None</v>
      </c>
      <c r="D63" s="1531">
        <f>'06_1_Summary Printout'!D36</f>
        <v>0</v>
      </c>
      <c r="E63" s="1865" t="e">
        <f>D63/'02_1_INCOME'!$F$38</f>
        <v>#DIV/0!</v>
      </c>
      <c r="F63" s="1533">
        <f t="shared" si="2"/>
        <v>0</v>
      </c>
      <c r="G63" s="1531">
        <f>'06_1_Summary Printout'!D36</f>
        <v>0</v>
      </c>
      <c r="H63" s="1532" t="e">
        <f>G63/'02_1_INCOME'!$F$38</f>
        <v>#DIV/0!</v>
      </c>
      <c r="I63" s="1316"/>
      <c r="J63" s="1316"/>
      <c r="K63" s="1316"/>
      <c r="L63" s="9" t="e">
        <f t="shared" si="3"/>
        <v>#DIV/0!</v>
      </c>
    </row>
    <row r="64" spans="3:12" ht="16.5" thickBot="1">
      <c r="C64" s="1149" t="s">
        <v>1923</v>
      </c>
      <c r="D64" s="1537">
        <f>SUM(D38:D63)</f>
        <v>0</v>
      </c>
      <c r="E64" s="1866" t="e">
        <f>SUM(E38:E63)</f>
        <v>#DIV/0!</v>
      </c>
      <c r="F64" s="1539">
        <f t="shared" si="2"/>
        <v>0</v>
      </c>
      <c r="G64" s="1537">
        <f>SUM(G38:G63)</f>
        <v>0</v>
      </c>
      <c r="H64" s="1538" t="e">
        <f>SUM(H38:H63)</f>
        <v>#DIV/0!</v>
      </c>
      <c r="I64" s="1317"/>
      <c r="J64" s="1317"/>
      <c r="K64" s="1317"/>
      <c r="L64" s="9" t="e">
        <f t="shared" si="3"/>
        <v>#DIV/0!</v>
      </c>
    </row>
    <row r="65" spans="3:12" ht="15.75">
      <c r="C65" s="8"/>
      <c r="D65" s="8"/>
      <c r="E65" s="8"/>
      <c r="F65" s="8"/>
      <c r="G65" s="8"/>
      <c r="H65" s="8"/>
    </row>
    <row r="66" spans="3:12" ht="16.5" thickBot="1">
      <c r="C66" s="8"/>
      <c r="D66" s="8"/>
      <c r="E66" s="8"/>
      <c r="F66" s="8"/>
      <c r="G66" s="8"/>
      <c r="H66" s="8"/>
    </row>
    <row r="67" spans="3:12" ht="16.5" thickBot="1">
      <c r="C67" s="1528" t="s">
        <v>66</v>
      </c>
      <c r="D67" s="1540" t="s">
        <v>1214</v>
      </c>
      <c r="E67" s="1541" t="s">
        <v>1825</v>
      </c>
      <c r="F67" s="1542" t="s">
        <v>1921</v>
      </c>
      <c r="G67" s="1540" t="s">
        <v>1214</v>
      </c>
      <c r="H67" s="1541" t="s">
        <v>1825</v>
      </c>
      <c r="I67" s="260"/>
      <c r="J67" s="260"/>
      <c r="K67" s="260"/>
    </row>
    <row r="68" spans="3:12" ht="15.75">
      <c r="C68" s="8" t="s">
        <v>1865</v>
      </c>
      <c r="D68" s="1531">
        <f>rng02_Uses_DevRehabCosts_ConstRehabCosts_TotalHardCosts</f>
        <v>0</v>
      </c>
      <c r="E68" s="1867" t="e">
        <f>D68/'02_1_INCOME'!$F$38</f>
        <v>#DIV/0!</v>
      </c>
      <c r="F68" s="1533">
        <f t="shared" ref="F68:F78" si="5">G68-D68</f>
        <v>0</v>
      </c>
      <c r="G68" s="1531">
        <f>'06_1_Summary Printout'!J8</f>
        <v>0</v>
      </c>
      <c r="H68" s="1532" t="e">
        <f>G68/'02_1_INCOME'!$F$38</f>
        <v>#DIV/0!</v>
      </c>
      <c r="I68" s="1316"/>
      <c r="J68" s="1316"/>
      <c r="K68" s="1316"/>
      <c r="L68" s="9" t="e">
        <f t="shared" ref="L68:L78" si="6">(G68-D68)/D68</f>
        <v>#DIV/0!</v>
      </c>
    </row>
    <row r="69" spans="3:12" ht="15.75">
      <c r="C69" s="8" t="s">
        <v>78</v>
      </c>
      <c r="D69" s="1531">
        <f>rng02_Uses_DevRehabCosts_ConstRehabCosts_ConstructContigency</f>
        <v>0</v>
      </c>
      <c r="E69" s="1532" t="e">
        <f>D69/'02_1_INCOME'!$F$38</f>
        <v>#DIV/0!</v>
      </c>
      <c r="F69" s="1533">
        <f t="shared" si="5"/>
        <v>0</v>
      </c>
      <c r="G69" s="1531">
        <f>'06_1_Summary Printout'!J9</f>
        <v>0</v>
      </c>
      <c r="H69" s="1532" t="e">
        <f>G69/'02_1_INCOME'!$F$38</f>
        <v>#DIV/0!</v>
      </c>
      <c r="I69" s="1316"/>
      <c r="J69" s="1316"/>
      <c r="K69" s="1316"/>
      <c r="L69" s="9" t="e">
        <f t="shared" si="6"/>
        <v>#DIV/0!</v>
      </c>
    </row>
    <row r="70" spans="3:12" ht="15.75">
      <c r="C70" s="8" t="s">
        <v>75</v>
      </c>
      <c r="D70" s="1531">
        <f>rng02_Uses_DevRehabCosts_ACQCosts_TotalAcq</f>
        <v>0</v>
      </c>
      <c r="E70" s="1532" t="e">
        <f>D70/'02_1_INCOME'!$F$38</f>
        <v>#DIV/0!</v>
      </c>
      <c r="F70" s="1533">
        <f t="shared" si="5"/>
        <v>0</v>
      </c>
      <c r="G70" s="1531">
        <f>'06_1_Summary Printout'!J7</f>
        <v>0</v>
      </c>
      <c r="H70" s="1532" t="e">
        <f>G70/'02_1_INCOME'!$F$38</f>
        <v>#DIV/0!</v>
      </c>
      <c r="I70" s="1316"/>
      <c r="J70" s="1316"/>
      <c r="K70" s="1316"/>
      <c r="L70" s="9" t="e">
        <f t="shared" si="6"/>
        <v>#DIV/0!</v>
      </c>
    </row>
    <row r="71" spans="3:12" ht="15.75">
      <c r="C71" s="8" t="s">
        <v>79</v>
      </c>
      <c r="D71" s="1531">
        <f>rng02_Uses_DevRehabCosts_SoftCosts_TotalSC</f>
        <v>0</v>
      </c>
      <c r="E71" s="1532" t="e">
        <f>D71/'02_1_INCOME'!$F$38</f>
        <v>#DIV/0!</v>
      </c>
      <c r="F71" s="1533">
        <f t="shared" si="5"/>
        <v>0</v>
      </c>
      <c r="G71" s="1531">
        <f>'06_1_Summary Printout'!J10</f>
        <v>0</v>
      </c>
      <c r="H71" s="1532" t="e">
        <f>G71/'02_1_INCOME'!$F$38</f>
        <v>#DIV/0!</v>
      </c>
      <c r="I71" s="1316"/>
      <c r="J71" s="1316"/>
      <c r="K71" s="1316"/>
      <c r="L71" s="9" t="e">
        <f t="shared" si="6"/>
        <v>#DIV/0!</v>
      </c>
    </row>
    <row r="72" spans="3:12" ht="15.75">
      <c r="C72" s="8" t="s">
        <v>1828</v>
      </c>
      <c r="D72" s="1531">
        <f>rng02_Uses_DevRehabCosts_Financing_TotFinCosts</f>
        <v>0</v>
      </c>
      <c r="E72" s="1532" t="e">
        <f>D72/'02_1_INCOME'!$F$38</f>
        <v>#DIV/0!</v>
      </c>
      <c r="F72" s="1533">
        <f t="shared" si="5"/>
        <v>0</v>
      </c>
      <c r="G72" s="1531">
        <f>'06_1_Summary Printout'!J11</f>
        <v>0</v>
      </c>
      <c r="H72" s="1532" t="e">
        <f>G72/'02_1_INCOME'!$F$38</f>
        <v>#DIV/0!</v>
      </c>
      <c r="I72" s="1316"/>
      <c r="J72" s="1316"/>
      <c r="K72" s="1316"/>
      <c r="L72" s="9" t="e">
        <f t="shared" si="6"/>
        <v>#DIV/0!</v>
      </c>
    </row>
    <row r="73" spans="3:12" ht="15.75">
      <c r="C73" s="8" t="s">
        <v>81</v>
      </c>
      <c r="D73" s="1531">
        <f>rng02_Uses_DevRehabCosts_DevFee_TotDevFee</f>
        <v>0</v>
      </c>
      <c r="E73" s="1532" t="e">
        <f>D73/'02_1_INCOME'!$F$38</f>
        <v>#DIV/0!</v>
      </c>
      <c r="F73" s="1533">
        <f t="shared" si="5"/>
        <v>0</v>
      </c>
      <c r="G73" s="1531">
        <f>'06_1_Summary Printout'!J13+'06_1_Summary Printout'!J15</f>
        <v>0</v>
      </c>
      <c r="H73" s="1532" t="e">
        <f>G73/'02_1_INCOME'!$F$38</f>
        <v>#DIV/0!</v>
      </c>
      <c r="I73" s="1316"/>
      <c r="J73" s="1316"/>
      <c r="K73" s="1316"/>
      <c r="L73" s="9" t="e">
        <f t="shared" si="6"/>
        <v>#DIV/0!</v>
      </c>
    </row>
    <row r="74" spans="3:12" ht="15.75">
      <c r="C74" s="8" t="s">
        <v>1924</v>
      </c>
      <c r="D74" s="1531">
        <f>rng02_Uses_DevRehabCosts_Reserves_OperatingReserve</f>
        <v>0</v>
      </c>
      <c r="E74" s="1532" t="e">
        <f>D74/'02_1_INCOME'!$F$38</f>
        <v>#DIV/0!</v>
      </c>
      <c r="F74" s="1533">
        <f t="shared" si="5"/>
        <v>0</v>
      </c>
      <c r="G74" s="1531">
        <f>'06_1_Summary Printout'!J17</f>
        <v>0</v>
      </c>
      <c r="H74" s="1532" t="e">
        <f>G74/'02_1_INCOME'!$F$38</f>
        <v>#DIV/0!</v>
      </c>
      <c r="I74" s="1316"/>
      <c r="J74" s="1316"/>
      <c r="K74" s="1316"/>
      <c r="L74" s="9" t="e">
        <f t="shared" si="6"/>
        <v>#DIV/0!</v>
      </c>
    </row>
    <row r="75" spans="3:12" ht="15.75">
      <c r="C75" s="8" t="s">
        <v>1925</v>
      </c>
      <c r="D75" s="1531">
        <f>rng02_Uses_DevRehabCosts_Reserves_LeaseUpReserve</f>
        <v>0</v>
      </c>
      <c r="E75" s="1532" t="e">
        <f>D75/'02_1_INCOME'!$F$38</f>
        <v>#DIV/0!</v>
      </c>
      <c r="F75" s="1533">
        <f t="shared" si="5"/>
        <v>0</v>
      </c>
      <c r="G75" s="1531">
        <f>'06_1_Summary Printout'!J20</f>
        <v>0</v>
      </c>
      <c r="H75" s="1532" t="e">
        <f>G75/'02_1_INCOME'!$F$38</f>
        <v>#DIV/0!</v>
      </c>
      <c r="I75" s="1316"/>
      <c r="J75" s="1316"/>
      <c r="K75" s="1316"/>
      <c r="L75" s="9" t="e">
        <f t="shared" si="6"/>
        <v>#DIV/0!</v>
      </c>
    </row>
    <row r="76" spans="3:12" ht="15.75">
      <c r="C76" s="8" t="s">
        <v>1926</v>
      </c>
      <c r="D76" s="1531">
        <f>rng02_Uses_DevRehabCosts_Reserves_ReplacementReserve</f>
        <v>0</v>
      </c>
      <c r="E76" s="1532" t="e">
        <f>D76/'02_1_INCOME'!$F$38</f>
        <v>#DIV/0!</v>
      </c>
      <c r="F76" s="1533">
        <f t="shared" si="5"/>
        <v>0</v>
      </c>
      <c r="G76" s="1531">
        <f>'06_1_Summary Printout'!J18</f>
        <v>0</v>
      </c>
      <c r="H76" s="1532" t="e">
        <f>G76/'02_1_INCOME'!$F$38</f>
        <v>#DIV/0!</v>
      </c>
      <c r="I76" s="1316"/>
      <c r="J76" s="1316"/>
      <c r="K76" s="1316"/>
      <c r="L76" s="9" t="e">
        <f t="shared" si="6"/>
        <v>#DIV/0!</v>
      </c>
    </row>
    <row r="77" spans="3:12" ht="16.5" thickBot="1">
      <c r="C77" s="149" t="s">
        <v>1927</v>
      </c>
      <c r="D77" s="1534">
        <f>rng02_Uses_DevRehabCosts_Reserves_Other1</f>
        <v>0</v>
      </c>
      <c r="E77" s="1535" t="e">
        <f>D77/'02_1_INCOME'!$F$38</f>
        <v>#DIV/0!</v>
      </c>
      <c r="F77" s="1536">
        <f t="shared" si="5"/>
        <v>0</v>
      </c>
      <c r="G77" s="1534">
        <f>'06_1_Summary Printout'!J19+'06_1_Summary Printout'!J21</f>
        <v>0</v>
      </c>
      <c r="H77" s="1535" t="e">
        <f>G77/'02_1_INCOME'!$F$38</f>
        <v>#DIV/0!</v>
      </c>
      <c r="I77" s="1316"/>
      <c r="J77" s="1316"/>
      <c r="K77" s="1316"/>
      <c r="L77" s="9" t="e">
        <f t="shared" si="6"/>
        <v>#DIV/0!</v>
      </c>
    </row>
    <row r="78" spans="3:12" ht="16.5" thickBot="1">
      <c r="C78" s="151" t="s">
        <v>1928</v>
      </c>
      <c r="D78" s="1543">
        <f>SUM(D68:D77)</f>
        <v>0</v>
      </c>
      <c r="E78" s="1544" t="e">
        <f>SUM(E68:E77)</f>
        <v>#DIV/0!</v>
      </c>
      <c r="F78" s="1533">
        <f t="shared" si="5"/>
        <v>0</v>
      </c>
      <c r="G78" s="1543">
        <f>SUM(G68:G77)</f>
        <v>0</v>
      </c>
      <c r="H78" s="1544" t="e">
        <f>SUM(H68:H77)</f>
        <v>#DIV/0!</v>
      </c>
      <c r="I78" s="1317"/>
      <c r="J78" s="1317"/>
      <c r="K78" s="1317"/>
      <c r="L78" s="9" t="e">
        <f t="shared" si="6"/>
        <v>#DIV/0!</v>
      </c>
    </row>
    <row r="79" spans="3:12">
      <c r="D79" s="533"/>
    </row>
    <row r="80" spans="3:12"/>
    <row r="81" spans="2:14" ht="18.75">
      <c r="B81" s="617" t="s">
        <v>1929</v>
      </c>
      <c r="C81" s="618"/>
      <c r="D81" s="619"/>
      <c r="E81" s="619"/>
      <c r="F81" s="619"/>
      <c r="G81" s="619"/>
      <c r="H81" s="619"/>
      <c r="I81" s="619"/>
      <c r="J81" s="619"/>
      <c r="K81" s="619"/>
      <c r="L81" s="619"/>
      <c r="M81" s="619"/>
      <c r="N81" s="619"/>
    </row>
    <row r="82" spans="2:14"/>
    <row r="83" spans="2:14"/>
    <row r="84" spans="2:14" ht="47.25">
      <c r="D84" s="1545" t="s">
        <v>1930</v>
      </c>
      <c r="E84" s="1545" t="s">
        <v>1931</v>
      </c>
      <c r="F84" s="1546" t="s">
        <v>54</v>
      </c>
      <c r="G84" s="1545" t="s">
        <v>1932</v>
      </c>
      <c r="H84" s="1545" t="s">
        <v>1933</v>
      </c>
      <c r="I84" s="1546" t="s">
        <v>1934</v>
      </c>
      <c r="J84" s="1546" t="s">
        <v>1935</v>
      </c>
      <c r="K84" s="1546" t="s">
        <v>1936</v>
      </c>
      <c r="L84" s="1546" t="s">
        <v>1937</v>
      </c>
      <c r="M84" s="1546" t="s">
        <v>1045</v>
      </c>
      <c r="N84" s="1546" t="s">
        <v>1059</v>
      </c>
    </row>
    <row r="85" spans="2:14" ht="15.75">
      <c r="D85" s="190">
        <f>'02_1_INCOME'!B8</f>
        <v>0</v>
      </c>
      <c r="E85" s="1555">
        <f>'02_1_INCOME'!D8</f>
        <v>0</v>
      </c>
      <c r="F85" s="1547">
        <f>'02_1_INCOME'!F8</f>
        <v>0</v>
      </c>
      <c r="G85" s="1548">
        <f>'02_1_INCOME'!M8</f>
        <v>0</v>
      </c>
      <c r="H85" s="1548">
        <f>'02_1_INCOME'!N8</f>
        <v>0</v>
      </c>
      <c r="I85" s="1548">
        <f>'02_1_INCOME'!T8</f>
        <v>0</v>
      </c>
      <c r="J85" s="1549">
        <f>'02_1_INCOME'!U8</f>
        <v>0</v>
      </c>
      <c r="K85" s="1555">
        <f>IF(J85=0,0,G85/I85)</f>
        <v>0</v>
      </c>
      <c r="L85" s="1555" t="e">
        <f>IF(OR(E85="", E85="Over 120%"),0, IF(LEFT(E85,2)="80", G85/I85*0.8, G85/I85*E85))</f>
        <v>#DIV/0!</v>
      </c>
      <c r="M85" s="1548">
        <f>'02_1_INCOME'!O8</f>
        <v>0</v>
      </c>
      <c r="N85" s="1558">
        <f>'02_1_INCOME'!Q8</f>
        <v>0</v>
      </c>
    </row>
    <row r="86" spans="2:14" ht="15.75">
      <c r="D86" s="190">
        <f>'02_1_INCOME'!B9</f>
        <v>0</v>
      </c>
      <c r="E86" s="1555">
        <f>'02_1_INCOME'!D9</f>
        <v>0</v>
      </c>
      <c r="F86" s="1547">
        <f>'02_1_INCOME'!F9</f>
        <v>0</v>
      </c>
      <c r="G86" s="1548">
        <f>'02_1_INCOME'!M9</f>
        <v>0</v>
      </c>
      <c r="H86" s="1548">
        <f>'02_1_INCOME'!N9</f>
        <v>0</v>
      </c>
      <c r="I86" s="1548">
        <f>'02_1_INCOME'!T9</f>
        <v>0</v>
      </c>
      <c r="J86" s="1549">
        <f>'02_1_INCOME'!U9</f>
        <v>0</v>
      </c>
      <c r="K86" s="1555">
        <f t="shared" ref="K86:K98" si="7">IF(J86=0,0,G86/I86)</f>
        <v>0</v>
      </c>
      <c r="L86" s="1555" t="e">
        <f t="shared" ref="L86:L98" si="8">IF(OR(E86="", E86="Over 120%"),0, IF(LEFT(E86,2)="80", G86/I86*0.8, G86/I86*E86))</f>
        <v>#DIV/0!</v>
      </c>
      <c r="M86" s="1548">
        <f>'02_1_INCOME'!O9</f>
        <v>0</v>
      </c>
      <c r="N86" s="1558">
        <f>'02_1_INCOME'!Q9</f>
        <v>0</v>
      </c>
    </row>
    <row r="87" spans="2:14" ht="15.75">
      <c r="D87" s="190">
        <f>'02_1_INCOME'!B10</f>
        <v>0</v>
      </c>
      <c r="E87" s="1555">
        <f>'02_1_INCOME'!D10</f>
        <v>0</v>
      </c>
      <c r="F87" s="1547">
        <f>'02_1_INCOME'!F10</f>
        <v>0</v>
      </c>
      <c r="G87" s="1548">
        <f>'02_1_INCOME'!M10</f>
        <v>0</v>
      </c>
      <c r="H87" s="1548">
        <f>'02_1_INCOME'!N10</f>
        <v>0</v>
      </c>
      <c r="I87" s="1548">
        <f>'02_1_INCOME'!T10</f>
        <v>0</v>
      </c>
      <c r="J87" s="1549">
        <f>'02_1_INCOME'!U10</f>
        <v>0</v>
      </c>
      <c r="K87" s="1555">
        <f t="shared" si="7"/>
        <v>0</v>
      </c>
      <c r="L87" s="1555" t="e">
        <f t="shared" si="8"/>
        <v>#DIV/0!</v>
      </c>
      <c r="M87" s="1548">
        <f>'02_1_INCOME'!O10</f>
        <v>0</v>
      </c>
      <c r="N87" s="1558">
        <f>'02_1_INCOME'!Q10</f>
        <v>0</v>
      </c>
    </row>
    <row r="88" spans="2:14" ht="15.75">
      <c r="D88" s="190">
        <f>'02_1_INCOME'!B11</f>
        <v>0</v>
      </c>
      <c r="E88" s="1555">
        <f>'02_1_INCOME'!D11</f>
        <v>0</v>
      </c>
      <c r="F88" s="1547">
        <f>'02_1_INCOME'!F11</f>
        <v>0</v>
      </c>
      <c r="G88" s="1548">
        <f>'02_1_INCOME'!M11</f>
        <v>0</v>
      </c>
      <c r="H88" s="1548">
        <f>'02_1_INCOME'!N11</f>
        <v>0</v>
      </c>
      <c r="I88" s="1548">
        <f>'02_1_INCOME'!T11</f>
        <v>0</v>
      </c>
      <c r="J88" s="1549">
        <f>'02_1_INCOME'!U11</f>
        <v>0</v>
      </c>
      <c r="K88" s="1555">
        <f t="shared" si="7"/>
        <v>0</v>
      </c>
      <c r="L88" s="1555" t="e">
        <f t="shared" si="8"/>
        <v>#DIV/0!</v>
      </c>
      <c r="M88" s="1548">
        <f>'02_1_INCOME'!O11</f>
        <v>0</v>
      </c>
      <c r="N88" s="1558">
        <f>'02_1_INCOME'!Q11</f>
        <v>0</v>
      </c>
    </row>
    <row r="89" spans="2:14" ht="15.75">
      <c r="D89" s="190">
        <f>'02_1_INCOME'!B12</f>
        <v>0</v>
      </c>
      <c r="E89" s="1555">
        <f>'02_1_INCOME'!D12</f>
        <v>0</v>
      </c>
      <c r="F89" s="1547">
        <f>'02_1_INCOME'!F12</f>
        <v>0</v>
      </c>
      <c r="G89" s="1548">
        <f>'02_1_INCOME'!M12</f>
        <v>0</v>
      </c>
      <c r="H89" s="1548">
        <f>'02_1_INCOME'!N12</f>
        <v>0</v>
      </c>
      <c r="I89" s="1548">
        <f>'02_1_INCOME'!T12</f>
        <v>0</v>
      </c>
      <c r="J89" s="1549">
        <f>'02_1_INCOME'!U12</f>
        <v>0</v>
      </c>
      <c r="K89" s="1555">
        <f t="shared" si="7"/>
        <v>0</v>
      </c>
      <c r="L89" s="1555" t="e">
        <f t="shared" si="8"/>
        <v>#DIV/0!</v>
      </c>
      <c r="M89" s="1548">
        <f>'02_1_INCOME'!O12</f>
        <v>0</v>
      </c>
      <c r="N89" s="1558">
        <f>'02_1_INCOME'!Q12</f>
        <v>0</v>
      </c>
    </row>
    <row r="90" spans="2:14" ht="15.75">
      <c r="D90" s="190">
        <f>'02_1_INCOME'!B13</f>
        <v>0</v>
      </c>
      <c r="E90" s="1555">
        <f>'02_1_INCOME'!D13</f>
        <v>0</v>
      </c>
      <c r="F90" s="1547">
        <f>'02_1_INCOME'!F13</f>
        <v>0</v>
      </c>
      <c r="G90" s="1548">
        <f>'02_1_INCOME'!M13</f>
        <v>0</v>
      </c>
      <c r="H90" s="1548">
        <f>'02_1_INCOME'!N13</f>
        <v>0</v>
      </c>
      <c r="I90" s="1548">
        <f>'02_1_INCOME'!T13</f>
        <v>0</v>
      </c>
      <c r="J90" s="1549">
        <f>'02_1_INCOME'!U13</f>
        <v>0</v>
      </c>
      <c r="K90" s="1555">
        <f t="shared" si="7"/>
        <v>0</v>
      </c>
      <c r="L90" s="1555" t="e">
        <f t="shared" si="8"/>
        <v>#DIV/0!</v>
      </c>
      <c r="M90" s="1548">
        <f>'02_1_INCOME'!O13</f>
        <v>0</v>
      </c>
      <c r="N90" s="1558">
        <f>'02_1_INCOME'!Q13</f>
        <v>0</v>
      </c>
    </row>
    <row r="91" spans="2:14" ht="15.75">
      <c r="D91" s="190">
        <f>'02_1_INCOME'!B14</f>
        <v>0</v>
      </c>
      <c r="E91" s="1555">
        <f>'02_1_INCOME'!D14</f>
        <v>0</v>
      </c>
      <c r="F91" s="1547">
        <f>'02_1_INCOME'!F14</f>
        <v>0</v>
      </c>
      <c r="G91" s="1548">
        <f>'02_1_INCOME'!M14</f>
        <v>0</v>
      </c>
      <c r="H91" s="1548">
        <f>'02_1_INCOME'!N14</f>
        <v>0</v>
      </c>
      <c r="I91" s="1548">
        <f>'02_1_INCOME'!T14</f>
        <v>0</v>
      </c>
      <c r="J91" s="1549">
        <f>'02_1_INCOME'!U14</f>
        <v>0</v>
      </c>
      <c r="K91" s="1555">
        <f t="shared" si="7"/>
        <v>0</v>
      </c>
      <c r="L91" s="1555" t="e">
        <f t="shared" si="8"/>
        <v>#DIV/0!</v>
      </c>
      <c r="M91" s="1548">
        <f>'02_1_INCOME'!O14</f>
        <v>0</v>
      </c>
      <c r="N91" s="1558">
        <f>'02_1_INCOME'!Q14</f>
        <v>0</v>
      </c>
    </row>
    <row r="92" spans="2:14" ht="15.75">
      <c r="D92" s="190">
        <f>'02_1_INCOME'!B15</f>
        <v>0</v>
      </c>
      <c r="E92" s="1555">
        <f>'02_1_INCOME'!D15</f>
        <v>0</v>
      </c>
      <c r="F92" s="1547">
        <f>'02_1_INCOME'!F15</f>
        <v>0</v>
      </c>
      <c r="G92" s="1548">
        <f>'02_1_INCOME'!M15</f>
        <v>0</v>
      </c>
      <c r="H92" s="1548">
        <f>'02_1_INCOME'!N15</f>
        <v>0</v>
      </c>
      <c r="I92" s="1548">
        <f>'02_1_INCOME'!T15</f>
        <v>0</v>
      </c>
      <c r="J92" s="1549">
        <f>'02_1_INCOME'!U15</f>
        <v>0</v>
      </c>
      <c r="K92" s="1555">
        <f t="shared" si="7"/>
        <v>0</v>
      </c>
      <c r="L92" s="1555" t="e">
        <f t="shared" si="8"/>
        <v>#DIV/0!</v>
      </c>
      <c r="M92" s="1548">
        <f>'02_1_INCOME'!O15</f>
        <v>0</v>
      </c>
      <c r="N92" s="1558">
        <f>'02_1_INCOME'!Q15</f>
        <v>0</v>
      </c>
    </row>
    <row r="93" spans="2:14" ht="15.75">
      <c r="D93" s="190">
        <f>'02_1_INCOME'!B16</f>
        <v>0</v>
      </c>
      <c r="E93" s="1555">
        <f>'02_1_INCOME'!D16</f>
        <v>0</v>
      </c>
      <c r="F93" s="1547">
        <f>'02_1_INCOME'!F16</f>
        <v>0</v>
      </c>
      <c r="G93" s="1548">
        <f>'02_1_INCOME'!M16</f>
        <v>0</v>
      </c>
      <c r="H93" s="1548">
        <f>'02_1_INCOME'!N16</f>
        <v>0</v>
      </c>
      <c r="I93" s="1548">
        <f>'02_1_INCOME'!T16</f>
        <v>0</v>
      </c>
      <c r="J93" s="1549">
        <f>'02_1_INCOME'!U16</f>
        <v>0</v>
      </c>
      <c r="K93" s="1555">
        <f t="shared" si="7"/>
        <v>0</v>
      </c>
      <c r="L93" s="1555" t="e">
        <f t="shared" si="8"/>
        <v>#DIV/0!</v>
      </c>
      <c r="M93" s="1548">
        <f>'02_1_INCOME'!O16</f>
        <v>0</v>
      </c>
      <c r="N93" s="1558">
        <f>'02_1_INCOME'!Q16</f>
        <v>0</v>
      </c>
    </row>
    <row r="94" spans="2:14" ht="15.75">
      <c r="D94" s="190">
        <f>'02_1_INCOME'!B17</f>
        <v>0</v>
      </c>
      <c r="E94" s="1555">
        <f>'02_1_INCOME'!D17</f>
        <v>0</v>
      </c>
      <c r="F94" s="1547">
        <f>'02_1_INCOME'!F17</f>
        <v>0</v>
      </c>
      <c r="G94" s="1548">
        <f>'02_1_INCOME'!M17</f>
        <v>0</v>
      </c>
      <c r="H94" s="1548">
        <f>'02_1_INCOME'!N17</f>
        <v>0</v>
      </c>
      <c r="I94" s="1548">
        <f>'02_1_INCOME'!T17</f>
        <v>0</v>
      </c>
      <c r="J94" s="1549">
        <f>'02_1_INCOME'!U17</f>
        <v>0</v>
      </c>
      <c r="K94" s="1555">
        <f t="shared" si="7"/>
        <v>0</v>
      </c>
      <c r="L94" s="1555" t="e">
        <f t="shared" si="8"/>
        <v>#DIV/0!</v>
      </c>
      <c r="M94" s="1548">
        <f>'02_1_INCOME'!O17</f>
        <v>0</v>
      </c>
      <c r="N94" s="1558">
        <f>'02_1_INCOME'!Q17</f>
        <v>0</v>
      </c>
    </row>
    <row r="95" spans="2:14" ht="15.75">
      <c r="D95" s="190">
        <f>'02_1_INCOME'!B18</f>
        <v>0</v>
      </c>
      <c r="E95" s="1555">
        <f>'02_1_INCOME'!D18</f>
        <v>0</v>
      </c>
      <c r="F95" s="1547">
        <f>'02_1_INCOME'!F18</f>
        <v>0</v>
      </c>
      <c r="G95" s="1548">
        <f>'02_1_INCOME'!M18</f>
        <v>0</v>
      </c>
      <c r="H95" s="1548">
        <f>'02_1_INCOME'!N18</f>
        <v>0</v>
      </c>
      <c r="I95" s="1548">
        <f>'02_1_INCOME'!T18</f>
        <v>0</v>
      </c>
      <c r="J95" s="1549">
        <f>'02_1_INCOME'!U18</f>
        <v>0</v>
      </c>
      <c r="K95" s="1555">
        <f t="shared" si="7"/>
        <v>0</v>
      </c>
      <c r="L95" s="1555" t="e">
        <f t="shared" si="8"/>
        <v>#DIV/0!</v>
      </c>
      <c r="M95" s="1548">
        <f>'02_1_INCOME'!O18</f>
        <v>0</v>
      </c>
      <c r="N95" s="1558">
        <f>'02_1_INCOME'!Q18</f>
        <v>0</v>
      </c>
    </row>
    <row r="96" spans="2:14" ht="15.75">
      <c r="D96" s="190">
        <f>'02_1_INCOME'!B19</f>
        <v>0</v>
      </c>
      <c r="E96" s="1555">
        <f>'02_1_INCOME'!D19</f>
        <v>0</v>
      </c>
      <c r="F96" s="1547">
        <f>'02_1_INCOME'!F19</f>
        <v>0</v>
      </c>
      <c r="G96" s="1548">
        <f>'02_1_INCOME'!M19</f>
        <v>0</v>
      </c>
      <c r="H96" s="1548">
        <f>'02_1_INCOME'!N19</f>
        <v>0</v>
      </c>
      <c r="I96" s="1548">
        <f>'02_1_INCOME'!T19</f>
        <v>0</v>
      </c>
      <c r="J96" s="1549">
        <f>'02_1_INCOME'!U19</f>
        <v>0</v>
      </c>
      <c r="K96" s="1555">
        <f t="shared" si="7"/>
        <v>0</v>
      </c>
      <c r="L96" s="1555" t="e">
        <f t="shared" si="8"/>
        <v>#DIV/0!</v>
      </c>
      <c r="M96" s="1548">
        <f>'02_1_INCOME'!O19</f>
        <v>0</v>
      </c>
      <c r="N96" s="1558">
        <f>'02_1_INCOME'!Q19</f>
        <v>0</v>
      </c>
    </row>
    <row r="97" spans="4:14" ht="15.75">
      <c r="D97" s="190">
        <f>'02_1_INCOME'!B20</f>
        <v>0</v>
      </c>
      <c r="E97" s="1555">
        <f>'02_1_INCOME'!D20</f>
        <v>0</v>
      </c>
      <c r="F97" s="1547">
        <f>'02_1_INCOME'!F20</f>
        <v>0</v>
      </c>
      <c r="G97" s="1548">
        <f>'02_1_INCOME'!M20</f>
        <v>0</v>
      </c>
      <c r="H97" s="1548">
        <f>'02_1_INCOME'!N20</f>
        <v>0</v>
      </c>
      <c r="I97" s="1548">
        <f>'02_1_INCOME'!T20</f>
        <v>0</v>
      </c>
      <c r="J97" s="1549">
        <f>'02_1_INCOME'!U20</f>
        <v>0</v>
      </c>
      <c r="K97" s="1555">
        <f t="shared" si="7"/>
        <v>0</v>
      </c>
      <c r="L97" s="1555" t="e">
        <f t="shared" si="8"/>
        <v>#DIV/0!</v>
      </c>
      <c r="M97" s="1548">
        <f>'02_1_INCOME'!O20</f>
        <v>0</v>
      </c>
      <c r="N97" s="1558">
        <f>'02_1_INCOME'!Q20</f>
        <v>0</v>
      </c>
    </row>
    <row r="98" spans="4:14" ht="15.75">
      <c r="D98" s="190">
        <f>'02_1_INCOME'!B21</f>
        <v>0</v>
      </c>
      <c r="E98" s="1555">
        <f>'02_1_INCOME'!D21</f>
        <v>0</v>
      </c>
      <c r="F98" s="1547">
        <f>'02_1_INCOME'!F21</f>
        <v>0</v>
      </c>
      <c r="G98" s="1548">
        <f>'02_1_INCOME'!M21</f>
        <v>0</v>
      </c>
      <c r="H98" s="1548">
        <f>'02_1_INCOME'!N21</f>
        <v>0</v>
      </c>
      <c r="I98" s="1548">
        <f>'02_1_INCOME'!T21</f>
        <v>0</v>
      </c>
      <c r="J98" s="1549">
        <f>'02_1_INCOME'!U21</f>
        <v>0</v>
      </c>
      <c r="K98" s="1555">
        <f t="shared" si="7"/>
        <v>0</v>
      </c>
      <c r="L98" s="1555" t="e">
        <f t="shared" si="8"/>
        <v>#DIV/0!</v>
      </c>
      <c r="M98" s="1548">
        <f>'02_1_INCOME'!O21</f>
        <v>0</v>
      </c>
      <c r="N98" s="1558">
        <f>'02_1_INCOME'!Q21</f>
        <v>0</v>
      </c>
    </row>
    <row r="99" spans="4:14" ht="15.75">
      <c r="D99" s="190">
        <f>'02_1_INCOME'!B22</f>
        <v>0</v>
      </c>
      <c r="E99" s="1555">
        <f>'02_1_INCOME'!D22</f>
        <v>0</v>
      </c>
      <c r="F99" s="1547">
        <f>'02_1_INCOME'!F22</f>
        <v>0</v>
      </c>
      <c r="G99" s="1548">
        <f>'02_1_INCOME'!M22</f>
        <v>0</v>
      </c>
      <c r="H99" s="1548">
        <f>'02_1_INCOME'!N22</f>
        <v>0</v>
      </c>
      <c r="I99" s="1548">
        <f>'02_1_INCOME'!T22</f>
        <v>0</v>
      </c>
      <c r="J99" s="1549">
        <f>'02_1_INCOME'!U22</f>
        <v>0</v>
      </c>
      <c r="K99" s="1555">
        <f t="shared" ref="K99:K114" si="9">IF(J99=0,0,G99/I99)</f>
        <v>0</v>
      </c>
      <c r="L99" s="1555" t="e">
        <f t="shared" ref="L99:L114" si="10">IF(OR(E99="", E99="Over 120%"),0, IF(LEFT(E99,2)="80", G99/I99*0.8, G99/I99*E99))</f>
        <v>#DIV/0!</v>
      </c>
      <c r="M99" s="1548">
        <f>'02_1_INCOME'!O22</f>
        <v>0</v>
      </c>
      <c r="N99" s="1558">
        <f>'02_1_INCOME'!Q22</f>
        <v>0</v>
      </c>
    </row>
    <row r="100" spans="4:14" ht="15.75">
      <c r="D100" s="190">
        <f>'02_1_INCOME'!B23</f>
        <v>0</v>
      </c>
      <c r="E100" s="1555">
        <f>'02_1_INCOME'!D23</f>
        <v>0</v>
      </c>
      <c r="F100" s="1547">
        <f>'02_1_INCOME'!F23</f>
        <v>0</v>
      </c>
      <c r="G100" s="1548">
        <f>'02_1_INCOME'!M23</f>
        <v>0</v>
      </c>
      <c r="H100" s="1548">
        <f>'02_1_INCOME'!N23</f>
        <v>0</v>
      </c>
      <c r="I100" s="1548">
        <f>'02_1_INCOME'!T23</f>
        <v>0</v>
      </c>
      <c r="J100" s="1549">
        <f>'02_1_INCOME'!U23</f>
        <v>0</v>
      </c>
      <c r="K100" s="1555">
        <f t="shared" si="9"/>
        <v>0</v>
      </c>
      <c r="L100" s="1555" t="e">
        <f t="shared" si="10"/>
        <v>#DIV/0!</v>
      </c>
      <c r="M100" s="1548">
        <f>'02_1_INCOME'!O23</f>
        <v>0</v>
      </c>
      <c r="N100" s="1558">
        <f>'02_1_INCOME'!Q23</f>
        <v>0</v>
      </c>
    </row>
    <row r="101" spans="4:14" ht="15.75">
      <c r="D101" s="190">
        <f>'02_1_INCOME'!B24</f>
        <v>0</v>
      </c>
      <c r="E101" s="1555">
        <f>'02_1_INCOME'!D24</f>
        <v>0</v>
      </c>
      <c r="F101" s="1547">
        <f>'02_1_INCOME'!F24</f>
        <v>0</v>
      </c>
      <c r="G101" s="1548">
        <f>'02_1_INCOME'!M24</f>
        <v>0</v>
      </c>
      <c r="H101" s="1548">
        <f>'02_1_INCOME'!N24</f>
        <v>0</v>
      </c>
      <c r="I101" s="1548">
        <f>'02_1_INCOME'!T24</f>
        <v>0</v>
      </c>
      <c r="J101" s="1549">
        <f>'02_1_INCOME'!U24</f>
        <v>0</v>
      </c>
      <c r="K101" s="1555">
        <f t="shared" si="9"/>
        <v>0</v>
      </c>
      <c r="L101" s="1555" t="e">
        <f t="shared" si="10"/>
        <v>#DIV/0!</v>
      </c>
      <c r="M101" s="1548">
        <f>'02_1_INCOME'!O24</f>
        <v>0</v>
      </c>
      <c r="N101" s="1558">
        <f>'02_1_INCOME'!Q24</f>
        <v>0</v>
      </c>
    </row>
    <row r="102" spans="4:14" ht="15.75">
      <c r="D102" s="190">
        <f>'02_1_INCOME'!B25</f>
        <v>0</v>
      </c>
      <c r="E102" s="1555">
        <f>'02_1_INCOME'!D25</f>
        <v>0</v>
      </c>
      <c r="F102" s="1547">
        <f>'02_1_INCOME'!F25</f>
        <v>0</v>
      </c>
      <c r="G102" s="1548">
        <f>'02_1_INCOME'!M25</f>
        <v>0</v>
      </c>
      <c r="H102" s="1548">
        <f>'02_1_INCOME'!N25</f>
        <v>0</v>
      </c>
      <c r="I102" s="1548">
        <f>'02_1_INCOME'!T25</f>
        <v>0</v>
      </c>
      <c r="J102" s="1549">
        <f>'02_1_INCOME'!U25</f>
        <v>0</v>
      </c>
      <c r="K102" s="1555">
        <f t="shared" si="9"/>
        <v>0</v>
      </c>
      <c r="L102" s="1555" t="e">
        <f t="shared" si="10"/>
        <v>#DIV/0!</v>
      </c>
      <c r="M102" s="1548">
        <f>'02_1_INCOME'!O25</f>
        <v>0</v>
      </c>
      <c r="N102" s="1558">
        <f>'02_1_INCOME'!Q25</f>
        <v>0</v>
      </c>
    </row>
    <row r="103" spans="4:14" ht="15.75">
      <c r="D103" s="190">
        <f>'02_1_INCOME'!B26</f>
        <v>0</v>
      </c>
      <c r="E103" s="1555">
        <f>'02_1_INCOME'!D26</f>
        <v>0</v>
      </c>
      <c r="F103" s="1547">
        <f>'02_1_INCOME'!F26</f>
        <v>0</v>
      </c>
      <c r="G103" s="1548">
        <f>'02_1_INCOME'!M26</f>
        <v>0</v>
      </c>
      <c r="H103" s="1548">
        <f>'02_1_INCOME'!N26</f>
        <v>0</v>
      </c>
      <c r="I103" s="1548">
        <f>'02_1_INCOME'!T26</f>
        <v>0</v>
      </c>
      <c r="J103" s="1549">
        <f>'02_1_INCOME'!U26</f>
        <v>0</v>
      </c>
      <c r="K103" s="1555">
        <f t="shared" si="9"/>
        <v>0</v>
      </c>
      <c r="L103" s="1555" t="e">
        <f t="shared" si="10"/>
        <v>#DIV/0!</v>
      </c>
      <c r="M103" s="1548">
        <f>'02_1_INCOME'!O26</f>
        <v>0</v>
      </c>
      <c r="N103" s="1558">
        <f>'02_1_INCOME'!Q26</f>
        <v>0</v>
      </c>
    </row>
    <row r="104" spans="4:14" ht="15.75">
      <c r="D104" s="190">
        <f>'02_1_INCOME'!B27</f>
        <v>0</v>
      </c>
      <c r="E104" s="1555">
        <f>'02_1_INCOME'!D27</f>
        <v>0</v>
      </c>
      <c r="F104" s="1547">
        <f>'02_1_INCOME'!F27</f>
        <v>0</v>
      </c>
      <c r="G104" s="1548">
        <f>'02_1_INCOME'!M27</f>
        <v>0</v>
      </c>
      <c r="H104" s="1548">
        <f>'02_1_INCOME'!N27</f>
        <v>0</v>
      </c>
      <c r="I104" s="1548">
        <f>'02_1_INCOME'!T27</f>
        <v>0</v>
      </c>
      <c r="J104" s="1549">
        <f>'02_1_INCOME'!U27</f>
        <v>0</v>
      </c>
      <c r="K104" s="1555">
        <f t="shared" si="9"/>
        <v>0</v>
      </c>
      <c r="L104" s="1555" t="e">
        <f t="shared" si="10"/>
        <v>#DIV/0!</v>
      </c>
      <c r="M104" s="1548">
        <f>'02_1_INCOME'!O27</f>
        <v>0</v>
      </c>
      <c r="N104" s="1558">
        <f>'02_1_INCOME'!Q27</f>
        <v>0</v>
      </c>
    </row>
    <row r="105" spans="4:14" ht="15.75">
      <c r="D105" s="190">
        <f>'02_1_INCOME'!B28</f>
        <v>0</v>
      </c>
      <c r="E105" s="1555">
        <f>'02_1_INCOME'!D28</f>
        <v>0</v>
      </c>
      <c r="F105" s="1547">
        <f>'02_1_INCOME'!F28</f>
        <v>0</v>
      </c>
      <c r="G105" s="1548">
        <f>'02_1_INCOME'!M28</f>
        <v>0</v>
      </c>
      <c r="H105" s="1548">
        <f>'02_1_INCOME'!N28</f>
        <v>0</v>
      </c>
      <c r="I105" s="1548">
        <f>'02_1_INCOME'!T28</f>
        <v>0</v>
      </c>
      <c r="J105" s="1549">
        <f>'02_1_INCOME'!U28</f>
        <v>0</v>
      </c>
      <c r="K105" s="1555">
        <f t="shared" si="9"/>
        <v>0</v>
      </c>
      <c r="L105" s="1555" t="e">
        <f t="shared" si="10"/>
        <v>#DIV/0!</v>
      </c>
      <c r="M105" s="1548">
        <f>'02_1_INCOME'!O28</f>
        <v>0</v>
      </c>
      <c r="N105" s="1558">
        <f>'02_1_INCOME'!Q28</f>
        <v>0</v>
      </c>
    </row>
    <row r="106" spans="4:14" ht="15.75">
      <c r="D106" s="190">
        <f>'02_1_INCOME'!B29</f>
        <v>0</v>
      </c>
      <c r="E106" s="1555">
        <f>'02_1_INCOME'!D29</f>
        <v>0</v>
      </c>
      <c r="F106" s="1547">
        <f>'02_1_INCOME'!F29</f>
        <v>0</v>
      </c>
      <c r="G106" s="1548">
        <f>'02_1_INCOME'!M29</f>
        <v>0</v>
      </c>
      <c r="H106" s="1548">
        <f>'02_1_INCOME'!N29</f>
        <v>0</v>
      </c>
      <c r="I106" s="1548">
        <f>'02_1_INCOME'!T29</f>
        <v>0</v>
      </c>
      <c r="J106" s="1549">
        <f>'02_1_INCOME'!U29</f>
        <v>0</v>
      </c>
      <c r="K106" s="1555">
        <f t="shared" si="9"/>
        <v>0</v>
      </c>
      <c r="L106" s="1555" t="e">
        <f t="shared" si="10"/>
        <v>#DIV/0!</v>
      </c>
      <c r="M106" s="1548">
        <f>'02_1_INCOME'!O29</f>
        <v>0</v>
      </c>
      <c r="N106" s="1558">
        <f>'02_1_INCOME'!Q29</f>
        <v>0</v>
      </c>
    </row>
    <row r="107" spans="4:14" ht="15.75">
      <c r="D107" s="190">
        <f>'02_1_INCOME'!B30</f>
        <v>0</v>
      </c>
      <c r="E107" s="1555">
        <f>'02_1_INCOME'!D30</f>
        <v>0</v>
      </c>
      <c r="F107" s="1547">
        <f>'02_1_INCOME'!F30</f>
        <v>0</v>
      </c>
      <c r="G107" s="1548">
        <f>'02_1_INCOME'!M30</f>
        <v>0</v>
      </c>
      <c r="H107" s="1548">
        <f>'02_1_INCOME'!N30</f>
        <v>0</v>
      </c>
      <c r="I107" s="1548">
        <f>'02_1_INCOME'!T30</f>
        <v>0</v>
      </c>
      <c r="J107" s="1549">
        <f>'02_1_INCOME'!U30</f>
        <v>0</v>
      </c>
      <c r="K107" s="1555">
        <f t="shared" si="9"/>
        <v>0</v>
      </c>
      <c r="L107" s="1555" t="e">
        <f t="shared" si="10"/>
        <v>#DIV/0!</v>
      </c>
      <c r="M107" s="1548">
        <f>'02_1_INCOME'!O30</f>
        <v>0</v>
      </c>
      <c r="N107" s="1558">
        <f>'02_1_INCOME'!Q30</f>
        <v>0</v>
      </c>
    </row>
    <row r="108" spans="4:14" ht="15.75">
      <c r="D108" s="190">
        <f>'02_1_INCOME'!B31</f>
        <v>0</v>
      </c>
      <c r="E108" s="1555">
        <f>'02_1_INCOME'!D31</f>
        <v>0</v>
      </c>
      <c r="F108" s="1547">
        <f>'02_1_INCOME'!F31</f>
        <v>0</v>
      </c>
      <c r="G108" s="1548">
        <f>'02_1_INCOME'!M31</f>
        <v>0</v>
      </c>
      <c r="H108" s="1548">
        <f>'02_1_INCOME'!N31</f>
        <v>0</v>
      </c>
      <c r="I108" s="1548">
        <f>'02_1_INCOME'!T31</f>
        <v>0</v>
      </c>
      <c r="J108" s="1549">
        <f>'02_1_INCOME'!U31</f>
        <v>0</v>
      </c>
      <c r="K108" s="1555">
        <f t="shared" si="9"/>
        <v>0</v>
      </c>
      <c r="L108" s="1555" t="e">
        <f t="shared" si="10"/>
        <v>#DIV/0!</v>
      </c>
      <c r="M108" s="1548">
        <f>'02_1_INCOME'!O31</f>
        <v>0</v>
      </c>
      <c r="N108" s="1558">
        <f>'02_1_INCOME'!Q31</f>
        <v>0</v>
      </c>
    </row>
    <row r="109" spans="4:14" ht="15.75">
      <c r="D109" s="190">
        <f>'02_1_INCOME'!B32</f>
        <v>0</v>
      </c>
      <c r="E109" s="1555">
        <f>'02_1_INCOME'!D32</f>
        <v>0</v>
      </c>
      <c r="F109" s="1547">
        <f>'02_1_INCOME'!F32</f>
        <v>0</v>
      </c>
      <c r="G109" s="1548">
        <f>'02_1_INCOME'!M32</f>
        <v>0</v>
      </c>
      <c r="H109" s="1548">
        <f>'02_1_INCOME'!N32</f>
        <v>0</v>
      </c>
      <c r="I109" s="1548">
        <f>'02_1_INCOME'!T32</f>
        <v>0</v>
      </c>
      <c r="J109" s="1549">
        <f>'02_1_INCOME'!U32</f>
        <v>0</v>
      </c>
      <c r="K109" s="1555">
        <f t="shared" si="9"/>
        <v>0</v>
      </c>
      <c r="L109" s="1555" t="e">
        <f t="shared" si="10"/>
        <v>#DIV/0!</v>
      </c>
      <c r="M109" s="1548">
        <f>'02_1_INCOME'!O32</f>
        <v>0</v>
      </c>
      <c r="N109" s="1558">
        <f>'02_1_INCOME'!Q32</f>
        <v>0</v>
      </c>
    </row>
    <row r="110" spans="4:14" ht="15.75">
      <c r="D110" s="190">
        <f>'02_1_INCOME'!B33</f>
        <v>0</v>
      </c>
      <c r="E110" s="1555">
        <f>'02_1_INCOME'!D33</f>
        <v>0</v>
      </c>
      <c r="F110" s="1547">
        <f>'02_1_INCOME'!F33</f>
        <v>0</v>
      </c>
      <c r="G110" s="1548">
        <f>'02_1_INCOME'!M33</f>
        <v>0</v>
      </c>
      <c r="H110" s="1548">
        <f>'02_1_INCOME'!N33</f>
        <v>0</v>
      </c>
      <c r="I110" s="1548">
        <f>'02_1_INCOME'!T33</f>
        <v>0</v>
      </c>
      <c r="J110" s="1549">
        <f>'02_1_INCOME'!U33</f>
        <v>0</v>
      </c>
      <c r="K110" s="1555">
        <f t="shared" si="9"/>
        <v>0</v>
      </c>
      <c r="L110" s="1555" t="e">
        <f t="shared" si="10"/>
        <v>#DIV/0!</v>
      </c>
      <c r="M110" s="1548">
        <f>'02_1_INCOME'!O33</f>
        <v>0</v>
      </c>
      <c r="N110" s="1558">
        <f>'02_1_INCOME'!Q33</f>
        <v>0</v>
      </c>
    </row>
    <row r="111" spans="4:14" ht="15.75">
      <c r="D111" s="190">
        <f>'02_1_INCOME'!B34</f>
        <v>0</v>
      </c>
      <c r="E111" s="1555">
        <f>'02_1_INCOME'!D34</f>
        <v>0</v>
      </c>
      <c r="F111" s="1547">
        <f>'02_1_INCOME'!F34</f>
        <v>0</v>
      </c>
      <c r="G111" s="1548">
        <f>'02_1_INCOME'!M34</f>
        <v>0</v>
      </c>
      <c r="H111" s="1548">
        <f>'02_1_INCOME'!N34</f>
        <v>0</v>
      </c>
      <c r="I111" s="1548">
        <f>'02_1_INCOME'!T34</f>
        <v>0</v>
      </c>
      <c r="J111" s="1549">
        <f>'02_1_INCOME'!U34</f>
        <v>0</v>
      </c>
      <c r="K111" s="1555">
        <f t="shared" si="9"/>
        <v>0</v>
      </c>
      <c r="L111" s="1555" t="e">
        <f t="shared" si="10"/>
        <v>#DIV/0!</v>
      </c>
      <c r="M111" s="1548">
        <f>'02_1_INCOME'!O34</f>
        <v>0</v>
      </c>
      <c r="N111" s="1558">
        <f>'02_1_INCOME'!Q34</f>
        <v>0</v>
      </c>
    </row>
    <row r="112" spans="4:14" ht="15.75">
      <c r="D112" s="190">
        <f>'02_1_INCOME'!B35</f>
        <v>0</v>
      </c>
      <c r="E112" s="1555">
        <f>'02_1_INCOME'!D35</f>
        <v>0</v>
      </c>
      <c r="F112" s="1547">
        <f>'02_1_INCOME'!F35</f>
        <v>0</v>
      </c>
      <c r="G112" s="1548">
        <f>'02_1_INCOME'!M35</f>
        <v>0</v>
      </c>
      <c r="H112" s="1548">
        <f>'02_1_INCOME'!N35</f>
        <v>0</v>
      </c>
      <c r="I112" s="1548">
        <f>'02_1_INCOME'!T35</f>
        <v>0</v>
      </c>
      <c r="J112" s="1549">
        <f>'02_1_INCOME'!U35</f>
        <v>0</v>
      </c>
      <c r="K112" s="1555">
        <f t="shared" si="9"/>
        <v>0</v>
      </c>
      <c r="L112" s="1555" t="e">
        <f t="shared" si="10"/>
        <v>#DIV/0!</v>
      </c>
      <c r="M112" s="1548">
        <f>'02_1_INCOME'!O35</f>
        <v>0</v>
      </c>
      <c r="N112" s="1558">
        <f>'02_1_INCOME'!Q35</f>
        <v>0</v>
      </c>
    </row>
    <row r="113" spans="4:14" ht="15.75">
      <c r="D113" s="190">
        <f>'02_1_INCOME'!B36</f>
        <v>0</v>
      </c>
      <c r="E113" s="1555">
        <f>'02_1_INCOME'!D36</f>
        <v>0</v>
      </c>
      <c r="F113" s="1547">
        <f>'02_1_INCOME'!F36</f>
        <v>0</v>
      </c>
      <c r="G113" s="1548">
        <f>'02_1_INCOME'!M36</f>
        <v>0</v>
      </c>
      <c r="H113" s="1548">
        <f>'02_1_INCOME'!N36</f>
        <v>0</v>
      </c>
      <c r="I113" s="1548">
        <f>'02_1_INCOME'!T36</f>
        <v>0</v>
      </c>
      <c r="J113" s="1549">
        <f>'02_1_INCOME'!U36</f>
        <v>0</v>
      </c>
      <c r="K113" s="1555">
        <f t="shared" si="9"/>
        <v>0</v>
      </c>
      <c r="L113" s="1555" t="e">
        <f t="shared" si="10"/>
        <v>#DIV/0!</v>
      </c>
      <c r="M113" s="1548">
        <f>'02_1_INCOME'!O36</f>
        <v>0</v>
      </c>
      <c r="N113" s="1558">
        <f>'02_1_INCOME'!Q36</f>
        <v>0</v>
      </c>
    </row>
    <row r="114" spans="4:14" ht="15.75">
      <c r="D114" s="190">
        <f>'02_1_INCOME'!B37</f>
        <v>0</v>
      </c>
      <c r="E114" s="1555">
        <f>'02_1_INCOME'!D37</f>
        <v>0</v>
      </c>
      <c r="F114" s="1547">
        <f>'02_1_INCOME'!F37</f>
        <v>0</v>
      </c>
      <c r="G114" s="1548">
        <f>'02_1_INCOME'!M37</f>
        <v>0</v>
      </c>
      <c r="H114" s="1548">
        <f>'02_1_INCOME'!N37</f>
        <v>0</v>
      </c>
      <c r="I114" s="1548">
        <f>'02_1_INCOME'!T37</f>
        <v>0</v>
      </c>
      <c r="J114" s="1549">
        <f>'02_1_INCOME'!U37</f>
        <v>0</v>
      </c>
      <c r="K114" s="1555">
        <f t="shared" si="9"/>
        <v>0</v>
      </c>
      <c r="L114" s="1555" t="e">
        <f t="shared" si="10"/>
        <v>#DIV/0!</v>
      </c>
      <c r="M114" s="1548">
        <f>'02_1_INCOME'!O37</f>
        <v>0</v>
      </c>
      <c r="N114" s="1558">
        <f>'02_1_INCOME'!Q37</f>
        <v>0</v>
      </c>
    </row>
    <row r="115" spans="4:14" ht="15.75">
      <c r="D115" s="1550" t="s">
        <v>1002</v>
      </c>
      <c r="E115" s="1550"/>
      <c r="F115" s="1551">
        <f>SUM(F85:F114)</f>
        <v>0</v>
      </c>
      <c r="G115" s="1552"/>
      <c r="H115" s="1550"/>
      <c r="I115" s="1553"/>
      <c r="J115" s="1554" t="e">
        <f>'02_1_INCOME'!U38</f>
        <v>#DIV/0!</v>
      </c>
      <c r="K115" s="1556" t="e">
        <f>SUMPRODUCT(K85:K114,F85:F114)/SUM(F85:F114)</f>
        <v>#DIV/0!</v>
      </c>
      <c r="L115" s="1554"/>
      <c r="M115" s="1554"/>
      <c r="N115" s="1554" t="e">
        <f>'02_1_INCOME'!Q38</f>
        <v>#DIV/0!</v>
      </c>
    </row>
    <row r="116" spans="4:14"/>
    <row r="117" spans="4:14"/>
    <row r="118" spans="4:14"/>
    <row r="119" spans="4:14" ht="47.25">
      <c r="D119" s="1545" t="str">
        <f>D84</f>
        <v>Unit</v>
      </c>
      <c r="E119" s="1545" t="str">
        <f t="shared" ref="E119:G119" si="11">E84</f>
        <v>Rent Type</v>
      </c>
      <c r="F119" s="1546" t="str">
        <f t="shared" si="11"/>
        <v>Number of Units</v>
      </c>
      <c r="G119" s="1545" t="str">
        <f t="shared" si="11"/>
        <v>Gross Rent</v>
      </c>
      <c r="H119" s="1546" t="str">
        <f t="shared" ref="H119:H133" si="12">I84</f>
        <v>LIHTC Max Rent</v>
      </c>
      <c r="I119" s="1546" t="str">
        <f t="shared" ref="I119:I133" si="13">K84</f>
        <v>Gross Rent as a % of LIHTC Max Rent</v>
      </c>
      <c r="J119" s="1546" t="str">
        <f t="shared" ref="J119:J133" si="14">N84</f>
        <v>Discount from Market Rent</v>
      </c>
    </row>
    <row r="120" spans="4:14" ht="15.75">
      <c r="D120" s="190">
        <f>D85</f>
        <v>0</v>
      </c>
      <c r="E120" s="752">
        <f t="shared" ref="E120:G120" si="15">E85</f>
        <v>0</v>
      </c>
      <c r="F120" s="1547">
        <f t="shared" si="15"/>
        <v>0</v>
      </c>
      <c r="G120" s="1548">
        <f t="shared" si="15"/>
        <v>0</v>
      </c>
      <c r="H120" s="1548">
        <f t="shared" si="12"/>
        <v>0</v>
      </c>
      <c r="I120" s="1558">
        <f t="shared" si="13"/>
        <v>0</v>
      </c>
      <c r="J120" s="1549">
        <f t="shared" si="14"/>
        <v>0</v>
      </c>
    </row>
    <row r="121" spans="4:14" ht="15.75">
      <c r="D121" s="190">
        <f t="shared" ref="D121:G121" si="16">D86</f>
        <v>0</v>
      </c>
      <c r="E121" s="752">
        <f t="shared" si="16"/>
        <v>0</v>
      </c>
      <c r="F121" s="1547">
        <f t="shared" si="16"/>
        <v>0</v>
      </c>
      <c r="G121" s="1548">
        <f t="shared" si="16"/>
        <v>0</v>
      </c>
      <c r="H121" s="1548">
        <f t="shared" si="12"/>
        <v>0</v>
      </c>
      <c r="I121" s="1558">
        <f t="shared" si="13"/>
        <v>0</v>
      </c>
      <c r="J121" s="1549">
        <f t="shared" si="14"/>
        <v>0</v>
      </c>
    </row>
    <row r="122" spans="4:14" ht="15.75">
      <c r="D122" s="190">
        <f t="shared" ref="D122:G122" si="17">D87</f>
        <v>0</v>
      </c>
      <c r="E122" s="752">
        <f t="shared" si="17"/>
        <v>0</v>
      </c>
      <c r="F122" s="1547">
        <f t="shared" si="17"/>
        <v>0</v>
      </c>
      <c r="G122" s="1548">
        <f t="shared" si="17"/>
        <v>0</v>
      </c>
      <c r="H122" s="1548">
        <f t="shared" si="12"/>
        <v>0</v>
      </c>
      <c r="I122" s="1558">
        <f t="shared" si="13"/>
        <v>0</v>
      </c>
      <c r="J122" s="1549">
        <f t="shared" si="14"/>
        <v>0</v>
      </c>
    </row>
    <row r="123" spans="4:14" ht="15.75">
      <c r="D123" s="190">
        <f t="shared" ref="D123:G123" si="18">D88</f>
        <v>0</v>
      </c>
      <c r="E123" s="752">
        <f t="shared" si="18"/>
        <v>0</v>
      </c>
      <c r="F123" s="1547">
        <f t="shared" si="18"/>
        <v>0</v>
      </c>
      <c r="G123" s="1548">
        <f t="shared" si="18"/>
        <v>0</v>
      </c>
      <c r="H123" s="1548">
        <f t="shared" si="12"/>
        <v>0</v>
      </c>
      <c r="I123" s="1558">
        <f t="shared" si="13"/>
        <v>0</v>
      </c>
      <c r="J123" s="1549">
        <f t="shared" si="14"/>
        <v>0</v>
      </c>
    </row>
    <row r="124" spans="4:14" ht="15.75">
      <c r="D124" s="190">
        <f t="shared" ref="D124:G124" si="19">D89</f>
        <v>0</v>
      </c>
      <c r="E124" s="752">
        <f t="shared" si="19"/>
        <v>0</v>
      </c>
      <c r="F124" s="1547">
        <f t="shared" si="19"/>
        <v>0</v>
      </c>
      <c r="G124" s="1548">
        <f t="shared" si="19"/>
        <v>0</v>
      </c>
      <c r="H124" s="1548">
        <f t="shared" si="12"/>
        <v>0</v>
      </c>
      <c r="I124" s="1558">
        <f t="shared" si="13"/>
        <v>0</v>
      </c>
      <c r="J124" s="1549">
        <f t="shared" si="14"/>
        <v>0</v>
      </c>
    </row>
    <row r="125" spans="4:14" ht="15.75">
      <c r="D125" s="190">
        <f t="shared" ref="D125:G125" si="20">D90</f>
        <v>0</v>
      </c>
      <c r="E125" s="752">
        <f t="shared" si="20"/>
        <v>0</v>
      </c>
      <c r="F125" s="1547">
        <f t="shared" si="20"/>
        <v>0</v>
      </c>
      <c r="G125" s="1548">
        <f t="shared" si="20"/>
        <v>0</v>
      </c>
      <c r="H125" s="1548">
        <f t="shared" si="12"/>
        <v>0</v>
      </c>
      <c r="I125" s="1558">
        <f t="shared" si="13"/>
        <v>0</v>
      </c>
      <c r="J125" s="1549">
        <f t="shared" si="14"/>
        <v>0</v>
      </c>
    </row>
    <row r="126" spans="4:14" ht="15.75">
      <c r="D126" s="190">
        <f t="shared" ref="D126:G126" si="21">D91</f>
        <v>0</v>
      </c>
      <c r="E126" s="752">
        <f t="shared" si="21"/>
        <v>0</v>
      </c>
      <c r="F126" s="1547">
        <f t="shared" si="21"/>
        <v>0</v>
      </c>
      <c r="G126" s="1548">
        <f t="shared" si="21"/>
        <v>0</v>
      </c>
      <c r="H126" s="1548">
        <f t="shared" si="12"/>
        <v>0</v>
      </c>
      <c r="I126" s="1558">
        <f t="shared" si="13"/>
        <v>0</v>
      </c>
      <c r="J126" s="1549">
        <f t="shared" si="14"/>
        <v>0</v>
      </c>
    </row>
    <row r="127" spans="4:14" ht="15.75">
      <c r="D127" s="190">
        <f t="shared" ref="D127:G127" si="22">D92</f>
        <v>0</v>
      </c>
      <c r="E127" s="752">
        <f t="shared" si="22"/>
        <v>0</v>
      </c>
      <c r="F127" s="1547">
        <f t="shared" si="22"/>
        <v>0</v>
      </c>
      <c r="G127" s="1548">
        <f t="shared" si="22"/>
        <v>0</v>
      </c>
      <c r="H127" s="1548">
        <f t="shared" si="12"/>
        <v>0</v>
      </c>
      <c r="I127" s="1558">
        <f t="shared" si="13"/>
        <v>0</v>
      </c>
      <c r="J127" s="1549">
        <f t="shared" si="14"/>
        <v>0</v>
      </c>
    </row>
    <row r="128" spans="4:14" ht="15.75">
      <c r="D128" s="190">
        <f t="shared" ref="D128:G128" si="23">D93</f>
        <v>0</v>
      </c>
      <c r="E128" s="752">
        <f t="shared" si="23"/>
        <v>0</v>
      </c>
      <c r="F128" s="1547">
        <f t="shared" si="23"/>
        <v>0</v>
      </c>
      <c r="G128" s="1548">
        <f t="shared" si="23"/>
        <v>0</v>
      </c>
      <c r="H128" s="1548">
        <f t="shared" si="12"/>
        <v>0</v>
      </c>
      <c r="I128" s="1558">
        <f t="shared" si="13"/>
        <v>0</v>
      </c>
      <c r="J128" s="1549">
        <f t="shared" si="14"/>
        <v>0</v>
      </c>
    </row>
    <row r="129" spans="4:10" ht="15.75">
      <c r="D129" s="190">
        <f t="shared" ref="D129:G129" si="24">D94</f>
        <v>0</v>
      </c>
      <c r="E129" s="752">
        <f t="shared" si="24"/>
        <v>0</v>
      </c>
      <c r="F129" s="1547">
        <f t="shared" si="24"/>
        <v>0</v>
      </c>
      <c r="G129" s="1548">
        <f t="shared" si="24"/>
        <v>0</v>
      </c>
      <c r="H129" s="1548">
        <f t="shared" si="12"/>
        <v>0</v>
      </c>
      <c r="I129" s="1558">
        <f t="shared" si="13"/>
        <v>0</v>
      </c>
      <c r="J129" s="1549">
        <f t="shared" si="14"/>
        <v>0</v>
      </c>
    </row>
    <row r="130" spans="4:10" ht="15.75">
      <c r="D130" s="190">
        <f t="shared" ref="D130:G130" si="25">D95</f>
        <v>0</v>
      </c>
      <c r="E130" s="752">
        <f t="shared" si="25"/>
        <v>0</v>
      </c>
      <c r="F130" s="1547">
        <f t="shared" si="25"/>
        <v>0</v>
      </c>
      <c r="G130" s="1548">
        <f t="shared" si="25"/>
        <v>0</v>
      </c>
      <c r="H130" s="1548">
        <f t="shared" si="12"/>
        <v>0</v>
      </c>
      <c r="I130" s="1558">
        <f t="shared" si="13"/>
        <v>0</v>
      </c>
      <c r="J130" s="1549">
        <f t="shared" si="14"/>
        <v>0</v>
      </c>
    </row>
    <row r="131" spans="4:10" ht="15.75">
      <c r="D131" s="190">
        <f t="shared" ref="D131:G131" si="26">D96</f>
        <v>0</v>
      </c>
      <c r="E131" s="752">
        <f t="shared" si="26"/>
        <v>0</v>
      </c>
      <c r="F131" s="1547">
        <f t="shared" si="26"/>
        <v>0</v>
      </c>
      <c r="G131" s="1548">
        <f t="shared" si="26"/>
        <v>0</v>
      </c>
      <c r="H131" s="1548">
        <f t="shared" si="12"/>
        <v>0</v>
      </c>
      <c r="I131" s="1558">
        <f t="shared" si="13"/>
        <v>0</v>
      </c>
      <c r="J131" s="1549">
        <f t="shared" si="14"/>
        <v>0</v>
      </c>
    </row>
    <row r="132" spans="4:10" ht="15.75">
      <c r="D132" s="190">
        <f t="shared" ref="D132:G132" si="27">D97</f>
        <v>0</v>
      </c>
      <c r="E132" s="752">
        <f t="shared" si="27"/>
        <v>0</v>
      </c>
      <c r="F132" s="1547">
        <f t="shared" si="27"/>
        <v>0</v>
      </c>
      <c r="G132" s="1548">
        <f t="shared" si="27"/>
        <v>0</v>
      </c>
      <c r="H132" s="1548">
        <f t="shared" si="12"/>
        <v>0</v>
      </c>
      <c r="I132" s="1558">
        <f t="shared" si="13"/>
        <v>0</v>
      </c>
      <c r="J132" s="1549">
        <f t="shared" si="14"/>
        <v>0</v>
      </c>
    </row>
    <row r="133" spans="4:10" ht="15.75">
      <c r="D133" s="190">
        <f t="shared" ref="D133:G133" si="28">D98</f>
        <v>0</v>
      </c>
      <c r="E133" s="752">
        <f t="shared" si="28"/>
        <v>0</v>
      </c>
      <c r="F133" s="1547">
        <f t="shared" si="28"/>
        <v>0</v>
      </c>
      <c r="G133" s="1548">
        <f t="shared" si="28"/>
        <v>0</v>
      </c>
      <c r="H133" s="1548">
        <f t="shared" si="12"/>
        <v>0</v>
      </c>
      <c r="I133" s="1558">
        <f t="shared" si="13"/>
        <v>0</v>
      </c>
      <c r="J133" s="1549">
        <f t="shared" si="14"/>
        <v>0</v>
      </c>
    </row>
    <row r="134" spans="4:10" ht="15.75">
      <c r="D134" s="190">
        <f t="shared" ref="D134:G134" si="29">D99</f>
        <v>0</v>
      </c>
      <c r="E134" s="752">
        <f t="shared" si="29"/>
        <v>0</v>
      </c>
      <c r="F134" s="1547">
        <f t="shared" si="29"/>
        <v>0</v>
      </c>
      <c r="G134" s="1548">
        <f t="shared" si="29"/>
        <v>0</v>
      </c>
      <c r="H134" s="1548">
        <f t="shared" ref="H134:H149" si="30">I99</f>
        <v>0</v>
      </c>
      <c r="I134" s="1558">
        <f t="shared" ref="I134:I149" si="31">K99</f>
        <v>0</v>
      </c>
      <c r="J134" s="1549">
        <f t="shared" ref="J134:J149" si="32">N99</f>
        <v>0</v>
      </c>
    </row>
    <row r="135" spans="4:10" ht="15.75">
      <c r="D135" s="190">
        <f t="shared" ref="D135:G135" si="33">D100</f>
        <v>0</v>
      </c>
      <c r="E135" s="752">
        <f t="shared" si="33"/>
        <v>0</v>
      </c>
      <c r="F135" s="1547">
        <f t="shared" si="33"/>
        <v>0</v>
      </c>
      <c r="G135" s="1548">
        <f t="shared" si="33"/>
        <v>0</v>
      </c>
      <c r="H135" s="1548">
        <f t="shared" si="30"/>
        <v>0</v>
      </c>
      <c r="I135" s="1558">
        <f t="shared" si="31"/>
        <v>0</v>
      </c>
      <c r="J135" s="1549">
        <f t="shared" si="32"/>
        <v>0</v>
      </c>
    </row>
    <row r="136" spans="4:10" ht="15.75">
      <c r="D136" s="190">
        <f t="shared" ref="D136:G136" si="34">D101</f>
        <v>0</v>
      </c>
      <c r="E136" s="752">
        <f t="shared" si="34"/>
        <v>0</v>
      </c>
      <c r="F136" s="1547">
        <f t="shared" si="34"/>
        <v>0</v>
      </c>
      <c r="G136" s="1548">
        <f t="shared" si="34"/>
        <v>0</v>
      </c>
      <c r="H136" s="1548">
        <f t="shared" si="30"/>
        <v>0</v>
      </c>
      <c r="I136" s="1558">
        <f t="shared" si="31"/>
        <v>0</v>
      </c>
      <c r="J136" s="1549">
        <f t="shared" si="32"/>
        <v>0</v>
      </c>
    </row>
    <row r="137" spans="4:10" ht="15.75">
      <c r="D137" s="190">
        <f t="shared" ref="D137:G137" si="35">D102</f>
        <v>0</v>
      </c>
      <c r="E137" s="752">
        <f t="shared" si="35"/>
        <v>0</v>
      </c>
      <c r="F137" s="1547">
        <f t="shared" si="35"/>
        <v>0</v>
      </c>
      <c r="G137" s="1548">
        <f t="shared" si="35"/>
        <v>0</v>
      </c>
      <c r="H137" s="1548">
        <f t="shared" si="30"/>
        <v>0</v>
      </c>
      <c r="I137" s="1558">
        <f t="shared" si="31"/>
        <v>0</v>
      </c>
      <c r="J137" s="1549">
        <f t="shared" si="32"/>
        <v>0</v>
      </c>
    </row>
    <row r="138" spans="4:10" ht="15.75">
      <c r="D138" s="190">
        <f t="shared" ref="D138:G138" si="36">D103</f>
        <v>0</v>
      </c>
      <c r="E138" s="752">
        <f t="shared" si="36"/>
        <v>0</v>
      </c>
      <c r="F138" s="1547">
        <f t="shared" si="36"/>
        <v>0</v>
      </c>
      <c r="G138" s="1548">
        <f t="shared" si="36"/>
        <v>0</v>
      </c>
      <c r="H138" s="1548">
        <f t="shared" si="30"/>
        <v>0</v>
      </c>
      <c r="I138" s="1558">
        <f t="shared" si="31"/>
        <v>0</v>
      </c>
      <c r="J138" s="1549">
        <f t="shared" si="32"/>
        <v>0</v>
      </c>
    </row>
    <row r="139" spans="4:10" ht="15.75">
      <c r="D139" s="190">
        <f t="shared" ref="D139:G139" si="37">D104</f>
        <v>0</v>
      </c>
      <c r="E139" s="752">
        <f t="shared" si="37"/>
        <v>0</v>
      </c>
      <c r="F139" s="1547">
        <f t="shared" si="37"/>
        <v>0</v>
      </c>
      <c r="G139" s="1548">
        <f t="shared" si="37"/>
        <v>0</v>
      </c>
      <c r="H139" s="1548">
        <f t="shared" si="30"/>
        <v>0</v>
      </c>
      <c r="I139" s="1558">
        <f t="shared" si="31"/>
        <v>0</v>
      </c>
      <c r="J139" s="1549">
        <f t="shared" si="32"/>
        <v>0</v>
      </c>
    </row>
    <row r="140" spans="4:10" ht="15.75">
      <c r="D140" s="190">
        <f t="shared" ref="D140:G140" si="38">D105</f>
        <v>0</v>
      </c>
      <c r="E140" s="752">
        <f t="shared" si="38"/>
        <v>0</v>
      </c>
      <c r="F140" s="1547">
        <f t="shared" si="38"/>
        <v>0</v>
      </c>
      <c r="G140" s="1548">
        <f t="shared" si="38"/>
        <v>0</v>
      </c>
      <c r="H140" s="1548">
        <f t="shared" si="30"/>
        <v>0</v>
      </c>
      <c r="I140" s="1558">
        <f t="shared" si="31"/>
        <v>0</v>
      </c>
      <c r="J140" s="1549">
        <f t="shared" si="32"/>
        <v>0</v>
      </c>
    </row>
    <row r="141" spans="4:10" ht="15.75">
      <c r="D141" s="190">
        <f t="shared" ref="D141:G141" si="39">D106</f>
        <v>0</v>
      </c>
      <c r="E141" s="752">
        <f t="shared" si="39"/>
        <v>0</v>
      </c>
      <c r="F141" s="1547">
        <f t="shared" si="39"/>
        <v>0</v>
      </c>
      <c r="G141" s="1548">
        <f t="shared" si="39"/>
        <v>0</v>
      </c>
      <c r="H141" s="1548">
        <f t="shared" si="30"/>
        <v>0</v>
      </c>
      <c r="I141" s="1558">
        <f t="shared" si="31"/>
        <v>0</v>
      </c>
      <c r="J141" s="1549">
        <f t="shared" si="32"/>
        <v>0</v>
      </c>
    </row>
    <row r="142" spans="4:10" ht="15.75">
      <c r="D142" s="190">
        <f t="shared" ref="D142:G142" si="40">D107</f>
        <v>0</v>
      </c>
      <c r="E142" s="752">
        <f t="shared" si="40"/>
        <v>0</v>
      </c>
      <c r="F142" s="1547">
        <f t="shared" si="40"/>
        <v>0</v>
      </c>
      <c r="G142" s="1548">
        <f t="shared" si="40"/>
        <v>0</v>
      </c>
      <c r="H142" s="1548">
        <f t="shared" si="30"/>
        <v>0</v>
      </c>
      <c r="I142" s="1558">
        <f t="shared" si="31"/>
        <v>0</v>
      </c>
      <c r="J142" s="1549">
        <f t="shared" si="32"/>
        <v>0</v>
      </c>
    </row>
    <row r="143" spans="4:10" ht="15.75">
      <c r="D143" s="190">
        <f t="shared" ref="D143:G143" si="41">D108</f>
        <v>0</v>
      </c>
      <c r="E143" s="752">
        <f t="shared" si="41"/>
        <v>0</v>
      </c>
      <c r="F143" s="1547">
        <f t="shared" si="41"/>
        <v>0</v>
      </c>
      <c r="G143" s="1548">
        <f t="shared" si="41"/>
        <v>0</v>
      </c>
      <c r="H143" s="1548">
        <f t="shared" si="30"/>
        <v>0</v>
      </c>
      <c r="I143" s="1558">
        <f t="shared" si="31"/>
        <v>0</v>
      </c>
      <c r="J143" s="1549">
        <f t="shared" si="32"/>
        <v>0</v>
      </c>
    </row>
    <row r="144" spans="4:10" ht="15.75">
      <c r="D144" s="190">
        <f t="shared" ref="D144:G144" si="42">D109</f>
        <v>0</v>
      </c>
      <c r="E144" s="752">
        <f t="shared" si="42"/>
        <v>0</v>
      </c>
      <c r="F144" s="1547">
        <f t="shared" si="42"/>
        <v>0</v>
      </c>
      <c r="G144" s="1548">
        <f t="shared" si="42"/>
        <v>0</v>
      </c>
      <c r="H144" s="1548">
        <f t="shared" si="30"/>
        <v>0</v>
      </c>
      <c r="I144" s="1558">
        <f t="shared" si="31"/>
        <v>0</v>
      </c>
      <c r="J144" s="1549">
        <f t="shared" si="32"/>
        <v>0</v>
      </c>
    </row>
    <row r="145" spans="4:10" ht="15.75">
      <c r="D145" s="190">
        <f t="shared" ref="D145:G145" si="43">D110</f>
        <v>0</v>
      </c>
      <c r="E145" s="752">
        <f t="shared" si="43"/>
        <v>0</v>
      </c>
      <c r="F145" s="1547">
        <f t="shared" si="43"/>
        <v>0</v>
      </c>
      <c r="G145" s="1548">
        <f t="shared" si="43"/>
        <v>0</v>
      </c>
      <c r="H145" s="1548">
        <f t="shared" si="30"/>
        <v>0</v>
      </c>
      <c r="I145" s="1558">
        <f t="shared" si="31"/>
        <v>0</v>
      </c>
      <c r="J145" s="1549">
        <f t="shared" si="32"/>
        <v>0</v>
      </c>
    </row>
    <row r="146" spans="4:10" ht="15.75">
      <c r="D146" s="190">
        <f t="shared" ref="D146:G146" si="44">D111</f>
        <v>0</v>
      </c>
      <c r="E146" s="752">
        <f t="shared" si="44"/>
        <v>0</v>
      </c>
      <c r="F146" s="1547">
        <f t="shared" si="44"/>
        <v>0</v>
      </c>
      <c r="G146" s="1548">
        <f t="shared" si="44"/>
        <v>0</v>
      </c>
      <c r="H146" s="1548">
        <f t="shared" si="30"/>
        <v>0</v>
      </c>
      <c r="I146" s="1558">
        <f t="shared" si="31"/>
        <v>0</v>
      </c>
      <c r="J146" s="1549">
        <f t="shared" si="32"/>
        <v>0</v>
      </c>
    </row>
    <row r="147" spans="4:10" ht="15.75">
      <c r="D147" s="190">
        <f t="shared" ref="D147:G147" si="45">D112</f>
        <v>0</v>
      </c>
      <c r="E147" s="752">
        <f t="shared" si="45"/>
        <v>0</v>
      </c>
      <c r="F147" s="1547">
        <f t="shared" si="45"/>
        <v>0</v>
      </c>
      <c r="G147" s="1548">
        <f t="shared" si="45"/>
        <v>0</v>
      </c>
      <c r="H147" s="1548">
        <f t="shared" si="30"/>
        <v>0</v>
      </c>
      <c r="I147" s="1558">
        <f t="shared" si="31"/>
        <v>0</v>
      </c>
      <c r="J147" s="1549">
        <f t="shared" si="32"/>
        <v>0</v>
      </c>
    </row>
    <row r="148" spans="4:10" ht="15.75">
      <c r="D148" s="190">
        <f t="shared" ref="D148:G148" si="46">D113</f>
        <v>0</v>
      </c>
      <c r="E148" s="752">
        <f t="shared" si="46"/>
        <v>0</v>
      </c>
      <c r="F148" s="1547">
        <f t="shared" si="46"/>
        <v>0</v>
      </c>
      <c r="G148" s="1548">
        <f t="shared" si="46"/>
        <v>0</v>
      </c>
      <c r="H148" s="1548">
        <f t="shared" si="30"/>
        <v>0</v>
      </c>
      <c r="I148" s="1558">
        <f t="shared" si="31"/>
        <v>0</v>
      </c>
      <c r="J148" s="1549">
        <f t="shared" si="32"/>
        <v>0</v>
      </c>
    </row>
    <row r="149" spans="4:10" ht="15.75">
      <c r="D149" s="190">
        <f t="shared" ref="D149:G149" si="47">D114</f>
        <v>0</v>
      </c>
      <c r="E149" s="752">
        <f t="shared" si="47"/>
        <v>0</v>
      </c>
      <c r="F149" s="1547">
        <f t="shared" si="47"/>
        <v>0</v>
      </c>
      <c r="G149" s="1548">
        <f t="shared" si="47"/>
        <v>0</v>
      </c>
      <c r="H149" s="1548">
        <f t="shared" si="30"/>
        <v>0</v>
      </c>
      <c r="I149" s="1558">
        <f t="shared" si="31"/>
        <v>0</v>
      </c>
      <c r="J149" s="1549">
        <f t="shared" si="32"/>
        <v>0</v>
      </c>
    </row>
    <row r="150" spans="4:10" ht="15.75">
      <c r="D150" s="1550" t="s">
        <v>1002</v>
      </c>
      <c r="E150" s="1550"/>
      <c r="F150" s="1551">
        <f>SUM(F120:F149)</f>
        <v>0</v>
      </c>
      <c r="G150" s="1552"/>
      <c r="H150" s="1550"/>
      <c r="I150" s="1553"/>
      <c r="J150" s="1554" t="e">
        <f>N115</f>
        <v>#DIV/0!</v>
      </c>
    </row>
    <row r="151" spans="4:10"/>
    <row r="152" spans="4:10"/>
    <row r="153" spans="4:10"/>
    <row r="154" spans="4:10"/>
    <row r="155" spans="4:10"/>
    <row r="156" spans="4:10"/>
    <row r="157" spans="4:10"/>
    <row r="158" spans="4:10"/>
    <row r="159" spans="4:10"/>
    <row r="160" spans="4:1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sheetData>
  <sheetProtection algorithmName="SHA-512" hashValue="YF2qKrTDYiAK2qTMq8VRY7rTwDcH/jPZ31RfH/g9WGqsBjUk7jzdu/RS3GvBJ0Huh4GQDvsZyFoUVcZuQpK8Cw==" saltValue="5lnzg4OnOiNRsQRkBqDO1A==" spinCount="100000" sheet="1" formatCells="0" formatColumns="0" formatRows="0"/>
  <mergeCells count="2">
    <mergeCell ref="D36:E36"/>
    <mergeCell ref="G36:H36"/>
  </mergeCells>
  <phoneticPr fontId="173" type="noConversion"/>
  <conditionalFormatting sqref="L1:L2">
    <cfRule type="colorScale" priority="1">
      <colorScale>
        <cfvo type="min"/>
        <cfvo type="num" val="0"/>
        <cfvo type="max"/>
        <color rgb="FF63CD7B"/>
        <color theme="0"/>
        <color rgb="FFF8696B"/>
      </colorScale>
    </cfRule>
  </conditionalFormatting>
  <dataValidations disablePrompts="1" count="1">
    <dataValidation type="list" allowBlank="1" showInputMessage="1" showErrorMessage="1" sqref="Z11:Z18" xr:uid="{34F627FF-F3C3-431A-BBFF-B6B3001384B9}">
      <formula1>#REF!</formula1>
    </dataValidation>
  </dataValidations>
  <pageMargins left="0.7" right="0.7" top="0.75" bottom="0.75" header="0.3" footer="0.3"/>
  <pageSetup scale="53" orientation="portrait" r:id="rId1"/>
  <rowBreaks count="1" manualBreakCount="1">
    <brk id="30" max="9" man="1"/>
  </rowBreaks>
  <ignoredErrors>
    <ignoredError sqref="D9"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wst06_3_UWChecklist">
    <tabColor theme="1"/>
    <pageSetUpPr fitToPage="1"/>
  </sheetPr>
  <dimension ref="A1:X52"/>
  <sheetViews>
    <sheetView zoomScale="85" zoomScaleNormal="85" workbookViewId="0"/>
  </sheetViews>
  <sheetFormatPr defaultColWidth="0" defaultRowHeight="16.5"/>
  <cols>
    <col min="1" max="1" width="47" style="455" customWidth="1"/>
    <col min="2" max="2" width="24.5" style="455" bestFit="1" customWidth="1"/>
    <col min="3" max="3" width="3.5" style="455" customWidth="1"/>
    <col min="4" max="4" width="19.5" style="455" customWidth="1"/>
    <col min="5" max="5" width="3" style="455" customWidth="1"/>
    <col min="6" max="6" width="34" style="455" bestFit="1" customWidth="1"/>
    <col min="7" max="7" width="29" style="455" bestFit="1" customWidth="1"/>
    <col min="8" max="8" width="77" style="455" customWidth="1"/>
    <col min="9" max="9" width="12" style="455" customWidth="1"/>
    <col min="10" max="12" width="10.5" style="455" customWidth="1"/>
    <col min="13" max="13" width="48.5" style="455" bestFit="1" customWidth="1"/>
    <col min="14" max="14" width="46" style="455" customWidth="1"/>
    <col min="15" max="16" width="22" style="455" customWidth="1"/>
    <col min="17" max="17" width="32.5" style="455" bestFit="1" customWidth="1"/>
    <col min="18" max="19" width="30" style="455" bestFit="1" customWidth="1"/>
    <col min="20" max="20" width="32.5" style="455" bestFit="1" customWidth="1"/>
    <col min="21" max="22" width="30" style="455" bestFit="1" customWidth="1"/>
    <col min="23" max="24" width="10.5" style="455" customWidth="1"/>
    <col min="25" max="16384" width="10.5" style="455" hidden="1"/>
  </cols>
  <sheetData>
    <row r="1" spans="1:24" s="11" customFormat="1" ht="26.25">
      <c r="A1" s="61" t="s">
        <v>1938</v>
      </c>
      <c r="B1" s="60"/>
      <c r="C1" s="60"/>
      <c r="D1" s="60"/>
      <c r="E1" s="60"/>
      <c r="F1" s="60"/>
      <c r="G1" s="60"/>
      <c r="H1" s="60"/>
      <c r="I1" s="60"/>
      <c r="J1" s="60"/>
      <c r="K1" s="60"/>
      <c r="L1" s="60"/>
      <c r="M1" s="60"/>
      <c r="N1" s="60"/>
      <c r="O1" s="60"/>
      <c r="P1" s="60"/>
      <c r="Q1" s="60"/>
      <c r="R1" s="60"/>
      <c r="S1" s="60"/>
      <c r="T1" s="60"/>
      <c r="U1" s="60"/>
      <c r="V1" s="60"/>
      <c r="W1" s="60"/>
      <c r="X1" s="60"/>
    </row>
    <row r="2" spans="1:24" s="26" customFormat="1" ht="21.75" thickBot="1">
      <c r="A2" s="668" t="str">
        <f>IF(rng01_ProjectName="","[Project Name]", rng01_ProjectName)</f>
        <v>[Project Name]</v>
      </c>
      <c r="B2" s="664"/>
      <c r="C2" s="667"/>
      <c r="D2" s="676"/>
      <c r="E2" s="676" t="s">
        <v>245</v>
      </c>
      <c r="F2" s="667">
        <f>tbl00ModelProgress[[#Totals],[Date of Progress /
Last Edit]]</f>
        <v>0</v>
      </c>
      <c r="G2" s="667"/>
      <c r="H2" s="667"/>
      <c r="I2" s="664"/>
      <c r="J2" s="664"/>
      <c r="K2" s="664"/>
      <c r="L2" s="664"/>
      <c r="M2" s="664"/>
      <c r="N2" s="664"/>
      <c r="O2" s="664"/>
      <c r="P2" s="664"/>
      <c r="Q2" s="664"/>
      <c r="R2" s="664"/>
      <c r="S2" s="664"/>
      <c r="T2" s="664"/>
      <c r="U2" s="664"/>
      <c r="V2" s="664"/>
      <c r="W2" s="664"/>
      <c r="X2" s="664"/>
    </row>
    <row r="3" spans="1:24" ht="24" customHeight="1" thickBot="1">
      <c r="A3" s="453"/>
      <c r="B3" s="454"/>
      <c r="C3" s="454"/>
      <c r="D3" s="454"/>
      <c r="E3" s="454"/>
      <c r="F3" s="454"/>
      <c r="G3" s="454"/>
      <c r="K3" s="458" t="s">
        <v>1939</v>
      </c>
      <c r="L3" s="458"/>
      <c r="N3" s="1336" t="s">
        <v>1940</v>
      </c>
      <c r="O3" s="1337"/>
      <c r="P3" s="1337"/>
      <c r="Q3" s="1337"/>
      <c r="R3" s="1337"/>
      <c r="S3" s="1337"/>
      <c r="T3" s="1337"/>
      <c r="U3" s="1337"/>
      <c r="V3" s="1338"/>
    </row>
    <row r="4" spans="1:24" ht="24" customHeight="1">
      <c r="B4" s="456"/>
      <c r="C4" s="457"/>
      <c r="D4" s="1339"/>
      <c r="E4" s="457"/>
      <c r="F4" s="457"/>
      <c r="G4" s="457"/>
      <c r="J4" s="458"/>
      <c r="K4" s="458" t="s">
        <v>1941</v>
      </c>
      <c r="L4" s="458"/>
      <c r="N4" s="660"/>
      <c r="O4" s="660"/>
      <c r="P4" s="660"/>
    </row>
    <row r="5" spans="1:24" ht="24" customHeight="1" thickBot="1">
      <c r="A5" s="1363" t="s">
        <v>2406</v>
      </c>
      <c r="B5" s="456"/>
      <c r="C5" s="456"/>
      <c r="D5" s="456"/>
      <c r="E5" s="456"/>
      <c r="F5" s="456"/>
      <c r="G5" s="456"/>
      <c r="H5" s="1362"/>
      <c r="J5" s="458"/>
      <c r="K5" s="458" t="s">
        <v>1942</v>
      </c>
      <c r="L5" s="458"/>
    </row>
    <row r="6" spans="1:24" ht="24" customHeight="1" thickBot="1">
      <c r="A6" s="1363"/>
      <c r="B6" s="456"/>
      <c r="C6" s="456"/>
      <c r="D6" s="456"/>
      <c r="E6" s="456"/>
      <c r="F6" s="456"/>
      <c r="G6" s="456"/>
      <c r="H6" s="1362"/>
      <c r="J6" s="458"/>
      <c r="K6" s="458"/>
      <c r="L6" s="458"/>
      <c r="N6" s="1326" t="s">
        <v>1943</v>
      </c>
      <c r="O6" s="1326"/>
      <c r="P6" s="1326"/>
      <c r="Q6" s="1326" t="s">
        <v>1944</v>
      </c>
      <c r="R6" s="1326"/>
      <c r="S6" s="1326"/>
      <c r="T6" s="1326" t="s">
        <v>1945</v>
      </c>
      <c r="U6" s="1326"/>
      <c r="V6" s="1327"/>
    </row>
    <row r="7" spans="1:24" ht="22.5" customHeight="1" thickBot="1">
      <c r="A7" s="1356" t="str">
        <f>M7</f>
        <v>Development Budget</v>
      </c>
      <c r="B7" s="582" t="s">
        <v>1946</v>
      </c>
      <c r="C7" s="582"/>
      <c r="D7" s="582" t="s">
        <v>1947</v>
      </c>
      <c r="E7" s="457"/>
      <c r="F7" s="457" t="s">
        <v>1948</v>
      </c>
      <c r="G7" s="457" t="s">
        <v>1949</v>
      </c>
      <c r="H7" s="457" t="s">
        <v>1950</v>
      </c>
      <c r="M7" s="459" t="s">
        <v>1951</v>
      </c>
      <c r="N7" s="1328" t="s">
        <v>29</v>
      </c>
      <c r="O7" s="1328" t="s">
        <v>1952</v>
      </c>
      <c r="P7" s="1328" t="s">
        <v>1953</v>
      </c>
      <c r="Q7" s="1328" t="s">
        <v>29</v>
      </c>
      <c r="R7" s="1328" t="s">
        <v>1952</v>
      </c>
      <c r="S7" s="1328" t="s">
        <v>1953</v>
      </c>
      <c r="T7" s="1328" t="s">
        <v>29</v>
      </c>
      <c r="U7" s="1328" t="s">
        <v>1952</v>
      </c>
      <c r="V7" s="1328" t="s">
        <v>1953</v>
      </c>
    </row>
    <row r="8" spans="1:24" ht="22.5" customHeight="1">
      <c r="A8" s="461" t="str">
        <f t="shared" ref="A8:A43" si="0">M8</f>
        <v>Total Development Cost Cap</v>
      </c>
      <c r="B8" s="1358" t="e">
        <f>#REF!</f>
        <v>#REF!</v>
      </c>
      <c r="C8" s="462"/>
      <c r="D8" s="1358" t="e">
        <f>'02_4_USES'!F100/rng02_TotalUnit</f>
        <v>#DIV/0!</v>
      </c>
      <c r="E8" s="462"/>
      <c r="F8" s="461" t="e">
        <f>IF(D8&gt;B8, "Exceeds Requirements", "No Exceptions")</f>
        <v>#DIV/0!</v>
      </c>
      <c r="G8" s="1332"/>
      <c r="H8" s="1340" t="s">
        <v>1954</v>
      </c>
      <c r="I8" s="769" t="s">
        <v>1955</v>
      </c>
      <c r="M8" s="460" t="s">
        <v>1956</v>
      </c>
      <c r="N8" s="1324" t="s">
        <v>1957</v>
      </c>
      <c r="O8" s="1325"/>
      <c r="P8" s="1325"/>
      <c r="Q8" s="1324"/>
      <c r="R8" s="1325"/>
      <c r="S8" s="1325"/>
      <c r="T8" s="1325"/>
      <c r="U8" s="1325"/>
      <c r="V8" s="1325"/>
    </row>
    <row r="9" spans="1:24" ht="33">
      <c r="A9" s="461" t="str">
        <f t="shared" si="0"/>
        <v>Architectural Fees</v>
      </c>
      <c r="B9" s="585" t="e">
        <f>IF(rng01_DevelopmentType="Rehabilitation",'06_3_UWChecklist'!U9,SUMIF('01_1_General Data'!$H$58:$H$62,"Low-rise", '01_1_General Data'!$I$58:$I$62)*'06_3_UWChecklist'!$R$9+SUMIF('01_1_General Data'!$H$58:$H$62,"Hi-rise", '01_1_General Data'!$I$58:$I$62)*'06_3_UWChecklist'!$O$9)/SUM( '01_1_General Data'!$I$58:$I$62)</f>
        <v>#DIV/0!</v>
      </c>
      <c r="C9" s="462"/>
      <c r="D9" s="585" t="e">
        <f>SUM('02_4_USES'!F31:F32)/'02_4_USES'!F28</f>
        <v>#DIV/0!</v>
      </c>
      <c r="E9" s="462"/>
      <c r="F9" s="461" t="e">
        <f>IF(D9&lt;=B9, "No Exceptions", "Exceeds Maximum")</f>
        <v>#DIV/0!</v>
      </c>
      <c r="G9" s="1332"/>
      <c r="H9" s="691" t="s">
        <v>1958</v>
      </c>
      <c r="I9" s="769" t="s">
        <v>1959</v>
      </c>
      <c r="M9" s="463" t="s">
        <v>1960</v>
      </c>
      <c r="N9" s="1319" t="s">
        <v>1961</v>
      </c>
      <c r="O9" s="584">
        <v>7.4999999999999997E-2</v>
      </c>
      <c r="P9" s="461"/>
      <c r="Q9" s="1319" t="s">
        <v>1962</v>
      </c>
      <c r="R9" s="1364">
        <v>0.06</v>
      </c>
      <c r="S9" s="461"/>
      <c r="T9" s="461" t="s">
        <v>1963</v>
      </c>
      <c r="U9" s="584">
        <v>7.4999999999999997E-2</v>
      </c>
      <c r="V9" s="461"/>
    </row>
    <row r="10" spans="1:24" ht="33">
      <c r="A10" s="463" t="str">
        <f t="shared" si="0"/>
        <v>Clerk of the Works Contract</v>
      </c>
      <c r="B10" s="1358">
        <f>O10*'02_4_USES'!F28</f>
        <v>0</v>
      </c>
      <c r="C10" s="462"/>
      <c r="D10" s="1358">
        <f>'02_4_USES'!F38</f>
        <v>0</v>
      </c>
      <c r="E10" s="462"/>
      <c r="F10" s="461" t="str">
        <f>IF(D10=0,"Not Applicable",IF(D10&gt;B10,"Exceeds Requirement","No Exceptions"))</f>
        <v>Not Applicable</v>
      </c>
      <c r="G10" s="1332"/>
      <c r="H10" s="691" t="str">
        <f>"Clerk of the Works fee cannot exceed "&amp;TEXT(O10, $N$47)&amp;" of the total allowable construction contract."</f>
        <v>Clerk of the Works fee cannot exceed 1.0% of the total allowable construction contract.</v>
      </c>
      <c r="I10" s="768"/>
      <c r="M10" s="463" t="s">
        <v>1964</v>
      </c>
      <c r="N10" s="1319" t="s">
        <v>1965</v>
      </c>
      <c r="O10" s="585">
        <v>0.01</v>
      </c>
      <c r="P10" s="585" t="s">
        <v>1085</v>
      </c>
      <c r="Q10" s="1322" t="s">
        <v>1085</v>
      </c>
      <c r="R10" s="585" t="s">
        <v>1085</v>
      </c>
      <c r="S10" s="585" t="s">
        <v>1085</v>
      </c>
      <c r="T10" s="585" t="s">
        <v>1085</v>
      </c>
      <c r="U10" s="585" t="s">
        <v>1085</v>
      </c>
      <c r="V10" s="585" t="s">
        <v>1085</v>
      </c>
    </row>
    <row r="11" spans="1:24" ht="33">
      <c r="A11" s="463" t="str">
        <f t="shared" si="0"/>
        <v>Developer Fee</v>
      </c>
      <c r="B11" s="1358" t="b">
        <f>IF(rng01_DevelopmentType = '00_3_Drop Down'!R14,'02_4_USES'!E117,IF(rng01_DevelopmentType="New Construction", IF(rng01_ProjectType="Single Site", '02_4_USES'!E111,'02_4_USES'!E114), IF(OR(rng01_ProgramType="Preservation",rng01_ProgramType="Refinancing"), '02_4_USES'!E108)))</f>
        <v>0</v>
      </c>
      <c r="C11" s="462"/>
      <c r="D11" s="1358">
        <f>'02_4_USES'!$F$88</f>
        <v>0</v>
      </c>
      <c r="E11" s="462"/>
      <c r="F11" s="461" t="str">
        <f>IF(D11=0,"Not Applicable",IF(D11&gt;B11,"Exceeds Requirement","No Exceptions"))</f>
        <v>Not Applicable</v>
      </c>
      <c r="G11" s="1332"/>
      <c r="H11" s="691" t="b">
        <f>IF(OR(rng01_ProgramType="Preservation",rng01_ProgramType="Refinancing"),"Preservation / Refinancing: "&amp;TEXT(O11,$N$47)&amp;" of acquisition plus "&amp;TEXT(P11,$N$47)&amp;" or rehabilitation excluding reserves",IF(AND(rng01_ProgramType="Rental Production",rng01_ProjectType="Single Site"),"Rental Production, Single Site: "&amp;TEXT(R11,$N$46)&amp;" for 0-2 bed units and " &amp;TEXT(S11, $N$46)&amp;" for 3 bed units or greater",IF(AND(rng01_ProgramType="Rental Production",rng01_ProjectType="Scattered Site"),"Rental Production, Scattered Site: "&amp;TEXT(U11,$N$46)&amp;" for 0-2 bed units and " &amp;TEXT(V11, $N$46)&amp;" for 3 bed units or greater")))</f>
        <v>0</v>
      </c>
      <c r="I11" s="769" t="s">
        <v>1959</v>
      </c>
      <c r="M11" s="463" t="s">
        <v>81</v>
      </c>
      <c r="N11" s="1319" t="s">
        <v>1966</v>
      </c>
      <c r="O11" s="763">
        <v>0.05</v>
      </c>
      <c r="P11" s="763">
        <v>0.1</v>
      </c>
      <c r="Q11" s="1319" t="s">
        <v>1967</v>
      </c>
      <c r="R11" s="1821">
        <v>20790</v>
      </c>
      <c r="S11" s="1821">
        <v>23100</v>
      </c>
      <c r="T11" s="1319" t="s">
        <v>1968</v>
      </c>
      <c r="U11" s="1821">
        <v>23650</v>
      </c>
      <c r="V11" s="1821">
        <v>25300</v>
      </c>
    </row>
    <row r="12" spans="1:24" ht="49.5">
      <c r="A12" s="463" t="str">
        <f t="shared" si="0"/>
        <v>Legal Fees</v>
      </c>
      <c r="B12" s="1358">
        <f>IF('02_5_LIHTC Proceeds'!C29&gt;1,R12,O12)</f>
        <v>40000</v>
      </c>
      <c r="C12" s="462"/>
      <c r="D12" s="1358">
        <f>'02_4_USES'!$F$39</f>
        <v>0</v>
      </c>
      <c r="E12" s="462"/>
      <c r="F12" s="461" t="str">
        <f>IF(D12&gt;B12, "Above Max Fee", "No Exceptions")</f>
        <v>No Exceptions</v>
      </c>
      <c r="G12" s="1332"/>
      <c r="H12" s="691" t="str">
        <f>"Legal fees for developments that will use tax credits may not exceed "&amp;TEXT($R$12, $N$46)&amp;".  For those developments that are not syndicated, the maximum legal fee allowable is "&amp;TEXT($O$12, $N$46) &amp; "."</f>
        <v>Legal fees for developments that will use tax credits may not exceed $80,000.  For those developments that are not syndicated, the maximum legal fee allowable is $40,000.</v>
      </c>
      <c r="I12" s="769" t="s">
        <v>1959</v>
      </c>
      <c r="M12" s="463" t="s">
        <v>1969</v>
      </c>
      <c r="N12" s="1319" t="s">
        <v>1970</v>
      </c>
      <c r="O12" s="1323">
        <v>40000</v>
      </c>
      <c r="P12" s="583"/>
      <c r="Q12" s="1319" t="s">
        <v>1971</v>
      </c>
      <c r="R12" s="1821">
        <v>80000</v>
      </c>
      <c r="S12" s="1822"/>
      <c r="T12" s="583"/>
      <c r="U12" s="585"/>
      <c r="V12" s="585"/>
    </row>
    <row r="13" spans="1:24" ht="66">
      <c r="A13" s="463" t="str">
        <f t="shared" si="0"/>
        <v>First Mortgage Financing Fee</v>
      </c>
      <c r="B13" s="1358">
        <f>MAX(IF('02_3_SOURCES'!K9&gt;5000000,(O13*MIN('02_3_SOURCES'!K9,5000000)+R13*('02_3_SOURCES'!K9-5000000)),O13*'02_3_SOURCES'!K9), U13)</f>
        <v>20000</v>
      </c>
      <c r="C13" s="462"/>
      <c r="D13" s="1358">
        <f>'02_4_USES'!F66</f>
        <v>0</v>
      </c>
      <c r="E13" s="462"/>
      <c r="F13" s="461" t="str">
        <f>IF(D13&lt;B13, "Below Minimum Fee", "No Exceptions")</f>
        <v>Below Minimum Fee</v>
      </c>
      <c r="G13" s="1332"/>
      <c r="H13" s="691" t="str">
        <f>TEXT(O13, $N$47)&amp;" of the first $5,000,000; " &amp; TEXT(R13, $N$47) &amp;" thereafter upon closing. Minimum combined origination/underwriting fee of " &amp;TEXT(U13, $N$46)&amp;" will be paid if the first mortgage amount is less than $1,000,000 or there is no first mortgage."</f>
        <v>2.0% of the first $5,000,000; 1.0% thereafter upon closing. Minimum combined origination/underwriting fee of $20,000 will be paid if the first mortgage amount is less than $1,000,000 or there is no first mortgage.</v>
      </c>
      <c r="I13" s="769" t="s">
        <v>1959</v>
      </c>
      <c r="M13" s="463" t="s">
        <v>1972</v>
      </c>
      <c r="N13" s="1322" t="s">
        <v>1973</v>
      </c>
      <c r="O13" s="763">
        <v>0.02</v>
      </c>
      <c r="P13" s="583"/>
      <c r="Q13" s="1321" t="s">
        <v>1974</v>
      </c>
      <c r="R13" s="763">
        <v>0.01</v>
      </c>
      <c r="S13" s="583"/>
      <c r="T13" s="1319" t="s">
        <v>1975</v>
      </c>
      <c r="U13" s="1323">
        <v>20000</v>
      </c>
      <c r="V13" s="583"/>
    </row>
    <row r="14" spans="1:24" ht="33">
      <c r="A14" s="463" t="str">
        <f t="shared" si="0"/>
        <v>Tax Credit Allocation Fee</v>
      </c>
      <c r="B14" s="1359">
        <f>IF('02_5_LIHTC Proceeds'!D16=0.09,R14*'02_5_LIHTC Proceeds'!C29,O14*'02_5_LIHTC Proceeds'!C29)</f>
        <v>0</v>
      </c>
      <c r="C14" s="462"/>
      <c r="D14" s="1359">
        <f>'02_4_USES'!F69</f>
        <v>0</v>
      </c>
      <c r="E14" s="462"/>
      <c r="F14" s="461" t="str">
        <f>IF(D14=B14,"No Exceptions",IF(B14-D14&lt;0,"Budgeted Amount Too High","Budgeted Amount Too Low"))</f>
        <v>No Exceptions</v>
      </c>
      <c r="G14" s="1332"/>
      <c r="H14" s="691" t="str">
        <f>"4%: " &amp; TEXT(O14, $N$47)&amp;" of 10 year total " &amp; CHAR(10) &amp; "9%: " &amp; TEXT(R14, $N$47) &amp; "of 10 year total."</f>
        <v>4%: 1.0% of 10 year total 
9%: 0.5%of 10 year total.</v>
      </c>
      <c r="I14" s="769" t="s">
        <v>1959</v>
      </c>
      <c r="M14" s="463" t="s">
        <v>1976</v>
      </c>
      <c r="N14" s="1322" t="s">
        <v>1977</v>
      </c>
      <c r="O14" s="1318">
        <v>0.01</v>
      </c>
      <c r="P14" s="465"/>
      <c r="Q14" s="1322" t="s">
        <v>1978</v>
      </c>
      <c r="R14" s="1318">
        <v>5.0000000000000001E-3</v>
      </c>
      <c r="S14" s="465"/>
      <c r="T14" s="1322"/>
      <c r="U14" s="465"/>
      <c r="V14" s="465"/>
    </row>
    <row r="15" spans="1:24" ht="49.5">
      <c r="A15" s="461" t="str">
        <f t="shared" si="0"/>
        <v>Underwriting Fees</v>
      </c>
      <c r="B15" s="1359">
        <f>IF('02_3_SOURCES'!C9="RI Housing", 0,IF(SUM('02_3_SOURCES'!K9:K10)&lt;1000000,'06_3_UWChecklist'!O15,IF(SUM('02_3_SOURCES'!K9:K10)&lt;3000000,'06_3_UWChecklist'!R15,'06_3_UWChecklist'!U15)))</f>
        <v>20000</v>
      </c>
      <c r="C15" s="462"/>
      <c r="D15" s="1359">
        <f>IF('02_3_SOURCES'!C9="RI Housing",0,'02_4_USES'!F66)</f>
        <v>0</v>
      </c>
      <c r="E15" s="462"/>
      <c r="F15" s="690" t="str">
        <f>IF(D15="0","Not Applicable",IF(B15&lt;=D15,"No Exceptions","Below Requirement"))</f>
        <v>Below Requirement</v>
      </c>
      <c r="G15" s="1332"/>
      <c r="H15" s="691" t="s">
        <v>2404</v>
      </c>
      <c r="I15" s="769" t="s">
        <v>1959</v>
      </c>
      <c r="M15" s="464" t="s">
        <v>1979</v>
      </c>
      <c r="N15" s="1322" t="s">
        <v>1980</v>
      </c>
      <c r="O15" s="1323">
        <v>20000</v>
      </c>
      <c r="P15" s="465"/>
      <c r="Q15" s="1322" t="s">
        <v>1981</v>
      </c>
      <c r="R15" s="1323">
        <v>25000</v>
      </c>
      <c r="S15" s="465"/>
      <c r="T15" s="1322" t="s">
        <v>1982</v>
      </c>
      <c r="U15" s="1323">
        <v>35000</v>
      </c>
      <c r="V15" s="465"/>
    </row>
    <row r="16" spans="1:24" ht="49.5">
      <c r="A16" s="463" t="str">
        <f t="shared" si="0"/>
        <v>Initial Deposit to Replacement Reserves</v>
      </c>
      <c r="B16" s="1359">
        <f>IF(rng01_DevelopmentType="New Construction", O16*rng02_TotalUnit, R16*rng02_TotalUnit)</f>
        <v>0</v>
      </c>
      <c r="C16" s="689"/>
      <c r="D16" s="1358">
        <f>'02_4_USES'!F80</f>
        <v>0</v>
      </c>
      <c r="E16" s="689"/>
      <c r="F16" s="762" t="str">
        <f>IF(B16&lt;=D16, "No Exceptions", "Below Requirement")</f>
        <v>No Exceptions</v>
      </c>
      <c r="G16" s="1333"/>
      <c r="H16" s="691" t="str">
        <f>"New Construction: One Year Annual Deposit (Minimum "&amp; TEXT(O16, $N$46)&amp;"/unit)" &amp;CHAR(10)&amp; "Preservation: Minimum "&amp;TEXT(R16,$N$46)&amp; "/unit."</f>
        <v>New Construction: One Year Annual Deposit (Minimum $325/unit)
Preservation: Minimum $2,000/unit.</v>
      </c>
      <c r="I16" s="768"/>
      <c r="M16" s="463" t="s">
        <v>1983</v>
      </c>
      <c r="N16" s="1322" t="s">
        <v>146</v>
      </c>
      <c r="O16" s="1323">
        <v>325</v>
      </c>
      <c r="P16" s="465"/>
      <c r="Q16" s="1322" t="s">
        <v>173</v>
      </c>
      <c r="R16" s="1323">
        <v>2000</v>
      </c>
      <c r="S16" s="465"/>
      <c r="T16" s="1322"/>
      <c r="U16" s="465"/>
      <c r="V16" s="465"/>
    </row>
    <row r="17" spans="1:22" ht="49.5">
      <c r="A17" s="461" t="str">
        <f t="shared" si="0"/>
        <v>Initial Deposit to Operating Reserves</v>
      </c>
      <c r="B17" s="1584">
        <f>(('02_2_EXPENSE'!D91)/12)*P17+(O17*'04_1_Pro Forma'!C36/12)-(IF(rng01_ProgramType="Preservation",'02_4_USES'!$C$80,0))</f>
        <v>0</v>
      </c>
      <c r="C17" s="689"/>
      <c r="D17" s="1360">
        <f>'02_4_USES'!F79</f>
        <v>0</v>
      </c>
      <c r="E17" s="689"/>
      <c r="F17" s="762" t="str">
        <f>IF(D17&gt;=B17, "No Exceptions", "Below Requirement")</f>
        <v>No Exceptions</v>
      </c>
      <c r="G17" s="1333"/>
      <c r="H17" s="691" t="s">
        <v>1984</v>
      </c>
      <c r="I17" s="768"/>
      <c r="M17" s="463" t="s">
        <v>1985</v>
      </c>
      <c r="N17" s="1322" t="s">
        <v>1986</v>
      </c>
      <c r="O17" s="1344">
        <v>6</v>
      </c>
      <c r="P17" s="1344">
        <v>6</v>
      </c>
      <c r="Q17" s="1322"/>
      <c r="R17" s="465"/>
      <c r="S17" s="465"/>
      <c r="T17" s="1322"/>
      <c r="U17" s="465"/>
      <c r="V17" s="465"/>
    </row>
    <row r="18" spans="1:22">
      <c r="A18" s="461" t="str">
        <f t="shared" si="0"/>
        <v>Initial Deposit to Tax Escrow</v>
      </c>
      <c r="B18" s="1359">
        <f>'02_2_EXPENSE'!D76/2</f>
        <v>0</v>
      </c>
      <c r="C18" s="689"/>
      <c r="D18" s="1358">
        <f>'02_4_USES'!F77</f>
        <v>0</v>
      </c>
      <c r="E18" s="689"/>
      <c r="F18" s="762" t="str">
        <f>IF(D18&gt;=B18, "No Exceptions", "Below Requirement")</f>
        <v>No Exceptions</v>
      </c>
      <c r="G18" s="1333"/>
      <c r="H18" s="691" t="str">
        <f>O18&amp; " months of estimated tax payments"</f>
        <v>6 months of estimated tax payments</v>
      </c>
      <c r="I18" s="768"/>
      <c r="M18" s="463" t="s">
        <v>1987</v>
      </c>
      <c r="N18" s="1322" t="s">
        <v>1988</v>
      </c>
      <c r="O18" s="1344">
        <v>6</v>
      </c>
      <c r="P18" s="465"/>
      <c r="Q18" s="1322"/>
      <c r="R18" s="465"/>
      <c r="S18" s="465"/>
      <c r="T18" s="1322"/>
      <c r="U18" s="465"/>
      <c r="V18" s="465"/>
    </row>
    <row r="19" spans="1:22" ht="33">
      <c r="A19" s="461" t="str">
        <f t="shared" si="0"/>
        <v xml:space="preserve">Initial Deposit to Insurance Escrow </v>
      </c>
      <c r="B19" s="1359">
        <f>'02_2_EXPENSE'!D79/2</f>
        <v>0</v>
      </c>
      <c r="C19" s="689"/>
      <c r="D19" s="1358">
        <f>'02_4_USES'!F78</f>
        <v>0</v>
      </c>
      <c r="E19" s="689"/>
      <c r="F19" s="762" t="str">
        <f>IF(D19&gt;=B19, "No Exceptions", "Below Requirement")</f>
        <v>No Exceptions</v>
      </c>
      <c r="G19" s="1333"/>
      <c r="H19" s="691" t="str">
        <f>O19&amp; " months of estimated insurance payments"</f>
        <v>6 months of estimated insurance payments</v>
      </c>
      <c r="I19" s="768"/>
      <c r="M19" s="463" t="s">
        <v>1989</v>
      </c>
      <c r="N19" s="1322" t="s">
        <v>1990</v>
      </c>
      <c r="O19" s="1344">
        <v>6</v>
      </c>
      <c r="P19" s="465"/>
      <c r="Q19" s="1322"/>
      <c r="R19" s="465"/>
      <c r="S19" s="465"/>
      <c r="T19" s="1322"/>
      <c r="U19" s="465"/>
      <c r="V19" s="465"/>
    </row>
    <row r="20" spans="1:22">
      <c r="A20" s="461" t="str">
        <f t="shared" ref="A20" si="1">M20</f>
        <v>Real Estate Taxes</v>
      </c>
      <c r="B20" s="585">
        <f>O20</f>
        <v>0.08</v>
      </c>
      <c r="C20" s="689"/>
      <c r="D20" s="585" t="e">
        <f>'02_2_EXPENSE'!D76/('02_2_EXPENSE'!D12)</f>
        <v>#DIV/0!</v>
      </c>
      <c r="E20" s="689"/>
      <c r="F20" s="762" t="e">
        <f>IF(ROUND(D20,4)&gt;B20, "Exceeds Requirement", "No Exceptions")</f>
        <v>#DIV/0!</v>
      </c>
      <c r="G20" s="1333"/>
      <c r="H20" s="691" t="str">
        <f>"Less than "&amp;TEXT(O20,"0%")&amp;" of Gross Potential Rent"</f>
        <v>Less than 8% of Gross Potential Rent</v>
      </c>
      <c r="I20" s="768"/>
      <c r="M20" s="463" t="s">
        <v>1800</v>
      </c>
      <c r="N20" s="1322" t="s">
        <v>1991</v>
      </c>
      <c r="O20" s="1349">
        <v>0.08</v>
      </c>
      <c r="P20" s="465"/>
      <c r="Q20" s="1322"/>
      <c r="R20" s="465"/>
      <c r="S20" s="465"/>
      <c r="T20" s="1322"/>
      <c r="U20" s="465"/>
      <c r="V20" s="465"/>
    </row>
    <row r="21" spans="1:22">
      <c r="A21" s="1345"/>
      <c r="B21" s="1345"/>
      <c r="C21" s="1345"/>
      <c r="D21" s="1345"/>
      <c r="E21" s="1345"/>
      <c r="F21" s="1345"/>
      <c r="G21" s="1345"/>
      <c r="H21" s="1345"/>
      <c r="M21" s="1345"/>
      <c r="N21" s="1345"/>
      <c r="O21" s="1345"/>
      <c r="P21" s="1345"/>
      <c r="Q21" s="1345"/>
      <c r="R21" s="1345"/>
      <c r="S21" s="1345"/>
      <c r="T21" s="1345"/>
      <c r="U21" s="1345"/>
      <c r="V21" s="1345"/>
    </row>
    <row r="22" spans="1:22" ht="21">
      <c r="A22" s="1356" t="str">
        <f t="shared" si="0"/>
        <v>Income &amp; Expenses</v>
      </c>
      <c r="B22" s="1351"/>
      <c r="C22" s="1352"/>
      <c r="D22" s="1352"/>
      <c r="E22" s="1352"/>
      <c r="F22" s="1353"/>
      <c r="G22" s="1353"/>
      <c r="H22" s="1355"/>
      <c r="I22" s="768"/>
      <c r="M22" s="1350" t="s">
        <v>1992</v>
      </c>
      <c r="N22" s="1361"/>
      <c r="O22" s="1351"/>
      <c r="P22" s="1351"/>
      <c r="Q22" s="1361"/>
      <c r="R22" s="1351"/>
      <c r="S22" s="1351"/>
      <c r="T22" s="1361"/>
      <c r="U22" s="1351"/>
      <c r="V22" s="1351"/>
    </row>
    <row r="23" spans="1:22">
      <c r="A23" s="1325" t="str">
        <f t="shared" si="0"/>
        <v>Operating Expense PUPA Range</v>
      </c>
      <c r="B23" s="1330" t="str">
        <f>TEXT(O23, $N$46)&amp;"-"&amp;TEXT(R23,$N$46)</f>
        <v>$7,200-$8,300</v>
      </c>
      <c r="C23" s="462"/>
      <c r="D23" s="583">
        <f>'02_2_EXPENSE'!E91-'02_2_EXPENSE'!E76-'02_2_EXPENSE'!E47</f>
        <v>0</v>
      </c>
      <c r="E23" s="462"/>
      <c r="F23" s="461" t="str">
        <f>IF(D23&gt;R23, "Exceeds Standard Range", IF(D23&lt;O23,"Less than Standard Range","No Exceptions"))</f>
        <v>Less than Standard Range</v>
      </c>
      <c r="G23" s="1332"/>
      <c r="H23" s="767" t="str">
        <f>TEXT(O23, N46)&amp;"-"&amp;TEXT(R23,$N$46) &amp;" net of utilities and taxes"</f>
        <v>$7,200-$8,300 net of utilities and taxes</v>
      </c>
      <c r="I23" s="769" t="s">
        <v>1959</v>
      </c>
      <c r="M23" s="463" t="s">
        <v>1993</v>
      </c>
      <c r="N23" s="1322" t="s">
        <v>1994</v>
      </c>
      <c r="O23" s="1323">
        <v>7200</v>
      </c>
      <c r="P23" s="465"/>
      <c r="Q23" s="1322" t="s">
        <v>1995</v>
      </c>
      <c r="R23" s="1323">
        <v>8300</v>
      </c>
      <c r="S23" s="465"/>
      <c r="T23" s="1322"/>
      <c r="U23" s="465"/>
      <c r="V23" s="465"/>
    </row>
    <row r="24" spans="1:22" ht="33">
      <c r="A24" s="461" t="str">
        <f t="shared" si="0"/>
        <v>Management Fee</v>
      </c>
      <c r="B24" s="585">
        <f>IF(rng02_TotalUnit&gt;=61,$O$24,IF(rng02_TotalUnit&gt;=41,$R$24,$T$24))</f>
        <v>7.0000000000000007E-2</v>
      </c>
      <c r="C24" s="462"/>
      <c r="D24" s="585">
        <f>rng01_ManagementFee</f>
        <v>0</v>
      </c>
      <c r="E24" s="462"/>
      <c r="F24" s="461" t="str">
        <f>IF(D24&lt;=B24,"No Exceptions","Exceeds Standard Range")</f>
        <v>No Exceptions</v>
      </c>
      <c r="G24" s="1332"/>
      <c r="H24" s="767"/>
      <c r="I24" s="769" t="s">
        <v>1959</v>
      </c>
      <c r="M24" s="463" t="s">
        <v>1797</v>
      </c>
      <c r="N24" s="1322" t="s">
        <v>1996</v>
      </c>
      <c r="O24" s="585">
        <v>5.5E-2</v>
      </c>
      <c r="P24" s="585"/>
      <c r="Q24" s="1322" t="s">
        <v>1997</v>
      </c>
      <c r="R24" s="585">
        <v>0.06</v>
      </c>
      <c r="S24" s="585" t="s">
        <v>1998</v>
      </c>
      <c r="T24" s="1322">
        <v>7.0000000000000007E-2</v>
      </c>
      <c r="U24" s="585"/>
      <c r="V24" s="585"/>
    </row>
    <row r="25" spans="1:22" ht="33">
      <c r="A25" s="1335" t="str">
        <f t="shared" si="0"/>
        <v>Residential Market Vacancy:</v>
      </c>
      <c r="B25" s="1330" t="str">
        <f>TEXT(O25, $N$47)&amp;"-"&amp;TEXT(R25,$N$47)</f>
        <v>5.0%-7.0%</v>
      </c>
      <c r="C25" s="462"/>
      <c r="D25" s="584">
        <f>'01_1_General Data'!D123</f>
        <v>0</v>
      </c>
      <c r="E25" s="462"/>
      <c r="F25" s="461" t="str">
        <f>IF(rng02_TotalUnits_Market=0,"Not Applicable",IF(D25&gt;R25,"Higher than Standard Range",IF(D25&lt;O25,"Lower than Standard Range","No Exceptions")))</f>
        <v>Not Applicable</v>
      </c>
      <c r="G25" s="1332"/>
      <c r="H25" s="767" t="str">
        <f>"Residential Market Vacancy should be underwritten in the range of " &amp;TEXT(O25, $N$47)&amp;"-"&amp;TEXT(R25,$N$47)</f>
        <v>Residential Market Vacancy should be underwritten in the range of 5.0%-7.0%</v>
      </c>
      <c r="I25" s="769" t="s">
        <v>1959</v>
      </c>
      <c r="M25" s="764" t="s">
        <v>1071</v>
      </c>
      <c r="N25" s="1322" t="s">
        <v>1999</v>
      </c>
      <c r="O25" s="1331">
        <v>0.05</v>
      </c>
      <c r="P25" s="766"/>
      <c r="Q25" s="1322" t="s">
        <v>2000</v>
      </c>
      <c r="R25" s="1331">
        <v>7.0000000000000007E-2</v>
      </c>
      <c r="S25" s="766"/>
      <c r="T25" s="1322"/>
      <c r="U25" s="766"/>
      <c r="V25" s="766"/>
    </row>
    <row r="26" spans="1:22">
      <c r="A26" s="1335" t="str">
        <f t="shared" si="0"/>
        <v>Residential Affordable Vacancy:</v>
      </c>
      <c r="B26" s="1330" t="str">
        <f>TEXT(O26, $N$47)&amp;"-"&amp;TEXT(R26,$N$47)</f>
        <v>5.0%-7.0%</v>
      </c>
      <c r="C26" s="462"/>
      <c r="D26" s="584">
        <f>'01_1_General Data'!D124</f>
        <v>0</v>
      </c>
      <c r="E26" s="462"/>
      <c r="F26" s="461" t="str">
        <f>IF(rng02_TotalUnits_LIHTC=0,"Not Applicable",IF(D26&gt;R26,"Higher than Standard Range",IF(D26&lt;O26,"Lower than Standard Range","No Exceptions")))</f>
        <v>Not Applicable</v>
      </c>
      <c r="G26" s="1332"/>
      <c r="H26" s="767"/>
      <c r="I26" s="768"/>
      <c r="M26" s="764" t="s">
        <v>1072</v>
      </c>
      <c r="N26" s="1322" t="s">
        <v>1999</v>
      </c>
      <c r="O26" s="1331">
        <v>0.05</v>
      </c>
      <c r="P26" s="766"/>
      <c r="Q26" s="1322" t="s">
        <v>2000</v>
      </c>
      <c r="R26" s="1331">
        <v>7.0000000000000007E-2</v>
      </c>
      <c r="S26" s="766"/>
      <c r="T26" s="1322"/>
      <c r="U26" s="766"/>
      <c r="V26" s="766"/>
    </row>
    <row r="27" spans="1:22">
      <c r="A27" s="1335" t="str">
        <f t="shared" si="0"/>
        <v>Commercial Market Vacancy:</v>
      </c>
      <c r="B27" s="765">
        <f>O27</f>
        <v>0.1</v>
      </c>
      <c r="C27" s="462"/>
      <c r="D27" s="584">
        <f>'01_1_General Data'!D125</f>
        <v>0</v>
      </c>
      <c r="E27" s="462"/>
      <c r="F27" s="461" t="str">
        <f>IF('02_1_INCOME'!H60=0,"Not Applicable",IF(D27&gt;O27,"Higher than Standard",IF(D27&lt;O27,"Lower than Standard","No Exceptions")))</f>
        <v>Not Applicable</v>
      </c>
      <c r="G27" s="1332"/>
      <c r="H27" s="767"/>
      <c r="I27" s="768"/>
      <c r="M27" s="764" t="s">
        <v>1415</v>
      </c>
      <c r="N27" s="1322" t="s">
        <v>2001</v>
      </c>
      <c r="O27" s="765">
        <v>0.1</v>
      </c>
      <c r="P27" s="765"/>
      <c r="Q27" s="1322"/>
      <c r="R27" s="765"/>
      <c r="S27" s="765"/>
      <c r="T27" s="1322"/>
      <c r="U27" s="765"/>
      <c r="V27" s="765"/>
    </row>
    <row r="28" spans="1:22">
      <c r="A28" s="461" t="str">
        <f t="shared" si="0"/>
        <v>Reserves for Replacement PUPA</v>
      </c>
      <c r="B28" s="688">
        <f>O28</f>
        <v>325</v>
      </c>
      <c r="C28" s="462"/>
      <c r="D28" s="688">
        <f>'02_2_EXPENSE'!E89</f>
        <v>0</v>
      </c>
      <c r="E28" s="462"/>
      <c r="F28" s="762" t="str">
        <f>IF(D28&gt;=B28, "No Exceptions", "Below Requirement")</f>
        <v>Below Requirement</v>
      </c>
      <c r="G28" s="1332"/>
      <c r="H28" s="767"/>
      <c r="I28" s="769" t="s">
        <v>1959</v>
      </c>
      <c r="M28" s="463" t="s">
        <v>2002</v>
      </c>
      <c r="N28" s="1322" t="s">
        <v>1994</v>
      </c>
      <c r="O28" s="688">
        <v>325</v>
      </c>
      <c r="P28" s="688"/>
      <c r="Q28" s="1322"/>
      <c r="R28" s="688"/>
      <c r="S28" s="688"/>
      <c r="T28" s="1322"/>
      <c r="U28" s="688"/>
      <c r="V28" s="688"/>
    </row>
    <row r="29" spans="1:22">
      <c r="A29" s="461" t="str">
        <f t="shared" si="0"/>
        <v>Income Trending</v>
      </c>
      <c r="B29" s="1330" t="str">
        <f>TEXT(O29, $N$47)</f>
        <v>2.0%</v>
      </c>
      <c r="C29" s="462"/>
      <c r="D29" s="585">
        <f>rng01_RentalIncomeRate</f>
        <v>0</v>
      </c>
      <c r="E29" s="462"/>
      <c r="F29" s="461" t="str">
        <f>IF(D29&gt;$O$29,"Higher than Standard Range",IF(D29&lt;$O$29,"Lower than Standard Range","No Exceptions"))</f>
        <v>Lower than Standard Range</v>
      </c>
      <c r="G29" s="1332"/>
      <c r="H29" s="767" t="str">
        <f>"Income will be trended at an annual rate of  " &amp; TEXT(O29, $N$47)</f>
        <v>Income will be trended at an annual rate of  2.0%</v>
      </c>
      <c r="I29" s="769" t="s">
        <v>1959</v>
      </c>
      <c r="M29" s="463" t="s">
        <v>2003</v>
      </c>
      <c r="N29" s="1322" t="s">
        <v>1999</v>
      </c>
      <c r="O29" s="1331">
        <v>0.02</v>
      </c>
      <c r="P29" s="766"/>
      <c r="Q29" s="1322" t="s">
        <v>2000</v>
      </c>
      <c r="R29" s="1331"/>
      <c r="S29" s="766"/>
      <c r="T29" s="1322"/>
      <c r="U29" s="766"/>
      <c r="V29" s="766"/>
    </row>
    <row r="30" spans="1:22">
      <c r="A30" s="461" t="str">
        <f t="shared" si="0"/>
        <v>Expense Trending</v>
      </c>
      <c r="B30" s="1330" t="str">
        <f>TEXT(O30, $N$47)</f>
        <v>3.0%</v>
      </c>
      <c r="C30" s="462"/>
      <c r="D30" s="585">
        <f>rng01_OpExRate</f>
        <v>0</v>
      </c>
      <c r="E30" s="462"/>
      <c r="F30" s="461" t="str">
        <f>IF(D30&gt;$O$30,"Higher than Standard Range",IF(D30&lt;$O$30,"Lower than Standard Range","No Exceptions"))</f>
        <v>Lower than Standard Range</v>
      </c>
      <c r="G30" s="1332"/>
      <c r="H30" s="767" t="str">
        <f>"Operating expenses will be trended at an annual rate of " &amp; TEXT(O30, $N$47)</f>
        <v>Operating expenses will be trended at an annual rate of 3.0%</v>
      </c>
      <c r="I30" s="769" t="s">
        <v>1959</v>
      </c>
      <c r="M30" s="463" t="s">
        <v>2004</v>
      </c>
      <c r="N30" s="1322" t="s">
        <v>1999</v>
      </c>
      <c r="O30" s="1331">
        <v>0.03</v>
      </c>
      <c r="P30" s="766"/>
      <c r="Q30" s="1322" t="s">
        <v>2000</v>
      </c>
      <c r="R30" s="1331"/>
      <c r="S30" s="766"/>
      <c r="T30" s="1322"/>
      <c r="U30" s="766"/>
      <c r="V30" s="766"/>
    </row>
    <row r="31" spans="1:22" ht="33">
      <c r="A31" s="461" t="str">
        <f t="shared" si="0"/>
        <v>Trending Spread</v>
      </c>
      <c r="B31" s="766" t="str">
        <f>TEXT(O31,$N$47)&amp;" Differential"</f>
        <v>1.0% Differential</v>
      </c>
      <c r="C31" s="462"/>
      <c r="D31" s="585">
        <f>D30-D29</f>
        <v>0</v>
      </c>
      <c r="E31" s="462"/>
      <c r="F31" s="461" t="str">
        <f>IF(D31=O31, "No Exceptions", "Review Trending Spread")</f>
        <v>Review Trending Spread</v>
      </c>
      <c r="G31" s="1332"/>
      <c r="H31" s="767" t="str">
        <f>"Typically expenses are trended "&amp;TEXT(O31, $N$47)&amp; " higher than income."</f>
        <v>Typically expenses are trended 1.0% higher than income.</v>
      </c>
      <c r="I31" s="769" t="s">
        <v>1959</v>
      </c>
      <c r="M31" s="463" t="s">
        <v>2005</v>
      </c>
      <c r="N31" s="1322" t="s">
        <v>2006</v>
      </c>
      <c r="O31" s="1331">
        <v>0.01</v>
      </c>
      <c r="P31" s="766"/>
      <c r="Q31" s="1322"/>
      <c r="R31" s="766"/>
      <c r="S31" s="766"/>
      <c r="T31" s="1322"/>
      <c r="U31" s="766"/>
      <c r="V31" s="766"/>
    </row>
    <row r="32" spans="1:22">
      <c r="A32" s="1345"/>
      <c r="B32" s="1345"/>
      <c r="C32" s="1345"/>
      <c r="D32" s="1345"/>
      <c r="E32" s="1345"/>
      <c r="F32" s="1345"/>
      <c r="G32" s="1345"/>
      <c r="H32" s="1345"/>
      <c r="M32" s="1345"/>
      <c r="N32" s="1345"/>
      <c r="O32" s="1345"/>
      <c r="P32" s="1345"/>
      <c r="Q32" s="1345"/>
      <c r="R32" s="1345"/>
      <c r="S32" s="1345"/>
      <c r="T32" s="1345"/>
      <c r="U32" s="1345"/>
      <c r="V32" s="1345"/>
    </row>
    <row r="33" spans="1:22" ht="21">
      <c r="A33" s="1356" t="str">
        <f t="shared" si="0"/>
        <v>Loan Sizing</v>
      </c>
      <c r="B33" s="1351"/>
      <c r="C33" s="1352"/>
      <c r="D33" s="1352"/>
      <c r="E33" s="1352"/>
      <c r="F33" s="1353"/>
      <c r="G33" s="1353"/>
      <c r="H33" s="1354"/>
      <c r="I33" s="768"/>
      <c r="M33" s="1350" t="s">
        <v>2007</v>
      </c>
      <c r="N33" s="1361"/>
      <c r="O33" s="1351"/>
      <c r="P33" s="1351"/>
      <c r="Q33" s="1361"/>
      <c r="R33" s="1351"/>
      <c r="S33" s="1351"/>
      <c r="T33" s="1361"/>
      <c r="U33" s="1351"/>
      <c r="V33" s="1351"/>
    </row>
    <row r="34" spans="1:22">
      <c r="A34" s="461" t="str">
        <f t="shared" si="0"/>
        <v>Loan to Value</v>
      </c>
      <c r="B34" s="763">
        <f>O34</f>
        <v>0.9</v>
      </c>
      <c r="C34" s="462"/>
      <c r="D34" s="584" t="e">
        <f>'06_2_Credit Committee'!D29</f>
        <v>#DIV/0!</v>
      </c>
      <c r="E34" s="462"/>
      <c r="F34" s="762" t="e">
        <f>IF(B34&gt;=D34, "No Exceptions", "Exceeds Requirement")</f>
        <v>#DIV/0!</v>
      </c>
      <c r="G34" s="1332"/>
      <c r="H34" s="767" t="str">
        <f>"Maximum allowable loan to value for all first mortgages is " &amp;TEXT(O34,$N$47)</f>
        <v>Maximum allowable loan to value for all first mortgages is 90.0%</v>
      </c>
      <c r="I34" s="769" t="s">
        <v>1955</v>
      </c>
      <c r="M34" s="463" t="s">
        <v>1849</v>
      </c>
      <c r="N34" s="1322" t="s">
        <v>2008</v>
      </c>
      <c r="O34" s="763">
        <v>0.9</v>
      </c>
      <c r="P34" s="461"/>
      <c r="Q34" s="1322"/>
      <c r="R34" s="461"/>
      <c r="S34" s="461"/>
      <c r="T34" s="1322"/>
      <c r="U34" s="461"/>
      <c r="V34" s="461"/>
    </row>
    <row r="35" spans="1:22" ht="115.5">
      <c r="A35" s="461" t="str">
        <f t="shared" si="0"/>
        <v>DSCR Year 1</v>
      </c>
      <c r="B35" s="461">
        <f>IF(rng01_CreditType="9%", '06_3_UWChecklist'!O35, '06_3_UWChecklist'!R35)</f>
        <v>1.2</v>
      </c>
      <c r="C35" s="462"/>
      <c r="D35" s="586">
        <f>'04_1_Pro Forma'!C38</f>
        <v>0</v>
      </c>
      <c r="E35" s="462"/>
      <c r="F35" s="461" t="str">
        <f>IF(D35&gt;B35, "No Exceptions", "Below requirement")</f>
        <v>Below requirement</v>
      </c>
      <c r="G35" s="1332"/>
      <c r="H35" s="767" t="s">
        <v>2009</v>
      </c>
      <c r="I35" s="769" t="s">
        <v>1955</v>
      </c>
      <c r="M35" s="463" t="s">
        <v>2010</v>
      </c>
      <c r="N35" s="1347" t="s">
        <v>1978</v>
      </c>
      <c r="O35" s="461">
        <v>1.1499999999999999</v>
      </c>
      <c r="P35" s="461"/>
      <c r="Q35" s="1322" t="s">
        <v>2011</v>
      </c>
      <c r="R35" s="1348">
        <v>1.2</v>
      </c>
      <c r="S35" s="461"/>
      <c r="T35" s="1322"/>
      <c r="U35" s="461"/>
      <c r="V35" s="461"/>
    </row>
    <row r="36" spans="1:22">
      <c r="A36" s="461" t="str">
        <f t="shared" si="0"/>
        <v>DSCR Year 15</v>
      </c>
      <c r="B36" s="461">
        <f>O36</f>
        <v>1.1499999999999999</v>
      </c>
      <c r="C36" s="462"/>
      <c r="D36" s="586">
        <f>'04_1_Pro Forma'!Q38</f>
        <v>0</v>
      </c>
      <c r="E36" s="462"/>
      <c r="F36" s="461" t="str">
        <f>IF(D36&gt;B36, "No Exceptions", "Below requirement")</f>
        <v>Below requirement</v>
      </c>
      <c r="G36" s="1332"/>
      <c r="H36" s="767" t="s">
        <v>2012</v>
      </c>
      <c r="I36" s="769" t="s">
        <v>1955</v>
      </c>
      <c r="M36" s="463" t="s">
        <v>2013</v>
      </c>
      <c r="N36" s="1322" t="s">
        <v>2014</v>
      </c>
      <c r="O36" s="461">
        <v>1.1499999999999999</v>
      </c>
      <c r="P36" s="461"/>
      <c r="Q36" s="1322"/>
      <c r="R36" s="461"/>
      <c r="S36" s="461"/>
      <c r="T36" s="1322"/>
      <c r="U36" s="461"/>
      <c r="V36" s="461"/>
    </row>
    <row r="37" spans="1:22">
      <c r="A37" s="461" t="str">
        <f t="shared" si="0"/>
        <v xml:space="preserve">50% Test Estimate </v>
      </c>
      <c r="B37" s="763">
        <v>0.5</v>
      </c>
      <c r="C37" s="462"/>
      <c r="D37" s="585" t="str">
        <f>'01_1_General Data'!K49</f>
        <v>Not Applicable</v>
      </c>
      <c r="E37" s="462"/>
      <c r="F37" s="461" t="str">
        <f>IF(D37&lt;50%,"Fails 50% Test",IF(D37&lt;53%,"Within 3% of 50% Test","No Exceptions"))</f>
        <v>No Exceptions</v>
      </c>
      <c r="G37" s="1332"/>
      <c r="H37" s="767"/>
      <c r="I37" s="768"/>
      <c r="M37" s="463" t="s">
        <v>2015</v>
      </c>
      <c r="N37" s="1322"/>
      <c r="O37" s="763"/>
      <c r="P37" s="763"/>
      <c r="Q37" s="1322"/>
      <c r="R37" s="763"/>
      <c r="S37" s="763"/>
      <c r="T37" s="1322"/>
      <c r="U37" s="763"/>
      <c r="V37" s="763"/>
    </row>
    <row r="38" spans="1:22">
      <c r="A38" s="461" t="str">
        <f t="shared" si="0"/>
        <v>Construction Loan within parameters</v>
      </c>
      <c r="B38" s="763">
        <f>IF(rng01_ConstructionLoanLender="No", 0, '06_3_UWChecklist'!O41)</f>
        <v>0.15</v>
      </c>
      <c r="C38" s="462"/>
      <c r="D38" s="1349" t="e">
        <f>'01_1_General Data'!E90</f>
        <v>#DIV/0!</v>
      </c>
      <c r="E38" s="462"/>
      <c r="F38" s="461" t="e">
        <f>IF(D38&gt;=B38,"No Exceptions","Below Requirement")</f>
        <v>#DIV/0!</v>
      </c>
      <c r="G38" s="1332"/>
      <c r="H38" s="767"/>
      <c r="I38" s="768"/>
      <c r="M38" s="463" t="s">
        <v>2016</v>
      </c>
      <c r="N38" s="1322" t="s">
        <v>2017</v>
      </c>
      <c r="O38" s="763">
        <v>0.15</v>
      </c>
      <c r="P38" s="763"/>
      <c r="Q38" s="1322"/>
      <c r="R38" s="763"/>
      <c r="S38" s="763"/>
      <c r="T38" s="1322"/>
      <c r="U38" s="763"/>
      <c r="V38" s="763"/>
    </row>
    <row r="39" spans="1:22">
      <c r="F39" s="1345"/>
      <c r="N39" s="1345"/>
      <c r="Q39" s="1345"/>
      <c r="T39" s="1345"/>
      <c r="U39" s="1345"/>
    </row>
    <row r="40" spans="1:22" ht="21">
      <c r="A40" s="1357" t="str">
        <f t="shared" si="0"/>
        <v>Additional Metrics</v>
      </c>
      <c r="F40" s="1353"/>
      <c r="G40" s="1334"/>
      <c r="H40" s="1320"/>
      <c r="M40" s="1350" t="s">
        <v>2018</v>
      </c>
      <c r="N40" s="1361"/>
      <c r="P40" s="1352"/>
      <c r="Q40" s="1361"/>
      <c r="S40" s="1352"/>
      <c r="T40" s="1361"/>
    </row>
    <row r="41" spans="1:22">
      <c r="A41" s="461" t="str">
        <f t="shared" si="0"/>
        <v>Initial installment of syndication</v>
      </c>
      <c r="B41" s="1349">
        <f>IF(rng01_ConstructionLoanLender="No", 0, '06_3_UWChecklist'!O41)</f>
        <v>0.15</v>
      </c>
      <c r="C41" s="462"/>
      <c r="D41" s="1349" t="e">
        <f>'01_1_General Data'!E90</f>
        <v>#DIV/0!</v>
      </c>
      <c r="E41" s="462"/>
      <c r="F41" s="461" t="e">
        <f>IF(D41&gt;=B41,"No Exceptions","Below Requirement")</f>
        <v>#DIV/0!</v>
      </c>
      <c r="G41" s="1332"/>
      <c r="H41" s="1346"/>
      <c r="I41" s="768" t="s">
        <v>1955</v>
      </c>
      <c r="M41" s="463" t="s">
        <v>2019</v>
      </c>
      <c r="N41" s="1322" t="s">
        <v>2017</v>
      </c>
      <c r="O41" s="763">
        <v>0.15</v>
      </c>
      <c r="P41" s="763"/>
      <c r="Q41" s="1322"/>
      <c r="R41" s="763"/>
      <c r="S41" s="763"/>
      <c r="T41" s="1322"/>
      <c r="U41" s="763"/>
      <c r="V41" s="763"/>
    </row>
    <row r="42" spans="1:22">
      <c r="A42" s="461" t="str">
        <f t="shared" si="0"/>
        <v>Percentage of Developer Fee paid at closing</v>
      </c>
      <c r="B42" s="763">
        <f>O42</f>
        <v>0.5</v>
      </c>
      <c r="C42" s="462"/>
      <c r="D42" s="1349" t="e">
        <f>'03_2_Construction Cashflow'!E107/'02_4_USES'!F88</f>
        <v>#DIV/0!</v>
      </c>
      <c r="E42" s="462"/>
      <c r="F42" s="461" t="e">
        <f>IF(D42&lt;=B42, "No Exceptions", "Exceed Typical")</f>
        <v>#DIV/0!</v>
      </c>
      <c r="G42" s="1332"/>
      <c r="H42" s="767"/>
      <c r="I42" s="768" t="s">
        <v>1959</v>
      </c>
      <c r="M42" s="463" t="s">
        <v>2020</v>
      </c>
      <c r="N42" s="1322" t="s">
        <v>2021</v>
      </c>
      <c r="O42" s="763">
        <v>0.5</v>
      </c>
      <c r="P42" s="763"/>
      <c r="Q42" s="1322"/>
      <c r="R42" s="763"/>
      <c r="S42" s="763"/>
      <c r="T42" s="1322"/>
      <c r="U42" s="763"/>
      <c r="V42" s="763"/>
    </row>
    <row r="43" spans="1:22" ht="33">
      <c r="A43" s="1319" t="str">
        <f t="shared" si="0"/>
        <v>Acquisition Price no greater than the appraised value</v>
      </c>
      <c r="B43" s="1358">
        <f>'01_1_General Data'!C304</f>
        <v>0</v>
      </c>
      <c r="C43" s="462"/>
      <c r="D43" s="1358">
        <f>'01_1_General Data'!D304</f>
        <v>0</v>
      </c>
      <c r="E43" s="462"/>
      <c r="F43" s="461" t="str">
        <f>IF(D43&lt;=B43, "No Exceptions", "Exceed Appraised value")</f>
        <v>No Exceptions</v>
      </c>
      <c r="G43" s="1332"/>
      <c r="H43" s="1346"/>
      <c r="I43" s="768" t="s">
        <v>1955</v>
      </c>
      <c r="M43" s="776" t="s">
        <v>2022</v>
      </c>
      <c r="N43" s="1322"/>
      <c r="O43" s="583"/>
      <c r="P43" s="583"/>
      <c r="Q43" s="1322"/>
      <c r="R43" s="583"/>
      <c r="S43" s="583"/>
      <c r="T43" s="1322"/>
      <c r="U43" s="583"/>
      <c r="V43" s="583"/>
    </row>
    <row r="46" spans="1:22">
      <c r="M46" s="455" t="s">
        <v>2023</v>
      </c>
      <c r="N46" s="455" t="str">
        <f>TEXT("$0,00", "")</f>
        <v>$0,00</v>
      </c>
    </row>
    <row r="47" spans="1:22">
      <c r="A47" s="1674">
        <v>44813</v>
      </c>
      <c r="M47" s="455" t="s">
        <v>2024</v>
      </c>
      <c r="N47" s="1329" t="s">
        <v>2025</v>
      </c>
    </row>
    <row r="48" spans="1:22">
      <c r="A48" s="1559" t="s">
        <v>2298</v>
      </c>
    </row>
    <row r="49" spans="1:14">
      <c r="N49" s="455" t="str">
        <f>TEXT(R11,N46)</f>
        <v>$20,790</v>
      </c>
    </row>
    <row r="50" spans="1:14">
      <c r="A50" s="1823">
        <v>45078</v>
      </c>
    </row>
    <row r="51" spans="1:14">
      <c r="A51" s="1823" t="s">
        <v>2407</v>
      </c>
    </row>
    <row r="52" spans="1:14">
      <c r="A52" s="1824" t="s">
        <v>2405</v>
      </c>
    </row>
  </sheetData>
  <sheetProtection algorithmName="SHA-512" hashValue="xqlD7pNUnzKBJO1urNLjHHC2XpTel4/gc1fgjM5eejNWq6R0mvcDCF/uBFVMHOK1wRJWUyi+HDQbJ7h0XcW98w==" saltValue="5EYxIRv4gAp0ER8PEukLCA==" spinCount="100000" sheet="1" formatCells="0" formatColumns="0" formatRows="0"/>
  <conditionalFormatting sqref="D36">
    <cfRule type="cellIs" dxfId="2" priority="5" operator="lessThan">
      <formula>1.15</formula>
    </cfRule>
  </conditionalFormatting>
  <conditionalFormatting sqref="F23:F31 F41:F43 F8:F19 F34:F38">
    <cfRule type="expression" dxfId="1" priority="2">
      <formula>AND($F8&lt;&gt;"No Exceptions", $F8&lt;&gt;"Not Applicable")</formula>
    </cfRule>
  </conditionalFormatting>
  <conditionalFormatting sqref="F20">
    <cfRule type="expression" dxfId="0" priority="1">
      <formula>AND($F20&lt;&gt;"No Exceptions", $F20&lt;&gt;"Not Applicable")</formula>
    </cfRule>
  </conditionalFormatting>
  <pageMargins left="0.7" right="0.7" top="0.75" bottom="0.75" header="0.3" footer="0.3"/>
  <pageSetup scale="42" orientation="portrait" r:id="rId1"/>
  <ignoredErrors>
    <ignoredError sqref="B15"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wst06_5_SubsidyLayer">
    <tabColor theme="1"/>
  </sheetPr>
  <dimension ref="A1:R41"/>
  <sheetViews>
    <sheetView zoomScale="85" zoomScaleNormal="85" workbookViewId="0">
      <selection sqref="A1:H1"/>
    </sheetView>
  </sheetViews>
  <sheetFormatPr defaultColWidth="9" defaultRowHeight="12.75"/>
  <cols>
    <col min="1" max="1" width="3" customWidth="1"/>
    <col min="2" max="2" width="3.5" customWidth="1"/>
    <col min="3" max="3" width="30.5" customWidth="1"/>
    <col min="4" max="4" width="15.5" customWidth="1"/>
    <col min="5" max="6" width="16" customWidth="1"/>
    <col min="7" max="8" width="14.5" customWidth="1"/>
  </cols>
  <sheetData>
    <row r="1" spans="1:18" ht="18">
      <c r="A1" s="2355" t="s">
        <v>2027</v>
      </c>
      <c r="B1" s="2355"/>
      <c r="C1" s="2355"/>
      <c r="D1" s="2355"/>
      <c r="E1" s="2355"/>
      <c r="F1" s="2355"/>
      <c r="G1" s="2355"/>
      <c r="H1" s="2355"/>
    </row>
    <row r="2" spans="1:18">
      <c r="A2" s="2356"/>
      <c r="B2" s="2356"/>
      <c r="C2" s="2356"/>
      <c r="D2" s="2356"/>
      <c r="E2" s="2356"/>
      <c r="F2" s="2356"/>
      <c r="G2" s="2356"/>
      <c r="H2" s="2356"/>
      <c r="J2" s="1" t="s">
        <v>2028</v>
      </c>
    </row>
    <row r="3" spans="1:18">
      <c r="A3" s="2357" t="s">
        <v>2029</v>
      </c>
      <c r="B3" s="2357"/>
      <c r="C3" s="2357"/>
      <c r="D3" s="2357"/>
      <c r="E3" s="2357"/>
      <c r="F3" s="2357"/>
      <c r="G3" s="2357"/>
      <c r="H3" s="2357"/>
    </row>
    <row r="4" spans="1:18">
      <c r="A4" s="2"/>
      <c r="B4" s="2"/>
      <c r="C4" s="2"/>
      <c r="D4" s="1503"/>
      <c r="E4" s="1503">
        <f>rng01_ProjectName</f>
        <v>0</v>
      </c>
      <c r="F4" s="1503"/>
      <c r="G4" s="2"/>
      <c r="H4" s="2"/>
      <c r="J4" s="1" t="s">
        <v>2030</v>
      </c>
    </row>
    <row r="5" spans="1:18">
      <c r="A5" s="2"/>
      <c r="B5" s="2"/>
      <c r="C5" s="2"/>
      <c r="D5" s="2"/>
      <c r="E5" s="2"/>
      <c r="F5" s="2"/>
      <c r="G5" s="2"/>
      <c r="H5" s="2"/>
    </row>
    <row r="6" spans="1:18" ht="13.5" thickBot="1">
      <c r="J6" s="1" t="s">
        <v>2031</v>
      </c>
    </row>
    <row r="7" spans="1:18" s="1" customFormat="1" ht="13.5" thickBot="1">
      <c r="A7" s="3" t="s">
        <v>2032</v>
      </c>
      <c r="B7" s="4"/>
      <c r="C7" s="5"/>
      <c r="D7" s="6" t="s">
        <v>2033</v>
      </c>
      <c r="E7" s="2353" t="s">
        <v>2034</v>
      </c>
      <c r="F7" s="2354"/>
      <c r="G7" s="2353" t="s">
        <v>2035</v>
      </c>
      <c r="H7" s="2354"/>
      <c r="J7" s="1" t="s">
        <v>2036</v>
      </c>
    </row>
    <row r="8" spans="1:18" s="1" customFormat="1" ht="13.5" thickBot="1">
      <c r="A8" s="381"/>
      <c r="B8" s="382" t="s">
        <v>2037</v>
      </c>
      <c r="C8" s="383" t="s">
        <v>2038</v>
      </c>
      <c r="D8" s="384"/>
      <c r="E8" s="7" t="s">
        <v>2039</v>
      </c>
      <c r="F8" s="6" t="s">
        <v>2040</v>
      </c>
      <c r="G8" s="2353" t="s">
        <v>2041</v>
      </c>
      <c r="H8" s="2354"/>
      <c r="K8"/>
      <c r="L8"/>
      <c r="M8"/>
      <c r="N8"/>
      <c r="O8"/>
      <c r="P8"/>
      <c r="Q8"/>
      <c r="R8"/>
    </row>
    <row r="9" spans="1:18">
      <c r="A9" s="372"/>
      <c r="C9" s="373" t="s">
        <v>2042</v>
      </c>
      <c r="D9" s="1500">
        <f>rng02_Uses_DevRehabCosts_ConstRehabCosts_BuildersProfit</f>
        <v>0</v>
      </c>
      <c r="E9" s="1500">
        <f>F9</f>
        <v>0</v>
      </c>
      <c r="F9" s="1500"/>
      <c r="G9" s="374"/>
      <c r="H9" s="375"/>
      <c r="I9" s="385"/>
      <c r="J9" s="1" t="s">
        <v>2043</v>
      </c>
    </row>
    <row r="10" spans="1:18">
      <c r="A10" s="372"/>
      <c r="C10" s="373" t="s">
        <v>2044</v>
      </c>
      <c r="D10" s="1500">
        <f>rng02_Uses_DevRehabCosts_ConstRehabCosts_BuildersGenOverhead</f>
        <v>0</v>
      </c>
      <c r="E10" s="1500">
        <f>F10</f>
        <v>0</v>
      </c>
      <c r="F10" s="1500"/>
      <c r="G10" s="2343" t="s">
        <v>2045</v>
      </c>
      <c r="H10" s="2344"/>
      <c r="I10" s="385"/>
    </row>
    <row r="11" spans="1:18">
      <c r="A11" s="372"/>
      <c r="C11" s="373" t="s">
        <v>2046</v>
      </c>
      <c r="D11" s="1500">
        <f>rng02_Uses_DevRehabCosts_ConstRehabCosts_BuildersGenOverhead</f>
        <v>0</v>
      </c>
      <c r="E11" s="1500">
        <f>F11</f>
        <v>0</v>
      </c>
      <c r="F11" s="1500"/>
      <c r="G11" s="372"/>
      <c r="H11" s="373"/>
      <c r="I11" s="386"/>
      <c r="J11" s="1" t="s">
        <v>2047</v>
      </c>
      <c r="K11" s="1"/>
      <c r="L11" s="1"/>
    </row>
    <row r="12" spans="1:18" ht="13.5" thickBot="1">
      <c r="A12" s="371"/>
      <c r="B12" s="376"/>
      <c r="C12" s="370"/>
      <c r="D12" s="387"/>
      <c r="E12" s="388"/>
      <c r="F12" s="388"/>
      <c r="G12" s="372"/>
      <c r="H12" s="373"/>
    </row>
    <row r="13" spans="1:18" s="1" customFormat="1" ht="13.5" thickBot="1">
      <c r="A13" s="381"/>
      <c r="B13" s="389"/>
      <c r="C13" s="383"/>
      <c r="D13" s="390" t="s">
        <v>2033</v>
      </c>
      <c r="E13" s="2345" t="s">
        <v>2048</v>
      </c>
      <c r="F13" s="2346"/>
      <c r="G13" s="391"/>
      <c r="H13" s="392"/>
      <c r="I13" s="393"/>
      <c r="J13" s="1" t="s">
        <v>2049</v>
      </c>
      <c r="K13"/>
      <c r="L13"/>
    </row>
    <row r="14" spans="1:18" s="1" customFormat="1">
      <c r="A14" s="391"/>
      <c r="B14" s="394" t="s">
        <v>2050</v>
      </c>
      <c r="C14" s="392" t="s">
        <v>2051</v>
      </c>
      <c r="D14" s="395"/>
      <c r="E14" s="381"/>
      <c r="F14" s="383"/>
      <c r="G14" s="391"/>
      <c r="H14" s="392"/>
      <c r="I14" s="396"/>
      <c r="J14" s="1" t="s">
        <v>2052</v>
      </c>
    </row>
    <row r="15" spans="1:18">
      <c r="A15" s="372"/>
      <c r="C15" s="373" t="s">
        <v>2053</v>
      </c>
      <c r="D15" s="1501">
        <f>'02_4_USES'!F40+'02_4_USES'!F41</f>
        <v>0</v>
      </c>
      <c r="E15" s="385">
        <f>'06_6_S&amp;U'!J30*0.1</f>
        <v>0</v>
      </c>
      <c r="F15" s="1501">
        <f>'02_4_USES'!E108</f>
        <v>0</v>
      </c>
      <c r="G15" s="372"/>
      <c r="H15" s="373"/>
      <c r="J15" s="1"/>
    </row>
    <row r="16" spans="1:18">
      <c r="A16" s="372"/>
      <c r="C16" s="373"/>
      <c r="D16" s="397" t="e">
        <f>D15/'06_6_S&amp;U'!J61</f>
        <v>#DIV/0!</v>
      </c>
      <c r="E16" s="398" t="s">
        <v>2054</v>
      </c>
      <c r="F16" s="397" t="s">
        <v>2055</v>
      </c>
      <c r="G16" s="372"/>
      <c r="H16" s="373"/>
      <c r="I16" s="399"/>
    </row>
    <row r="17" spans="1:10" ht="13.5" thickBot="1">
      <c r="A17" s="372"/>
      <c r="C17" s="373"/>
      <c r="D17" s="397"/>
      <c r="E17" s="400"/>
      <c r="F17" s="401" t="s">
        <v>2056</v>
      </c>
      <c r="G17" s="372"/>
      <c r="H17" s="373"/>
    </row>
    <row r="18" spans="1:10" ht="13.5" thickBot="1">
      <c r="A18" s="372"/>
      <c r="C18" s="373"/>
      <c r="D18" s="402"/>
      <c r="E18" s="2345" t="s">
        <v>2057</v>
      </c>
      <c r="F18" s="2346"/>
      <c r="G18" s="372"/>
      <c r="H18" s="373"/>
    </row>
    <row r="19" spans="1:10">
      <c r="A19" s="372"/>
      <c r="C19" s="373"/>
      <c r="E19" s="374"/>
      <c r="F19" s="375"/>
      <c r="H19" s="373"/>
    </row>
    <row r="20" spans="1:10">
      <c r="A20" s="372"/>
      <c r="C20" s="373"/>
      <c r="D20" s="403"/>
      <c r="E20" s="2347">
        <f>'06_6_S&amp;U'!J30*0.15</f>
        <v>0</v>
      </c>
      <c r="F20" s="2348"/>
      <c r="H20" s="373"/>
    </row>
    <row r="21" spans="1:10" ht="13.5" thickBot="1">
      <c r="A21" s="372"/>
      <c r="C21" s="373"/>
      <c r="D21" s="404"/>
      <c r="E21" s="2349">
        <v>0.15</v>
      </c>
      <c r="F21" s="2350"/>
      <c r="G21" s="376"/>
      <c r="H21" s="370"/>
    </row>
    <row r="22" spans="1:10" s="1" customFormat="1" ht="13.5" thickBot="1">
      <c r="A22" s="381"/>
      <c r="B22" s="382" t="s">
        <v>2058</v>
      </c>
      <c r="C22" s="383" t="s">
        <v>2059</v>
      </c>
      <c r="D22" s="390" t="s">
        <v>2033</v>
      </c>
      <c r="E22" s="405" t="s">
        <v>2060</v>
      </c>
      <c r="F22" s="390" t="s">
        <v>2061</v>
      </c>
      <c r="G22" s="406" t="s">
        <v>2060</v>
      </c>
      <c r="H22" s="390" t="s">
        <v>2061</v>
      </c>
    </row>
    <row r="23" spans="1:10">
      <c r="A23" s="372"/>
      <c r="C23" s="373" t="s">
        <v>2062</v>
      </c>
      <c r="D23" s="1502">
        <f>'02_4_USES'!F41</f>
        <v>0</v>
      </c>
      <c r="E23" s="407" t="e">
        <f>E24*'06_6_S&amp;U'!J68</f>
        <v>#DIV/0!</v>
      </c>
      <c r="F23" s="407" t="e">
        <f>F24*'06_6_S&amp;U'!J68</f>
        <v>#DIV/0!</v>
      </c>
      <c r="G23" s="407" t="e">
        <f>G24*'06_6_S&amp;U'!J68</f>
        <v>#DIV/0!</v>
      </c>
      <c r="H23" s="407" t="e">
        <f>H24*'06_6_S&amp;U'!J68</f>
        <v>#DIV/0!</v>
      </c>
      <c r="J23" s="1651" t="s">
        <v>2063</v>
      </c>
    </row>
    <row r="24" spans="1:10">
      <c r="A24" s="372"/>
      <c r="C24" s="373"/>
      <c r="D24" s="408" t="e">
        <f>D23/'06_6_S&amp;U'!J68</f>
        <v>#DIV/0!</v>
      </c>
      <c r="E24" s="409">
        <v>0.15</v>
      </c>
      <c r="F24" s="409">
        <v>0.1</v>
      </c>
      <c r="G24" s="409">
        <v>0.24</v>
      </c>
      <c r="H24" s="409">
        <v>0.15</v>
      </c>
    </row>
    <row r="25" spans="1:10" ht="13.5" thickBot="1">
      <c r="A25" s="371"/>
      <c r="B25" s="376"/>
      <c r="C25" s="370"/>
      <c r="D25" s="364"/>
      <c r="E25" s="388"/>
      <c r="F25" s="388"/>
      <c r="G25" s="388"/>
      <c r="H25" s="388"/>
    </row>
    <row r="26" spans="1:10" s="1" customFormat="1" ht="13.5" thickBot="1">
      <c r="A26" s="391"/>
      <c r="B26" s="394" t="s">
        <v>2064</v>
      </c>
      <c r="C26" s="392" t="s">
        <v>2065</v>
      </c>
      <c r="D26" s="390" t="s">
        <v>2033</v>
      </c>
      <c r="E26" s="2351"/>
      <c r="F26" s="2352"/>
      <c r="G26" s="381"/>
      <c r="H26" s="383"/>
    </row>
    <row r="27" spans="1:10">
      <c r="A27" s="372"/>
      <c r="C27" s="373" t="s">
        <v>2066</v>
      </c>
      <c r="D27" s="1652"/>
      <c r="E27" s="2340"/>
      <c r="F27" s="2341"/>
      <c r="G27" s="2340"/>
      <c r="H27" s="2341"/>
      <c r="J27" s="1651" t="s">
        <v>2063</v>
      </c>
    </row>
    <row r="28" spans="1:10" ht="13.5" thickBot="1">
      <c r="A28" s="371"/>
      <c r="B28" s="376"/>
      <c r="C28" s="370"/>
      <c r="D28" s="387"/>
      <c r="E28" s="371"/>
      <c r="F28" s="370"/>
      <c r="G28" s="371"/>
      <c r="H28" s="370"/>
    </row>
    <row r="30" spans="1:10">
      <c r="C30" s="1341"/>
      <c r="D30" s="2342" t="s">
        <v>2067</v>
      </c>
      <c r="E30" s="2342"/>
      <c r="F30" s="2342"/>
    </row>
    <row r="31" spans="1:10">
      <c r="C31" s="1653" t="s">
        <v>2068</v>
      </c>
      <c r="D31" s="1653" t="s">
        <v>2069</v>
      </c>
      <c r="E31" s="1653" t="s">
        <v>2070</v>
      </c>
      <c r="F31" s="1653" t="s">
        <v>2071</v>
      </c>
    </row>
    <row r="32" spans="1:10">
      <c r="C32" s="1653" t="s">
        <v>2072</v>
      </c>
      <c r="D32" s="1342">
        <v>0.08</v>
      </c>
      <c r="E32" s="1342">
        <v>0.02</v>
      </c>
      <c r="F32" s="1343">
        <v>0.09</v>
      </c>
    </row>
    <row r="33" spans="3:6">
      <c r="C33" s="1653" t="s">
        <v>2073</v>
      </c>
      <c r="D33" s="1342">
        <v>7.0000000000000007E-2</v>
      </c>
      <c r="E33" s="1342">
        <v>0.02</v>
      </c>
      <c r="F33" s="1343">
        <v>0.08</v>
      </c>
    </row>
    <row r="34" spans="3:6">
      <c r="C34" s="1653" t="s">
        <v>2074</v>
      </c>
      <c r="D34" s="1342">
        <v>7.0000000000000007E-2</v>
      </c>
      <c r="E34" s="1342">
        <v>0.02</v>
      </c>
      <c r="F34" s="1343">
        <v>0.08</v>
      </c>
    </row>
    <row r="35" spans="3:6">
      <c r="C35" s="1653" t="s">
        <v>2075</v>
      </c>
      <c r="D35" s="1342">
        <v>0.06</v>
      </c>
      <c r="E35" s="1342">
        <v>0.02</v>
      </c>
      <c r="F35" s="1343">
        <v>0.06</v>
      </c>
    </row>
    <row r="36" spans="3:6">
      <c r="C36" s="1653" t="s">
        <v>2076</v>
      </c>
      <c r="D36" s="1342">
        <v>0.06</v>
      </c>
      <c r="E36" s="1342">
        <v>0.02</v>
      </c>
      <c r="F36" s="1343">
        <v>5.5E-2</v>
      </c>
    </row>
    <row r="37" spans="3:6">
      <c r="C37" s="1653" t="s">
        <v>2077</v>
      </c>
      <c r="D37" s="1342">
        <v>0.06</v>
      </c>
      <c r="E37" s="1342">
        <v>0.02</v>
      </c>
      <c r="F37" s="1343">
        <v>0.05</v>
      </c>
    </row>
    <row r="39" spans="3:6">
      <c r="C39" s="1654"/>
      <c r="D39" s="410"/>
    </row>
    <row r="40" spans="3:6">
      <c r="C40" s="1654"/>
    </row>
    <row r="41" spans="3:6">
      <c r="C41" s="1654"/>
    </row>
  </sheetData>
  <sheetProtection algorithmName="SHA-512" hashValue="9ayEsR2eQxs8CqltlHo5yb2NsN924fC2jgORhrhfGKmjMAhb3kNNDt4RXOFWNPBhWJ2ftIGd4w0OvdFMAToZqQ==" saltValue="uAJX+zWLGATyQIFSFkTKbQ==" spinCount="100000" sheet="1" formatCells="0" formatColumns="0" formatRows="0"/>
  <mergeCells count="15">
    <mergeCell ref="G8:H8"/>
    <mergeCell ref="A1:H1"/>
    <mergeCell ref="A2:H2"/>
    <mergeCell ref="A3:H3"/>
    <mergeCell ref="E7:F7"/>
    <mergeCell ref="G7:H7"/>
    <mergeCell ref="E27:F27"/>
    <mergeCell ref="G27:H27"/>
    <mergeCell ref="D30:F30"/>
    <mergeCell ref="G10:H10"/>
    <mergeCell ref="E13:F13"/>
    <mergeCell ref="E18:F18"/>
    <mergeCell ref="E20:F20"/>
    <mergeCell ref="E21:F21"/>
    <mergeCell ref="E26:F26"/>
  </mergeCells>
  <phoneticPr fontId="53" type="noConversion"/>
  <pageMargins left="0.75" right="0.75" top="1" bottom="1" header="0.3" footer="0.3"/>
  <pageSetup scale="8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wst06_6_SU">
    <tabColor theme="1"/>
  </sheetPr>
  <dimension ref="A1:L125"/>
  <sheetViews>
    <sheetView zoomScale="85" zoomScaleNormal="85" workbookViewId="0">
      <selection sqref="A1:J1"/>
    </sheetView>
  </sheetViews>
  <sheetFormatPr defaultColWidth="9" defaultRowHeight="12.75"/>
  <cols>
    <col min="9" max="9" width="12.5" bestFit="1" customWidth="1"/>
    <col min="10" max="10" width="16" bestFit="1" customWidth="1"/>
  </cols>
  <sheetData>
    <row r="1" spans="1:12" ht="12.75" customHeight="1">
      <c r="A1" s="2362" t="s">
        <v>2078</v>
      </c>
      <c r="B1" s="2362"/>
      <c r="C1" s="2362"/>
      <c r="D1" s="2362"/>
      <c r="E1" s="2362"/>
      <c r="F1" s="2362"/>
      <c r="G1" s="2362"/>
      <c r="H1" s="2362"/>
      <c r="I1" s="2362"/>
      <c r="J1" s="2362"/>
    </row>
    <row r="2" spans="1:12" ht="12.75" customHeight="1">
      <c r="A2" s="2363">
        <f>rng01_ProjectName</f>
        <v>0</v>
      </c>
      <c r="B2" s="2363"/>
      <c r="C2" s="2363"/>
      <c r="D2" s="2363"/>
      <c r="E2" s="2363"/>
      <c r="F2" s="2363"/>
      <c r="G2" s="2363"/>
      <c r="H2" s="2363"/>
      <c r="I2" s="2363"/>
      <c r="J2" s="2363"/>
      <c r="L2" s="1"/>
    </row>
    <row r="3" spans="1:12" ht="12.75" customHeight="1">
      <c r="A3" s="399"/>
      <c r="B3" s="399"/>
      <c r="C3" s="399"/>
      <c r="D3" s="399"/>
      <c r="E3" s="399"/>
      <c r="F3" s="399"/>
      <c r="G3" s="399"/>
      <c r="H3" s="399"/>
      <c r="I3" s="399"/>
      <c r="J3" s="399"/>
    </row>
    <row r="4" spans="1:12" ht="12.75" customHeight="1">
      <c r="A4" s="411" t="s">
        <v>2079</v>
      </c>
      <c r="B4" s="399"/>
      <c r="C4" s="399"/>
      <c r="D4" s="399"/>
      <c r="E4" s="399"/>
      <c r="F4" s="399"/>
      <c r="G4" s="399"/>
      <c r="H4" s="399"/>
      <c r="I4" s="399"/>
      <c r="J4" s="399"/>
      <c r="L4" s="1"/>
    </row>
    <row r="5" spans="1:12" ht="12.75" customHeight="1">
      <c r="A5" s="399"/>
      <c r="B5" s="399"/>
      <c r="C5" s="399"/>
      <c r="D5" s="399"/>
      <c r="E5" s="399"/>
      <c r="F5" s="399"/>
      <c r="G5" s="399"/>
      <c r="H5" s="399"/>
      <c r="I5" s="399"/>
      <c r="J5" s="399"/>
    </row>
    <row r="6" spans="1:12" ht="12.75" customHeight="1">
      <c r="A6" s="411" t="s">
        <v>2080</v>
      </c>
      <c r="B6" s="399"/>
      <c r="C6" s="399"/>
      <c r="D6" s="399"/>
      <c r="E6" s="399"/>
      <c r="F6" s="399"/>
      <c r="G6" s="399"/>
      <c r="H6" s="399"/>
      <c r="I6" s="399"/>
      <c r="J6" s="399"/>
    </row>
    <row r="7" spans="1:12" ht="12.75" customHeight="1" thickBot="1">
      <c r="A7" s="399" t="s">
        <v>2081</v>
      </c>
      <c r="B7" s="399"/>
      <c r="C7" s="399"/>
      <c r="D7" s="399"/>
      <c r="E7" s="399"/>
      <c r="F7" s="399"/>
      <c r="G7" s="399"/>
      <c r="H7" s="399"/>
      <c r="I7" s="1504">
        <f>'02_3_SOURCES'!K9+'02_3_SOURCES'!K10</f>
        <v>0</v>
      </c>
      <c r="J7" s="399"/>
    </row>
    <row r="8" spans="1:12" ht="12.75" customHeight="1" thickBot="1">
      <c r="A8" s="399" t="s">
        <v>2082</v>
      </c>
      <c r="B8" s="399"/>
      <c r="C8" s="399"/>
      <c r="D8" s="399"/>
      <c r="E8" s="399"/>
      <c r="F8" s="399"/>
      <c r="G8" s="399"/>
      <c r="H8" s="399"/>
      <c r="I8" s="1505">
        <f>SUM('02_3_SOURCES'!K11:K16)</f>
        <v>0</v>
      </c>
      <c r="J8" s="399"/>
    </row>
    <row r="9" spans="1:12" ht="12.75" customHeight="1" thickBot="1">
      <c r="A9" s="2364" t="s">
        <v>2083</v>
      </c>
      <c r="B9" s="2365"/>
      <c r="C9" s="2365"/>
      <c r="D9" s="2365"/>
      <c r="E9" s="2365"/>
      <c r="F9" s="2365"/>
      <c r="G9" s="2365"/>
      <c r="H9" s="399"/>
      <c r="I9" s="1504">
        <v>0</v>
      </c>
      <c r="J9" s="399"/>
    </row>
    <row r="10" spans="1:12" ht="12.75" customHeight="1" thickBot="1">
      <c r="A10" s="2366" t="s">
        <v>2084</v>
      </c>
      <c r="B10" s="2358"/>
      <c r="C10" s="2358"/>
      <c r="D10" s="2358"/>
      <c r="E10" s="2358"/>
      <c r="F10" s="2358"/>
      <c r="G10" s="2358"/>
      <c r="H10" s="399"/>
      <c r="I10" s="1505">
        <v>0</v>
      </c>
      <c r="J10" s="399"/>
    </row>
    <row r="11" spans="1:12" ht="12.75" customHeight="1" thickBot="1">
      <c r="A11" s="2358"/>
      <c r="B11" s="2358"/>
      <c r="C11" s="2358"/>
      <c r="D11" s="2358"/>
      <c r="E11" s="2358"/>
      <c r="F11" s="2358"/>
      <c r="G11" s="2358"/>
      <c r="H11" s="399"/>
      <c r="I11" s="1505">
        <v>0</v>
      </c>
      <c r="J11" s="399"/>
    </row>
    <row r="12" spans="1:12" ht="12.75" customHeight="1" thickBot="1">
      <c r="A12" s="2365"/>
      <c r="B12" s="2365"/>
      <c r="C12" s="2365"/>
      <c r="D12" s="2365"/>
      <c r="E12" s="2365"/>
      <c r="F12" s="2365"/>
      <c r="G12" s="2365"/>
      <c r="H12" s="399"/>
      <c r="I12" s="1505">
        <v>0</v>
      </c>
      <c r="J12" s="399"/>
    </row>
    <row r="13" spans="1:12" ht="12.75" customHeight="1" thickBot="1">
      <c r="A13" s="2358" t="s">
        <v>914</v>
      </c>
      <c r="B13" s="2358"/>
      <c r="C13" s="2358"/>
      <c r="D13" s="2358"/>
      <c r="E13" s="2358"/>
      <c r="F13" s="2358"/>
      <c r="G13" s="2358"/>
      <c r="H13" s="399"/>
      <c r="I13" s="1505">
        <v>0</v>
      </c>
      <c r="J13" s="399"/>
    </row>
    <row r="14" spans="1:12" ht="12.75" customHeight="1" thickBot="1">
      <c r="A14" s="399" t="s">
        <v>2085</v>
      </c>
      <c r="B14" s="399"/>
      <c r="C14" s="399"/>
      <c r="D14" s="399"/>
      <c r="E14" s="399"/>
      <c r="F14" s="399"/>
      <c r="G14" s="399"/>
      <c r="H14" s="399"/>
      <c r="I14" s="1505">
        <v>0</v>
      </c>
      <c r="J14" s="399"/>
    </row>
    <row r="15" spans="1:12" ht="12.75" customHeight="1" thickBot="1">
      <c r="A15" s="412"/>
      <c r="B15" s="412"/>
      <c r="C15" s="412"/>
      <c r="D15" s="412"/>
      <c r="E15" s="412"/>
      <c r="F15" s="412"/>
      <c r="G15" s="412"/>
      <c r="H15" s="399"/>
      <c r="I15" s="1504">
        <v>0</v>
      </c>
      <c r="J15" s="399"/>
    </row>
    <row r="16" spans="1:12" ht="12.75" customHeight="1" thickBot="1">
      <c r="A16" s="412"/>
      <c r="B16" s="412"/>
      <c r="C16" s="412"/>
      <c r="D16" s="412"/>
      <c r="E16" s="412"/>
      <c r="F16" s="412"/>
      <c r="G16" s="412"/>
      <c r="H16" s="399"/>
      <c r="I16" s="1505">
        <v>0</v>
      </c>
      <c r="J16" s="399"/>
    </row>
    <row r="17" spans="1:10" ht="12.75" customHeight="1">
      <c r="A17" s="399"/>
      <c r="B17" s="399"/>
      <c r="C17" s="399"/>
      <c r="D17" s="399"/>
      <c r="E17" s="399"/>
      <c r="F17" s="399"/>
      <c r="G17" s="399"/>
      <c r="H17" s="399"/>
      <c r="I17" s="399"/>
      <c r="J17" s="399"/>
    </row>
    <row r="18" spans="1:10" ht="12.75" customHeight="1" thickBot="1">
      <c r="A18" s="411" t="s">
        <v>2086</v>
      </c>
      <c r="B18" s="399"/>
      <c r="C18" s="399"/>
      <c r="D18" s="399"/>
      <c r="E18" s="399"/>
      <c r="F18" s="399"/>
      <c r="G18" s="399"/>
      <c r="H18" s="399"/>
      <c r="I18" s="399"/>
      <c r="J18" s="413">
        <f>SUM(I7:I16)</f>
        <v>0</v>
      </c>
    </row>
    <row r="19" spans="1:10" ht="12.75" customHeight="1">
      <c r="A19" s="399"/>
      <c r="B19" s="399"/>
      <c r="C19" s="399"/>
      <c r="D19" s="399"/>
      <c r="E19" s="399"/>
      <c r="F19" s="399"/>
      <c r="G19" s="399"/>
      <c r="H19" s="399"/>
      <c r="I19" s="399"/>
      <c r="J19" s="399"/>
    </row>
    <row r="20" spans="1:10" ht="12.75" customHeight="1">
      <c r="A20" s="411" t="s">
        <v>2087</v>
      </c>
      <c r="B20" s="399"/>
      <c r="C20" s="399"/>
      <c r="D20" s="399"/>
      <c r="E20" s="399"/>
      <c r="F20" s="399"/>
      <c r="G20" s="399"/>
      <c r="H20" s="399"/>
      <c r="I20" s="399"/>
      <c r="J20" s="399"/>
    </row>
    <row r="21" spans="1:10" ht="12.75" customHeight="1">
      <c r="A21" s="399"/>
      <c r="B21" s="399"/>
      <c r="C21" s="399"/>
      <c r="D21" s="399"/>
      <c r="E21" s="399"/>
      <c r="F21" s="399"/>
      <c r="G21" s="399"/>
      <c r="H21" s="399"/>
      <c r="I21" s="399"/>
      <c r="J21" s="399"/>
    </row>
    <row r="22" spans="1:10" ht="12.75" customHeight="1" thickBot="1">
      <c r="A22" s="399" t="s">
        <v>2088</v>
      </c>
      <c r="B22" s="399"/>
      <c r="C22" s="399"/>
      <c r="D22" s="399"/>
      <c r="E22" s="399"/>
      <c r="F22" s="399"/>
      <c r="G22" s="399"/>
      <c r="H22" s="399"/>
      <c r="I22" s="1504">
        <v>0</v>
      </c>
      <c r="J22" s="399"/>
    </row>
    <row r="23" spans="1:10" ht="12.75" customHeight="1" thickBot="1">
      <c r="A23" s="399" t="s">
        <v>2089</v>
      </c>
      <c r="B23" s="399"/>
      <c r="C23" s="399"/>
      <c r="D23" s="399"/>
      <c r="E23" s="399"/>
      <c r="F23" s="399"/>
      <c r="G23" s="399"/>
      <c r="H23" s="399"/>
      <c r="I23" s="1505">
        <f>'02_3_SOURCES'!F27</f>
        <v>0</v>
      </c>
      <c r="J23" s="399"/>
    </row>
    <row r="24" spans="1:10" ht="12.75" customHeight="1" thickBot="1">
      <c r="A24" s="399" t="s">
        <v>2090</v>
      </c>
      <c r="B24" s="399"/>
      <c r="C24" s="399"/>
      <c r="D24" s="399"/>
      <c r="E24" s="399"/>
      <c r="F24" s="399"/>
      <c r="G24" s="399"/>
      <c r="H24" s="399"/>
      <c r="I24" s="1505">
        <v>0</v>
      </c>
      <c r="J24" s="399"/>
    </row>
    <row r="25" spans="1:10" ht="12.75" customHeight="1" thickBot="1">
      <c r="A25" s="2359" t="s">
        <v>2091</v>
      </c>
      <c r="B25" s="2359"/>
      <c r="C25" s="2359"/>
      <c r="D25" s="2359"/>
      <c r="E25" s="2359"/>
      <c r="F25" s="2359"/>
      <c r="G25" s="2359"/>
      <c r="H25" s="399"/>
      <c r="I25" s="1505">
        <v>0</v>
      </c>
      <c r="J25" s="399"/>
    </row>
    <row r="26" spans="1:10" ht="12.75" customHeight="1" thickBot="1">
      <c r="A26" s="2360"/>
      <c r="B26" s="2360"/>
      <c r="C26" s="2360"/>
      <c r="D26" s="2360"/>
      <c r="E26" s="2360"/>
      <c r="F26" s="2360"/>
      <c r="G26" s="2360"/>
      <c r="H26" s="399"/>
      <c r="I26" s="1504">
        <v>0</v>
      </c>
      <c r="J26" s="399"/>
    </row>
    <row r="27" spans="1:10" ht="12.75" customHeight="1">
      <c r="A27" s="399"/>
      <c r="B27" s="399"/>
      <c r="C27" s="399"/>
      <c r="D27" s="399"/>
      <c r="E27" s="399"/>
      <c r="F27" s="399"/>
      <c r="G27" s="399"/>
      <c r="H27" s="399"/>
      <c r="I27" s="399"/>
      <c r="J27" s="399"/>
    </row>
    <row r="28" spans="1:10" ht="12.75" customHeight="1" thickBot="1">
      <c r="A28" s="411" t="s">
        <v>2092</v>
      </c>
      <c r="B28" s="399"/>
      <c r="C28" s="399"/>
      <c r="D28" s="399"/>
      <c r="E28" s="399"/>
      <c r="F28" s="399"/>
      <c r="G28" s="399"/>
      <c r="H28" s="399"/>
      <c r="I28" s="399"/>
      <c r="J28" s="413">
        <f>SUM(I22:I26)</f>
        <v>0</v>
      </c>
    </row>
    <row r="29" spans="1:10" ht="12.75" customHeight="1" thickBot="1">
      <c r="A29" s="411"/>
      <c r="B29" s="399"/>
      <c r="C29" s="399"/>
      <c r="D29" s="399"/>
      <c r="E29" s="399"/>
      <c r="F29" s="399"/>
      <c r="G29" s="399"/>
      <c r="H29" s="399"/>
      <c r="I29" s="399"/>
      <c r="J29" s="414"/>
    </row>
    <row r="30" spans="1:10" ht="12.75" customHeight="1" thickBot="1">
      <c r="A30" s="1506" t="s">
        <v>2093</v>
      </c>
      <c r="B30" s="1507"/>
      <c r="C30" s="1507"/>
      <c r="D30" s="1507"/>
      <c r="E30" s="1507"/>
      <c r="F30" s="1507"/>
      <c r="G30" s="1507"/>
      <c r="H30" s="1507"/>
      <c r="I30" s="1507"/>
      <c r="J30" s="1508">
        <f>J28+J18</f>
        <v>0</v>
      </c>
    </row>
    <row r="31" spans="1:10" ht="12.75" customHeight="1">
      <c r="A31" s="411"/>
      <c r="B31" s="399"/>
      <c r="C31" s="399"/>
      <c r="D31" s="399"/>
      <c r="E31" s="399"/>
      <c r="F31" s="399"/>
      <c r="G31" s="399"/>
      <c r="H31" s="399"/>
      <c r="I31" s="399"/>
      <c r="J31" s="414"/>
    </row>
    <row r="32" spans="1:10" ht="12.75" customHeight="1">
      <c r="A32" s="399"/>
      <c r="B32" s="399"/>
      <c r="C32" s="399"/>
      <c r="D32" s="399"/>
      <c r="E32" s="399"/>
      <c r="F32" s="399"/>
      <c r="G32" s="399"/>
      <c r="H32" s="399"/>
      <c r="I32" s="399"/>
      <c r="J32" s="399"/>
    </row>
    <row r="33" spans="1:10" ht="12.75" customHeight="1">
      <c r="A33" s="411" t="s">
        <v>2094</v>
      </c>
      <c r="B33" s="399"/>
      <c r="C33" s="399"/>
      <c r="D33" s="399"/>
      <c r="E33" s="399"/>
      <c r="F33" s="399"/>
      <c r="G33" s="399"/>
      <c r="H33" s="399"/>
      <c r="I33" s="399"/>
      <c r="J33" s="399"/>
    </row>
    <row r="34" spans="1:10" ht="12.75" customHeight="1">
      <c r="A34" s="411"/>
      <c r="B34" s="399"/>
      <c r="C34" s="399"/>
      <c r="D34" s="399"/>
      <c r="E34" s="399"/>
      <c r="F34" s="399"/>
      <c r="G34" s="399"/>
      <c r="H34" s="399"/>
      <c r="I34" s="399"/>
      <c r="J34" s="399"/>
    </row>
    <row r="35" spans="1:10" ht="12.75" customHeight="1">
      <c r="A35" s="415" t="s">
        <v>2095</v>
      </c>
      <c r="B35" s="411"/>
      <c r="C35" s="411"/>
      <c r="D35" s="411"/>
      <c r="E35" s="399"/>
      <c r="F35" s="399"/>
      <c r="G35" s="399"/>
      <c r="H35" s="399"/>
      <c r="I35" s="399"/>
      <c r="J35" s="399"/>
    </row>
    <row r="36" spans="1:10" ht="12.75" customHeight="1">
      <c r="G36" s="399"/>
      <c r="H36" s="399"/>
      <c r="I36" s="399" t="s">
        <v>914</v>
      </c>
      <c r="J36" s="399"/>
    </row>
    <row r="37" spans="1:10" ht="12.75" customHeight="1" thickBot="1">
      <c r="A37" s="399" t="s">
        <v>2096</v>
      </c>
      <c r="B37" s="399"/>
      <c r="C37" s="399"/>
      <c r="D37" s="399"/>
      <c r="E37" s="399"/>
      <c r="F37" s="399"/>
      <c r="G37" s="399"/>
      <c r="H37" s="399"/>
      <c r="I37" s="1675">
        <f>J30-J59</f>
        <v>0</v>
      </c>
      <c r="J37" s="399"/>
    </row>
    <row r="38" spans="1:10" ht="12.75" customHeight="1" thickBot="1">
      <c r="A38" s="399" t="s">
        <v>2097</v>
      </c>
      <c r="B38" s="399"/>
      <c r="C38" s="399"/>
      <c r="D38" s="399"/>
      <c r="E38" s="399"/>
      <c r="F38" s="399"/>
      <c r="G38" s="399"/>
      <c r="H38" s="399"/>
      <c r="I38" s="399">
        <f>I37-'06_5_Subsidy Layer'!D9-'06_5_Subsidy Layer'!D10-'06_5_Subsidy Layer'!D15</f>
        <v>0</v>
      </c>
      <c r="J38" s="399"/>
    </row>
    <row r="39" spans="1:10" ht="12.75" customHeight="1" thickBot="1">
      <c r="A39" s="399"/>
      <c r="B39" s="399"/>
      <c r="C39" s="399"/>
      <c r="D39" s="399"/>
      <c r="E39" s="399"/>
      <c r="F39" s="399"/>
      <c r="G39" s="399"/>
      <c r="H39" s="399"/>
      <c r="I39" s="416"/>
      <c r="J39" s="399"/>
    </row>
    <row r="40" spans="1:10" ht="12.75" customHeight="1">
      <c r="A40" s="1164" t="s">
        <v>2098</v>
      </c>
      <c r="B40" s="399"/>
      <c r="C40" s="399"/>
      <c r="D40" s="399"/>
      <c r="E40" s="399"/>
      <c r="F40" s="399"/>
      <c r="G40" s="399"/>
      <c r="H40" s="399"/>
      <c r="I40" s="399"/>
      <c r="J40" s="399"/>
    </row>
    <row r="41" spans="1:10" ht="12.75" customHeight="1" thickBot="1">
      <c r="A41" s="393" t="s">
        <v>2099</v>
      </c>
      <c r="B41" s="399"/>
      <c r="C41" s="399"/>
      <c r="D41" s="399"/>
      <c r="E41" s="399"/>
      <c r="F41" s="399"/>
      <c r="G41" s="399"/>
      <c r="H41" s="399"/>
      <c r="I41" s="399" t="s">
        <v>2100</v>
      </c>
      <c r="J41" s="413">
        <f>I37</f>
        <v>0</v>
      </c>
    </row>
    <row r="42" spans="1:10" ht="12.75" customHeight="1">
      <c r="A42" s="399" t="s">
        <v>2101</v>
      </c>
      <c r="B42" s="399"/>
      <c r="C42" s="399"/>
      <c r="D42" s="399"/>
      <c r="E42" s="399"/>
      <c r="F42" s="399"/>
      <c r="G42" s="399"/>
      <c r="H42" s="399"/>
      <c r="I42" s="399"/>
      <c r="J42" s="399"/>
    </row>
    <row r="43" spans="1:10" ht="12.75" customHeight="1">
      <c r="A43" s="415" t="s">
        <v>2102</v>
      </c>
      <c r="B43" s="399"/>
      <c r="C43" s="399"/>
      <c r="D43" s="399"/>
      <c r="E43" s="399"/>
      <c r="F43" s="399"/>
      <c r="G43" s="399"/>
      <c r="H43" s="399"/>
      <c r="I43" s="399"/>
      <c r="J43" s="399"/>
    </row>
    <row r="44" spans="1:10" ht="12.75" customHeight="1" thickBot="1">
      <c r="A44" s="399" t="s">
        <v>2103</v>
      </c>
      <c r="B44" s="399"/>
      <c r="C44" s="399"/>
      <c r="D44" s="399"/>
      <c r="E44" s="399"/>
      <c r="F44" s="399"/>
      <c r="G44" s="399"/>
      <c r="H44" s="399"/>
      <c r="I44" s="1504"/>
      <c r="J44" s="399"/>
    </row>
    <row r="45" spans="1:10" ht="12.75" customHeight="1" thickBot="1">
      <c r="A45" s="399" t="s">
        <v>2104</v>
      </c>
      <c r="B45" s="399"/>
      <c r="C45" s="399"/>
      <c r="D45" s="399"/>
      <c r="E45" s="399"/>
      <c r="F45" s="399"/>
      <c r="G45" s="399"/>
      <c r="H45" s="399"/>
      <c r="I45" s="1505">
        <v>0</v>
      </c>
      <c r="J45" s="399"/>
    </row>
    <row r="46" spans="1:10" ht="12.75" customHeight="1" thickBot="1">
      <c r="A46" s="399" t="s">
        <v>2105</v>
      </c>
      <c r="B46" s="399"/>
      <c r="C46" s="399"/>
      <c r="D46" s="399"/>
      <c r="E46" s="399"/>
      <c r="F46" s="399"/>
      <c r="G46" s="399"/>
      <c r="H46" s="399"/>
      <c r="I46" s="1505">
        <v>0</v>
      </c>
      <c r="J46" s="399"/>
    </row>
    <row r="47" spans="1:10" ht="12.75" customHeight="1" thickBot="1">
      <c r="A47" s="399" t="s">
        <v>2106</v>
      </c>
      <c r="B47" s="399"/>
      <c r="C47" s="399"/>
      <c r="D47" s="399"/>
      <c r="E47" s="399"/>
      <c r="F47" s="399"/>
      <c r="G47" s="399"/>
      <c r="H47" s="399"/>
      <c r="I47" s="1505">
        <v>0</v>
      </c>
      <c r="J47" s="399"/>
    </row>
    <row r="48" spans="1:10" ht="12.75" customHeight="1" thickBot="1">
      <c r="A48" s="399" t="s">
        <v>2107</v>
      </c>
      <c r="B48" s="399"/>
      <c r="C48" s="399"/>
      <c r="D48" s="399"/>
      <c r="E48" s="399"/>
      <c r="F48" s="399"/>
      <c r="G48" s="399"/>
      <c r="H48" s="399"/>
      <c r="I48" s="1505">
        <v>0</v>
      </c>
      <c r="J48" s="399"/>
    </row>
    <row r="49" spans="1:10" ht="12.75" customHeight="1" thickBot="1">
      <c r="A49" s="399" t="s">
        <v>2108</v>
      </c>
      <c r="B49" s="399"/>
      <c r="C49" s="399"/>
      <c r="D49" s="399"/>
      <c r="E49" s="399"/>
      <c r="F49" s="399"/>
      <c r="G49" s="399"/>
      <c r="H49" s="399"/>
      <c r="I49" s="1505">
        <v>0</v>
      </c>
      <c r="J49" s="399"/>
    </row>
    <row r="50" spans="1:10" ht="12.75" customHeight="1" thickBot="1">
      <c r="A50" s="399" t="s">
        <v>2109</v>
      </c>
      <c r="B50" s="399"/>
      <c r="C50" s="399"/>
      <c r="D50" s="399"/>
      <c r="E50" s="399"/>
      <c r="F50" s="399"/>
      <c r="G50" s="399"/>
      <c r="H50" s="399"/>
      <c r="I50" s="1505">
        <v>0</v>
      </c>
      <c r="J50" s="399"/>
    </row>
    <row r="51" spans="1:10" ht="12.75" customHeight="1" thickBot="1">
      <c r="A51" s="399" t="s">
        <v>2110</v>
      </c>
      <c r="B51" s="399"/>
      <c r="C51" s="399"/>
      <c r="D51" s="399"/>
      <c r="E51" s="399"/>
      <c r="F51" s="399"/>
      <c r="G51" s="399"/>
      <c r="H51" s="399"/>
      <c r="I51" s="1505">
        <v>0</v>
      </c>
      <c r="J51" s="399"/>
    </row>
    <row r="52" spans="1:10" ht="12.75" customHeight="1" thickBot="1">
      <c r="A52" s="399"/>
      <c r="B52" s="399"/>
      <c r="C52" s="399"/>
      <c r="D52" s="399"/>
      <c r="E52" s="399"/>
      <c r="F52" s="399"/>
      <c r="G52" s="399"/>
      <c r="H52" s="399"/>
      <c r="I52" s="1505">
        <v>0</v>
      </c>
      <c r="J52" s="399"/>
    </row>
    <row r="53" spans="1:10" ht="12.75" customHeight="1" thickBot="1">
      <c r="A53" s="399" t="s">
        <v>2111</v>
      </c>
      <c r="B53" s="399"/>
      <c r="C53" s="399"/>
      <c r="D53" s="399"/>
      <c r="E53" s="399"/>
      <c r="F53" s="399"/>
      <c r="G53" s="399"/>
      <c r="H53" s="399"/>
      <c r="I53" s="1505">
        <v>0</v>
      </c>
      <c r="J53" s="399"/>
    </row>
    <row r="54" spans="1:10" ht="12.75" customHeight="1" thickBot="1">
      <c r="A54" s="399" t="s">
        <v>2112</v>
      </c>
      <c r="B54" s="399"/>
      <c r="C54" s="399"/>
      <c r="D54" s="399"/>
      <c r="E54" s="399"/>
      <c r="F54" s="399"/>
      <c r="G54" s="399"/>
      <c r="H54" s="399"/>
      <c r="I54" s="1505">
        <v>0</v>
      </c>
      <c r="J54" s="399"/>
    </row>
    <row r="55" spans="1:10" ht="12.75" customHeight="1" thickBot="1">
      <c r="A55" s="399" t="s">
        <v>2113</v>
      </c>
      <c r="B55" s="399"/>
      <c r="C55" s="399"/>
      <c r="D55" s="399"/>
      <c r="E55" s="399"/>
      <c r="F55" s="399"/>
      <c r="G55" s="399"/>
      <c r="H55" s="399"/>
      <c r="I55" s="1505">
        <v>0</v>
      </c>
      <c r="J55" s="399"/>
    </row>
    <row r="56" spans="1:10" ht="12.75" customHeight="1" thickBot="1">
      <c r="A56" s="399" t="s">
        <v>2114</v>
      </c>
      <c r="B56" s="399"/>
      <c r="C56" s="399"/>
      <c r="D56" s="412"/>
      <c r="E56" s="412"/>
      <c r="F56" s="412"/>
      <c r="G56" s="412"/>
      <c r="H56" s="399"/>
      <c r="I56" s="1505">
        <v>0</v>
      </c>
      <c r="J56" s="399"/>
    </row>
    <row r="57" spans="1:10" ht="12.75" customHeight="1" thickBot="1">
      <c r="A57" s="399"/>
      <c r="B57" s="399"/>
      <c r="C57" s="399"/>
      <c r="D57" s="412"/>
      <c r="E57" s="412"/>
      <c r="F57" s="412"/>
      <c r="G57" s="412"/>
      <c r="H57" s="399"/>
      <c r="I57" s="1505">
        <v>0</v>
      </c>
      <c r="J57" s="399"/>
    </row>
    <row r="58" spans="1:10" ht="12.75" customHeight="1">
      <c r="A58" s="399"/>
      <c r="B58" s="399"/>
      <c r="C58" s="399"/>
      <c r="D58" s="399"/>
      <c r="E58" s="399"/>
      <c r="F58" s="399"/>
      <c r="G58" s="399"/>
      <c r="H58" s="399"/>
      <c r="I58" s="399"/>
      <c r="J58" s="399"/>
    </row>
    <row r="59" spans="1:10" ht="12.75" customHeight="1" thickBot="1">
      <c r="A59" s="399" t="s">
        <v>2115</v>
      </c>
      <c r="B59" s="399"/>
      <c r="C59" s="399"/>
      <c r="D59" s="399"/>
      <c r="E59" s="399"/>
      <c r="F59" s="399"/>
      <c r="G59" s="399"/>
      <c r="H59" s="399"/>
      <c r="I59" s="399"/>
      <c r="J59" s="413">
        <f>SUM(I44:I57)</f>
        <v>0</v>
      </c>
    </row>
    <row r="60" spans="1:10" ht="12.75" customHeight="1" thickBot="1">
      <c r="A60" s="399"/>
      <c r="B60" s="399"/>
      <c r="C60" s="399"/>
      <c r="D60" s="399"/>
      <c r="E60" s="399"/>
      <c r="F60" s="399"/>
      <c r="G60" s="399"/>
      <c r="H60" s="399"/>
      <c r="I60" s="399"/>
      <c r="J60" s="399"/>
    </row>
    <row r="61" spans="1:10" ht="12.75" customHeight="1" thickBot="1">
      <c r="A61" s="1506" t="s">
        <v>2116</v>
      </c>
      <c r="B61" s="1507"/>
      <c r="C61" s="1507"/>
      <c r="D61" s="1507"/>
      <c r="E61" s="1507"/>
      <c r="F61" s="1507"/>
      <c r="G61" s="1507"/>
      <c r="H61" s="1507"/>
      <c r="I61" s="1507"/>
      <c r="J61" s="1508">
        <f>SUM(J59+J41)</f>
        <v>0</v>
      </c>
    </row>
    <row r="62" spans="1:10" ht="12.75" customHeight="1">
      <c r="A62" s="411"/>
      <c r="B62" s="399"/>
      <c r="C62" s="399"/>
      <c r="D62" s="399"/>
      <c r="E62" s="399"/>
      <c r="F62" s="399"/>
      <c r="G62" s="399"/>
      <c r="H62" s="399"/>
      <c r="I62" s="399"/>
      <c r="J62" s="399"/>
    </row>
    <row r="63" spans="1:10" ht="12.75" customHeight="1">
      <c r="A63" s="2361" t="s">
        <v>2117</v>
      </c>
      <c r="B63" s="2361"/>
      <c r="C63" s="2361"/>
      <c r="D63" s="2361"/>
      <c r="E63" s="2361"/>
      <c r="F63" s="2361"/>
      <c r="G63" s="2361"/>
      <c r="H63" s="2361"/>
      <c r="I63" s="2361"/>
      <c r="J63" s="2361"/>
    </row>
    <row r="64" spans="1:10" ht="12.75" customHeight="1"/>
    <row r="65" spans="1:10" ht="12.75" customHeight="1">
      <c r="A65" s="399" t="s">
        <v>2118</v>
      </c>
      <c r="B65" s="399"/>
      <c r="C65" s="399"/>
      <c r="D65" s="399"/>
      <c r="E65" s="399"/>
      <c r="F65" s="399"/>
      <c r="G65" s="399"/>
      <c r="H65" s="399"/>
      <c r="I65" s="399"/>
      <c r="J65" s="399"/>
    </row>
    <row r="66" spans="1:10" ht="12.75" customHeight="1" thickBot="1">
      <c r="A66" s="399" t="s">
        <v>2119</v>
      </c>
      <c r="B66" s="399"/>
      <c r="C66" s="399"/>
      <c r="D66" s="399"/>
      <c r="E66" s="399"/>
      <c r="F66" s="399"/>
      <c r="G66" s="399"/>
      <c r="H66" s="399"/>
      <c r="I66" s="1504">
        <v>0</v>
      </c>
      <c r="J66" s="399"/>
    </row>
    <row r="67" spans="1:10" ht="12.75" customHeight="1" thickBot="1">
      <c r="A67" s="399" t="s">
        <v>2120</v>
      </c>
      <c r="B67" s="399"/>
      <c r="C67" s="399"/>
      <c r="D67" s="399"/>
      <c r="E67" s="399"/>
      <c r="F67" s="399"/>
      <c r="G67" s="399"/>
      <c r="H67" s="399"/>
      <c r="I67" s="1509">
        <v>0</v>
      </c>
      <c r="J67" s="399"/>
    </row>
    <row r="68" spans="1:10" ht="12.75" customHeight="1" thickBot="1">
      <c r="A68" s="399" t="s">
        <v>2121</v>
      </c>
      <c r="B68" s="399"/>
      <c r="C68" s="399"/>
      <c r="D68" s="399"/>
      <c r="E68" s="399"/>
      <c r="F68" s="399"/>
      <c r="G68" s="399"/>
      <c r="H68" s="399"/>
      <c r="I68" s="399"/>
      <c r="J68" s="412" t="e">
        <f>I66/I67</f>
        <v>#DIV/0!</v>
      </c>
    </row>
    <row r="69" spans="1:10" ht="12.75" customHeight="1">
      <c r="A69" s="399" t="s">
        <v>2122</v>
      </c>
      <c r="B69" s="399"/>
      <c r="C69" s="399"/>
      <c r="D69" s="399"/>
      <c r="E69" s="399"/>
      <c r="F69" s="399"/>
      <c r="G69" s="399"/>
      <c r="H69" s="399"/>
      <c r="I69" s="399"/>
      <c r="J69" s="399"/>
    </row>
    <row r="70" spans="1:10" ht="12.75" customHeight="1" thickBot="1">
      <c r="A70" s="417" t="s">
        <v>2123</v>
      </c>
      <c r="B70" s="399"/>
      <c r="C70" s="399"/>
      <c r="D70" s="399"/>
      <c r="E70" s="399"/>
      <c r="F70" s="399"/>
      <c r="G70" s="399"/>
      <c r="H70" s="399"/>
      <c r="I70" s="399"/>
      <c r="J70" s="1504"/>
    </row>
    <row r="71" spans="1:10" ht="12.75" customHeight="1">
      <c r="A71" s="399"/>
      <c r="B71" s="399"/>
      <c r="C71" s="399"/>
      <c r="D71" s="399"/>
      <c r="E71" s="399"/>
      <c r="F71" s="399"/>
      <c r="G71" s="399"/>
      <c r="H71" s="399"/>
      <c r="I71" s="399"/>
      <c r="J71" s="399"/>
    </row>
    <row r="72" spans="1:10" ht="12.75" customHeight="1">
      <c r="A72" s="411" t="s">
        <v>2124</v>
      </c>
      <c r="B72" s="399"/>
      <c r="C72" s="399"/>
      <c r="D72" s="399"/>
      <c r="E72" s="399"/>
      <c r="F72" s="399"/>
      <c r="G72" s="399"/>
      <c r="H72" s="399"/>
      <c r="I72" s="399"/>
      <c r="J72" s="399"/>
    </row>
    <row r="73" spans="1:10" ht="12.75" customHeight="1" thickBot="1">
      <c r="A73" s="399" t="s">
        <v>2125</v>
      </c>
      <c r="B73" s="399"/>
      <c r="C73" s="399"/>
      <c r="D73" s="399"/>
      <c r="E73" s="399"/>
      <c r="F73" s="399"/>
      <c r="G73" s="399"/>
      <c r="H73" s="399"/>
      <c r="I73" s="1504"/>
      <c r="J73" s="399"/>
    </row>
    <row r="74" spans="1:10" ht="12.75" customHeight="1" thickBot="1">
      <c r="A74" s="399" t="s">
        <v>2126</v>
      </c>
      <c r="B74" s="399"/>
      <c r="C74" s="399"/>
      <c r="D74" s="399"/>
      <c r="E74" s="399"/>
      <c r="F74" s="399"/>
      <c r="G74" s="399"/>
      <c r="H74" s="399"/>
      <c r="I74" s="1505">
        <v>0</v>
      </c>
      <c r="J74" s="399"/>
    </row>
    <row r="75" spans="1:10" ht="12.75" customHeight="1" thickBot="1">
      <c r="A75" s="399" t="s">
        <v>2127</v>
      </c>
      <c r="B75" s="399"/>
      <c r="C75" s="399"/>
      <c r="D75" s="399"/>
      <c r="E75" s="399"/>
      <c r="F75" s="399"/>
      <c r="G75" s="399"/>
      <c r="H75" s="399"/>
      <c r="I75" s="1505">
        <v>0</v>
      </c>
      <c r="J75" s="399"/>
    </row>
    <row r="76" spans="1:10" ht="12.75" customHeight="1" thickBot="1">
      <c r="A76" s="399" t="s">
        <v>2128</v>
      </c>
      <c r="B76" s="399"/>
      <c r="C76" s="399"/>
      <c r="D76" s="399"/>
      <c r="E76" s="399"/>
      <c r="F76" s="399"/>
      <c r="G76" s="399"/>
      <c r="H76" s="399"/>
      <c r="I76" s="1505">
        <v>0</v>
      </c>
      <c r="J76" s="399"/>
    </row>
    <row r="77" spans="1:10" ht="12.75" customHeight="1" thickBot="1">
      <c r="A77" s="399" t="s">
        <v>2129</v>
      </c>
      <c r="B77" s="399"/>
      <c r="C77" s="399"/>
      <c r="D77" s="399"/>
      <c r="E77" s="399"/>
      <c r="F77" s="399"/>
      <c r="G77" s="399"/>
      <c r="H77" s="399"/>
      <c r="I77" s="1505">
        <v>0</v>
      </c>
      <c r="J77" s="399"/>
    </row>
    <row r="78" spans="1:10" ht="12.75" customHeight="1" thickBot="1">
      <c r="A78" s="399" t="s">
        <v>2130</v>
      </c>
      <c r="B78" s="399"/>
      <c r="C78" s="412" t="s">
        <v>1286</v>
      </c>
      <c r="D78" s="412"/>
      <c r="E78" s="412"/>
      <c r="F78" s="412"/>
      <c r="G78" s="412"/>
      <c r="H78" s="399"/>
      <c r="I78" s="1505">
        <v>0</v>
      </c>
      <c r="J78" s="399"/>
    </row>
    <row r="79" spans="1:10" ht="12.75" customHeight="1" thickBot="1">
      <c r="A79" s="399" t="s">
        <v>2131</v>
      </c>
      <c r="B79" s="399"/>
      <c r="C79" s="412"/>
      <c r="D79" s="412"/>
      <c r="E79" s="412"/>
      <c r="F79" s="412"/>
      <c r="G79" s="412"/>
      <c r="H79" s="399"/>
      <c r="I79" s="1505">
        <v>0</v>
      </c>
      <c r="J79" s="399"/>
    </row>
    <row r="80" spans="1:10" ht="12.75" customHeight="1" thickBot="1">
      <c r="A80" s="399" t="s">
        <v>2132</v>
      </c>
      <c r="B80" s="399"/>
      <c r="C80" s="399"/>
      <c r="D80" s="399"/>
      <c r="E80" s="399"/>
      <c r="F80" s="399"/>
      <c r="G80" s="399"/>
      <c r="H80" s="399"/>
      <c r="I80" s="399"/>
      <c r="J80" s="412">
        <f>SUM(I73:I79)</f>
        <v>0</v>
      </c>
    </row>
    <row r="81" spans="1:10" ht="12.75" customHeight="1" thickBot="1">
      <c r="A81" s="399" t="s">
        <v>2133</v>
      </c>
      <c r="B81" s="399"/>
      <c r="C81" s="399"/>
      <c r="D81" s="399"/>
      <c r="E81" s="399"/>
      <c r="F81" s="399"/>
      <c r="G81" s="399"/>
      <c r="H81" s="399"/>
      <c r="I81" s="399"/>
      <c r="J81" s="416">
        <f>J70+J80</f>
        <v>0</v>
      </c>
    </row>
    <row r="82" spans="1:10" ht="12.75" customHeight="1" thickBot="1">
      <c r="A82" s="399" t="s">
        <v>2134</v>
      </c>
      <c r="B82" s="399"/>
      <c r="C82" s="399"/>
      <c r="D82" s="399"/>
      <c r="E82" s="399"/>
      <c r="F82" s="399"/>
      <c r="G82" s="399"/>
      <c r="H82" s="399"/>
      <c r="I82" s="399"/>
      <c r="J82" s="418" t="e">
        <f>J80/J81</f>
        <v>#DIV/0!</v>
      </c>
    </row>
    <row r="83" spans="1:10" ht="12.75" customHeight="1">
      <c r="A83" s="399"/>
      <c r="B83" s="399"/>
      <c r="C83" s="399"/>
      <c r="D83" s="399"/>
      <c r="E83" s="399"/>
      <c r="F83" s="399"/>
      <c r="G83" s="399"/>
      <c r="H83" s="399"/>
      <c r="I83" s="399"/>
      <c r="J83" s="399"/>
    </row>
    <row r="84" spans="1:10" ht="12.75" customHeight="1">
      <c r="A84" s="411" t="s">
        <v>2135</v>
      </c>
      <c r="B84" s="399"/>
      <c r="C84" s="399"/>
      <c r="D84" s="399"/>
      <c r="E84" s="399"/>
      <c r="F84" s="399"/>
      <c r="G84" s="399"/>
      <c r="H84" s="399"/>
      <c r="I84" s="399"/>
      <c r="J84" s="399"/>
    </row>
    <row r="85" spans="1:10" ht="12.75" customHeight="1" thickBot="1">
      <c r="A85" s="399" t="s">
        <v>2136</v>
      </c>
      <c r="B85" s="399"/>
      <c r="C85" s="399"/>
      <c r="D85" s="399"/>
      <c r="E85" s="399"/>
      <c r="F85" s="399"/>
      <c r="G85" s="399"/>
      <c r="H85" s="399"/>
      <c r="I85" s="412">
        <v>0</v>
      </c>
      <c r="J85" s="399"/>
    </row>
    <row r="86" spans="1:10" ht="12.75" customHeight="1" thickBot="1">
      <c r="A86" s="399" t="s">
        <v>2137</v>
      </c>
      <c r="B86" s="399"/>
      <c r="C86" s="399"/>
      <c r="D86" s="399"/>
      <c r="E86" s="399"/>
      <c r="F86" s="399"/>
      <c r="G86" s="399"/>
      <c r="H86" s="399"/>
      <c r="I86" s="416">
        <v>0</v>
      </c>
      <c r="J86" s="399"/>
    </row>
    <row r="87" spans="1:10" ht="12.75" customHeight="1" thickBot="1">
      <c r="A87" s="399" t="s">
        <v>2138</v>
      </c>
      <c r="B87" s="399"/>
      <c r="C87" s="399"/>
      <c r="D87" s="399"/>
      <c r="E87" s="399"/>
      <c r="F87" s="399"/>
      <c r="G87" s="399"/>
      <c r="H87" s="399"/>
      <c r="I87" s="416">
        <v>0</v>
      </c>
      <c r="J87" s="399"/>
    </row>
    <row r="88" spans="1:10" ht="12.75" customHeight="1" thickBot="1">
      <c r="A88" s="399" t="s">
        <v>2139</v>
      </c>
      <c r="B88" s="399"/>
      <c r="C88" s="399"/>
      <c r="D88" s="399"/>
      <c r="E88" s="399"/>
      <c r="F88" s="399"/>
      <c r="G88" s="399"/>
      <c r="H88" s="399"/>
      <c r="I88" s="416">
        <v>0</v>
      </c>
      <c r="J88" s="399"/>
    </row>
    <row r="89" spans="1:10" ht="12.75" customHeight="1" thickBot="1">
      <c r="A89" s="399" t="s">
        <v>2140</v>
      </c>
      <c r="B89" s="399"/>
      <c r="C89" s="399"/>
      <c r="D89" s="399"/>
      <c r="E89" s="399"/>
      <c r="F89" s="399"/>
      <c r="G89" s="399"/>
      <c r="H89" s="399"/>
      <c r="I89" s="416">
        <f>+I66</f>
        <v>0</v>
      </c>
      <c r="J89" s="399"/>
    </row>
    <row r="90" spans="1:10" ht="12.75" customHeight="1">
      <c r="A90" s="399"/>
      <c r="B90" s="399"/>
      <c r="C90" s="399"/>
      <c r="D90" s="399"/>
      <c r="E90" s="399"/>
      <c r="F90" s="399"/>
      <c r="G90" s="399"/>
      <c r="H90" s="399"/>
      <c r="I90" s="399"/>
      <c r="J90" s="399"/>
    </row>
    <row r="91" spans="1:10" ht="12.75" customHeight="1">
      <c r="A91" s="411" t="s">
        <v>2141</v>
      </c>
      <c r="B91" s="399"/>
      <c r="C91" s="399"/>
      <c r="D91" s="399"/>
      <c r="E91" s="399"/>
      <c r="F91" s="399"/>
      <c r="G91" s="399"/>
      <c r="H91" s="399"/>
      <c r="I91" s="399"/>
      <c r="J91" s="399"/>
    </row>
    <row r="92" spans="1:10" ht="12.75" customHeight="1" thickBot="1">
      <c r="A92" s="399" t="s">
        <v>2142</v>
      </c>
      <c r="B92" s="399"/>
      <c r="C92" s="399"/>
      <c r="D92" s="399"/>
      <c r="E92" s="399"/>
      <c r="F92" s="399"/>
      <c r="G92" s="399"/>
      <c r="H92" s="399"/>
      <c r="I92" s="419" t="e">
        <f>I89/I66</f>
        <v>#DIV/0!</v>
      </c>
      <c r="J92" s="399"/>
    </row>
    <row r="93" spans="1:10" ht="12.75" customHeight="1">
      <c r="A93" s="399" t="s">
        <v>2143</v>
      </c>
      <c r="B93" s="399"/>
      <c r="C93" s="399"/>
      <c r="D93" s="399"/>
      <c r="E93" s="399"/>
      <c r="F93" s="399"/>
      <c r="G93" s="399"/>
      <c r="H93" s="399"/>
      <c r="I93" s="399"/>
      <c r="J93" s="399"/>
    </row>
    <row r="94" spans="1:10" ht="12.75" customHeight="1">
      <c r="A94" s="417" t="s">
        <v>2144</v>
      </c>
      <c r="B94" s="399"/>
      <c r="C94" s="399"/>
      <c r="D94" s="399"/>
      <c r="E94" s="399"/>
      <c r="F94" s="399"/>
      <c r="G94" s="399"/>
      <c r="H94" s="399"/>
      <c r="I94" s="399"/>
      <c r="J94" s="399"/>
    </row>
    <row r="95" spans="1:10" ht="12.75" customHeight="1" thickBot="1">
      <c r="A95" s="412"/>
      <c r="B95" s="412"/>
      <c r="C95" s="412"/>
      <c r="D95" s="412"/>
      <c r="E95" s="412"/>
      <c r="F95" s="412"/>
      <c r="G95" s="412"/>
      <c r="H95" s="412"/>
      <c r="I95" s="412"/>
      <c r="J95" s="412"/>
    </row>
    <row r="96" spans="1:10" ht="12.75" customHeight="1" thickBot="1">
      <c r="A96" s="416"/>
      <c r="B96" s="416"/>
      <c r="C96" s="416"/>
      <c r="D96" s="416"/>
      <c r="E96" s="416"/>
      <c r="F96" s="416"/>
      <c r="G96" s="416"/>
      <c r="H96" s="416"/>
      <c r="I96" s="416"/>
      <c r="J96" s="416"/>
    </row>
    <row r="97" spans="1:10" ht="12.75" customHeight="1" thickBot="1">
      <c r="A97" s="416"/>
      <c r="B97" s="416"/>
      <c r="C97" s="416"/>
      <c r="D97" s="416"/>
      <c r="E97" s="416"/>
      <c r="F97" s="416"/>
      <c r="G97" s="416"/>
      <c r="H97" s="416"/>
      <c r="I97" s="416"/>
      <c r="J97" s="416"/>
    </row>
    <row r="98" spans="1:10" ht="12.75" customHeight="1">
      <c r="A98" s="399"/>
      <c r="B98" s="399"/>
      <c r="C98" s="399"/>
      <c r="D98" s="399"/>
      <c r="E98" s="399"/>
      <c r="F98" s="399"/>
      <c r="G98" s="399"/>
      <c r="H98" s="399"/>
      <c r="I98" s="399"/>
      <c r="J98" s="399"/>
    </row>
    <row r="99" spans="1:10" ht="12.75" customHeight="1">
      <c r="A99" s="399" t="s">
        <v>2145</v>
      </c>
      <c r="B99" s="399"/>
      <c r="C99" s="399"/>
      <c r="D99" s="399"/>
      <c r="E99" s="399"/>
      <c r="F99" s="399"/>
      <c r="G99" s="399"/>
      <c r="H99" s="399"/>
      <c r="I99" s="399"/>
      <c r="J99" s="399"/>
    </row>
    <row r="100" spans="1:10" ht="12.75" customHeight="1">
      <c r="A100" s="399" t="s">
        <v>2146</v>
      </c>
      <c r="B100" s="399"/>
      <c r="C100" s="399"/>
      <c r="D100" s="399"/>
      <c r="E100" s="399"/>
      <c r="F100" s="399"/>
      <c r="G100" s="399"/>
      <c r="H100" s="399"/>
      <c r="I100" s="399"/>
      <c r="J100" s="399"/>
    </row>
    <row r="101" spans="1:10" ht="12.75" customHeight="1" thickBot="1">
      <c r="A101" s="412"/>
      <c r="B101" s="412"/>
      <c r="C101" s="412"/>
      <c r="D101" s="412"/>
      <c r="E101" s="412"/>
      <c r="F101" s="412"/>
      <c r="G101" s="412"/>
      <c r="H101" s="412"/>
      <c r="I101" s="412"/>
      <c r="J101" s="412"/>
    </row>
    <row r="102" spans="1:10" ht="12.75" customHeight="1" thickBot="1">
      <c r="A102" s="412"/>
      <c r="B102" s="412"/>
      <c r="C102" s="412"/>
      <c r="D102" s="412"/>
      <c r="E102" s="412"/>
      <c r="F102" s="412"/>
      <c r="G102" s="412"/>
      <c r="H102" s="412"/>
      <c r="I102" s="412"/>
      <c r="J102" s="412"/>
    </row>
    <row r="103" spans="1:10" ht="12.75" customHeight="1" thickBot="1">
      <c r="A103" s="412"/>
      <c r="B103" s="412"/>
      <c r="C103" s="412"/>
      <c r="D103" s="412"/>
      <c r="E103" s="412"/>
      <c r="F103" s="412"/>
      <c r="G103" s="412"/>
      <c r="H103" s="412"/>
      <c r="I103" s="412"/>
      <c r="J103" s="412"/>
    </row>
    <row r="104" spans="1:10" ht="12.75" customHeight="1">
      <c r="A104" s="399"/>
      <c r="B104" s="399"/>
      <c r="C104" s="399"/>
      <c r="D104" s="399"/>
      <c r="E104" s="399"/>
      <c r="F104" s="399"/>
      <c r="G104" s="399"/>
      <c r="H104" s="399"/>
      <c r="I104" s="399"/>
      <c r="J104" s="399"/>
    </row>
    <row r="105" spans="1:10" ht="12.75" customHeight="1">
      <c r="A105" s="399"/>
      <c r="B105" s="399"/>
      <c r="C105" s="399"/>
      <c r="D105" s="399"/>
      <c r="E105" s="399"/>
      <c r="F105" s="399"/>
      <c r="G105" s="399"/>
      <c r="H105" s="399"/>
      <c r="I105" s="399"/>
      <c r="J105" s="399"/>
    </row>
    <row r="106" spans="1:10" ht="12.75" customHeight="1">
      <c r="A106" s="399"/>
      <c r="B106" s="399"/>
      <c r="C106" s="399"/>
      <c r="D106" s="399"/>
      <c r="E106" s="399"/>
      <c r="F106" s="399"/>
      <c r="G106" s="399"/>
      <c r="H106" s="399"/>
      <c r="I106" s="399"/>
      <c r="J106" s="399"/>
    </row>
    <row r="107" spans="1:10" ht="12.75" customHeight="1">
      <c r="A107" s="399"/>
      <c r="B107" s="399"/>
      <c r="C107" s="399"/>
      <c r="D107" s="399"/>
      <c r="E107" s="399"/>
      <c r="F107" s="399"/>
      <c r="G107" s="399"/>
      <c r="H107" s="399"/>
      <c r="I107" s="399"/>
      <c r="J107" s="399"/>
    </row>
    <row r="108" spans="1:10" ht="12.75" customHeight="1">
      <c r="A108" s="399"/>
      <c r="B108" s="399"/>
      <c r="C108" s="399"/>
      <c r="D108" s="399"/>
      <c r="E108" s="399"/>
      <c r="F108" s="399"/>
      <c r="G108" s="399"/>
      <c r="H108" s="399"/>
      <c r="I108" s="399"/>
      <c r="J108" s="399"/>
    </row>
    <row r="109" spans="1:10" ht="12.75" customHeight="1">
      <c r="A109" s="399"/>
      <c r="B109" s="399"/>
      <c r="C109" s="399"/>
      <c r="D109" s="399"/>
      <c r="E109" s="399"/>
      <c r="F109" s="399"/>
      <c r="G109" s="399"/>
      <c r="H109" s="399"/>
      <c r="I109" s="399"/>
      <c r="J109" s="399"/>
    </row>
    <row r="110" spans="1:10" ht="12.75" customHeight="1">
      <c r="A110" s="399"/>
      <c r="B110" s="399"/>
      <c r="C110" s="399"/>
      <c r="D110" s="399"/>
      <c r="E110" s="399"/>
      <c r="F110" s="399"/>
      <c r="G110" s="399"/>
      <c r="H110" s="399"/>
      <c r="I110" s="399"/>
      <c r="J110" s="399"/>
    </row>
    <row r="111" spans="1:10" ht="12.75" customHeight="1">
      <c r="A111" s="399"/>
      <c r="B111" s="399"/>
      <c r="C111" s="399"/>
      <c r="D111" s="399"/>
      <c r="E111" s="399"/>
      <c r="F111" s="399"/>
      <c r="G111" s="399"/>
      <c r="H111" s="399"/>
      <c r="I111" s="399"/>
      <c r="J111" s="399"/>
    </row>
    <row r="112" spans="1:10" ht="12.75" customHeight="1">
      <c r="A112" s="399"/>
      <c r="B112" s="399"/>
      <c r="C112" s="399"/>
      <c r="D112" s="399"/>
      <c r="E112" s="399"/>
      <c r="F112" s="399"/>
      <c r="G112" s="399"/>
      <c r="H112" s="399"/>
      <c r="I112" s="399"/>
      <c r="J112" s="399"/>
    </row>
    <row r="113" spans="1:10" ht="12.75" customHeight="1">
      <c r="A113" s="399"/>
      <c r="B113" s="399"/>
      <c r="C113" s="399"/>
      <c r="D113" s="399"/>
      <c r="E113" s="399"/>
      <c r="F113" s="399"/>
      <c r="G113" s="399"/>
      <c r="H113" s="399"/>
      <c r="I113" s="399"/>
      <c r="J113" s="399"/>
    </row>
    <row r="114" spans="1:10" ht="12.75" customHeight="1">
      <c r="A114" s="399"/>
      <c r="B114" s="399"/>
      <c r="C114" s="399"/>
      <c r="D114" s="399"/>
      <c r="E114" s="399"/>
      <c r="F114" s="399"/>
      <c r="G114" s="399"/>
      <c r="H114" s="399"/>
      <c r="I114" s="399"/>
      <c r="J114" s="399"/>
    </row>
    <row r="115" spans="1:10" ht="12.75" customHeight="1">
      <c r="A115" s="399"/>
      <c r="B115" s="399"/>
      <c r="C115" s="399"/>
      <c r="D115" s="399"/>
      <c r="E115" s="399"/>
      <c r="F115" s="399"/>
      <c r="G115" s="399"/>
      <c r="H115" s="399"/>
      <c r="I115" s="399"/>
      <c r="J115" s="399"/>
    </row>
    <row r="116" spans="1:10" ht="12.75" customHeight="1">
      <c r="A116" s="399"/>
      <c r="B116" s="399"/>
      <c r="C116" s="399"/>
      <c r="D116" s="399"/>
      <c r="E116" s="399"/>
      <c r="F116" s="399"/>
      <c r="G116" s="399"/>
      <c r="H116" s="399"/>
      <c r="I116" s="399"/>
      <c r="J116" s="399"/>
    </row>
    <row r="117" spans="1:10" ht="12.75" customHeight="1">
      <c r="A117" s="399"/>
      <c r="B117" s="399"/>
      <c r="C117" s="399"/>
      <c r="D117" s="399"/>
      <c r="E117" s="399"/>
      <c r="F117" s="399"/>
      <c r="G117" s="399"/>
      <c r="H117" s="399"/>
      <c r="I117" s="399"/>
      <c r="J117" s="399"/>
    </row>
    <row r="118" spans="1:10" ht="12.75" customHeight="1">
      <c r="A118" s="399"/>
      <c r="B118" s="399"/>
      <c r="C118" s="399"/>
      <c r="D118" s="399"/>
      <c r="E118" s="399"/>
      <c r="F118" s="399"/>
      <c r="G118" s="399"/>
      <c r="H118" s="399"/>
      <c r="I118" s="399"/>
      <c r="J118" s="399"/>
    </row>
    <row r="119" spans="1:10" ht="12.75" customHeight="1">
      <c r="A119" s="399"/>
      <c r="B119" s="399"/>
      <c r="C119" s="399"/>
      <c r="D119" s="399"/>
      <c r="E119" s="399"/>
      <c r="F119" s="399"/>
      <c r="G119" s="399"/>
      <c r="H119" s="399"/>
      <c r="I119" s="399"/>
      <c r="J119" s="399"/>
    </row>
    <row r="120" spans="1:10" ht="12.75" customHeight="1">
      <c r="A120" s="399"/>
      <c r="B120" s="399"/>
      <c r="C120" s="399"/>
      <c r="D120" s="399"/>
      <c r="E120" s="399"/>
      <c r="F120" s="399"/>
      <c r="G120" s="399"/>
      <c r="H120" s="399"/>
      <c r="I120" s="399"/>
      <c r="J120" s="399"/>
    </row>
    <row r="121" spans="1:10" ht="12.75" customHeight="1">
      <c r="A121" s="399"/>
      <c r="B121" s="399"/>
      <c r="C121" s="399"/>
      <c r="D121" s="399"/>
      <c r="E121" s="399"/>
      <c r="F121" s="399"/>
      <c r="G121" s="399"/>
      <c r="H121" s="399"/>
      <c r="I121" s="399"/>
      <c r="J121" s="399"/>
    </row>
    <row r="122" spans="1:10" ht="12.75" customHeight="1">
      <c r="A122" s="399"/>
      <c r="B122" s="399"/>
      <c r="C122" s="399"/>
      <c r="D122" s="399"/>
      <c r="E122" s="399"/>
      <c r="F122" s="399"/>
      <c r="G122" s="399"/>
      <c r="H122" s="399"/>
      <c r="I122" s="399"/>
      <c r="J122" s="399"/>
    </row>
    <row r="123" spans="1:10" ht="12.75" customHeight="1">
      <c r="A123" s="399"/>
      <c r="B123" s="399"/>
      <c r="C123" s="399"/>
      <c r="D123" s="399"/>
      <c r="E123" s="399"/>
      <c r="F123" s="399"/>
      <c r="G123" s="399"/>
      <c r="H123" s="399"/>
      <c r="I123" s="399"/>
      <c r="J123" s="399"/>
    </row>
    <row r="124" spans="1:10" ht="12.75" customHeight="1">
      <c r="A124" s="399"/>
      <c r="B124" s="399"/>
      <c r="C124" s="399"/>
      <c r="D124" s="399"/>
      <c r="E124" s="399"/>
      <c r="F124" s="399"/>
      <c r="G124" s="399"/>
      <c r="H124" s="399"/>
      <c r="I124" s="399"/>
      <c r="J124" s="399"/>
    </row>
    <row r="125" spans="1:10" ht="12.75" customHeight="1">
      <c r="A125" s="399"/>
      <c r="B125" s="399"/>
      <c r="C125" s="399"/>
      <c r="D125" s="399"/>
      <c r="E125" s="399"/>
      <c r="F125" s="399"/>
      <c r="G125" s="399"/>
      <c r="H125" s="399"/>
      <c r="I125" s="399"/>
      <c r="J125" s="399"/>
    </row>
  </sheetData>
  <sheetProtection algorithmName="SHA-512" hashValue="qsbd28bwvRElIfy7YTPdh/AWppg96VK1eyVuPW+AJc4Dqj20l6pFuMDjzwrP0GLDkwOTWW5HUU8zAS6biHxW+w==" saltValue="KEc+DZye5EFRU8g5b1bz5Q==" spinCount="100000" sheet="1" formatCells="0" formatColumns="0" formatRows="0"/>
  <mergeCells count="10">
    <mergeCell ref="A13:G13"/>
    <mergeCell ref="A25:G25"/>
    <mergeCell ref="A26:G26"/>
    <mergeCell ref="A63:J63"/>
    <mergeCell ref="A1:J1"/>
    <mergeCell ref="A2:J2"/>
    <mergeCell ref="A9:G9"/>
    <mergeCell ref="A10:G10"/>
    <mergeCell ref="A11:G11"/>
    <mergeCell ref="A12:G12"/>
  </mergeCells>
  <pageMargins left="0.75" right="0.75" top="1" bottom="1" header="0.3" footer="0.3"/>
  <pageSetup scale="73" orientation="portrait" r:id="rId1"/>
  <rowBreaks count="1" manualBreakCount="1">
    <brk id="62"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st00_2_MasterDataField">
    <tabColor theme="0" tint="-0.34998626667073579"/>
    <pageSetUpPr fitToPage="1"/>
  </sheetPr>
  <dimension ref="A1:I187"/>
  <sheetViews>
    <sheetView zoomScale="85" zoomScaleNormal="85" workbookViewId="0"/>
  </sheetViews>
  <sheetFormatPr defaultColWidth="0" defaultRowHeight="15"/>
  <cols>
    <col min="1" max="1" width="3" style="31" customWidth="1"/>
    <col min="2" max="2" width="34.5" style="31" bestFit="1" customWidth="1"/>
    <col min="3" max="3" width="43" bestFit="1" customWidth="1"/>
    <col min="4" max="4" width="22" style="141" bestFit="1" customWidth="1"/>
    <col min="5" max="5" width="48.5" style="31" bestFit="1" customWidth="1"/>
    <col min="6" max="6" width="13" style="31" customWidth="1"/>
    <col min="7" max="7" width="12" style="31" bestFit="1" customWidth="1"/>
    <col min="8" max="9" width="9.5" style="31" customWidth="1"/>
    <col min="10" max="16384" width="9.5" style="31" hidden="1"/>
  </cols>
  <sheetData>
    <row r="1" spans="1:5" s="59" customFormat="1" ht="27" thickTop="1">
      <c r="A1" s="61" t="s">
        <v>26</v>
      </c>
    </row>
    <row r="2" spans="1:5" s="664" customFormat="1" ht="21">
      <c r="A2" s="663" t="str">
        <f>IF(rng01_ProjectName="","[Project Name]", rng01_ProjectName)</f>
        <v>[Project Name]</v>
      </c>
    </row>
    <row r="3" spans="1:5">
      <c r="A3" s="139"/>
      <c r="C3" s="138"/>
    </row>
    <row r="4" spans="1:5">
      <c r="A4" s="139"/>
      <c r="B4" s="1516" t="s">
        <v>27</v>
      </c>
      <c r="C4" s="2126"/>
      <c r="D4" s="2126"/>
      <c r="E4" s="2126"/>
    </row>
    <row r="5" spans="1:5">
      <c r="A5" s="139"/>
      <c r="B5" s="1516" t="s">
        <v>28</v>
      </c>
      <c r="C5" s="2126"/>
      <c r="D5" s="2126"/>
      <c r="E5" s="2126"/>
    </row>
    <row r="6" spans="1:5">
      <c r="A6" s="139"/>
      <c r="B6" s="1516" t="s">
        <v>29</v>
      </c>
      <c r="C6" s="2126"/>
      <c r="D6" s="2126"/>
      <c r="E6" s="2126"/>
    </row>
    <row r="7" spans="1:5">
      <c r="A7" s="139"/>
      <c r="C7" s="138"/>
    </row>
    <row r="8" spans="1:5" s="32" customFormat="1">
      <c r="B8" s="140" t="s">
        <v>30</v>
      </c>
      <c r="C8" s="140" t="s">
        <v>31</v>
      </c>
      <c r="D8" s="422" t="s">
        <v>32</v>
      </c>
      <c r="E8" s="140" t="s">
        <v>33</v>
      </c>
    </row>
    <row r="9" spans="1:5" s="32" customFormat="1">
      <c r="B9" s="31" t="s">
        <v>34</v>
      </c>
      <c r="C9" s="141" t="s">
        <v>35</v>
      </c>
      <c r="D9" s="141">
        <f>rng00_SaveFileDescription</f>
        <v>0</v>
      </c>
      <c r="E9" s="31" t="str">
        <f ca="1">RIGHT(_xlfn.FORMULATEXT(tblMasterDataFieldList[[#This Row],[Data Field Value]]), LEN(_xlfn.FORMULATEXT(tblMasterDataFieldList[[#This Row],[Data Field Value]]))-1)</f>
        <v>rng00_SaveFileDescription</v>
      </c>
    </row>
    <row r="10" spans="1:5">
      <c r="B10" s="31" t="s">
        <v>36</v>
      </c>
      <c r="C10" s="141" t="s">
        <v>37</v>
      </c>
      <c r="D10" s="141">
        <f>rng01_ProjectName</f>
        <v>0</v>
      </c>
      <c r="E10" s="31" t="str">
        <f ca="1">RIGHT(_xlfn.FORMULATEXT(tblMasterDataFieldList[[#This Row],[Data Field Value]]), LEN(_xlfn.FORMULATEXT(tblMasterDataFieldList[[#This Row],[Data Field Value]]))-1)</f>
        <v>rng01_ProjectName</v>
      </c>
    </row>
    <row r="11" spans="1:5">
      <c r="B11" s="31" t="s">
        <v>36</v>
      </c>
      <c r="C11" s="141" t="s">
        <v>38</v>
      </c>
      <c r="D11" s="423">
        <v>101</v>
      </c>
    </row>
    <row r="12" spans="1:5">
      <c r="B12" s="31" t="s">
        <v>36</v>
      </c>
      <c r="C12" s="141" t="s">
        <v>39</v>
      </c>
      <c r="D12" s="141">
        <f>rng01_Address1</f>
        <v>0</v>
      </c>
      <c r="E12" s="31" t="str">
        <f ca="1">RIGHT(_xlfn.FORMULATEXT(tblMasterDataFieldList[[#This Row],[Data Field Value]]), LEN(_xlfn.FORMULATEXT(tblMasterDataFieldList[[#This Row],[Data Field Value]]))-1)</f>
        <v>rng01_Address1</v>
      </c>
    </row>
    <row r="13" spans="1:5">
      <c r="B13" s="31" t="s">
        <v>36</v>
      </c>
      <c r="C13" s="141" t="s">
        <v>40</v>
      </c>
      <c r="D13" s="141">
        <f>rng01_City1</f>
        <v>0</v>
      </c>
      <c r="E13" s="31" t="str">
        <f ca="1">RIGHT(_xlfn.FORMULATEXT(tblMasterDataFieldList[[#This Row],[Data Field Value]]), LEN(_xlfn.FORMULATEXT(tblMasterDataFieldList[[#This Row],[Data Field Value]]))-1)</f>
        <v>rng01_City1</v>
      </c>
    </row>
    <row r="14" spans="1:5">
      <c r="B14" s="31" t="s">
        <v>36</v>
      </c>
      <c r="C14" s="141" t="s">
        <v>41</v>
      </c>
      <c r="D14" s="141">
        <f>rng01_Zip1</f>
        <v>0</v>
      </c>
      <c r="E14" s="31" t="str">
        <f ca="1">RIGHT(_xlfn.FORMULATEXT(tblMasterDataFieldList[[#This Row],[Data Field Value]]), LEN(_xlfn.FORMULATEXT(tblMasterDataFieldList[[#This Row],[Data Field Value]]))-1)</f>
        <v>rng01_Zip1</v>
      </c>
    </row>
    <row r="15" spans="1:5">
      <c r="B15" s="31" t="s">
        <v>36</v>
      </c>
      <c r="C15" s="141" t="s">
        <v>42</v>
      </c>
      <c r="D15" s="141">
        <f>rng01_PropertyType</f>
        <v>0</v>
      </c>
      <c r="E15" s="31" t="str">
        <f ca="1">RIGHT(_xlfn.FORMULATEXT(tblMasterDataFieldList[[#This Row],[Data Field Value]]), LEN(_xlfn.FORMULATEXT(tblMasterDataFieldList[[#This Row],[Data Field Value]]))-1)</f>
        <v>rng01_PropertyType</v>
      </c>
    </row>
    <row r="16" spans="1:5">
      <c r="B16" s="31" t="s">
        <v>36</v>
      </c>
      <c r="C16" s="141" t="s">
        <v>43</v>
      </c>
      <c r="D16" s="141">
        <f>rng01_ProgramType</f>
        <v>0</v>
      </c>
      <c r="E16" s="31" t="str">
        <f ca="1">RIGHT(_xlfn.FORMULATEXT(tblMasterDataFieldList[[#This Row],[Data Field Value]]), LEN(_xlfn.FORMULATEXT(tblMasterDataFieldList[[#This Row],[Data Field Value]]))-1)</f>
        <v>rng01_ProgramType</v>
      </c>
    </row>
    <row r="17" spans="2:5">
      <c r="B17" s="31" t="s">
        <v>36</v>
      </c>
      <c r="C17" s="141" t="s">
        <v>44</v>
      </c>
      <c r="D17" s="141">
        <f>rng01_SetAside</f>
        <v>0</v>
      </c>
      <c r="E17" s="31" t="str">
        <f ca="1">RIGHT(_xlfn.FORMULATEXT(tblMasterDataFieldList[[#This Row],[Data Field Value]]), LEN(_xlfn.FORMULATEXT(tblMasterDataFieldList[[#This Row],[Data Field Value]]))-1)</f>
        <v>rng01_SetAside</v>
      </c>
    </row>
    <row r="18" spans="2:5">
      <c r="B18" s="31" t="s">
        <v>36</v>
      </c>
      <c r="C18" s="141" t="s">
        <v>45</v>
      </c>
      <c r="D18" s="141">
        <f>rng01_DevelopmentType</f>
        <v>0</v>
      </c>
      <c r="E18" s="31" t="str">
        <f ca="1">RIGHT(_xlfn.FORMULATEXT(tblMasterDataFieldList[[#This Row],[Data Field Value]]), LEN(_xlfn.FORMULATEXT(tblMasterDataFieldList[[#This Row],[Data Field Value]]))-1)</f>
        <v>rng01_DevelopmentType</v>
      </c>
    </row>
    <row r="19" spans="2:5">
      <c r="B19" s="31" t="s">
        <v>36</v>
      </c>
      <c r="C19" s="141" t="s">
        <v>46</v>
      </c>
      <c r="D19" s="141">
        <f>rng01_TenancyType</f>
        <v>0</v>
      </c>
      <c r="E19" s="31" t="str">
        <f ca="1">RIGHT(_xlfn.FORMULATEXT(tblMasterDataFieldList[[#This Row],[Data Field Value]]), LEN(_xlfn.FORMULATEXT(tblMasterDataFieldList[[#This Row],[Data Field Value]]))-1)</f>
        <v>rng01_TenancyType</v>
      </c>
    </row>
    <row r="20" spans="2:5">
      <c r="B20" s="31" t="s">
        <v>36</v>
      </c>
      <c r="C20" s="141" t="s">
        <v>47</v>
      </c>
      <c r="D20" s="141">
        <f>rng01_CreditType</f>
        <v>0</v>
      </c>
      <c r="E20" s="31" t="str">
        <f ca="1">RIGHT(_xlfn.FORMULATEXT(tblMasterDataFieldList[[#This Row],[Data Field Value]]), LEN(_xlfn.FORMULATEXT(tblMasterDataFieldList[[#This Row],[Data Field Value]]))-1)</f>
        <v>rng01_CreditType</v>
      </c>
    </row>
    <row r="21" spans="2:5">
      <c r="B21" s="31" t="s">
        <v>36</v>
      </c>
      <c r="C21" s="141" t="s">
        <v>48</v>
      </c>
      <c r="D21" s="425">
        <f>rng01_ConstructionLoan</f>
        <v>0</v>
      </c>
      <c r="E21" s="31" t="str">
        <f ca="1">RIGHT(_xlfn.FORMULATEXT(tblMasterDataFieldList[[#This Row],[Data Field Value]]), LEN(_xlfn.FORMULATEXT(tblMasterDataFieldList[[#This Row],[Data Field Value]]))-1)</f>
        <v>rng01_ConstructionLoan</v>
      </c>
    </row>
    <row r="22" spans="2:5">
      <c r="B22" s="31" t="s">
        <v>36</v>
      </c>
      <c r="C22" s="141" t="s">
        <v>49</v>
      </c>
      <c r="D22" s="141">
        <f>rng01_ConstructionLoanInterest</f>
        <v>0</v>
      </c>
      <c r="E22" s="31" t="str">
        <f ca="1">RIGHT(_xlfn.FORMULATEXT(tblMasterDataFieldList[[#This Row],[Data Field Value]]), LEN(_xlfn.FORMULATEXT(tblMasterDataFieldList[[#This Row],[Data Field Value]]))-1)</f>
        <v>rng01_ConstructionLoanInterest</v>
      </c>
    </row>
    <row r="23" spans="2:5">
      <c r="B23" s="31" t="s">
        <v>36</v>
      </c>
      <c r="C23" s="141" t="s">
        <v>50</v>
      </c>
      <c r="D23" s="141">
        <f>rng01_ProjectType</f>
        <v>0</v>
      </c>
      <c r="E23" s="31" t="str">
        <f ca="1">RIGHT(_xlfn.FORMULATEXT(tblMasterDataFieldList[[#This Row],[Data Field Value]]), LEN(_xlfn.FORMULATEXT(tblMasterDataFieldList[[#This Row],[Data Field Value]]))-1)</f>
        <v>rng01_ProjectType</v>
      </c>
    </row>
    <row r="24" spans="2:5">
      <c r="B24" s="31" t="s">
        <v>36</v>
      </c>
      <c r="C24" s="141" t="s">
        <v>51</v>
      </c>
      <c r="D24" s="141">
        <f>rng01_ConstructionType</f>
        <v>0</v>
      </c>
      <c r="E24" s="31" t="str">
        <f ca="1">RIGHT(_xlfn.FORMULATEXT(tblMasterDataFieldList[[#This Row],[Data Field Value]]), LEN(_xlfn.FORMULATEXT(tblMasterDataFieldList[[#This Row],[Data Field Value]]))-1)</f>
        <v>rng01_ConstructionType</v>
      </c>
    </row>
    <row r="25" spans="2:5">
      <c r="B25" s="31" t="s">
        <v>36</v>
      </c>
      <c r="C25" s="141" t="s">
        <v>52</v>
      </c>
      <c r="D25" s="141">
        <f>rng01_FinancingType</f>
        <v>0</v>
      </c>
      <c r="E25" s="31" t="str">
        <f ca="1">RIGHT(_xlfn.FORMULATEXT(tblMasterDataFieldList[[#This Row],[Data Field Value]]), LEN(_xlfn.FORMULATEXT(tblMasterDataFieldList[[#This Row],[Data Field Value]]))-1)</f>
        <v>rng01_FinancingType</v>
      </c>
    </row>
    <row r="26" spans="2:5">
      <c r="B26" s="31" t="s">
        <v>53</v>
      </c>
      <c r="C26" s="141" t="s">
        <v>54</v>
      </c>
      <c r="D26" s="141">
        <f>rng02_TotalUnit</f>
        <v>0</v>
      </c>
      <c r="E26" s="31" t="str">
        <f ca="1">RIGHT(_xlfn.FORMULATEXT(tblMasterDataFieldList[[#This Row],[Data Field Value]]), LEN(_xlfn.FORMULATEXT(tblMasterDataFieldList[[#This Row],[Data Field Value]]))-1)</f>
        <v>rng02_TotalUnit</v>
      </c>
    </row>
    <row r="27" spans="2:5">
      <c r="B27" s="31" t="s">
        <v>53</v>
      </c>
      <c r="C27" s="141" t="s">
        <v>55</v>
      </c>
      <c r="D27" s="141">
        <f>rng02_TotalUnits_LIHTC</f>
        <v>0</v>
      </c>
      <c r="E27" s="31" t="str">
        <f ca="1">RIGHT(_xlfn.FORMULATEXT(tblMasterDataFieldList[[#This Row],[Data Field Value]]), LEN(_xlfn.FORMULATEXT(tblMasterDataFieldList[[#This Row],[Data Field Value]]))-1)</f>
        <v>rng02_TotalUnits_LIHTC</v>
      </c>
    </row>
    <row r="28" spans="2:5">
      <c r="B28" s="31" t="s">
        <v>53</v>
      </c>
      <c r="C28" s="141" t="s">
        <v>56</v>
      </c>
      <c r="D28" s="141">
        <f>rng02_TotalUnits_Market</f>
        <v>0</v>
      </c>
      <c r="E28" s="31" t="str">
        <f ca="1">RIGHT(_xlfn.FORMULATEXT(tblMasterDataFieldList[[#This Row],[Data Field Value]]), LEN(_xlfn.FORMULATEXT(tblMasterDataFieldList[[#This Row],[Data Field Value]]))-1)</f>
        <v>rng02_TotalUnits_Market</v>
      </c>
    </row>
    <row r="29" spans="2:5">
      <c r="B29" s="31" t="s">
        <v>57</v>
      </c>
      <c r="C29" s="141" t="s">
        <v>58</v>
      </c>
      <c r="D29" s="424">
        <f>'02_2_EXPENSE'!$E$91</f>
        <v>0</v>
      </c>
      <c r="E29" s="31" t="str">
        <f ca="1">RIGHT(_xlfn.FORMULATEXT(tblMasterDataFieldList[[#This Row],[Data Field Value]]), LEN(_xlfn.FORMULATEXT(tblMasterDataFieldList[[#This Row],[Data Field Value]]))-1)</f>
        <v>'02_2_EXPENSE'!R91C5</v>
      </c>
    </row>
    <row r="30" spans="2:5">
      <c r="B30" s="31" t="s">
        <v>59</v>
      </c>
      <c r="C30" s="141" t="s">
        <v>60</v>
      </c>
      <c r="D30" s="425">
        <f>'02_3_SOURCES'!$K$9</f>
        <v>0</v>
      </c>
      <c r="E30" s="31" t="str">
        <f ca="1">RIGHT(_xlfn.FORMULATEXT(tblMasterDataFieldList[[#This Row],[Data Field Value]]), LEN(_xlfn.FORMULATEXT(tblMasterDataFieldList[[#This Row],[Data Field Value]]))-1)</f>
        <v>'02_3_SOURCES'!R9C11</v>
      </c>
    </row>
    <row r="31" spans="2:5">
      <c r="B31" s="31" t="s">
        <v>59</v>
      </c>
      <c r="C31" s="141" t="s">
        <v>61</v>
      </c>
      <c r="D31" s="737">
        <f>'02_3_SOURCES'!$D$9</f>
        <v>0</v>
      </c>
      <c r="E31" s="31" t="str">
        <f ca="1">RIGHT(_xlfn.FORMULATEXT(tblMasterDataFieldList[[#This Row],[Data Field Value]]), LEN(_xlfn.FORMULATEXT(tblMasterDataFieldList[[#This Row],[Data Field Value]]))-1)</f>
        <v>'02_3_SOURCES'!R9C4</v>
      </c>
    </row>
    <row r="32" spans="2:5">
      <c r="B32" s="31" t="s">
        <v>59</v>
      </c>
      <c r="C32" s="141" t="s">
        <v>62</v>
      </c>
      <c r="D32" s="425">
        <f>'01_1_General Data'!$D$104</f>
        <v>0</v>
      </c>
      <c r="E32" s="31" t="str">
        <f ca="1">RIGHT(_xlfn.FORMULATEXT(tblMasterDataFieldList[[#This Row],[Data Field Value]]), LEN(_xlfn.FORMULATEXT(tblMasterDataFieldList[[#This Row],[Data Field Value]]))-1)</f>
        <v>'01_1_General Data'!R104C4</v>
      </c>
    </row>
    <row r="33" spans="2:5">
      <c r="B33" s="31" t="s">
        <v>59</v>
      </c>
      <c r="C33" s="141" t="s">
        <v>63</v>
      </c>
      <c r="D33" s="425">
        <f>'02_3_SOURCES'!F27</f>
        <v>0</v>
      </c>
      <c r="E33" s="31" t="str">
        <f ca="1">RIGHT(_xlfn.FORMULATEXT(tblMasterDataFieldList[[#This Row],[Data Field Value]]), LEN(_xlfn.FORMULATEXT(tblMasterDataFieldList[[#This Row],[Data Field Value]]))-1)</f>
        <v>'02_3_SOURCES'!R[-6]C[2]</v>
      </c>
    </row>
    <row r="34" spans="2:5">
      <c r="B34" s="31" t="s">
        <v>36</v>
      </c>
      <c r="C34" s="141" t="s">
        <v>64</v>
      </c>
      <c r="D34" s="141">
        <f>rng01_NonProfit</f>
        <v>0</v>
      </c>
      <c r="E34" s="31" t="str">
        <f ca="1">RIGHT(_xlfn.FORMULATEXT(tblMasterDataFieldList[[#This Row],[Data Field Value]]), LEN(_xlfn.FORMULATEXT(tblMasterDataFieldList[[#This Row],[Data Field Value]]))-1)</f>
        <v>rng01_NonProfit</v>
      </c>
    </row>
    <row r="35" spans="2:5">
      <c r="B35" s="31" t="s">
        <v>36</v>
      </c>
      <c r="C35" s="141" t="s">
        <v>65</v>
      </c>
      <c r="D35" s="867">
        <f>rng01_ClosingDate</f>
        <v>0</v>
      </c>
      <c r="E35" s="31" t="str">
        <f ca="1">RIGHT(_xlfn.FORMULATEXT(tblMasterDataFieldList[[#This Row],[Data Field Value]]), LEN(_xlfn.FORMULATEXT(tblMasterDataFieldList[[#This Row],[Data Field Value]]))-1)</f>
        <v>rng01_ClosingDate</v>
      </c>
    </row>
    <row r="36" spans="2:5">
      <c r="B36" s="31" t="s">
        <v>66</v>
      </c>
      <c r="C36" s="141" t="s">
        <v>67</v>
      </c>
      <c r="D36" s="425">
        <f>'02_4_USES'!F90</f>
        <v>0</v>
      </c>
      <c r="E36" s="31" t="str">
        <f ca="1">RIGHT(_xlfn.FORMULATEXT(tblMasterDataFieldList[[#This Row],[Data Field Value]]), LEN(_xlfn.FORMULATEXT(tblMasterDataFieldList[[#This Row],[Data Field Value]]))-1)</f>
        <v>'02_4_USES'!R[54]C[2]</v>
      </c>
    </row>
    <row r="37" spans="2:5">
      <c r="B37" s="31" t="s">
        <v>66</v>
      </c>
      <c r="C37" s="141" t="s">
        <v>68</v>
      </c>
      <c r="D37" s="425">
        <f>'02_4_USES'!E100</f>
        <v>0</v>
      </c>
      <c r="E37" s="31" t="str">
        <f ca="1">RIGHT(_xlfn.FORMULATEXT(tblMasterDataFieldList[[#This Row],[Data Field Value]]), LEN(_xlfn.FORMULATEXT(tblMasterDataFieldList[[#This Row],[Data Field Value]]))-1)</f>
        <v>'02_4_USES'!R[63]C[1]</v>
      </c>
    </row>
    <row r="38" spans="2:5">
      <c r="B38" s="31" t="s">
        <v>63</v>
      </c>
      <c r="C38" s="141" t="s">
        <v>69</v>
      </c>
      <c r="D38" s="425" t="e">
        <f>'02_5_LIHTC Proceeds'!D19/rng02_TotalUnit</f>
        <v>#DIV/0!</v>
      </c>
      <c r="E38" s="31" t="str">
        <f ca="1">RIGHT(_xlfn.FORMULATEXT(tblMasterDataFieldList[[#This Row],[Data Field Value]]), LEN(_xlfn.FORMULATEXT(tblMasterDataFieldList[[#This Row],[Data Field Value]]))-1)</f>
        <v>'02_5_LIHTC Proceeds'!R[-19]C/rng02_TotalUnit</v>
      </c>
    </row>
    <row r="39" spans="2:5">
      <c r="B39" s="31" t="s">
        <v>66</v>
      </c>
      <c r="C39" s="141" t="s">
        <v>70</v>
      </c>
      <c r="D39" s="425" t="e">
        <f>'02_4_USES'!F88/rng02_TotalUnit</f>
        <v>#DIV/0!</v>
      </c>
      <c r="E39" s="31" t="str">
        <f ca="1">RIGHT(_xlfn.FORMULATEXT(tblMasterDataFieldList[[#This Row],[Data Field Value]]), LEN(_xlfn.FORMULATEXT(tblMasterDataFieldList[[#This Row],[Data Field Value]]))-1)</f>
        <v>'02_4_USES'!R[49]C[2]/rng02_TotalUnit</v>
      </c>
    </row>
    <row r="40" spans="2:5">
      <c r="B40" s="31" t="s">
        <v>66</v>
      </c>
      <c r="C40" s="141" t="s">
        <v>71</v>
      </c>
      <c r="D40" s="425" t="e">
        <f>'02_4_USES'!F28/rng02_TotalUnit</f>
        <v>#DIV/0!</v>
      </c>
      <c r="E40" s="31" t="str">
        <f ca="1">RIGHT(_xlfn.FORMULATEXT(tblMasterDataFieldList[[#This Row],[Data Field Value]]), LEN(_xlfn.FORMULATEXT(tblMasterDataFieldList[[#This Row],[Data Field Value]]))-1)</f>
        <v>'02_4_USES'!R[-12]C[2]/rng02_TotalUnit</v>
      </c>
    </row>
    <row r="41" spans="2:5">
      <c r="B41" s="31" t="s">
        <v>66</v>
      </c>
      <c r="C41" s="141" t="s">
        <v>72</v>
      </c>
      <c r="D41" s="425" t="e">
        <f>'02_4_USES'!F28/'01_1_General Data'!G66</f>
        <v>#DIV/0!</v>
      </c>
      <c r="E41" s="31" t="str">
        <f ca="1">RIGHT(_xlfn.FORMULATEXT(tblMasterDataFieldList[[#This Row],[Data Field Value]]), LEN(_xlfn.FORMULATEXT(tblMasterDataFieldList[[#This Row],[Data Field Value]]))-1)</f>
        <v>'02_4_USES'!R[-13]C[2]/'01_1_General Data'!R[25]C[3]</v>
      </c>
    </row>
    <row r="42" spans="2:5">
      <c r="B42" s="31" t="s">
        <v>66</v>
      </c>
      <c r="C42" s="141" t="s">
        <v>73</v>
      </c>
      <c r="D42" s="141" t="e">
        <f>'02_4_USES'!F15/rng02_TotalUnit</f>
        <v>#DIV/0!</v>
      </c>
      <c r="E42" s="31" t="str">
        <f ca="1">RIGHT(_xlfn.FORMULATEXT(tblMasterDataFieldList[[#This Row],[Data Field Value]]), LEN(_xlfn.FORMULATEXT(tblMasterDataFieldList[[#This Row],[Data Field Value]]))-1)</f>
        <v>'02_4_USES'!R[-27]C[2]/rng02_TotalUnit</v>
      </c>
    </row>
    <row r="43" spans="2:5">
      <c r="B43" s="31" t="s">
        <v>66</v>
      </c>
      <c r="C43" s="141" t="s">
        <v>74</v>
      </c>
      <c r="D43" s="141" t="e">
        <f>'02_4_USES'!F59/rng02_TotalUnit</f>
        <v>#DIV/0!</v>
      </c>
      <c r="E43" s="31" t="str">
        <f ca="1">RIGHT(_xlfn.FORMULATEXT(tblMasterDataFieldList[[#This Row],[Data Field Value]]), LEN(_xlfn.FORMULATEXT(tblMasterDataFieldList[[#This Row],[Data Field Value]]))-1)</f>
        <v>'02_4_USES'!R[16]C[2]/rng02_TotalUnit</v>
      </c>
    </row>
    <row r="44" spans="2:5">
      <c r="B44" s="31" t="s">
        <v>66</v>
      </c>
      <c r="C44" s="141" t="s">
        <v>75</v>
      </c>
      <c r="D44" s="141">
        <f>'02_4_USES'!F15</f>
        <v>0</v>
      </c>
      <c r="E44" s="31" t="str">
        <f ca="1">RIGHT(_xlfn.FORMULATEXT(tblMasterDataFieldList[[#This Row],[Data Field Value]]), LEN(_xlfn.FORMULATEXT(tblMasterDataFieldList[[#This Row],[Data Field Value]]))-1)</f>
        <v>'02_4_USES'!R[-29]C[2]</v>
      </c>
    </row>
    <row r="45" spans="2:5">
      <c r="B45" s="31" t="s">
        <v>66</v>
      </c>
      <c r="C45" s="141" t="s">
        <v>76</v>
      </c>
      <c r="D45" s="868" t="e">
        <f>'02_4_USES'!F88/'02_4_USES'!F90</f>
        <v>#DIV/0!</v>
      </c>
      <c r="E45" s="31" t="str">
        <f ca="1">RIGHT(_xlfn.FORMULATEXT(tblMasterDataFieldList[[#This Row],[Data Field Value]]), LEN(_xlfn.FORMULATEXT(tblMasterDataFieldList[[#This Row],[Data Field Value]]))-1)</f>
        <v>'02_4_USES'!R[43]C[2]/'02_4_USES'!R[45]C[2]</v>
      </c>
    </row>
    <row r="46" spans="2:5">
      <c r="B46" s="31" t="s">
        <v>66</v>
      </c>
      <c r="C46" s="141" t="s">
        <v>77</v>
      </c>
      <c r="D46" s="141">
        <f>'02_4_USES'!F26</f>
        <v>0</v>
      </c>
      <c r="E46" s="31" t="str">
        <f ca="1">RIGHT(_xlfn.FORMULATEXT(tblMasterDataFieldList[[#This Row],[Data Field Value]]), LEN(_xlfn.FORMULATEXT(tblMasterDataFieldList[[#This Row],[Data Field Value]]))-1)</f>
        <v>'02_4_USES'!R[-20]C[2]</v>
      </c>
    </row>
    <row r="47" spans="2:5">
      <c r="B47" s="31" t="s">
        <v>66</v>
      </c>
      <c r="C47" s="141" t="s">
        <v>78</v>
      </c>
      <c r="D47" s="141">
        <f>'02_4_USES'!F28</f>
        <v>0</v>
      </c>
      <c r="E47" s="31" t="str">
        <f ca="1">RIGHT(_xlfn.FORMULATEXT(tblMasterDataFieldList[[#This Row],[Data Field Value]]), LEN(_xlfn.FORMULATEXT(tblMasterDataFieldList[[#This Row],[Data Field Value]]))-1)</f>
        <v>'02_4_USES'!R[-19]C[2]</v>
      </c>
    </row>
    <row r="48" spans="2:5">
      <c r="B48" s="31" t="s">
        <v>66</v>
      </c>
      <c r="C48" s="141" t="s">
        <v>79</v>
      </c>
      <c r="D48" s="141">
        <f>'02_4_USES'!F59</f>
        <v>0</v>
      </c>
      <c r="E48" s="31" t="str">
        <f ca="1">RIGHT(_xlfn.FORMULATEXT(tblMasterDataFieldList[[#This Row],[Data Field Value]]), LEN(_xlfn.FORMULATEXT(tblMasterDataFieldList[[#This Row],[Data Field Value]]))-1)</f>
        <v>'02_4_USES'!R[11]C[2]</v>
      </c>
    </row>
    <row r="49" spans="2:5">
      <c r="B49" s="31" t="s">
        <v>66</v>
      </c>
      <c r="C49" s="141" t="s">
        <v>80</v>
      </c>
      <c r="D49" s="141">
        <f>'02_4_USES'!F83</f>
        <v>0</v>
      </c>
      <c r="E49" s="31" t="str">
        <f ca="1">RIGHT(_xlfn.FORMULATEXT(tblMasterDataFieldList[[#This Row],[Data Field Value]]), LEN(_xlfn.FORMULATEXT(tblMasterDataFieldList[[#This Row],[Data Field Value]]))-1)</f>
        <v>'02_4_USES'!R[34]C[2]</v>
      </c>
    </row>
    <row r="50" spans="2:5">
      <c r="B50" s="31" t="s">
        <v>66</v>
      </c>
      <c r="C50" s="141" t="s">
        <v>81</v>
      </c>
      <c r="D50" s="141">
        <f>'02_4_USES'!F88</f>
        <v>0</v>
      </c>
      <c r="E50" s="31" t="str">
        <f ca="1">RIGHT(_xlfn.FORMULATEXT(tblMasterDataFieldList[[#This Row],[Data Field Value]]), LEN(_xlfn.FORMULATEXT(tblMasterDataFieldList[[#This Row],[Data Field Value]]))-1)</f>
        <v>'02_4_USES'!R[38]C[2]</v>
      </c>
    </row>
    <row r="51" spans="2:5">
      <c r="B51" s="31" t="s">
        <v>59</v>
      </c>
      <c r="C51" s="141" t="str">
        <f>'00_3_Drop Down'!V12</f>
        <v>Acquisition Revialization Program (ARP)</v>
      </c>
      <c r="D51" s="425">
        <f>_xlfn.IFNA(VLOOKUP(tblMasterDataFieldList[[#This Row],[Data Field Description]],'02_3_SOURCES'!$B$9:$K$16,10,FALSE), 0)</f>
        <v>0</v>
      </c>
      <c r="E51" s="31" t="str" cm="1">
        <f t="array" aca="1" ref="E51" ca="1">IFERROR("'02_3_SOURCES'!$K$"&amp;CELL("row",INDEX('02_3_SOURCES'!$B$9:$K$16,MATCH(tblMasterDataFieldList[[#This Row],[Data Field Description]],'02_3_SOURCES'!$B$9:$B$16,0),10)),"")</f>
        <v/>
      </c>
    </row>
    <row r="52" spans="2:5">
      <c r="B52" s="31" t="s">
        <v>59</v>
      </c>
      <c r="C52" s="141" t="str">
        <f>'00_3_Drop Down'!V13</f>
        <v>Building Homes Rhode Island</v>
      </c>
      <c r="D52" s="425">
        <f>'02_3_SOURCES'!$K$10</f>
        <v>0</v>
      </c>
      <c r="E52" s="31" t="str" cm="1">
        <f t="array" aca="1" ref="E52" ca="1">IFERROR("'02_3_SOURCES'!$K$"&amp;CELL("row",INDEX('02_3_SOURCES'!$B$9:$K$16,MATCH(tblMasterDataFieldList[[#This Row],[Data Field Description]],'02_3_SOURCES'!$B$9:$B$16,0),10)),"")</f>
        <v/>
      </c>
    </row>
    <row r="53" spans="2:5">
      <c r="B53" s="31" t="s">
        <v>59</v>
      </c>
      <c r="C53" s="141" t="str">
        <f>'00_3_Drop Down'!V14</f>
        <v>Capital Magnet Fund</v>
      </c>
      <c r="D53" s="425">
        <f>_xlfn.IFNA(VLOOKUP(tblMasterDataFieldList[[#This Row],[Data Field Description]],'02_3_SOURCES'!$B$9:$K$16,10,FALSE), 0)</f>
        <v>0</v>
      </c>
      <c r="E53" s="31" t="str" cm="1">
        <f t="array" aca="1" ref="E53" ca="1">IFERROR("'02_3_SOURCES'!$K$"&amp;CELL("row",INDEX('02_3_SOURCES'!$B$9:$K$16,MATCH(tblMasterDataFieldList[[#This Row],[Data Field Description]],'02_3_SOURCES'!$B$9:$B$16,0),10)),"")</f>
        <v/>
      </c>
    </row>
    <row r="54" spans="2:5">
      <c r="B54" s="31" t="s">
        <v>59</v>
      </c>
      <c r="C54" s="141" t="str">
        <f>'00_3_Drop Down'!V15</f>
        <v>Construction Financing</v>
      </c>
      <c r="D54" s="425">
        <f>_xlfn.IFNA(VLOOKUP(tblMasterDataFieldList[[#This Row],[Data Field Description]],'02_3_SOURCES'!$B$9:$K$16,10,FALSE), 0)</f>
        <v>0</v>
      </c>
      <c r="E54" s="31" t="str" cm="1">
        <f t="array" aca="1" ref="E54" ca="1">IFERROR("'02_3_SOURCES'!$K$"&amp;CELL("row",INDEX('02_3_SOURCES'!$B$9:$K$16,MATCH(tblMasterDataFieldList[[#This Row],[Data Field Description]],'02_3_SOURCES'!$B$9:$B$16,0),10)),"")</f>
        <v/>
      </c>
    </row>
    <row r="55" spans="2:5">
      <c r="B55" s="31" t="s">
        <v>59</v>
      </c>
      <c r="C55" s="141" t="str">
        <f>'00_3_Drop Down'!V16</f>
        <v>HOME</v>
      </c>
      <c r="D55" s="425">
        <f>_xlfn.IFNA(VLOOKUP(tblMasterDataFieldList[[#This Row],[Data Field Description]],'02_3_SOURCES'!$B$9:$K$16,10,FALSE), 0)</f>
        <v>0</v>
      </c>
      <c r="E55" s="31" t="str" cm="1">
        <f t="array" aca="1" ref="E55" ca="1">IFERROR("'02_3_SOURCES'!$K$"&amp;CELL("row",INDEX('02_3_SOURCES'!$B$9:$K$16,MATCH(tblMasterDataFieldList[[#This Row],[Data Field Description]],'02_3_SOURCES'!$B$9:$B$16,0),10)),"")</f>
        <v/>
      </c>
    </row>
    <row r="56" spans="2:5" hidden="1">
      <c r="B56" s="31" t="s">
        <v>59</v>
      </c>
      <c r="C56" s="141" t="str">
        <f>'00_3_Drop Down'!V17</f>
        <v>HOME-ARP</v>
      </c>
      <c r="D56" s="425">
        <f>_xlfn.IFNA(VLOOKUP(tblMasterDataFieldList[[#This Row],[Data Field Description]],'02_3_SOURCES'!$B$9:$K$16,10,FALSE), 0)</f>
        <v>0</v>
      </c>
      <c r="E56" s="31" t="str" cm="1">
        <f t="array" aca="1" ref="E56" ca="1">IFERROR("'02_3_SOURCES'!$K$"&amp;CELL("row",INDEX('02_3_SOURCES'!$B$9:$K$16,MATCH(tblMasterDataFieldList[[#This Row],[Data Field Description]],'02_3_SOURCES'!$B$9:$B$16,0),10)),"")</f>
        <v/>
      </c>
    </row>
    <row r="57" spans="2:5">
      <c r="B57" s="31" t="s">
        <v>59</v>
      </c>
      <c r="C57" s="141" t="str">
        <f>'00_3_Drop Down'!V18</f>
        <v>Housing Production Fund</v>
      </c>
      <c r="D57" s="425">
        <f>_xlfn.IFNA(VLOOKUP(tblMasterDataFieldList[[#This Row],[Data Field Description]],'02_3_SOURCES'!$B$9:$K$16,10,FALSE), 0)</f>
        <v>0</v>
      </c>
      <c r="E57" s="31" t="str" cm="1">
        <f t="array" aca="1" ref="E57" ca="1">IFERROR("'02_3_SOURCES'!$K$"&amp;CELL("row",INDEX('02_3_SOURCES'!$B$9:$K$16,MATCH(tblMasterDataFieldList[[#This Row],[Data Field Description]],'02_3_SOURCES'!$B$9:$B$16,0),10)),"")</f>
        <v/>
      </c>
    </row>
    <row r="58" spans="2:5">
      <c r="B58" s="31" t="s">
        <v>59</v>
      </c>
      <c r="C58" s="141" t="str">
        <f>'00_3_Drop Down'!V19</f>
        <v>Housing Trust Fund</v>
      </c>
      <c r="D58" s="425">
        <f>_xlfn.IFNA(VLOOKUP(tblMasterDataFieldList[[#This Row],[Data Field Description]],'02_3_SOURCES'!$B$9:$K$16,10,FALSE), 0)</f>
        <v>0</v>
      </c>
      <c r="E58" s="31" t="str" cm="1">
        <f t="array" aca="1" ref="E58" ca="1">IFERROR("'02_3_SOURCES'!$K$"&amp;CELL("row",INDEX('02_3_SOURCES'!$B$9:$K$16,MATCH(tblMasterDataFieldList[[#This Row],[Data Field Description]],'02_3_SOURCES'!$B$9:$B$16,0),10)),"")</f>
        <v/>
      </c>
    </row>
    <row r="59" spans="2:5">
      <c r="B59" s="31" t="s">
        <v>59</v>
      </c>
      <c r="C59" s="141" t="str">
        <f>'00_3_Drop Down'!V20</f>
        <v>Permanent Financing</v>
      </c>
      <c r="D59" s="425">
        <f>_xlfn.IFNA(VLOOKUP(tblMasterDataFieldList[[#This Row],[Data Field Description]],'02_3_SOURCES'!$B$9:$K$16,10,FALSE), 0)</f>
        <v>0</v>
      </c>
      <c r="E59" s="31" t="str" cm="1">
        <f t="array" aca="1" ref="E59" ca="1">IFERROR("'02_3_SOURCES'!$K$"&amp;CELL("row",INDEX('02_3_SOURCES'!$B$9:$K$16,MATCH(tblMasterDataFieldList[[#This Row],[Data Field Description]],'02_3_SOURCES'!$B$9:$B$16,0),10)),"")</f>
        <v/>
      </c>
    </row>
    <row r="60" spans="2:5">
      <c r="B60" s="31" t="s">
        <v>59</v>
      </c>
      <c r="C60" s="141" t="str">
        <f>'00_3_Drop Down'!V21</f>
        <v>Preservation Loan Fund Program</v>
      </c>
      <c r="D60" s="425">
        <f>_xlfn.IFNA(VLOOKUP(tblMasterDataFieldList[[#This Row],[Data Field Description]],'02_3_SOURCES'!$B$9:$K$16,10,FALSE), 0)</f>
        <v>0</v>
      </c>
      <c r="E60" s="31" t="str" cm="1">
        <f t="array" aca="1" ref="E60" ca="1">IFERROR("'02_3_SOURCES'!$K$"&amp;CELL("row",INDEX('02_3_SOURCES'!$B$9:$K$16,MATCH(tblMasterDataFieldList[[#This Row],[Data Field Description]],'02_3_SOURCES'!$B$9:$B$16,0),10)),"")</f>
        <v/>
      </c>
    </row>
    <row r="61" spans="2:5">
      <c r="B61" s="31" t="s">
        <v>59</v>
      </c>
      <c r="C61" s="141" t="str">
        <f>'00_3_Drop Down'!V22</f>
        <v>Preservation Revitalization Deferred Loan Program (CIP)</v>
      </c>
      <c r="D61" s="425">
        <f>_xlfn.IFNA(VLOOKUP(tblMasterDataFieldList[[#This Row],[Data Field Description]],'02_3_SOURCES'!$B$9:$K$16,10,FALSE), 0)</f>
        <v>0</v>
      </c>
      <c r="E61" s="31" t="str" cm="1">
        <f t="array" aca="1" ref="E61" ca="1">IFERROR("'02_3_SOURCES'!$K$"&amp;CELL("row",INDEX('02_3_SOURCES'!$B$9:$K$16,MATCH(tblMasterDataFieldList[[#This Row],[Data Field Description]],'02_3_SOURCES'!$B$9:$B$16,0),10)),"")</f>
        <v/>
      </c>
    </row>
    <row r="62" spans="2:5">
      <c r="B62" s="31" t="s">
        <v>59</v>
      </c>
      <c r="C62" s="141" t="str">
        <f>'00_3_Drop Down'!V23</f>
        <v>State ARPA</v>
      </c>
      <c r="D62" s="425">
        <f>_xlfn.IFNA(VLOOKUP(tblMasterDataFieldList[[#This Row],[Data Field Description]],'02_3_SOURCES'!$B$9:$K$16,10,FALSE), 0)</f>
        <v>0</v>
      </c>
      <c r="E62" s="31" t="str" cm="1">
        <f t="array" aca="1" ref="E62" ca="1">IFERROR("'02_3_SOURCES'!$K$"&amp;CELL("row",INDEX('02_3_SOURCES'!$B$9:$K$16,MATCH(tblMasterDataFieldList[[#This Row],[Data Field Description]],'02_3_SOURCES'!$B$9:$B$16,0),10)),"")</f>
        <v/>
      </c>
    </row>
    <row r="63" spans="2:5">
      <c r="B63" s="31" t="s">
        <v>59</v>
      </c>
      <c r="C63" s="141" t="str">
        <f>'00_3_Drop Down'!V24</f>
        <v>Tax Exempt Bonds</v>
      </c>
      <c r="D63" s="425">
        <f>_xlfn.IFNA(VLOOKUP(tblMasterDataFieldList[[#This Row],[Data Field Description]],'02_3_SOURCES'!$B$9:$K$16,10,FALSE), 0)</f>
        <v>0</v>
      </c>
      <c r="E63" s="31" t="str" cm="1">
        <f t="array" aca="1" ref="E63" ca="1">IFERROR("'02_3_SOURCES'!$K$"&amp;CELL("row",INDEX('02_3_SOURCES'!$B$9:$K$16,MATCH(tblMasterDataFieldList[[#This Row],[Data Field Description]],'02_3_SOURCES'!$B$9:$B$16,0),10)),"")</f>
        <v/>
      </c>
    </row>
    <row r="64" spans="2:5">
      <c r="B64" s="31" t="s">
        <v>59</v>
      </c>
      <c r="C64" s="141" t="str">
        <f>'00_3_Drop Down'!V25</f>
        <v>Workforce Housing Fund</v>
      </c>
      <c r="D64" s="425">
        <f>_xlfn.IFNA(VLOOKUP(tblMasterDataFieldList[[#This Row],[Data Field Description]],'02_3_SOURCES'!$B$9:$K$16,10,FALSE), 0)</f>
        <v>0</v>
      </c>
      <c r="E64" s="31" t="str" cm="1">
        <f t="array" aca="1" ref="E64" ca="1">IFERROR("'02_3_SOURCES'!$K$"&amp;CELL("row",INDEX('02_3_SOURCES'!$B$9:$K$16,MATCH(tblMasterDataFieldList[[#This Row],[Data Field Description]],'02_3_SOURCES'!$B$9:$B$16,0),10)),"")</f>
        <v/>
      </c>
    </row>
    <row r="65" spans="2:5">
      <c r="B65" s="31" t="s">
        <v>59</v>
      </c>
      <c r="C65" s="141" t="str">
        <f>'00_3_Drop Down'!V26</f>
        <v>Community Development Block Grant</v>
      </c>
      <c r="D65" s="425">
        <f>_xlfn.IFNA(VLOOKUP(tblMasterDataFieldList[[#This Row],[Data Field Description]],'02_3_SOURCES'!$B$9:$K$16,10,FALSE), 0)</f>
        <v>0</v>
      </c>
      <c r="E65" s="31" t="str" cm="1">
        <f t="array" aca="1" ref="E65" ca="1">IFERROR("'02_3_SOURCES'!$K$"&amp;CELL("row",INDEX('02_3_SOURCES'!$B$9:$K$16,MATCH(tblMasterDataFieldList[[#This Row],[Data Field Description]],'02_3_SOURCES'!$B$9:$B$16,0),10)),"")</f>
        <v/>
      </c>
    </row>
    <row r="66" spans="2:5">
      <c r="B66" s="31" t="s">
        <v>59</v>
      </c>
      <c r="C66" s="141" t="str">
        <f>'00_3_Drop Down'!V27</f>
        <v>FHLB Affordable Housing Program</v>
      </c>
      <c r="D66" s="425">
        <f>_xlfn.IFNA(VLOOKUP(tblMasterDataFieldList[[#This Row],[Data Field Description]],'02_3_SOURCES'!$B$9:$K$16,10,FALSE), 0)</f>
        <v>0</v>
      </c>
      <c r="E66" s="31" t="str" cm="1">
        <f t="array" aca="1" ref="E66" ca="1">IFERROR("'02_3_SOURCES'!$K$"&amp;CELL("row",INDEX('02_3_SOURCES'!$B$9:$K$16,MATCH(tblMasterDataFieldList[[#This Row],[Data Field Description]],'02_3_SOURCES'!$B$9:$B$16,0),10)),"")</f>
        <v/>
      </c>
    </row>
    <row r="67" spans="2:5">
      <c r="B67" s="31" t="s">
        <v>59</v>
      </c>
      <c r="C67" s="141" t="str">
        <f>'00_3_Drop Down'!V28</f>
        <v>Lead Loan</v>
      </c>
      <c r="D67" s="425">
        <f>_xlfn.IFNA(VLOOKUP(tblMasterDataFieldList[[#This Row],[Data Field Description]],'02_3_SOURCES'!$B$9:$K$16,10,FALSE), 0)</f>
        <v>0</v>
      </c>
      <c r="E67" s="31" t="str" cm="1">
        <f t="array" aca="1" ref="E67" ca="1">IFERROR("'02_3_SOURCES'!$K$"&amp;CELL("row",INDEX('02_3_SOURCES'!$B$9:$K$16,MATCH(tblMasterDataFieldList[[#This Row],[Data Field Description]],'02_3_SOURCES'!$B$9:$B$16,0),10)),"")</f>
        <v/>
      </c>
    </row>
    <row r="68" spans="2:5">
      <c r="B68" s="31" t="s">
        <v>59</v>
      </c>
      <c r="C68" s="141" t="str">
        <f>'00_3_Drop Down'!V29</f>
        <v>Rollover Debt</v>
      </c>
      <c r="D68" s="425">
        <f>_xlfn.IFNA(VLOOKUP(tblMasterDataFieldList[[#This Row],[Data Field Description]],'02_3_SOURCES'!$B$9:$K$16,10,FALSE), 0)</f>
        <v>0</v>
      </c>
      <c r="E68" s="31" t="str" cm="1">
        <f t="array" aca="1" ref="E68" ca="1">IFERROR("'02_3_SOURCES'!$K$"&amp;CELL("row",INDEX('02_3_SOURCES'!$B$9:$K$16,MATCH(tblMasterDataFieldList[[#This Row],[Data Field Description]],'02_3_SOURCES'!$B$9:$B$16,0),10)),"")</f>
        <v/>
      </c>
    </row>
    <row r="69" spans="2:5">
      <c r="B69" s="31" t="s">
        <v>59</v>
      </c>
      <c r="C69" s="141" t="str">
        <f>'00_3_Drop Down'!V30</f>
        <v>Seller Loan</v>
      </c>
      <c r="D69" s="425">
        <f>_xlfn.IFNA(VLOOKUP(tblMasterDataFieldList[[#This Row],[Data Field Description]],'02_3_SOURCES'!$B$9:$K$16,10,FALSE), 0)</f>
        <v>0</v>
      </c>
      <c r="E69" s="31" t="str" cm="1">
        <f t="array" aca="1" ref="E69" ca="1">IFERROR("'02_3_SOURCES'!$K$"&amp;CELL("row",INDEX('02_3_SOURCES'!$B$9:$K$16,MATCH(tblMasterDataFieldList[[#This Row],[Data Field Description]],'02_3_SOURCES'!$B$9:$B$16,0),10)),"")</f>
        <v/>
      </c>
    </row>
    <row r="70" spans="2:5">
      <c r="B70" s="31" t="s">
        <v>59</v>
      </c>
      <c r="C70" s="141" t="str">
        <f>'00_3_Drop Down'!V31</f>
        <v>Other</v>
      </c>
      <c r="D70" s="425">
        <f>_xlfn.IFNA(VLOOKUP(tblMasterDataFieldList[[#This Row],[Data Field Description]],'02_3_SOURCES'!$B$9:$K$16,10,FALSE), 0)</f>
        <v>0</v>
      </c>
      <c r="E70" s="31" t="str" cm="1">
        <f t="array" aca="1" ref="E70" ca="1">IFERROR("'02_3_SOURCES'!$K$"&amp;CELL("row",INDEX('02_3_SOURCES'!$B$9:$K$16,MATCH(tblMasterDataFieldList[[#This Row],[Data Field Description]],'02_3_SOURCES'!$B$9:$B$16,0),10)),"")</f>
        <v/>
      </c>
    </row>
    <row r="71" spans="2:5">
      <c r="B71" s="31" t="s">
        <v>59</v>
      </c>
      <c r="C71" s="141" t="str">
        <f>'00_3_Drop Down'!V32</f>
        <v>ARPA Production Fund</v>
      </c>
      <c r="D71" s="425">
        <f>_xlfn.IFNA(VLOOKUP(tblMasterDataFieldList[[#This Row],[Data Field Description]],'02_3_SOURCES'!$B$9:$K$16,10,FALSE), 0)</f>
        <v>0</v>
      </c>
      <c r="E71" s="31" t="str" cm="1">
        <f t="array" aca="1" ref="E71" ca="1">IFERROR("'02_3_SOURCES'!$K$"&amp;CELL("row",INDEX('02_3_SOURCES'!$B$9:$K$16,MATCH(tblMasterDataFieldList[[#This Row],[Data Field Description]],'02_3_SOURCES'!$B$9:$B$16,0),10)),"")</f>
        <v/>
      </c>
    </row>
    <row r="72" spans="2:5">
      <c r="B72" s="31" t="s">
        <v>59</v>
      </c>
      <c r="C72" s="141" t="str">
        <f>'00_3_Drop Down'!V33</f>
        <v>Middle Income Program</v>
      </c>
      <c r="D72" s="425">
        <f>_xlfn.IFNA(VLOOKUP(tblMasterDataFieldList[[#This Row],[Data Field Description]],'02_3_SOURCES'!$B$9:$K$16,10,FALSE), 0)</f>
        <v>0</v>
      </c>
      <c r="E72" s="31" t="str" cm="1">
        <f t="array" aca="1" ref="E72" ca="1">IFERROR("'02_3_SOURCES'!$K$"&amp;CELL("row",INDEX('02_3_SOURCES'!$B$9:$K$16,MATCH(tblMasterDataFieldList[[#This Row],[Data Field Description]],'02_3_SOURCES'!$B$9:$B$16,0),10)),"")</f>
        <v/>
      </c>
    </row>
    <row r="73" spans="2:5">
      <c r="B73" s="31" t="s">
        <v>59</v>
      </c>
      <c r="C73" s="141" t="str">
        <f>'00_3_Drop Down'!V34</f>
        <v>NOP</v>
      </c>
      <c r="D73" s="425">
        <f>_xlfn.IFNA(VLOOKUP(tblMasterDataFieldList[[#This Row],[Data Field Description]],'02_3_SOURCES'!$B$9:$K$16,10,FALSE), 0)</f>
        <v>0</v>
      </c>
      <c r="E73" s="31" t="str" cm="1">
        <f t="array" aca="1" ref="E73" ca="1">IFERROR("'02_3_SOURCES'!$K$"&amp;CELL("row",INDEX('02_3_SOURCES'!$B$9:$K$16,MATCH(tblMasterDataFieldList[[#This Row],[Data Field Description]],'02_3_SOURCES'!$B$9:$B$16,0),10)),"")</f>
        <v/>
      </c>
    </row>
    <row r="74" spans="2:5">
      <c r="B74" s="31" t="s">
        <v>59</v>
      </c>
      <c r="C74" s="141" t="str">
        <f>'00_3_Drop Down'!V35</f>
        <v>811</v>
      </c>
      <c r="D74" s="425">
        <f>_xlfn.IFNA(VLOOKUP(tblMasterDataFieldList[[#This Row],[Data Field Description]],'02_3_SOURCES'!$B$9:$K$16,10,FALSE), 0)</f>
        <v>0</v>
      </c>
      <c r="E74" s="31" t="str" cm="1">
        <f t="array" aca="1" ref="E74" ca="1">IFERROR("'02_3_SOURCES'!$K$"&amp;CELL("row",INDEX('02_3_SOURCES'!$B$9:$K$16,MATCH(tblMasterDataFieldList[[#This Row],[Data Field Description]],'02_3_SOURCES'!$B$9:$B$16,0),10)),"")</f>
        <v/>
      </c>
    </row>
    <row r="75" spans="2:5">
      <c r="B75" s="31" t="s">
        <v>59</v>
      </c>
      <c r="C75" s="141" t="str">
        <f>'00_3_Drop Down'!V36</f>
        <v>Community Revitalization</v>
      </c>
      <c r="D75" s="425">
        <f>_xlfn.IFNA(VLOOKUP(tblMasterDataFieldList[[#This Row],[Data Field Description]],'02_3_SOURCES'!$B$9:$K$16,10,FALSE), 0)</f>
        <v>0</v>
      </c>
      <c r="E75" s="31" t="str" cm="1">
        <f t="array" aca="1" ref="E75" ca="1">IFERROR("'02_3_SOURCES'!$K$"&amp;CELL("row",INDEX('02_3_SOURCES'!$B$9:$K$16,MATCH(tblMasterDataFieldList[[#This Row],[Data Field Description]],'02_3_SOURCES'!$B$9:$B$16,0),10)),"")</f>
        <v/>
      </c>
    </row>
    <row r="76" spans="2:5">
      <c r="B76" s="31" t="s">
        <v>59</v>
      </c>
      <c r="C76" s="141" t="str">
        <f>'00_3_Drop Down'!V37</f>
        <v>Thresholds</v>
      </c>
      <c r="D76" s="425">
        <f>_xlfn.IFNA(VLOOKUP(tblMasterDataFieldList[[#This Row],[Data Field Description]],'02_3_SOURCES'!$B$9:$K$16,10,FALSE), 0)</f>
        <v>0</v>
      </c>
      <c r="E76" s="31" t="str" cm="1">
        <f t="array" aca="1" ref="E76" ca="1">IFERROR("'02_3_SOURCES'!$K$"&amp;CELL("row",INDEX('02_3_SOURCES'!$B$9:$K$16,MATCH(tblMasterDataFieldList[[#This Row],[Data Field Description]],'02_3_SOURCES'!$B$9:$B$16,0),10)),"")</f>
        <v/>
      </c>
    </row>
    <row r="77" spans="2:5">
      <c r="B77" s="31" t="s">
        <v>59</v>
      </c>
      <c r="C77" s="141" t="str">
        <f>'00_3_Drop Down'!V38</f>
        <v>Sponsor Loan</v>
      </c>
      <c r="D77" s="425">
        <f>_xlfn.IFNA(VLOOKUP(tblMasterDataFieldList[[#This Row],[Data Field Description]],'02_3_SOURCES'!$B$9:$K$16,10,FALSE), 0)</f>
        <v>0</v>
      </c>
      <c r="E77" s="31" t="str" cm="1">
        <f t="array" aca="1" ref="E77" ca="1">IFERROR("'02_3_SOURCES'!$K$"&amp;CELL("row",INDEX('02_3_SOURCES'!$B$9:$K$16,MATCH(tblMasterDataFieldList[[#This Row],[Data Field Description]],'02_3_SOURCES'!$B$9:$B$16,0),10)),"")</f>
        <v/>
      </c>
    </row>
    <row r="78" spans="2:5">
      <c r="B78" s="31" t="s">
        <v>59</v>
      </c>
      <c r="C78" s="141" t="str">
        <f>'00_3_Drop Down'!V39</f>
        <v>Affordable Housing Trust</v>
      </c>
      <c r="D78" s="425">
        <f>_xlfn.IFNA(VLOOKUP(tblMasterDataFieldList[[#This Row],[Data Field Description]],'02_3_SOURCES'!$B$9:$K$16,10,FALSE), 0)</f>
        <v>0</v>
      </c>
      <c r="E78" s="31" t="str" cm="1">
        <f t="array" aca="1" ref="E78" ca="1">IFERROR("'02_3_SOURCES'!$K$"&amp;CELL("row",INDEX('02_3_SOURCES'!$B$9:$K$16,MATCH(tblMasterDataFieldList[[#This Row],[Data Field Description]],'02_3_SOURCES'!$B$9:$B$16,0),10)),"")</f>
        <v/>
      </c>
    </row>
    <row r="79" spans="2:5">
      <c r="B79" s="31" t="s">
        <v>59</v>
      </c>
      <c r="C79" s="141" t="str">
        <f>'00_3_Drop Down'!V40</f>
        <v>Neighborhood Stabilization Program (NSP)</v>
      </c>
      <c r="D79" s="425">
        <f>_xlfn.IFNA(VLOOKUP(tblMasterDataFieldList[[#This Row],[Data Field Description]],'02_3_SOURCES'!$B$9:$K$16,10,FALSE), 0)</f>
        <v>0</v>
      </c>
      <c r="E79" s="31" t="str" cm="1">
        <f t="array" aca="1" ref="E79" ca="1">IFERROR("'02_3_SOURCES'!$K$"&amp;CELL("row",INDEX('02_3_SOURCES'!$B$9:$K$16,MATCH(tblMasterDataFieldList[[#This Row],[Data Field Description]],'02_3_SOURCES'!$B$9:$B$16,0),10)),"")</f>
        <v/>
      </c>
    </row>
    <row r="80" spans="2:5">
      <c r="B80" s="31" t="s">
        <v>59</v>
      </c>
      <c r="C80" s="141" t="str">
        <f>'00_3_Drop Down'!V41</f>
        <v>Assumed Debt (Rollover)</v>
      </c>
      <c r="D80" s="425">
        <f>_xlfn.IFNA(VLOOKUP(tblMasterDataFieldList[[#This Row],[Data Field Description]],'02_3_SOURCES'!$B$9:$K$16,10,FALSE), 0)</f>
        <v>0</v>
      </c>
      <c r="E80" s="31" t="str" cm="1">
        <f t="array" aca="1" ref="E80" ca="1">IFERROR("'02_3_SOURCES'!$K$"&amp;CELL("row",INDEX('02_3_SOURCES'!$B$9:$K$16,MATCH(tblMasterDataFieldList[[#This Row],[Data Field Description]],'02_3_SOURCES'!$B$9:$B$16,0),10)),"")</f>
        <v/>
      </c>
    </row>
    <row r="81" spans="2:5">
      <c r="B81" s="31" t="s">
        <v>59</v>
      </c>
      <c r="C81" s="141" t="str">
        <f>'00_3_Drop Down'!V42</f>
        <v>RIH First Mortgage</v>
      </c>
      <c r="D81" s="425">
        <f>_xlfn.IFNA(VLOOKUP(tblMasterDataFieldList[[#This Row],[Data Field Description]],'02_3_SOURCES'!$B$9:$K$16,10,FALSE), 0)</f>
        <v>0</v>
      </c>
      <c r="E81" s="31" t="str" cm="1">
        <f t="array" aca="1" ref="E81" ca="1">IFERROR("'02_3_SOURCES'!$K$"&amp;CELL("row",INDEX('02_3_SOURCES'!$B$9:$K$16,MATCH(tblMasterDataFieldList[[#This Row],[Data Field Description]],'02_3_SOURCES'!$B$9:$B$16,0),10)),"")</f>
        <v/>
      </c>
    </row>
    <row r="82" spans="2:5">
      <c r="B82" s="31" t="s">
        <v>59</v>
      </c>
      <c r="C82" s="141" t="str">
        <f>'00_3_Drop Down'!V43</f>
        <v>RIH Second Mortgage</v>
      </c>
      <c r="D82" s="425">
        <f>_xlfn.IFNA(VLOOKUP(tblMasterDataFieldList[[#This Row],[Data Field Description]],'02_3_SOURCES'!$B$9:$K$16,10,FALSE), 0)</f>
        <v>0</v>
      </c>
      <c r="E82" s="31" t="str" cm="1">
        <f t="array" aca="1" ref="E82" ca="1">IFERROR("'02_3_SOURCES'!$K$"&amp;CELL("row",INDEX('02_3_SOURCES'!$B$9:$K$16,MATCH(tblMasterDataFieldList[[#This Row],[Data Field Description]],'02_3_SOURCES'!$B$9:$B$16,0),10)),"")</f>
        <v>'02_3_SOURCES'!$K$10</v>
      </c>
    </row>
    <row r="83" spans="2:5">
      <c r="B83" s="31" t="s">
        <v>59</v>
      </c>
      <c r="C83" s="141" t="str">
        <f>'00_3_Drop Down'!V44</f>
        <v>RIH HOME Loan</v>
      </c>
      <c r="D83" s="425">
        <f>_xlfn.IFNA(VLOOKUP(tblMasterDataFieldList[[#This Row],[Data Field Description]],'02_3_SOURCES'!$B$9:$K$16,10,FALSE), 0)</f>
        <v>0</v>
      </c>
      <c r="E83" s="31" t="str" cm="1">
        <f t="array" aca="1" ref="E83" ca="1">IFERROR("'02_3_SOURCES'!$K$"&amp;CELL("row",INDEX('02_3_SOURCES'!$B$9:$K$16,MATCH(tblMasterDataFieldList[[#This Row],[Data Field Description]],'02_3_SOURCES'!$B$9:$B$16,0),10)),"")</f>
        <v/>
      </c>
    </row>
    <row r="84" spans="2:5">
      <c r="B84" s="31" t="s">
        <v>59</v>
      </c>
      <c r="C84" s="141" t="str">
        <f>'00_3_Drop Down'!V45</f>
        <v>Rhode Island Rebounds</v>
      </c>
      <c r="D84" s="425">
        <f>_xlfn.IFNA(VLOOKUP(tblMasterDataFieldList[[#This Row],[Data Field Description]],'02_3_SOURCES'!$B$9:$K$16,10,FALSE), 0)</f>
        <v>0</v>
      </c>
      <c r="E84" s="31" t="str" cm="1">
        <f t="array" aca="1" ref="E84" ca="1">IFERROR("'02_3_SOURCES'!$K$"&amp;CELL("row",INDEX('02_3_SOURCES'!$B$9:$K$16,MATCH(tblMasterDataFieldList[[#This Row],[Data Field Description]],'02_3_SOURCES'!$B$9:$B$16,0),10)),"")</f>
        <v/>
      </c>
    </row>
    <row r="85" spans="2:5">
      <c r="B85" s="31" t="s">
        <v>59</v>
      </c>
      <c r="C85" s="141" t="str">
        <f>'00_3_Drop Down'!V46</f>
        <v>LIHTC Proceeds</v>
      </c>
      <c r="D85" s="425">
        <f>_xlfn.IFNA(VLOOKUP(tblMasterDataFieldList[[#This Row],[Data Field Description]],'02_3_SOURCES'!$B$9:$K$16,10,FALSE), 0)</f>
        <v>0</v>
      </c>
      <c r="E85" s="31" t="str" cm="1">
        <f t="array" aca="1" ref="E85" ca="1">IFERROR("'02_3_SOURCES'!$K$"&amp;CELL("row",INDEX('02_3_SOURCES'!$B$9:$K$16,MATCH(tblMasterDataFieldList[[#This Row],[Data Field Description]],'02_3_SOURCES'!$B$9:$B$16,0),10)),"")</f>
        <v/>
      </c>
    </row>
    <row r="86" spans="2:5">
      <c r="B86" s="31" t="s">
        <v>59</v>
      </c>
      <c r="C86" s="141" t="str">
        <f>'00_3_Drop Down'!V47</f>
        <v>Fed. Historic Tax Credit Proceeds</v>
      </c>
      <c r="D86" s="425">
        <f>_xlfn.IFNA(VLOOKUP(tblMasterDataFieldList[[#This Row],[Data Field Description]],'02_3_SOURCES'!$B$9:$K$16,10,FALSE), 0)</f>
        <v>0</v>
      </c>
      <c r="E86" s="31" t="str" cm="1">
        <f t="array" aca="1" ref="E86" ca="1">IFERROR("'02_3_SOURCES'!$K$"&amp;CELL("row",INDEX('02_3_SOURCES'!$B$9:$K$16,MATCH(tblMasterDataFieldList[[#This Row],[Data Field Description]],'02_3_SOURCES'!$B$9:$B$16,0),10)),"")</f>
        <v/>
      </c>
    </row>
    <row r="87" spans="2:5">
      <c r="B87" s="31" t="s">
        <v>59</v>
      </c>
      <c r="C87" s="141" t="str">
        <f>'00_3_Drop Down'!V48</f>
        <v>General Partner Capital</v>
      </c>
      <c r="D87" s="425">
        <f>_xlfn.IFNA(VLOOKUP(tblMasterDataFieldList[[#This Row],[Data Field Description]],'02_3_SOURCES'!$B$9:$K$16,10,FALSE), 0)</f>
        <v>0</v>
      </c>
      <c r="E87" s="31" t="str" cm="1">
        <f t="array" aca="1" ref="E87" ca="1">IFERROR("'02_3_SOURCES'!$K$"&amp;CELL("row",INDEX('02_3_SOURCES'!$B$9:$K$16,MATCH(tblMasterDataFieldList[[#This Row],[Data Field Description]],'02_3_SOURCES'!$B$9:$B$16,0),10)),"")</f>
        <v/>
      </c>
    </row>
    <row r="88" spans="2:5">
      <c r="B88" s="31" t="s">
        <v>59</v>
      </c>
      <c r="C88" s="141" t="str">
        <f>'00_3_Drop Down'!V49</f>
        <v>State Historic TC Proceeds</v>
      </c>
      <c r="D88" s="425">
        <f>_xlfn.IFNA(VLOOKUP(tblMasterDataFieldList[[#This Row],[Data Field Description]],'02_3_SOURCES'!$B$9:$K$16,10,FALSE), 0)</f>
        <v>0</v>
      </c>
      <c r="E88" s="31" t="str" cm="1">
        <f t="array" aca="1" ref="E88" ca="1">IFERROR("'02_3_SOURCES'!$K$"&amp;CELL("row",INDEX('02_3_SOURCES'!$B$9:$K$16,MATCH(tblMasterDataFieldList[[#This Row],[Data Field Description]],'02_3_SOURCES'!$B$9:$B$16,0),10)),"")</f>
        <v/>
      </c>
    </row>
    <row r="89" spans="2:5">
      <c r="B89" s="31" t="s">
        <v>59</v>
      </c>
      <c r="C89" s="141" t="str">
        <f>'00_3_Drop Down'!V50</f>
        <v>Other Equity</v>
      </c>
      <c r="D89" s="425">
        <f>_xlfn.IFNA(VLOOKUP(tblMasterDataFieldList[[#This Row],[Data Field Description]],'02_3_SOURCES'!$B$9:$K$16,10,FALSE), 0)</f>
        <v>0</v>
      </c>
      <c r="E89" s="31" t="str" cm="1">
        <f t="array" aca="1" ref="E89" ca="1">IFERROR("'02_3_SOURCES'!$K$"&amp;CELL("row",INDEX('02_3_SOURCES'!$B$9:$K$16,MATCH(tblMasterDataFieldList[[#This Row],[Data Field Description]],'02_3_SOURCES'!$B$9:$B$16,0),10)),"")</f>
        <v/>
      </c>
    </row>
    <row r="90" spans="2:5">
      <c r="B90" s="31" t="s">
        <v>59</v>
      </c>
      <c r="C90" s="141" t="str">
        <f>'00_3_Drop Down'!V51</f>
        <v>Deferred Development Fee</v>
      </c>
      <c r="D90" s="425">
        <f>_xlfn.IFNA(VLOOKUP(tblMasterDataFieldList[[#This Row],[Data Field Description]],'02_3_SOURCES'!$B$9:$K$16,10,FALSE), 0)</f>
        <v>0</v>
      </c>
      <c r="E90" s="31" t="str" cm="1">
        <f t="array" aca="1" ref="E90" ca="1">IFERROR("'02_3_SOURCES'!$K$"&amp;CELL("row",INDEX('02_3_SOURCES'!$B$9:$K$16,MATCH(tblMasterDataFieldList[[#This Row],[Data Field Description]],'02_3_SOURCES'!$B$9:$B$16,0),10)),"")</f>
        <v/>
      </c>
    </row>
    <row r="91" spans="2:5">
      <c r="B91" s="31" t="s">
        <v>59</v>
      </c>
      <c r="C91" s="141" t="str">
        <f>'00_3_Drop Down'!V52</f>
        <v>Other Source 2</v>
      </c>
      <c r="D91" s="425">
        <f>_xlfn.IFNA(VLOOKUP(tblMasterDataFieldList[[#This Row],[Data Field Description]],'02_3_SOURCES'!$B$9:$K$16,10,FALSE), 0)</f>
        <v>0</v>
      </c>
      <c r="E91" s="31" t="str" cm="1">
        <f t="array" aca="1" ref="E91" ca="1">IFERROR("'02_3_SOURCES'!$K$"&amp;CELL("row",INDEX('02_3_SOURCES'!$B$9:$K$16,MATCH(tblMasterDataFieldList[[#This Row],[Data Field Description]],'02_3_SOURCES'!$B$9:$B$16,0),10)),"")</f>
        <v/>
      </c>
    </row>
    <row r="92" spans="2:5">
      <c r="B92" s="31" t="s">
        <v>59</v>
      </c>
      <c r="C92" s="141" t="str">
        <f>'00_3_Drop Down'!V53</f>
        <v>Other Source 3</v>
      </c>
      <c r="D92" s="425">
        <f>_xlfn.IFNA(VLOOKUP(tblMasterDataFieldList[[#This Row],[Data Field Description]],'02_3_SOURCES'!$B$9:$K$16,10,FALSE), 0)</f>
        <v>0</v>
      </c>
      <c r="E92" s="31" t="str" cm="1">
        <f t="array" aca="1" ref="E92" ca="1">IFERROR("'02_3_SOURCES'!$K$"&amp;CELL("row",INDEX('02_3_SOURCES'!$B$9:$K$16,MATCH(tblMasterDataFieldList[[#This Row],[Data Field Description]],'02_3_SOURCES'!$B$9:$B$16,0),10)),"")</f>
        <v/>
      </c>
    </row>
    <row r="93" spans="2:5">
      <c r="B93" s="31" t="s">
        <v>59</v>
      </c>
      <c r="C93" s="141" t="str">
        <f>'00_3_Drop Down'!V54</f>
        <v>Other Source 4</v>
      </c>
      <c r="D93" s="425">
        <f>_xlfn.IFNA(VLOOKUP(tblMasterDataFieldList[[#This Row],[Data Field Description]],'02_3_SOURCES'!$B$9:$K$16,10,FALSE), 0)</f>
        <v>0</v>
      </c>
      <c r="E93" s="31" t="str" cm="1">
        <f t="array" aca="1" ref="E93" ca="1">IFERROR("'02_3_SOURCES'!$K$"&amp;CELL("row",INDEX('02_3_SOURCES'!$B$9:$K$16,MATCH(tblMasterDataFieldList[[#This Row],[Data Field Description]],'02_3_SOURCES'!$B$9:$B$16,0),10)),"")</f>
        <v/>
      </c>
    </row>
    <row r="94" spans="2:5">
      <c r="B94" s="31" t="s">
        <v>59</v>
      </c>
      <c r="C94" s="141" t="str">
        <f>'00_3_Drop Down'!V55</f>
        <v>Other Source 5</v>
      </c>
      <c r="D94" s="425">
        <f>_xlfn.IFNA(VLOOKUP(tblMasterDataFieldList[[#This Row],[Data Field Description]],'02_3_SOURCES'!$B$9:$K$16,10,FALSE), 0)</f>
        <v>0</v>
      </c>
      <c r="E94" s="31" t="str" cm="1">
        <f t="array" aca="1" ref="E94" ca="1">IFERROR("'02_3_SOURCES'!$K$"&amp;CELL("row",INDEX('02_3_SOURCES'!$B$9:$K$16,MATCH(tblMasterDataFieldList[[#This Row],[Data Field Description]],'02_3_SOURCES'!$B$9:$B$16,0),10)),"")</f>
        <v/>
      </c>
    </row>
    <row r="95" spans="2:5">
      <c r="B95" s="31" t="s">
        <v>59</v>
      </c>
      <c r="C95" s="141" t="str">
        <f>'00_3_Drop Down'!V56</f>
        <v>ERA 2</v>
      </c>
      <c r="D95" s="425">
        <f>_xlfn.IFNA(VLOOKUP(tblMasterDataFieldList[[#This Row],[Data Field Description]],'02_3_SOURCES'!$B$9:$K$16,10,FALSE), 0)</f>
        <v>0</v>
      </c>
      <c r="E95" s="31" t="str" cm="1">
        <f t="array" aca="1" ref="E95" ca="1">IFERROR("'02_3_SOURCES'!$K$"&amp;CELL("row",INDEX('02_3_SOURCES'!$B$9:$K$16,MATCH(tblMasterDataFieldList[[#This Row],[Data Field Description]],'02_3_SOURCES'!$B$9:$B$16,0),10)),"")</f>
        <v/>
      </c>
    </row>
    <row r="96" spans="2:5">
      <c r="B96" s="31" t="s">
        <v>59</v>
      </c>
      <c r="C96" s="141" t="str">
        <f>'00_3_Drop Down'!V57</f>
        <v>TOD Fund</v>
      </c>
      <c r="D96" s="425">
        <f>_xlfn.IFNA(VLOOKUP(tblMasterDataFieldList[[#This Row],[Data Field Description]],'02_3_SOURCES'!$B$9:$K$16,10,FALSE), 0)</f>
        <v>0</v>
      </c>
      <c r="E96" s="31" t="str" cm="1">
        <f t="array" aca="1" ref="E96" ca="1">IFERROR("'02_3_SOURCES'!$K$"&amp;CELL("row",INDEX('02_3_SOURCES'!$B$9:$K$16,MATCH(tblMasterDataFieldList[[#This Row],[Data Field Description]],'02_3_SOURCES'!$B$9:$B$16,0),10)),"")</f>
        <v/>
      </c>
    </row>
    <row r="97" spans="2:7">
      <c r="B97" s="31" t="s">
        <v>59</v>
      </c>
      <c r="C97" s="141" t="str">
        <f>'00_3_Drop Down'!V58</f>
        <v>Priority Projects Fund</v>
      </c>
      <c r="D97" s="425">
        <f>_xlfn.IFNA(VLOOKUP(tblMasterDataFieldList[[#This Row],[Data Field Description]],'02_3_SOURCES'!$B$9:$K$16,10,FALSE), 0)</f>
        <v>0</v>
      </c>
      <c r="E97" s="31" t="str" cm="1">
        <f t="array" aca="1" ref="E97" ca="1">IFERROR("'02_3_SOURCES'!$K$"&amp;CELL("row",INDEX('02_3_SOURCES'!$B$9:$K$16,MATCH(tblMasterDataFieldList[[#This Row],[Data Field Description]],'02_3_SOURCES'!$B$9:$B$16,0),10)),"")</f>
        <v/>
      </c>
    </row>
    <row r="98" spans="2:7">
      <c r="B98" s="31" t="s">
        <v>59</v>
      </c>
      <c r="C98" s="141" t="str">
        <f>'00_3_Drop Down'!V59</f>
        <v>State 4% LIHTC</v>
      </c>
      <c r="D98" s="425">
        <f>_xlfn.IFNA(VLOOKUP(tblMasterDataFieldList[[#This Row],[Data Field Description]],'02_3_SOURCES'!$B$9:$K$16,10,FALSE), 0)</f>
        <v>0</v>
      </c>
      <c r="E98" s="31" t="str" cm="1">
        <f t="array" aca="1" ref="E98" ca="1">IFERROR("'02_3_SOURCES'!$K$"&amp;CELL("row",INDEX('02_3_SOURCES'!$B$9:$K$16,MATCH(tblMasterDataFieldList[[#This Row],[Data Field Description]],'02_3_SOURCES'!$B$9:$B$16,0),10)),"")</f>
        <v/>
      </c>
    </row>
    <row r="99" spans="2:7">
      <c r="B99" s="31" t="s">
        <v>59</v>
      </c>
      <c r="C99" s="141">
        <f>'00_3_Drop Down'!V60</f>
        <v>0</v>
      </c>
      <c r="D99" s="425">
        <f>_xlfn.IFNA(VLOOKUP(tblMasterDataFieldList[[#This Row],[Data Field Description]],'02_3_SOURCES'!$B$9:$K$16,10,FALSE), 0)</f>
        <v>0</v>
      </c>
      <c r="E99" s="31" t="str" cm="1">
        <f t="array" aca="1" ref="E99" ca="1">IFERROR("'02_3_SOURCES'!$K$"&amp;CELL("row",INDEX('02_3_SOURCES'!$B$9:$K$16,MATCH(tblMasterDataFieldList[[#This Row],[Data Field Description]],'02_3_SOURCES'!$B$9:$B$16,0),10)),"")</f>
        <v/>
      </c>
    </row>
    <row r="100" spans="2:7">
      <c r="B100" s="31" t="s">
        <v>59</v>
      </c>
      <c r="C100" s="141">
        <f>'00_3_Drop Down'!V61</f>
        <v>0</v>
      </c>
      <c r="D100" s="425">
        <f>_xlfn.IFNA(VLOOKUP(tblMasterDataFieldList[[#This Row],[Data Field Description]],'02_3_SOURCES'!$B$9:$K$16,10,FALSE), 0)</f>
        <v>0</v>
      </c>
      <c r="E100" s="31" t="str" cm="1">
        <f t="array" aca="1" ref="E100" ca="1">IFERROR("'02_3_SOURCES'!$K$"&amp;CELL("row",INDEX('02_3_SOURCES'!$B$9:$K$16,MATCH(tblMasterDataFieldList[[#This Row],[Data Field Description]],'02_3_SOURCES'!$B$9:$B$16,0),10)),"")</f>
        <v/>
      </c>
    </row>
    <row r="101" spans="2:7">
      <c r="B101" s="31" t="s">
        <v>59</v>
      </c>
      <c r="C101" s="141">
        <f>'00_3_Drop Down'!V62</f>
        <v>0</v>
      </c>
      <c r="D101" s="425">
        <f>_xlfn.IFNA(VLOOKUP(tblMasterDataFieldList[[#This Row],[Data Field Description]],'02_3_SOURCES'!$B$9:$K$16,10,FALSE), 0)</f>
        <v>0</v>
      </c>
      <c r="E101" s="31" t="str" cm="1">
        <f t="array" aca="1" ref="E101" ca="1">IFERROR("'02_3_SOURCES'!$K$"&amp;CELL("row",INDEX('02_3_SOURCES'!$B$9:$K$16,MATCH(tblMasterDataFieldList[[#This Row],[Data Field Description]],'02_3_SOURCES'!$B$9:$B$16,0),10)),"")</f>
        <v/>
      </c>
    </row>
    <row r="102" spans="2:7">
      <c r="B102" s="31" t="s">
        <v>59</v>
      </c>
      <c r="C102" s="141">
        <f>'00_3_Drop Down'!V63</f>
        <v>0</v>
      </c>
      <c r="D102" s="425">
        <f>_xlfn.IFNA(VLOOKUP(tblMasterDataFieldList[[#This Row],[Data Field Description]],'02_3_SOURCES'!$B$9:$K$16,10,FALSE), 0)</f>
        <v>0</v>
      </c>
      <c r="E102" s="31" t="str" cm="1">
        <f t="array" aca="1" ref="E102" ca="1">IFERROR("'02_3_SOURCES'!$K$"&amp;CELL("row",INDEX('02_3_SOURCES'!$B$9:$K$16,MATCH(tblMasterDataFieldList[[#This Row],[Data Field Description]],'02_3_SOURCES'!$B$9:$B$16,0),10)),"")</f>
        <v/>
      </c>
    </row>
    <row r="103" spans="2:7">
      <c r="B103" s="31" t="s">
        <v>59</v>
      </c>
      <c r="C103" s="141">
        <f>'00_3_Drop Down'!V64</f>
        <v>0</v>
      </c>
      <c r="D103" s="425">
        <f>_xlfn.IFNA(VLOOKUP(tblMasterDataFieldList[[#This Row],[Data Field Description]],'02_3_SOURCES'!$B$9:$K$16,10,FALSE), 0)</f>
        <v>0</v>
      </c>
      <c r="E103" s="31" t="str" cm="1">
        <f t="array" aca="1" ref="E103" ca="1">IFERROR("'02_3_SOURCES'!$K$"&amp;CELL("row",INDEX('02_3_SOURCES'!$B$9:$K$16,MATCH(tblMasterDataFieldList[[#This Row],[Data Field Description]],'02_3_SOURCES'!$B$9:$B$16,0),10)),"")</f>
        <v/>
      </c>
    </row>
    <row r="104" spans="2:7">
      <c r="B104" s="31" t="s">
        <v>59</v>
      </c>
      <c r="C104" s="141">
        <f>'00_3_Drop Down'!V65</f>
        <v>0</v>
      </c>
      <c r="D104" s="425">
        <f>_xlfn.IFNA(VLOOKUP(tblMasterDataFieldList[[#This Row],[Data Field Description]],'02_3_SOURCES'!$B$9:$K$16,10,FALSE), 0)</f>
        <v>0</v>
      </c>
      <c r="E104" s="31" t="str" cm="1">
        <f t="array" aca="1" ref="E104" ca="1">IFERROR("'02_3_SOURCES'!$K$"&amp;CELL("row",INDEX('02_3_SOURCES'!$B$9:$K$16,MATCH(tblMasterDataFieldList[[#This Row],[Data Field Description]],'02_3_SOURCES'!$B$9:$B$16,0),10)),"")</f>
        <v/>
      </c>
    </row>
    <row r="107" spans="2:7">
      <c r="B107" s="1002" t="s">
        <v>38</v>
      </c>
      <c r="C107" s="1003" t="s">
        <v>97</v>
      </c>
      <c r="D107" s="1002" t="s">
        <v>98</v>
      </c>
      <c r="E107" s="422" t="s">
        <v>41</v>
      </c>
      <c r="F107" s="1002" t="s">
        <v>99</v>
      </c>
      <c r="G107" s="1002" t="s">
        <v>100</v>
      </c>
    </row>
    <row r="108" spans="2:7">
      <c r="B108" s="31">
        <f t="shared" ref="B108:B139" si="0">$D$11</f>
        <v>101</v>
      </c>
      <c r="C108" t="str">
        <f>'01_1_General Data'!B224</f>
        <v/>
      </c>
      <c r="D108" s="31" t="str">
        <f>'01_1_General Data'!E224</f>
        <v/>
      </c>
      <c r="E108" s="141" t="str">
        <f>'01_1_General Data'!F224</f>
        <v/>
      </c>
      <c r="F108" s="31" t="e">
        <f>VLOOKUP(D108,'00_4_Reference Tables'!$C$7:$AH$45,32,FALSE)</f>
        <v>#N/A</v>
      </c>
      <c r="G108" s="31">
        <f>'01_1_General Data'!G224</f>
        <v>0</v>
      </c>
    </row>
    <row r="109" spans="2:7">
      <c r="B109" s="31">
        <f t="shared" si="0"/>
        <v>101</v>
      </c>
      <c r="C109">
        <f>'01_1_General Data'!B225</f>
        <v>0</v>
      </c>
      <c r="D109" s="31">
        <f>'01_1_General Data'!E225</f>
        <v>0</v>
      </c>
      <c r="E109" s="141">
        <f>'01_1_General Data'!F225</f>
        <v>0</v>
      </c>
      <c r="F109" s="31" t="e">
        <f>VLOOKUP(D109,'00_4_Reference Tables'!$C$7:$AH$45,32,FALSE)</f>
        <v>#N/A</v>
      </c>
      <c r="G109" s="31">
        <f>'01_1_General Data'!G225</f>
        <v>0</v>
      </c>
    </row>
    <row r="110" spans="2:7">
      <c r="B110" s="31">
        <f t="shared" si="0"/>
        <v>101</v>
      </c>
      <c r="C110">
        <f>'01_1_General Data'!B226</f>
        <v>0</v>
      </c>
      <c r="D110" s="31">
        <f>'01_1_General Data'!E226</f>
        <v>0</v>
      </c>
      <c r="E110" s="141">
        <f>'01_1_General Data'!F226</f>
        <v>0</v>
      </c>
      <c r="F110" s="31" t="e">
        <f>VLOOKUP(D110,'00_4_Reference Tables'!$C$7:$AH$45,32,FALSE)</f>
        <v>#N/A</v>
      </c>
      <c r="G110" s="31">
        <f>'01_1_General Data'!G226</f>
        <v>0</v>
      </c>
    </row>
    <row r="111" spans="2:7">
      <c r="B111" s="31">
        <f t="shared" si="0"/>
        <v>101</v>
      </c>
      <c r="C111">
        <f>'01_1_General Data'!B227</f>
        <v>0</v>
      </c>
      <c r="D111" s="31">
        <f>'01_1_General Data'!E227</f>
        <v>0</v>
      </c>
      <c r="E111" s="141">
        <f>'01_1_General Data'!F227</f>
        <v>0</v>
      </c>
      <c r="F111" s="31" t="e">
        <f>VLOOKUP(D111,'00_4_Reference Tables'!$C$7:$AH$45,32,FALSE)</f>
        <v>#N/A</v>
      </c>
      <c r="G111" s="31">
        <f>'01_1_General Data'!G227</f>
        <v>0</v>
      </c>
    </row>
    <row r="112" spans="2:7">
      <c r="B112" s="31">
        <f t="shared" si="0"/>
        <v>101</v>
      </c>
      <c r="C112">
        <f>'01_1_General Data'!B228</f>
        <v>0</v>
      </c>
      <c r="D112" s="31">
        <f>'01_1_General Data'!E228</f>
        <v>0</v>
      </c>
      <c r="E112" s="141">
        <f>'01_1_General Data'!F228</f>
        <v>0</v>
      </c>
      <c r="F112" s="31" t="e">
        <f>VLOOKUP(D112,'00_4_Reference Tables'!$C$7:$AH$45,32,FALSE)</f>
        <v>#N/A</v>
      </c>
      <c r="G112" s="31">
        <f>'01_1_General Data'!G228</f>
        <v>0</v>
      </c>
    </row>
    <row r="113" spans="2:7">
      <c r="B113" s="31">
        <f t="shared" si="0"/>
        <v>101</v>
      </c>
      <c r="C113">
        <f>'01_1_General Data'!B229</f>
        <v>0</v>
      </c>
      <c r="D113" s="31">
        <f>'01_1_General Data'!E229</f>
        <v>0</v>
      </c>
      <c r="E113" s="141">
        <f>'01_1_General Data'!F229</f>
        <v>0</v>
      </c>
      <c r="F113" s="31" t="e">
        <f>VLOOKUP(D113,'00_4_Reference Tables'!$C$7:$AH$45,32,FALSE)</f>
        <v>#N/A</v>
      </c>
      <c r="G113" s="31">
        <f>'01_1_General Data'!G229</f>
        <v>0</v>
      </c>
    </row>
    <row r="114" spans="2:7">
      <c r="B114" s="31">
        <f t="shared" si="0"/>
        <v>101</v>
      </c>
      <c r="C114">
        <f>'01_1_General Data'!B230</f>
        <v>0</v>
      </c>
      <c r="D114" s="31">
        <f>'01_1_General Data'!E230</f>
        <v>0</v>
      </c>
      <c r="E114" s="141">
        <f>'01_1_General Data'!F230</f>
        <v>0</v>
      </c>
      <c r="F114" s="31" t="e">
        <f>VLOOKUP(D114,'00_4_Reference Tables'!$C$7:$AH$45,32,FALSE)</f>
        <v>#N/A</v>
      </c>
      <c r="G114" s="31">
        <f>'01_1_General Data'!G230</f>
        <v>0</v>
      </c>
    </row>
    <row r="115" spans="2:7">
      <c r="B115" s="31">
        <f t="shared" si="0"/>
        <v>101</v>
      </c>
      <c r="C115">
        <f>'01_1_General Data'!B231</f>
        <v>0</v>
      </c>
      <c r="D115" s="31">
        <f>'01_1_General Data'!E231</f>
        <v>0</v>
      </c>
      <c r="E115" s="141">
        <f>'01_1_General Data'!F231</f>
        <v>0</v>
      </c>
      <c r="F115" s="31" t="e">
        <f>VLOOKUP(D115,'00_4_Reference Tables'!$C$7:$AH$45,32,FALSE)</f>
        <v>#N/A</v>
      </c>
      <c r="G115" s="31">
        <f>'01_1_General Data'!G231</f>
        <v>0</v>
      </c>
    </row>
    <row r="116" spans="2:7">
      <c r="B116" s="31">
        <f t="shared" si="0"/>
        <v>101</v>
      </c>
      <c r="C116">
        <f>'01_1_General Data'!B232</f>
        <v>0</v>
      </c>
      <c r="D116" s="31">
        <f>'01_1_General Data'!E232</f>
        <v>0</v>
      </c>
      <c r="E116" s="141">
        <f>'01_1_General Data'!F232</f>
        <v>0</v>
      </c>
      <c r="F116" s="31" t="e">
        <f>VLOOKUP(D116,'00_4_Reference Tables'!$C$7:$AH$45,32,FALSE)</f>
        <v>#N/A</v>
      </c>
      <c r="G116" s="31">
        <f>'01_1_General Data'!G232</f>
        <v>0</v>
      </c>
    </row>
    <row r="117" spans="2:7">
      <c r="B117" s="31">
        <f t="shared" si="0"/>
        <v>101</v>
      </c>
      <c r="C117">
        <f>'01_1_General Data'!B233</f>
        <v>0</v>
      </c>
      <c r="D117" s="31">
        <f>'01_1_General Data'!E233</f>
        <v>0</v>
      </c>
      <c r="E117" s="141">
        <f>'01_1_General Data'!F233</f>
        <v>0</v>
      </c>
      <c r="F117" s="31" t="e">
        <f>VLOOKUP(D117,'00_4_Reference Tables'!$C$7:$AH$45,32,FALSE)</f>
        <v>#N/A</v>
      </c>
      <c r="G117" s="31">
        <f>'01_1_General Data'!G233</f>
        <v>0</v>
      </c>
    </row>
    <row r="118" spans="2:7">
      <c r="B118" s="31">
        <f t="shared" si="0"/>
        <v>101</v>
      </c>
      <c r="C118">
        <f>'01_1_General Data'!B234</f>
        <v>0</v>
      </c>
      <c r="D118" s="31">
        <f>'01_1_General Data'!E234</f>
        <v>0</v>
      </c>
      <c r="E118" s="141">
        <f>'01_1_General Data'!F234</f>
        <v>0</v>
      </c>
      <c r="F118" s="31" t="e">
        <f>VLOOKUP(D118,'00_4_Reference Tables'!$C$7:$AH$45,32,FALSE)</f>
        <v>#N/A</v>
      </c>
      <c r="G118" s="31">
        <f>'01_1_General Data'!G234</f>
        <v>0</v>
      </c>
    </row>
    <row r="119" spans="2:7">
      <c r="B119" s="31">
        <f t="shared" si="0"/>
        <v>101</v>
      </c>
      <c r="C119">
        <f>'01_1_General Data'!B235</f>
        <v>0</v>
      </c>
      <c r="D119" s="31">
        <f>'01_1_General Data'!E235</f>
        <v>0</v>
      </c>
      <c r="E119" s="141">
        <f>'01_1_General Data'!F235</f>
        <v>0</v>
      </c>
      <c r="F119" s="31" t="e">
        <f>VLOOKUP(D119,'00_4_Reference Tables'!$C$7:$AH$45,32,FALSE)</f>
        <v>#N/A</v>
      </c>
      <c r="G119" s="31">
        <f>'01_1_General Data'!G235</f>
        <v>0</v>
      </c>
    </row>
    <row r="120" spans="2:7">
      <c r="B120" s="31">
        <f t="shared" si="0"/>
        <v>101</v>
      </c>
      <c r="C120">
        <f>'01_1_General Data'!B236</f>
        <v>0</v>
      </c>
      <c r="D120" s="31">
        <f>'01_1_General Data'!E236</f>
        <v>0</v>
      </c>
      <c r="E120" s="141">
        <f>'01_1_General Data'!F236</f>
        <v>0</v>
      </c>
      <c r="F120" s="31" t="e">
        <f>VLOOKUP(D120,'00_4_Reference Tables'!$C$7:$AH$45,32,FALSE)</f>
        <v>#N/A</v>
      </c>
      <c r="G120" s="31">
        <f>'01_1_General Data'!G236</f>
        <v>0</v>
      </c>
    </row>
    <row r="121" spans="2:7">
      <c r="B121" s="31">
        <f t="shared" si="0"/>
        <v>101</v>
      </c>
      <c r="C121">
        <f>'01_1_General Data'!B237</f>
        <v>0</v>
      </c>
      <c r="D121" s="31">
        <f>'01_1_General Data'!E237</f>
        <v>0</v>
      </c>
      <c r="E121" s="141">
        <f>'01_1_General Data'!F237</f>
        <v>0</v>
      </c>
      <c r="F121" s="31" t="e">
        <f>VLOOKUP(D121,'00_4_Reference Tables'!$C$7:$AH$45,32,FALSE)</f>
        <v>#N/A</v>
      </c>
      <c r="G121" s="31">
        <f>'01_1_General Data'!G237</f>
        <v>0</v>
      </c>
    </row>
    <row r="122" spans="2:7">
      <c r="B122" s="31">
        <f t="shared" si="0"/>
        <v>101</v>
      </c>
      <c r="C122">
        <f>'01_1_General Data'!B238</f>
        <v>0</v>
      </c>
      <c r="D122" s="31">
        <f>'01_1_General Data'!E238</f>
        <v>0</v>
      </c>
      <c r="E122" s="141">
        <f>'01_1_General Data'!F238</f>
        <v>0</v>
      </c>
      <c r="F122" s="31" t="e">
        <f>VLOOKUP(D122,'00_4_Reference Tables'!$C$7:$AH$45,32,FALSE)</f>
        <v>#N/A</v>
      </c>
      <c r="G122" s="31">
        <f>'01_1_General Data'!G238</f>
        <v>0</v>
      </c>
    </row>
    <row r="123" spans="2:7">
      <c r="B123" s="31">
        <f t="shared" si="0"/>
        <v>101</v>
      </c>
      <c r="C123">
        <f>'01_1_General Data'!B239</f>
        <v>0</v>
      </c>
      <c r="D123" s="31">
        <f>'01_1_General Data'!E239</f>
        <v>0</v>
      </c>
      <c r="E123" s="141">
        <f>'01_1_General Data'!F239</f>
        <v>0</v>
      </c>
      <c r="F123" s="31" t="e">
        <f>VLOOKUP(D123,'00_4_Reference Tables'!$C$7:$AH$45,32,FALSE)</f>
        <v>#N/A</v>
      </c>
      <c r="G123" s="31">
        <f>'01_1_General Data'!G239</f>
        <v>0</v>
      </c>
    </row>
    <row r="124" spans="2:7">
      <c r="B124" s="31">
        <f t="shared" si="0"/>
        <v>101</v>
      </c>
      <c r="C124">
        <f>'01_1_General Data'!B240</f>
        <v>0</v>
      </c>
      <c r="D124" s="31">
        <f>'01_1_General Data'!E240</f>
        <v>0</v>
      </c>
      <c r="E124" s="141">
        <f>'01_1_General Data'!F240</f>
        <v>0</v>
      </c>
      <c r="F124" s="31" t="e">
        <f>VLOOKUP(D124,'00_4_Reference Tables'!$C$7:$AH$45,32,FALSE)</f>
        <v>#N/A</v>
      </c>
      <c r="G124" s="31">
        <f>'01_1_General Data'!G240</f>
        <v>0</v>
      </c>
    </row>
    <row r="125" spans="2:7">
      <c r="B125" s="31">
        <f t="shared" si="0"/>
        <v>101</v>
      </c>
      <c r="C125">
        <f>'01_1_General Data'!B241</f>
        <v>0</v>
      </c>
      <c r="D125" s="31">
        <f>'01_1_General Data'!E241</f>
        <v>0</v>
      </c>
      <c r="E125" s="141">
        <f>'01_1_General Data'!F241</f>
        <v>0</v>
      </c>
      <c r="F125" s="31" t="e">
        <f>VLOOKUP(D125,'00_4_Reference Tables'!$C$7:$AH$45,32,FALSE)</f>
        <v>#N/A</v>
      </c>
      <c r="G125" s="31">
        <f>'01_1_General Data'!G241</f>
        <v>0</v>
      </c>
    </row>
    <row r="126" spans="2:7">
      <c r="B126" s="31">
        <f t="shared" si="0"/>
        <v>101</v>
      </c>
      <c r="C126">
        <f>'01_1_General Data'!B242</f>
        <v>0</v>
      </c>
      <c r="D126" s="31">
        <f>'01_1_General Data'!E242</f>
        <v>0</v>
      </c>
      <c r="E126" s="141">
        <f>'01_1_General Data'!F242</f>
        <v>0</v>
      </c>
      <c r="F126" s="31" t="e">
        <f>VLOOKUP(D126,'00_4_Reference Tables'!$C$7:$AH$45,32,FALSE)</f>
        <v>#N/A</v>
      </c>
      <c r="G126" s="31">
        <f>'01_1_General Data'!G242</f>
        <v>0</v>
      </c>
    </row>
    <row r="127" spans="2:7">
      <c r="B127" s="31">
        <f t="shared" si="0"/>
        <v>101</v>
      </c>
      <c r="C127">
        <f>'01_1_General Data'!B243</f>
        <v>0</v>
      </c>
      <c r="D127" s="31">
        <f>'01_1_General Data'!E243</f>
        <v>0</v>
      </c>
      <c r="E127" s="141">
        <f>'01_1_General Data'!F243</f>
        <v>0</v>
      </c>
      <c r="F127" s="31" t="e">
        <f>VLOOKUP(D127,'00_4_Reference Tables'!$C$7:$AH$45,32,FALSE)</f>
        <v>#N/A</v>
      </c>
      <c r="G127" s="31">
        <f>'01_1_General Data'!G243</f>
        <v>0</v>
      </c>
    </row>
    <row r="128" spans="2:7">
      <c r="B128" s="31">
        <f t="shared" si="0"/>
        <v>101</v>
      </c>
      <c r="C128">
        <f>'01_1_General Data'!B244</f>
        <v>0</v>
      </c>
      <c r="D128" s="31">
        <f>'01_1_General Data'!E244</f>
        <v>0</v>
      </c>
      <c r="E128" s="141">
        <f>'01_1_General Data'!F244</f>
        <v>0</v>
      </c>
      <c r="F128" s="31" t="e">
        <f>VLOOKUP(D128,'00_4_Reference Tables'!$C$7:$AH$45,32,FALSE)</f>
        <v>#N/A</v>
      </c>
      <c r="G128" s="31">
        <f>'01_1_General Data'!G244</f>
        <v>0</v>
      </c>
    </row>
    <row r="129" spans="2:7">
      <c r="B129" s="31">
        <f t="shared" si="0"/>
        <v>101</v>
      </c>
      <c r="C129">
        <f>'01_1_General Data'!B245</f>
        <v>0</v>
      </c>
      <c r="D129" s="31">
        <f>'01_1_General Data'!E245</f>
        <v>0</v>
      </c>
      <c r="E129" s="141">
        <f>'01_1_General Data'!F245</f>
        <v>0</v>
      </c>
      <c r="F129" s="31" t="e">
        <f>VLOOKUP(D129,'00_4_Reference Tables'!$C$7:$AH$45,32,FALSE)</f>
        <v>#N/A</v>
      </c>
      <c r="G129" s="31">
        <f>'01_1_General Data'!G245</f>
        <v>0</v>
      </c>
    </row>
    <row r="130" spans="2:7">
      <c r="B130" s="31">
        <f t="shared" si="0"/>
        <v>101</v>
      </c>
      <c r="C130">
        <f>'01_1_General Data'!B246</f>
        <v>0</v>
      </c>
      <c r="D130" s="31">
        <f>'01_1_General Data'!E246</f>
        <v>0</v>
      </c>
      <c r="E130" s="141">
        <f>'01_1_General Data'!F246</f>
        <v>0</v>
      </c>
      <c r="F130" s="31" t="e">
        <f>VLOOKUP(D130,'00_4_Reference Tables'!$C$7:$AH$45,32,FALSE)</f>
        <v>#N/A</v>
      </c>
      <c r="G130" s="31">
        <f>'01_1_General Data'!G246</f>
        <v>0</v>
      </c>
    </row>
    <row r="131" spans="2:7">
      <c r="B131" s="31">
        <f t="shared" si="0"/>
        <v>101</v>
      </c>
      <c r="C131">
        <f>'01_1_General Data'!B247</f>
        <v>0</v>
      </c>
      <c r="D131" s="31">
        <f>'01_1_General Data'!E247</f>
        <v>0</v>
      </c>
      <c r="E131" s="141">
        <f>'01_1_General Data'!F247</f>
        <v>0</v>
      </c>
      <c r="F131" s="31" t="e">
        <f>VLOOKUP(D131,'00_4_Reference Tables'!$C$7:$AH$45,32,FALSE)</f>
        <v>#N/A</v>
      </c>
      <c r="G131" s="31">
        <f>'01_1_General Data'!G247</f>
        <v>0</v>
      </c>
    </row>
    <row r="132" spans="2:7">
      <c r="B132" s="31">
        <f t="shared" si="0"/>
        <v>101</v>
      </c>
      <c r="C132">
        <f>'01_1_General Data'!B248</f>
        <v>0</v>
      </c>
      <c r="D132" s="31">
        <f>'01_1_General Data'!E248</f>
        <v>0</v>
      </c>
      <c r="E132" s="141">
        <f>'01_1_General Data'!F248</f>
        <v>0</v>
      </c>
      <c r="F132" s="31" t="e">
        <f>VLOOKUP(D132,'00_4_Reference Tables'!$C$7:$AH$45,32,FALSE)</f>
        <v>#N/A</v>
      </c>
      <c r="G132" s="31">
        <f>'01_1_General Data'!G248</f>
        <v>0</v>
      </c>
    </row>
    <row r="133" spans="2:7">
      <c r="B133" s="31">
        <f t="shared" si="0"/>
        <v>101</v>
      </c>
      <c r="C133">
        <f>'01_1_General Data'!B249</f>
        <v>0</v>
      </c>
      <c r="D133" s="31">
        <f>'01_1_General Data'!E249</f>
        <v>0</v>
      </c>
      <c r="E133" s="141">
        <f>'01_1_General Data'!F249</f>
        <v>0</v>
      </c>
      <c r="F133" s="31" t="e">
        <f>VLOOKUP(D133,'00_4_Reference Tables'!$C$7:$AH$45,32,FALSE)</f>
        <v>#N/A</v>
      </c>
      <c r="G133" s="31">
        <f>'01_1_General Data'!G249</f>
        <v>0</v>
      </c>
    </row>
    <row r="134" spans="2:7">
      <c r="B134" s="31">
        <f t="shared" si="0"/>
        <v>101</v>
      </c>
      <c r="C134">
        <f>'01_1_General Data'!B250</f>
        <v>0</v>
      </c>
      <c r="D134" s="31">
        <f>'01_1_General Data'!E250</f>
        <v>0</v>
      </c>
      <c r="E134" s="141">
        <f>'01_1_General Data'!F250</f>
        <v>0</v>
      </c>
      <c r="F134" s="31" t="e">
        <f>VLOOKUP(D134,'00_4_Reference Tables'!$C$7:$AH$45,32,FALSE)</f>
        <v>#N/A</v>
      </c>
      <c r="G134" s="31">
        <f>'01_1_General Data'!G250</f>
        <v>0</v>
      </c>
    </row>
    <row r="135" spans="2:7">
      <c r="B135" s="31">
        <f t="shared" si="0"/>
        <v>101</v>
      </c>
      <c r="C135">
        <f>'01_1_General Data'!B251</f>
        <v>0</v>
      </c>
      <c r="D135" s="31">
        <f>'01_1_General Data'!E251</f>
        <v>0</v>
      </c>
      <c r="E135" s="141">
        <f>'01_1_General Data'!F251</f>
        <v>0</v>
      </c>
      <c r="F135" s="31" t="e">
        <f>VLOOKUP(D135,'00_4_Reference Tables'!$C$7:$AH$45,32,FALSE)</f>
        <v>#N/A</v>
      </c>
      <c r="G135" s="31">
        <f>'01_1_General Data'!G251</f>
        <v>0</v>
      </c>
    </row>
    <row r="136" spans="2:7">
      <c r="B136" s="31">
        <f t="shared" si="0"/>
        <v>101</v>
      </c>
      <c r="C136">
        <f>'01_1_General Data'!B252</f>
        <v>0</v>
      </c>
      <c r="D136" s="31">
        <f>'01_1_General Data'!E252</f>
        <v>0</v>
      </c>
      <c r="E136" s="141">
        <f>'01_1_General Data'!F252</f>
        <v>0</v>
      </c>
      <c r="F136" s="31" t="e">
        <f>VLOOKUP(D136,'00_4_Reference Tables'!$C$7:$AH$45,32,FALSE)</f>
        <v>#N/A</v>
      </c>
      <c r="G136" s="31">
        <f>'01_1_General Data'!G252</f>
        <v>0</v>
      </c>
    </row>
    <row r="137" spans="2:7">
      <c r="B137" s="31">
        <f t="shared" si="0"/>
        <v>101</v>
      </c>
      <c r="C137">
        <f>'01_1_General Data'!B253</f>
        <v>0</v>
      </c>
      <c r="D137" s="31">
        <f>'01_1_General Data'!E253</f>
        <v>0</v>
      </c>
      <c r="E137" s="141">
        <f>'01_1_General Data'!F253</f>
        <v>0</v>
      </c>
      <c r="F137" s="31" t="e">
        <f>VLOOKUP(D137,'00_4_Reference Tables'!$C$7:$AH$45,32,FALSE)</f>
        <v>#N/A</v>
      </c>
      <c r="G137" s="31">
        <f>'01_1_General Data'!G253</f>
        <v>0</v>
      </c>
    </row>
    <row r="138" spans="2:7">
      <c r="B138" s="31">
        <f t="shared" si="0"/>
        <v>101</v>
      </c>
      <c r="C138">
        <f>'01_1_General Data'!B254</f>
        <v>0</v>
      </c>
      <c r="D138" s="31">
        <f>'01_1_General Data'!E254</f>
        <v>0</v>
      </c>
      <c r="E138" s="141">
        <f>'01_1_General Data'!F254</f>
        <v>0</v>
      </c>
      <c r="F138" s="31" t="e">
        <f>VLOOKUP(D138,'00_4_Reference Tables'!$C$7:$AH$45,32,FALSE)</f>
        <v>#N/A</v>
      </c>
      <c r="G138" s="31">
        <f>'01_1_General Data'!G254</f>
        <v>0</v>
      </c>
    </row>
    <row r="139" spans="2:7">
      <c r="B139" s="31">
        <f t="shared" si="0"/>
        <v>101</v>
      </c>
      <c r="C139">
        <f>'01_1_General Data'!B255</f>
        <v>0</v>
      </c>
      <c r="D139" s="31">
        <f>'01_1_General Data'!E255</f>
        <v>0</v>
      </c>
      <c r="E139" s="141">
        <f>'01_1_General Data'!F255</f>
        <v>0</v>
      </c>
      <c r="F139" s="31" t="e">
        <f>VLOOKUP(D139,'00_4_Reference Tables'!$C$7:$AH$45,32,FALSE)</f>
        <v>#N/A</v>
      </c>
      <c r="G139" s="31">
        <f>'01_1_General Data'!G255</f>
        <v>0</v>
      </c>
    </row>
    <row r="140" spans="2:7">
      <c r="B140" s="31">
        <f t="shared" ref="B140:B171" si="1">$D$11</f>
        <v>101</v>
      </c>
      <c r="C140">
        <f>'01_1_General Data'!B256</f>
        <v>0</v>
      </c>
      <c r="D140" s="31">
        <f>'01_1_General Data'!E256</f>
        <v>0</v>
      </c>
      <c r="E140" s="141">
        <f>'01_1_General Data'!F256</f>
        <v>0</v>
      </c>
      <c r="F140" s="31" t="e">
        <f>VLOOKUP(D140,'00_4_Reference Tables'!$C$7:$AH$45,32,FALSE)</f>
        <v>#N/A</v>
      </c>
      <c r="G140" s="31">
        <f>'01_1_General Data'!G256</f>
        <v>0</v>
      </c>
    </row>
    <row r="141" spans="2:7">
      <c r="B141" s="31">
        <f t="shared" si="1"/>
        <v>101</v>
      </c>
      <c r="C141">
        <f>'01_1_General Data'!B257</f>
        <v>0</v>
      </c>
      <c r="D141" s="31">
        <f>'01_1_General Data'!E257</f>
        <v>0</v>
      </c>
      <c r="E141" s="141">
        <f>'01_1_General Data'!F257</f>
        <v>0</v>
      </c>
      <c r="F141" s="31" t="e">
        <f>VLOOKUP(D141,'00_4_Reference Tables'!$C$7:$AH$45,32,FALSE)</f>
        <v>#N/A</v>
      </c>
      <c r="G141" s="31">
        <f>'01_1_General Data'!G257</f>
        <v>0</v>
      </c>
    </row>
    <row r="142" spans="2:7">
      <c r="B142" s="31">
        <f t="shared" si="1"/>
        <v>101</v>
      </c>
      <c r="C142">
        <f>'01_1_General Data'!B258</f>
        <v>0</v>
      </c>
      <c r="D142" s="31">
        <f>'01_1_General Data'!E258</f>
        <v>0</v>
      </c>
      <c r="E142" s="141">
        <f>'01_1_General Data'!F258</f>
        <v>0</v>
      </c>
      <c r="F142" s="31" t="e">
        <f>VLOOKUP(D142,'00_4_Reference Tables'!$C$7:$AH$45,32,FALSE)</f>
        <v>#N/A</v>
      </c>
      <c r="G142" s="31">
        <f>'01_1_General Data'!G258</f>
        <v>0</v>
      </c>
    </row>
    <row r="143" spans="2:7">
      <c r="B143" s="31">
        <f t="shared" si="1"/>
        <v>101</v>
      </c>
      <c r="C143">
        <f>'01_1_General Data'!B259</f>
        <v>0</v>
      </c>
      <c r="D143" s="31">
        <f>'01_1_General Data'!E259</f>
        <v>0</v>
      </c>
      <c r="E143" s="141">
        <f>'01_1_General Data'!F259</f>
        <v>0</v>
      </c>
      <c r="F143" s="31" t="e">
        <f>VLOOKUP(D143,'00_4_Reference Tables'!$C$7:$AH$45,32,FALSE)</f>
        <v>#N/A</v>
      </c>
      <c r="G143" s="31">
        <f>'01_1_General Data'!G259</f>
        <v>0</v>
      </c>
    </row>
    <row r="144" spans="2:7">
      <c r="B144" s="31">
        <f t="shared" si="1"/>
        <v>101</v>
      </c>
      <c r="C144">
        <f>'01_1_General Data'!B260</f>
        <v>0</v>
      </c>
      <c r="D144" s="31">
        <f>'01_1_General Data'!E260</f>
        <v>0</v>
      </c>
      <c r="E144" s="141">
        <f>'01_1_General Data'!F260</f>
        <v>0</v>
      </c>
      <c r="F144" s="31" t="e">
        <f>VLOOKUP(D144,'00_4_Reference Tables'!$C$7:$AH$45,32,FALSE)</f>
        <v>#N/A</v>
      </c>
      <c r="G144" s="31">
        <f>'01_1_General Data'!G260</f>
        <v>0</v>
      </c>
    </row>
    <row r="145" spans="2:7">
      <c r="B145" s="31">
        <f t="shared" si="1"/>
        <v>101</v>
      </c>
      <c r="C145">
        <f>'01_1_General Data'!B261</f>
        <v>0</v>
      </c>
      <c r="D145" s="31">
        <f>'01_1_General Data'!E261</f>
        <v>0</v>
      </c>
      <c r="E145" s="141">
        <f>'01_1_General Data'!F261</f>
        <v>0</v>
      </c>
      <c r="F145" s="31" t="e">
        <f>VLOOKUP(D145,'00_4_Reference Tables'!$C$7:$AH$45,32,FALSE)</f>
        <v>#N/A</v>
      </c>
      <c r="G145" s="31">
        <f>'01_1_General Data'!G261</f>
        <v>0</v>
      </c>
    </row>
    <row r="146" spans="2:7">
      <c r="B146" s="31">
        <f t="shared" si="1"/>
        <v>101</v>
      </c>
      <c r="C146">
        <f>'01_1_General Data'!B262</f>
        <v>0</v>
      </c>
      <c r="D146" s="31">
        <f>'01_1_General Data'!E262</f>
        <v>0</v>
      </c>
      <c r="E146" s="141">
        <f>'01_1_General Data'!F262</f>
        <v>0</v>
      </c>
      <c r="F146" s="31" t="e">
        <f>VLOOKUP(D146,'00_4_Reference Tables'!$C$7:$AH$45,32,FALSE)</f>
        <v>#N/A</v>
      </c>
      <c r="G146" s="31">
        <f>'01_1_General Data'!G262</f>
        <v>0</v>
      </c>
    </row>
    <row r="147" spans="2:7">
      <c r="B147" s="31">
        <f t="shared" si="1"/>
        <v>101</v>
      </c>
      <c r="C147">
        <f>'01_1_General Data'!B263</f>
        <v>0</v>
      </c>
      <c r="D147" s="31">
        <f>'01_1_General Data'!E263</f>
        <v>0</v>
      </c>
      <c r="E147" s="141">
        <f>'01_1_General Data'!F263</f>
        <v>0</v>
      </c>
      <c r="F147" s="31" t="e">
        <f>VLOOKUP(D147,'00_4_Reference Tables'!$C$7:$AH$45,32,FALSE)</f>
        <v>#N/A</v>
      </c>
      <c r="G147" s="31">
        <f>'01_1_General Data'!G263</f>
        <v>0</v>
      </c>
    </row>
    <row r="148" spans="2:7">
      <c r="B148" s="31">
        <f t="shared" si="1"/>
        <v>101</v>
      </c>
      <c r="C148">
        <f>'01_1_General Data'!B264</f>
        <v>0</v>
      </c>
      <c r="D148" s="31">
        <f>'01_1_General Data'!E264</f>
        <v>0</v>
      </c>
      <c r="E148" s="141">
        <f>'01_1_General Data'!F264</f>
        <v>0</v>
      </c>
      <c r="F148" s="31" t="e">
        <f>VLOOKUP(D148,'00_4_Reference Tables'!$C$7:$AH$45,32,FALSE)</f>
        <v>#N/A</v>
      </c>
      <c r="G148" s="31">
        <f>'01_1_General Data'!G264</f>
        <v>0</v>
      </c>
    </row>
    <row r="149" spans="2:7">
      <c r="B149" s="31">
        <f t="shared" si="1"/>
        <v>101</v>
      </c>
      <c r="C149">
        <f>'01_1_General Data'!B265</f>
        <v>0</v>
      </c>
      <c r="D149" s="31">
        <f>'01_1_General Data'!E265</f>
        <v>0</v>
      </c>
      <c r="E149" s="141">
        <f>'01_1_General Data'!F265</f>
        <v>0</v>
      </c>
      <c r="F149" s="31" t="e">
        <f>VLOOKUP(D149,'00_4_Reference Tables'!$C$7:$AH$45,32,FALSE)</f>
        <v>#N/A</v>
      </c>
      <c r="G149" s="31">
        <f>'01_1_General Data'!G265</f>
        <v>0</v>
      </c>
    </row>
    <row r="150" spans="2:7">
      <c r="B150" s="31">
        <f t="shared" si="1"/>
        <v>101</v>
      </c>
      <c r="C150">
        <f>'01_1_General Data'!B266</f>
        <v>0</v>
      </c>
      <c r="D150" s="31">
        <f>'01_1_General Data'!E266</f>
        <v>0</v>
      </c>
      <c r="E150" s="141">
        <f>'01_1_General Data'!F266</f>
        <v>0</v>
      </c>
      <c r="F150" s="31" t="e">
        <f>VLOOKUP(D150,'00_4_Reference Tables'!$C$7:$AH$45,32,FALSE)</f>
        <v>#N/A</v>
      </c>
      <c r="G150" s="31">
        <f>'01_1_General Data'!G266</f>
        <v>0</v>
      </c>
    </row>
    <row r="151" spans="2:7">
      <c r="B151" s="31">
        <f t="shared" si="1"/>
        <v>101</v>
      </c>
      <c r="C151">
        <f>'01_1_General Data'!B267</f>
        <v>0</v>
      </c>
      <c r="D151" s="31">
        <f>'01_1_General Data'!E267</f>
        <v>0</v>
      </c>
      <c r="E151" s="141">
        <f>'01_1_General Data'!F267</f>
        <v>0</v>
      </c>
      <c r="F151" s="31" t="e">
        <f>VLOOKUP(D151,'00_4_Reference Tables'!$C$7:$AH$45,32,FALSE)</f>
        <v>#N/A</v>
      </c>
      <c r="G151" s="31">
        <f>'01_1_General Data'!G267</f>
        <v>0</v>
      </c>
    </row>
    <row r="152" spans="2:7">
      <c r="B152" s="31">
        <f t="shared" si="1"/>
        <v>101</v>
      </c>
      <c r="C152">
        <f>'01_1_General Data'!B268</f>
        <v>0</v>
      </c>
      <c r="D152" s="31">
        <f>'01_1_General Data'!E268</f>
        <v>0</v>
      </c>
      <c r="E152" s="141">
        <f>'01_1_General Data'!F268</f>
        <v>0</v>
      </c>
      <c r="F152" s="31" t="e">
        <f>VLOOKUP(D152,'00_4_Reference Tables'!$C$7:$AH$45,32,FALSE)</f>
        <v>#N/A</v>
      </c>
      <c r="G152" s="31">
        <f>'01_1_General Data'!G268</f>
        <v>0</v>
      </c>
    </row>
    <row r="153" spans="2:7">
      <c r="B153" s="31">
        <f t="shared" si="1"/>
        <v>101</v>
      </c>
      <c r="C153">
        <f>'01_1_General Data'!B269</f>
        <v>0</v>
      </c>
      <c r="D153" s="31">
        <f>'01_1_General Data'!E269</f>
        <v>0</v>
      </c>
      <c r="E153" s="141">
        <f>'01_1_General Data'!F269</f>
        <v>0</v>
      </c>
      <c r="F153" s="31" t="e">
        <f>VLOOKUP(D153,'00_4_Reference Tables'!$C$7:$AH$45,32,FALSE)</f>
        <v>#N/A</v>
      </c>
      <c r="G153" s="31">
        <f>'01_1_General Data'!G269</f>
        <v>0</v>
      </c>
    </row>
    <row r="154" spans="2:7">
      <c r="B154" s="31">
        <f t="shared" si="1"/>
        <v>101</v>
      </c>
      <c r="C154">
        <f>'01_1_General Data'!B270</f>
        <v>0</v>
      </c>
      <c r="D154" s="31">
        <f>'01_1_General Data'!E270</f>
        <v>0</v>
      </c>
      <c r="E154" s="141">
        <f>'01_1_General Data'!F270</f>
        <v>0</v>
      </c>
      <c r="F154" s="31" t="e">
        <f>VLOOKUP(D154,'00_4_Reference Tables'!$C$7:$AH$45,32,FALSE)</f>
        <v>#N/A</v>
      </c>
      <c r="G154" s="31">
        <f>'01_1_General Data'!G270</f>
        <v>0</v>
      </c>
    </row>
    <row r="155" spans="2:7">
      <c r="B155" s="31">
        <f t="shared" si="1"/>
        <v>101</v>
      </c>
      <c r="C155">
        <f>'01_1_General Data'!B271</f>
        <v>0</v>
      </c>
      <c r="D155" s="31">
        <f>'01_1_General Data'!E271</f>
        <v>0</v>
      </c>
      <c r="E155" s="141">
        <f>'01_1_General Data'!F271</f>
        <v>0</v>
      </c>
      <c r="F155" s="31" t="e">
        <f>VLOOKUP(D155,'00_4_Reference Tables'!$C$7:$AH$45,32,FALSE)</f>
        <v>#N/A</v>
      </c>
      <c r="G155" s="31">
        <f>'01_1_General Data'!G271</f>
        <v>0</v>
      </c>
    </row>
    <row r="156" spans="2:7">
      <c r="B156" s="31">
        <f t="shared" si="1"/>
        <v>101</v>
      </c>
      <c r="C156">
        <f>'01_1_General Data'!B272</f>
        <v>0</v>
      </c>
      <c r="D156" s="31">
        <f>'01_1_General Data'!E272</f>
        <v>0</v>
      </c>
      <c r="E156" s="141">
        <f>'01_1_General Data'!F272</f>
        <v>0</v>
      </c>
      <c r="F156" s="31" t="e">
        <f>VLOOKUP(D156,'00_4_Reference Tables'!$C$7:$AH$45,32,FALSE)</f>
        <v>#N/A</v>
      </c>
      <c r="G156" s="31">
        <f>'01_1_General Data'!G272</f>
        <v>0</v>
      </c>
    </row>
    <row r="157" spans="2:7">
      <c r="B157" s="31">
        <f t="shared" si="1"/>
        <v>101</v>
      </c>
      <c r="C157">
        <f>'01_1_General Data'!B273</f>
        <v>0</v>
      </c>
      <c r="D157" s="31">
        <f>'01_1_General Data'!E273</f>
        <v>0</v>
      </c>
      <c r="E157" s="141">
        <f>'01_1_General Data'!F273</f>
        <v>0</v>
      </c>
      <c r="F157" s="31" t="e">
        <f>VLOOKUP(D157,'00_4_Reference Tables'!$C$7:$AH$45,32,FALSE)</f>
        <v>#N/A</v>
      </c>
      <c r="G157" s="31">
        <f>'01_1_General Data'!G273</f>
        <v>0</v>
      </c>
    </row>
    <row r="158" spans="2:7">
      <c r="B158" s="31">
        <f t="shared" si="1"/>
        <v>101</v>
      </c>
      <c r="C158">
        <f>'01_1_General Data'!B274</f>
        <v>0</v>
      </c>
      <c r="D158" s="31">
        <f>'01_1_General Data'!E274</f>
        <v>0</v>
      </c>
      <c r="E158" s="141">
        <f>'01_1_General Data'!F274</f>
        <v>0</v>
      </c>
      <c r="F158" s="31" t="e">
        <f>VLOOKUP(D158,'00_4_Reference Tables'!$C$7:$AH$45,32,FALSE)</f>
        <v>#N/A</v>
      </c>
      <c r="G158" s="31">
        <f>'01_1_General Data'!G274</f>
        <v>0</v>
      </c>
    </row>
    <row r="159" spans="2:7">
      <c r="B159" s="31">
        <f t="shared" si="1"/>
        <v>101</v>
      </c>
      <c r="C159">
        <f>'01_1_General Data'!B275</f>
        <v>0</v>
      </c>
      <c r="D159" s="31">
        <f>'01_1_General Data'!E275</f>
        <v>0</v>
      </c>
      <c r="E159" s="141">
        <f>'01_1_General Data'!F275</f>
        <v>0</v>
      </c>
      <c r="F159" s="31" t="e">
        <f>VLOOKUP(D159,'00_4_Reference Tables'!$C$7:$AH$45,32,FALSE)</f>
        <v>#N/A</v>
      </c>
      <c r="G159" s="31">
        <f>'01_1_General Data'!G275</f>
        <v>0</v>
      </c>
    </row>
    <row r="160" spans="2:7">
      <c r="B160" s="31">
        <f t="shared" si="1"/>
        <v>101</v>
      </c>
      <c r="C160">
        <f>'01_1_General Data'!B276</f>
        <v>0</v>
      </c>
      <c r="D160" s="31">
        <f>'01_1_General Data'!E276</f>
        <v>0</v>
      </c>
      <c r="E160" s="141">
        <f>'01_1_General Data'!F276</f>
        <v>0</v>
      </c>
      <c r="F160" s="31" t="e">
        <f>VLOOKUP(D160,'00_4_Reference Tables'!$C$7:$AH$45,32,FALSE)</f>
        <v>#N/A</v>
      </c>
      <c r="G160" s="31">
        <f>'01_1_General Data'!G276</f>
        <v>0</v>
      </c>
    </row>
    <row r="161" spans="2:7">
      <c r="B161" s="31">
        <f t="shared" si="1"/>
        <v>101</v>
      </c>
      <c r="C161">
        <f>'01_1_General Data'!B277</f>
        <v>0</v>
      </c>
      <c r="D161" s="31">
        <f>'01_1_General Data'!E277</f>
        <v>0</v>
      </c>
      <c r="E161" s="141">
        <f>'01_1_General Data'!F277</f>
        <v>0</v>
      </c>
      <c r="F161" s="31" t="e">
        <f>VLOOKUP(D161,'00_4_Reference Tables'!$C$7:$AH$45,32,FALSE)</f>
        <v>#N/A</v>
      </c>
      <c r="G161" s="31">
        <f>'01_1_General Data'!G277</f>
        <v>0</v>
      </c>
    </row>
    <row r="162" spans="2:7">
      <c r="B162" s="31">
        <f t="shared" si="1"/>
        <v>101</v>
      </c>
      <c r="C162">
        <f>'01_1_General Data'!B278</f>
        <v>0</v>
      </c>
      <c r="D162" s="31">
        <f>'01_1_General Data'!E278</f>
        <v>0</v>
      </c>
      <c r="E162" s="141">
        <f>'01_1_General Data'!F278</f>
        <v>0</v>
      </c>
      <c r="F162" s="31" t="e">
        <f>VLOOKUP(D162,'00_4_Reference Tables'!$C$7:$AH$45,32,FALSE)</f>
        <v>#N/A</v>
      </c>
      <c r="G162" s="31">
        <f>'01_1_General Data'!G278</f>
        <v>0</v>
      </c>
    </row>
    <row r="163" spans="2:7">
      <c r="B163" s="31">
        <f t="shared" si="1"/>
        <v>101</v>
      </c>
      <c r="C163">
        <f>'01_1_General Data'!B279</f>
        <v>0</v>
      </c>
      <c r="D163" s="31">
        <f>'01_1_General Data'!E279</f>
        <v>0</v>
      </c>
      <c r="E163" s="141">
        <f>'01_1_General Data'!F279</f>
        <v>0</v>
      </c>
      <c r="F163" s="31" t="e">
        <f>VLOOKUP(D163,'00_4_Reference Tables'!$C$7:$AH$45,32,FALSE)</f>
        <v>#N/A</v>
      </c>
      <c r="G163" s="31">
        <f>'01_1_General Data'!G279</f>
        <v>0</v>
      </c>
    </row>
    <row r="164" spans="2:7">
      <c r="B164" s="31">
        <f t="shared" si="1"/>
        <v>101</v>
      </c>
      <c r="C164">
        <f>'01_1_General Data'!B280</f>
        <v>0</v>
      </c>
      <c r="D164" s="31">
        <f>'01_1_General Data'!E280</f>
        <v>0</v>
      </c>
      <c r="E164" s="141">
        <f>'01_1_General Data'!F280</f>
        <v>0</v>
      </c>
      <c r="F164" s="31" t="e">
        <f>VLOOKUP(D164,'00_4_Reference Tables'!$C$7:$AH$45,32,FALSE)</f>
        <v>#N/A</v>
      </c>
      <c r="G164" s="31">
        <f>'01_1_General Data'!G280</f>
        <v>0</v>
      </c>
    </row>
    <row r="165" spans="2:7">
      <c r="B165" s="31">
        <f t="shared" si="1"/>
        <v>101</v>
      </c>
      <c r="C165">
        <f>'01_1_General Data'!B281</f>
        <v>0</v>
      </c>
      <c r="D165" s="31">
        <f>'01_1_General Data'!E281</f>
        <v>0</v>
      </c>
      <c r="E165" s="141">
        <f>'01_1_General Data'!F281</f>
        <v>0</v>
      </c>
      <c r="F165" s="31" t="e">
        <f>VLOOKUP(D165,'00_4_Reference Tables'!$C$7:$AH$45,32,FALSE)</f>
        <v>#N/A</v>
      </c>
      <c r="G165" s="31">
        <f>'01_1_General Data'!G281</f>
        <v>0</v>
      </c>
    </row>
    <row r="166" spans="2:7">
      <c r="B166" s="31">
        <f t="shared" si="1"/>
        <v>101</v>
      </c>
      <c r="C166">
        <f>'01_1_General Data'!B282</f>
        <v>0</v>
      </c>
      <c r="D166" s="31">
        <f>'01_1_General Data'!E282</f>
        <v>0</v>
      </c>
      <c r="E166" s="141">
        <f>'01_1_General Data'!F282</f>
        <v>0</v>
      </c>
      <c r="F166" s="31" t="e">
        <f>VLOOKUP(D166,'00_4_Reference Tables'!$C$7:$AH$45,32,FALSE)</f>
        <v>#N/A</v>
      </c>
      <c r="G166" s="31">
        <f>'01_1_General Data'!G282</f>
        <v>0</v>
      </c>
    </row>
    <row r="167" spans="2:7">
      <c r="B167" s="31">
        <f t="shared" si="1"/>
        <v>101</v>
      </c>
      <c r="C167">
        <f>'01_1_General Data'!B283</f>
        <v>0</v>
      </c>
      <c r="D167" s="31">
        <f>'01_1_General Data'!E283</f>
        <v>0</v>
      </c>
      <c r="E167" s="141">
        <f>'01_1_General Data'!F283</f>
        <v>0</v>
      </c>
      <c r="F167" s="31" t="e">
        <f>VLOOKUP(D167,'00_4_Reference Tables'!$C$7:$AH$45,32,FALSE)</f>
        <v>#N/A</v>
      </c>
      <c r="G167" s="31">
        <f>'01_1_General Data'!G283</f>
        <v>0</v>
      </c>
    </row>
    <row r="168" spans="2:7">
      <c r="B168" s="31">
        <f t="shared" si="1"/>
        <v>101</v>
      </c>
      <c r="C168">
        <f>'01_1_General Data'!B284</f>
        <v>0</v>
      </c>
      <c r="D168" s="31">
        <f>'01_1_General Data'!E284</f>
        <v>0</v>
      </c>
      <c r="E168" s="141">
        <f>'01_1_General Data'!F284</f>
        <v>0</v>
      </c>
      <c r="F168" s="31" t="e">
        <f>VLOOKUP(D168,'00_4_Reference Tables'!$C$7:$AH$45,32,FALSE)</f>
        <v>#N/A</v>
      </c>
      <c r="G168" s="31">
        <f>'01_1_General Data'!G284</f>
        <v>0</v>
      </c>
    </row>
    <row r="169" spans="2:7">
      <c r="B169" s="31">
        <f t="shared" si="1"/>
        <v>101</v>
      </c>
      <c r="C169">
        <f>'01_1_General Data'!B285</f>
        <v>0</v>
      </c>
      <c r="D169" s="31">
        <f>'01_1_General Data'!E285</f>
        <v>0</v>
      </c>
      <c r="E169" s="141">
        <f>'01_1_General Data'!F285</f>
        <v>0</v>
      </c>
      <c r="F169" s="31" t="e">
        <f>VLOOKUP(D169,'00_4_Reference Tables'!$C$7:$AH$45,32,FALSE)</f>
        <v>#N/A</v>
      </c>
      <c r="G169" s="31">
        <f>'01_1_General Data'!G285</f>
        <v>0</v>
      </c>
    </row>
    <row r="170" spans="2:7">
      <c r="B170" s="31">
        <f t="shared" si="1"/>
        <v>101</v>
      </c>
      <c r="C170">
        <f>'01_1_General Data'!B286</f>
        <v>0</v>
      </c>
      <c r="D170" s="31">
        <f>'01_1_General Data'!E286</f>
        <v>0</v>
      </c>
      <c r="E170" s="141">
        <f>'01_1_General Data'!F286</f>
        <v>0</v>
      </c>
      <c r="F170" s="31" t="e">
        <f>VLOOKUP(D170,'00_4_Reference Tables'!$C$7:$AH$45,32,FALSE)</f>
        <v>#N/A</v>
      </c>
      <c r="G170" s="31">
        <f>'01_1_General Data'!G286</f>
        <v>0</v>
      </c>
    </row>
    <row r="171" spans="2:7">
      <c r="B171" s="31">
        <f t="shared" si="1"/>
        <v>101</v>
      </c>
      <c r="C171">
        <f>'01_1_General Data'!B287</f>
        <v>0</v>
      </c>
      <c r="D171" s="31">
        <f>'01_1_General Data'!E287</f>
        <v>0</v>
      </c>
      <c r="E171" s="141">
        <f>'01_1_General Data'!F287</f>
        <v>0</v>
      </c>
      <c r="F171" s="31" t="e">
        <f>VLOOKUP(D171,'00_4_Reference Tables'!$C$7:$AH$45,32,FALSE)</f>
        <v>#N/A</v>
      </c>
      <c r="G171" s="31">
        <f>'01_1_General Data'!G287</f>
        <v>0</v>
      </c>
    </row>
    <row r="172" spans="2:7">
      <c r="B172" s="31">
        <f t="shared" ref="B172:B187" si="2">$D$11</f>
        <v>101</v>
      </c>
      <c r="C172">
        <f>'01_1_General Data'!B288</f>
        <v>0</v>
      </c>
      <c r="D172" s="31">
        <f>'01_1_General Data'!E288</f>
        <v>0</v>
      </c>
      <c r="E172" s="141">
        <f>'01_1_General Data'!F288</f>
        <v>0</v>
      </c>
      <c r="F172" s="31" t="e">
        <f>VLOOKUP(D172,'00_4_Reference Tables'!$C$7:$AH$45,32,FALSE)</f>
        <v>#N/A</v>
      </c>
      <c r="G172" s="31">
        <f>'01_1_General Data'!G288</f>
        <v>0</v>
      </c>
    </row>
    <row r="173" spans="2:7">
      <c r="B173" s="31">
        <f t="shared" si="2"/>
        <v>101</v>
      </c>
      <c r="C173">
        <f>'01_1_General Data'!B289</f>
        <v>0</v>
      </c>
      <c r="D173" s="31">
        <f>'01_1_General Data'!E289</f>
        <v>0</v>
      </c>
      <c r="E173" s="141">
        <f>'01_1_General Data'!F289</f>
        <v>0</v>
      </c>
      <c r="F173" s="31" t="e">
        <f>VLOOKUP(D173,'00_4_Reference Tables'!$C$7:$AH$45,32,FALSE)</f>
        <v>#N/A</v>
      </c>
      <c r="G173" s="31">
        <f>'01_1_General Data'!G289</f>
        <v>0</v>
      </c>
    </row>
    <row r="174" spans="2:7">
      <c r="B174" s="31">
        <f t="shared" si="2"/>
        <v>101</v>
      </c>
      <c r="C174">
        <f>'01_1_General Data'!B290</f>
        <v>0</v>
      </c>
      <c r="D174" s="31">
        <f>'01_1_General Data'!E290</f>
        <v>0</v>
      </c>
      <c r="E174" s="141">
        <f>'01_1_General Data'!F290</f>
        <v>0</v>
      </c>
      <c r="F174" s="31" t="e">
        <f>VLOOKUP(D174,'00_4_Reference Tables'!$C$7:$AH$45,32,FALSE)</f>
        <v>#N/A</v>
      </c>
      <c r="G174" s="31">
        <f>'01_1_General Data'!G290</f>
        <v>0</v>
      </c>
    </row>
    <row r="175" spans="2:7">
      <c r="B175" s="31">
        <f t="shared" si="2"/>
        <v>101</v>
      </c>
      <c r="C175">
        <f>'01_1_General Data'!B291</f>
        <v>0</v>
      </c>
      <c r="D175" s="31">
        <f>'01_1_General Data'!E291</f>
        <v>0</v>
      </c>
      <c r="E175" s="141">
        <f>'01_1_General Data'!F291</f>
        <v>0</v>
      </c>
      <c r="F175" s="31" t="e">
        <f>VLOOKUP(D175,'00_4_Reference Tables'!$C$7:$AH$45,32,FALSE)</f>
        <v>#N/A</v>
      </c>
      <c r="G175" s="31">
        <f>'01_1_General Data'!G291</f>
        <v>0</v>
      </c>
    </row>
    <row r="176" spans="2:7">
      <c r="B176" s="31">
        <f t="shared" si="2"/>
        <v>101</v>
      </c>
      <c r="C176">
        <f>'01_1_General Data'!B292</f>
        <v>0</v>
      </c>
      <c r="D176" s="31">
        <f>'01_1_General Data'!E292</f>
        <v>0</v>
      </c>
      <c r="E176" s="141">
        <f>'01_1_General Data'!F292</f>
        <v>0</v>
      </c>
      <c r="F176" s="31" t="e">
        <f>VLOOKUP(D176,'00_4_Reference Tables'!$C$7:$AH$45,32,FALSE)</f>
        <v>#N/A</v>
      </c>
      <c r="G176" s="31">
        <f>'01_1_General Data'!G292</f>
        <v>0</v>
      </c>
    </row>
    <row r="177" spans="2:7">
      <c r="B177" s="31">
        <f t="shared" si="2"/>
        <v>101</v>
      </c>
      <c r="C177">
        <f>'01_1_General Data'!B293</f>
        <v>0</v>
      </c>
      <c r="D177" s="31">
        <f>'01_1_General Data'!E293</f>
        <v>0</v>
      </c>
      <c r="E177" s="141">
        <f>'01_1_General Data'!F293</f>
        <v>0</v>
      </c>
      <c r="F177" s="31" t="e">
        <f>VLOOKUP(D177,'00_4_Reference Tables'!$C$7:$AH$45,32,FALSE)</f>
        <v>#N/A</v>
      </c>
      <c r="G177" s="31">
        <f>'01_1_General Data'!G293</f>
        <v>0</v>
      </c>
    </row>
    <row r="178" spans="2:7">
      <c r="B178" s="31">
        <f t="shared" si="2"/>
        <v>101</v>
      </c>
      <c r="C178">
        <f>'01_1_General Data'!B294</f>
        <v>0</v>
      </c>
      <c r="D178" s="31">
        <f>'01_1_General Data'!E294</f>
        <v>0</v>
      </c>
      <c r="E178" s="141">
        <f>'01_1_General Data'!F294</f>
        <v>0</v>
      </c>
      <c r="F178" s="31" t="e">
        <f>VLOOKUP(D178,'00_4_Reference Tables'!$C$7:$AH$45,32,FALSE)</f>
        <v>#N/A</v>
      </c>
      <c r="G178" s="31">
        <f>'01_1_General Data'!G294</f>
        <v>0</v>
      </c>
    </row>
    <row r="179" spans="2:7">
      <c r="B179" s="31">
        <f t="shared" si="2"/>
        <v>101</v>
      </c>
      <c r="C179">
        <f>'01_1_General Data'!B295</f>
        <v>0</v>
      </c>
      <c r="D179" s="31">
        <f>'01_1_General Data'!E295</f>
        <v>0</v>
      </c>
      <c r="E179" s="141">
        <f>'01_1_General Data'!F295</f>
        <v>0</v>
      </c>
      <c r="F179" s="31" t="e">
        <f>VLOOKUP(D179,'00_4_Reference Tables'!$C$7:$AH$45,32,FALSE)</f>
        <v>#N/A</v>
      </c>
      <c r="G179" s="31">
        <f>'01_1_General Data'!G295</f>
        <v>0</v>
      </c>
    </row>
    <row r="180" spans="2:7">
      <c r="B180" s="31">
        <f t="shared" si="2"/>
        <v>101</v>
      </c>
      <c r="C180">
        <f>'01_1_General Data'!B296</f>
        <v>0</v>
      </c>
      <c r="D180" s="31">
        <f>'01_1_General Data'!E296</f>
        <v>0</v>
      </c>
      <c r="E180" s="141">
        <f>'01_1_General Data'!F296</f>
        <v>0</v>
      </c>
      <c r="F180" s="31" t="e">
        <f>VLOOKUP(D180,'00_4_Reference Tables'!$C$7:$AH$45,32,FALSE)</f>
        <v>#N/A</v>
      </c>
      <c r="G180" s="31">
        <f>'01_1_General Data'!G296</f>
        <v>0</v>
      </c>
    </row>
    <row r="181" spans="2:7">
      <c r="B181" s="31">
        <f t="shared" si="2"/>
        <v>101</v>
      </c>
      <c r="C181">
        <f>'01_1_General Data'!B297</f>
        <v>0</v>
      </c>
      <c r="D181" s="31">
        <f>'01_1_General Data'!E297</f>
        <v>0</v>
      </c>
      <c r="E181" s="141">
        <f>'01_1_General Data'!F297</f>
        <v>0</v>
      </c>
      <c r="F181" s="31" t="e">
        <f>VLOOKUP(D181,'00_4_Reference Tables'!$C$7:$AH$45,32,FALSE)</f>
        <v>#N/A</v>
      </c>
      <c r="G181" s="31">
        <f>'01_1_General Data'!G297</f>
        <v>0</v>
      </c>
    </row>
    <row r="182" spans="2:7">
      <c r="B182" s="31">
        <f t="shared" si="2"/>
        <v>101</v>
      </c>
      <c r="C182">
        <f>'01_1_General Data'!B298</f>
        <v>0</v>
      </c>
      <c r="D182" s="31">
        <f>'01_1_General Data'!E298</f>
        <v>0</v>
      </c>
      <c r="E182" s="141">
        <f>'01_1_General Data'!F298</f>
        <v>0</v>
      </c>
      <c r="F182" s="31" t="e">
        <f>VLOOKUP(D182,'00_4_Reference Tables'!$C$7:$AH$45,32,FALSE)</f>
        <v>#N/A</v>
      </c>
      <c r="G182" s="31">
        <f>'01_1_General Data'!G298</f>
        <v>0</v>
      </c>
    </row>
    <row r="183" spans="2:7">
      <c r="B183" s="31">
        <f t="shared" si="2"/>
        <v>101</v>
      </c>
      <c r="C183">
        <f>'01_1_General Data'!B299</f>
        <v>0</v>
      </c>
      <c r="D183" s="31">
        <f>'01_1_General Data'!E299</f>
        <v>0</v>
      </c>
      <c r="E183" s="141">
        <f>'01_1_General Data'!F299</f>
        <v>0</v>
      </c>
      <c r="F183" s="31" t="e">
        <f>VLOOKUP(D183,'00_4_Reference Tables'!$C$7:$AH$45,32,FALSE)</f>
        <v>#N/A</v>
      </c>
      <c r="G183" s="31">
        <f>'01_1_General Data'!G299</f>
        <v>0</v>
      </c>
    </row>
    <row r="184" spans="2:7">
      <c r="B184" s="31">
        <f t="shared" si="2"/>
        <v>101</v>
      </c>
      <c r="C184">
        <f>'01_1_General Data'!B300</f>
        <v>0</v>
      </c>
      <c r="D184" s="31">
        <f>'01_1_General Data'!E300</f>
        <v>0</v>
      </c>
      <c r="E184" s="141">
        <f>'01_1_General Data'!F300</f>
        <v>0</v>
      </c>
      <c r="F184" s="31" t="e">
        <f>VLOOKUP(D184,'00_4_Reference Tables'!$C$7:$AH$45,32,FALSE)</f>
        <v>#N/A</v>
      </c>
      <c r="G184" s="31">
        <f>'01_1_General Data'!G300</f>
        <v>0</v>
      </c>
    </row>
    <row r="185" spans="2:7">
      <c r="B185" s="31">
        <f t="shared" si="2"/>
        <v>101</v>
      </c>
      <c r="C185">
        <f>'01_1_General Data'!B301</f>
        <v>0</v>
      </c>
      <c r="D185" s="31">
        <f>'01_1_General Data'!E301</f>
        <v>0</v>
      </c>
      <c r="E185" s="141">
        <f>'01_1_General Data'!F301</f>
        <v>0</v>
      </c>
      <c r="F185" s="31" t="e">
        <f>VLOOKUP(D185,'00_4_Reference Tables'!$C$7:$AH$45,32,FALSE)</f>
        <v>#N/A</v>
      </c>
      <c r="G185" s="31">
        <f>'01_1_General Data'!G301</f>
        <v>0</v>
      </c>
    </row>
    <row r="186" spans="2:7">
      <c r="B186" s="31">
        <f t="shared" si="2"/>
        <v>101</v>
      </c>
      <c r="C186">
        <f>'01_1_General Data'!B302</f>
        <v>0</v>
      </c>
      <c r="D186" s="31">
        <f>'01_1_General Data'!E302</f>
        <v>0</v>
      </c>
      <c r="E186" s="141">
        <f>'01_1_General Data'!F302</f>
        <v>0</v>
      </c>
      <c r="F186" s="31" t="e">
        <f>VLOOKUP(D186,'00_4_Reference Tables'!$C$7:$AH$45,32,FALSE)</f>
        <v>#N/A</v>
      </c>
      <c r="G186" s="31">
        <f>'01_1_General Data'!G302</f>
        <v>0</v>
      </c>
    </row>
    <row r="187" spans="2:7">
      <c r="B187" s="31">
        <f t="shared" si="2"/>
        <v>101</v>
      </c>
      <c r="C187">
        <f>'01_1_General Data'!B303</f>
        <v>0</v>
      </c>
      <c r="D187" s="31">
        <f>'01_1_General Data'!E303</f>
        <v>0</v>
      </c>
      <c r="E187" s="141">
        <f>'01_1_General Data'!F303</f>
        <v>0</v>
      </c>
      <c r="F187" s="31" t="e">
        <f>VLOOKUP(D187,'00_4_Reference Tables'!$C$7:$AH$45,32,FALSE)</f>
        <v>#N/A</v>
      </c>
      <c r="G187" s="31">
        <f>'01_1_General Data'!G303</f>
        <v>0</v>
      </c>
    </row>
  </sheetData>
  <sheetProtection formatCells="0" formatColumns="0" formatRows="0"/>
  <mergeCells count="3">
    <mergeCell ref="C4:E4"/>
    <mergeCell ref="C5:E5"/>
    <mergeCell ref="C6:E6"/>
  </mergeCells>
  <pageMargins left="0.25" right="0.25" top="0.75" bottom="0.75" header="0.3" footer="0.3"/>
  <pageSetup paperSize="5" scale="47" fitToHeight="3" orientation="landscape" r:id="rId1"/>
  <ignoredErrors>
    <ignoredError sqref="D12:D14 D15:D17" calculatedColumn="1"/>
  </ignoredErrors>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wst06_7_SLR">
    <tabColor theme="1"/>
  </sheetPr>
  <dimension ref="A1:K52"/>
  <sheetViews>
    <sheetView zoomScale="85" zoomScaleNormal="85" workbookViewId="0"/>
  </sheetViews>
  <sheetFormatPr defaultColWidth="9" defaultRowHeight="12.75"/>
  <cols>
    <col min="1" max="1" width="9.1640625" bestFit="1" customWidth="1"/>
    <col min="2" max="2" width="38" customWidth="1"/>
    <col min="3" max="3" width="12.1640625" bestFit="1" customWidth="1"/>
    <col min="4" max="4" width="13" customWidth="1"/>
    <col min="7" max="7" width="16" bestFit="1" customWidth="1"/>
  </cols>
  <sheetData>
    <row r="1" spans="1:11" ht="21.75" thickTop="1">
      <c r="A1" s="1159" t="s">
        <v>2147</v>
      </c>
      <c r="B1" s="1160"/>
      <c r="C1" s="1160"/>
      <c r="D1" s="1160"/>
      <c r="E1" s="1160"/>
      <c r="F1" s="1160"/>
      <c r="G1" s="1160"/>
      <c r="H1" s="1160"/>
      <c r="I1" s="1160"/>
      <c r="J1" s="1160"/>
      <c r="K1" s="1160"/>
    </row>
    <row r="2" spans="1:11" ht="15" customHeight="1">
      <c r="A2" s="1161" t="str">
        <f>IF(rng01_ProjectName="","[Project Name]", rng01_ProjectName)</f>
        <v>[Project Name]</v>
      </c>
      <c r="B2" s="1162"/>
      <c r="C2" s="1162"/>
      <c r="D2" s="1162"/>
      <c r="E2" s="1162"/>
      <c r="F2" s="1163" t="s">
        <v>245</v>
      </c>
      <c r="G2" s="682">
        <f>tbl00ModelProgress[[#Totals],[Date of Progress /
Last Edit]]</f>
        <v>0</v>
      </c>
      <c r="H2" s="1162"/>
      <c r="I2" s="1162"/>
      <c r="J2" s="1162"/>
      <c r="K2" s="1162"/>
    </row>
    <row r="4" spans="1:11">
      <c r="A4" s="364"/>
      <c r="B4" t="s">
        <v>2147</v>
      </c>
    </row>
    <row r="5" spans="1:11">
      <c r="A5" s="364"/>
      <c r="B5" t="s">
        <v>2148</v>
      </c>
    </row>
    <row r="6" spans="1:11">
      <c r="A6" s="364"/>
    </row>
    <row r="7" spans="1:11">
      <c r="A7" s="364" t="s">
        <v>2149</v>
      </c>
      <c r="B7" t="s">
        <v>2150</v>
      </c>
      <c r="C7" s="399">
        <v>0</v>
      </c>
      <c r="D7" s="399"/>
    </row>
    <row r="8" spans="1:11">
      <c r="A8" s="364" t="s">
        <v>2151</v>
      </c>
      <c r="B8" t="s">
        <v>2152</v>
      </c>
      <c r="C8" s="399">
        <v>200000</v>
      </c>
      <c r="D8" s="399"/>
    </row>
    <row r="9" spans="1:11">
      <c r="A9" s="364" t="s">
        <v>2153</v>
      </c>
      <c r="B9" t="s">
        <v>2154</v>
      </c>
      <c r="C9" s="399">
        <v>0</v>
      </c>
      <c r="D9" s="399">
        <f>C7+C8</f>
        <v>200000</v>
      </c>
    </row>
    <row r="10" spans="1:11">
      <c r="A10" s="364"/>
      <c r="C10" s="399"/>
      <c r="D10" s="399"/>
    </row>
    <row r="11" spans="1:11">
      <c r="A11" s="364"/>
      <c r="B11" t="s">
        <v>2155</v>
      </c>
      <c r="C11" s="399"/>
      <c r="D11" s="399"/>
    </row>
    <row r="12" spans="1:11">
      <c r="A12" s="364">
        <v>37</v>
      </c>
      <c r="B12" t="s">
        <v>2156</v>
      </c>
      <c r="C12" s="399"/>
      <c r="D12" s="399"/>
    </row>
    <row r="13" spans="1:11">
      <c r="A13" s="364">
        <v>38</v>
      </c>
      <c r="B13" t="s">
        <v>2157</v>
      </c>
      <c r="C13" s="399">
        <v>0</v>
      </c>
      <c r="D13" s="399"/>
    </row>
    <row r="14" spans="1:11">
      <c r="A14" s="364">
        <v>39</v>
      </c>
      <c r="B14" t="s">
        <v>2158</v>
      </c>
      <c r="C14" s="399">
        <v>0</v>
      </c>
      <c r="D14" s="399"/>
    </row>
    <row r="15" spans="1:11">
      <c r="A15" s="364">
        <v>40</v>
      </c>
      <c r="B15" t="s">
        <v>2159</v>
      </c>
      <c r="C15" s="399">
        <v>0</v>
      </c>
      <c r="D15" s="399"/>
    </row>
    <row r="16" spans="1:11">
      <c r="A16" s="364">
        <v>41</v>
      </c>
      <c r="B16" s="420" t="s">
        <v>2160</v>
      </c>
      <c r="C16" s="399"/>
      <c r="D16" s="399">
        <f>C12+C13+C15</f>
        <v>0</v>
      </c>
    </row>
    <row r="17" spans="1:4">
      <c r="A17" s="364">
        <v>42</v>
      </c>
      <c r="B17" s="421" t="s">
        <v>2046</v>
      </c>
      <c r="C17" s="399"/>
      <c r="D17" s="399">
        <f>(D9+D16)*0.06</f>
        <v>12000</v>
      </c>
    </row>
    <row r="18" spans="1:4">
      <c r="A18" s="364"/>
      <c r="B18" s="1"/>
      <c r="C18" s="399"/>
      <c r="D18" s="399"/>
    </row>
    <row r="19" spans="1:4">
      <c r="A19" s="364"/>
      <c r="B19" s="421" t="s">
        <v>2161</v>
      </c>
      <c r="C19" s="399"/>
      <c r="D19" s="399"/>
    </row>
    <row r="20" spans="1:4">
      <c r="A20" s="364">
        <v>43</v>
      </c>
      <c r="B20" s="421" t="s">
        <v>2162</v>
      </c>
      <c r="C20" s="399">
        <f>(D16+D9)*2%</f>
        <v>4000</v>
      </c>
      <c r="D20" s="399"/>
    </row>
    <row r="21" spans="1:4">
      <c r="A21" s="364">
        <v>44</v>
      </c>
      <c r="B21" s="421" t="s">
        <v>2163</v>
      </c>
      <c r="C21" s="399">
        <f>(D16+D9)*8%</f>
        <v>16000</v>
      </c>
      <c r="D21" s="399"/>
    </row>
    <row r="22" spans="1:4">
      <c r="A22" s="364">
        <v>45</v>
      </c>
      <c r="B22" s="421" t="s">
        <v>2164</v>
      </c>
      <c r="C22" s="399">
        <f>(D9+D16)*7.5%</f>
        <v>15000</v>
      </c>
      <c r="D22" s="399"/>
    </row>
    <row r="23" spans="1:4">
      <c r="A23" s="364">
        <v>46</v>
      </c>
      <c r="B23" s="421" t="s">
        <v>2165</v>
      </c>
      <c r="C23" s="399">
        <v>0</v>
      </c>
      <c r="D23" s="399"/>
    </row>
    <row r="24" spans="1:4">
      <c r="A24" s="364">
        <v>47</v>
      </c>
      <c r="B24" s="421" t="s">
        <v>1267</v>
      </c>
      <c r="C24" s="399"/>
      <c r="D24" s="399"/>
    </row>
    <row r="25" spans="1:4">
      <c r="A25" s="364">
        <v>48</v>
      </c>
      <c r="B25" s="421" t="s">
        <v>1269</v>
      </c>
      <c r="C25" s="399"/>
      <c r="D25" s="399"/>
    </row>
    <row r="26" spans="1:4">
      <c r="A26" s="364">
        <v>49</v>
      </c>
      <c r="B26" s="420" t="s">
        <v>2166</v>
      </c>
      <c r="C26" s="399"/>
      <c r="D26" s="399">
        <f>C20+C21+C22+C23+C24+C25</f>
        <v>35000</v>
      </c>
    </row>
    <row r="27" spans="1:4">
      <c r="A27" s="364">
        <v>50</v>
      </c>
      <c r="B27" s="421" t="s">
        <v>2167</v>
      </c>
      <c r="C27" s="399"/>
      <c r="D27" s="399">
        <f>D9+D16+D17+D26</f>
        <v>247000</v>
      </c>
    </row>
    <row r="28" spans="1:4">
      <c r="A28" s="364">
        <v>51</v>
      </c>
      <c r="B28" t="s">
        <v>2168</v>
      </c>
      <c r="C28" s="399"/>
      <c r="D28" s="399"/>
    </row>
    <row r="29" spans="1:4">
      <c r="A29" s="364">
        <v>52</v>
      </c>
      <c r="B29" t="s">
        <v>2169</v>
      </c>
      <c r="C29" s="399"/>
      <c r="D29" s="399"/>
    </row>
    <row r="30" spans="1:4">
      <c r="A30" s="364"/>
      <c r="B30" t="s">
        <v>2170</v>
      </c>
      <c r="C30" s="399"/>
      <c r="D30" s="399"/>
    </row>
    <row r="31" spans="1:4">
      <c r="A31" s="364">
        <v>53</v>
      </c>
      <c r="B31" t="s">
        <v>2171</v>
      </c>
      <c r="C31" s="399"/>
      <c r="D31" s="399"/>
    </row>
    <row r="32" spans="1:4">
      <c r="A32" s="364"/>
      <c r="B32" s="364" t="s">
        <v>2172</v>
      </c>
      <c r="C32" s="399"/>
      <c r="D32" s="399"/>
    </row>
    <row r="33" spans="1:4">
      <c r="A33" s="364">
        <v>54</v>
      </c>
      <c r="B33" t="s">
        <v>2173</v>
      </c>
      <c r="C33" s="399"/>
      <c r="D33" s="399"/>
    </row>
    <row r="34" spans="1:4">
      <c r="A34" s="364">
        <v>55</v>
      </c>
      <c r="B34" t="s">
        <v>2174</v>
      </c>
      <c r="C34" s="399"/>
      <c r="D34" s="399"/>
    </row>
    <row r="35" spans="1:4">
      <c r="A35" s="364">
        <v>56</v>
      </c>
      <c r="B35" t="s">
        <v>2175</v>
      </c>
      <c r="C35" s="399"/>
      <c r="D35" s="399"/>
    </row>
    <row r="36" spans="1:4">
      <c r="A36" s="364">
        <v>57</v>
      </c>
      <c r="B36" t="s">
        <v>2176</v>
      </c>
      <c r="C36" s="399">
        <v>0</v>
      </c>
      <c r="D36" s="399"/>
    </row>
    <row r="37" spans="1:4">
      <c r="A37" s="364">
        <v>58</v>
      </c>
      <c r="B37" t="s">
        <v>2177</v>
      </c>
      <c r="C37" s="399">
        <v>0</v>
      </c>
      <c r="D37" s="399"/>
    </row>
    <row r="38" spans="1:4">
      <c r="A38" s="364">
        <v>59</v>
      </c>
      <c r="B38" t="s">
        <v>2178</v>
      </c>
      <c r="C38" s="399">
        <v>0</v>
      </c>
      <c r="D38" s="399"/>
    </row>
    <row r="39" spans="1:4">
      <c r="A39" s="364">
        <v>60</v>
      </c>
      <c r="B39" t="s">
        <v>2179</v>
      </c>
      <c r="C39" s="399">
        <v>0</v>
      </c>
      <c r="D39" s="399"/>
    </row>
    <row r="40" spans="1:4">
      <c r="A40" s="364">
        <v>61</v>
      </c>
      <c r="B40" t="s">
        <v>2180</v>
      </c>
      <c r="C40" s="399">
        <v>0</v>
      </c>
      <c r="D40" s="399"/>
    </row>
    <row r="41" spans="1:4">
      <c r="A41" s="364">
        <v>62</v>
      </c>
      <c r="B41" t="s">
        <v>2181</v>
      </c>
      <c r="C41" s="399"/>
      <c r="D41" s="399"/>
    </row>
    <row r="42" spans="1:4">
      <c r="A42" s="364">
        <v>63</v>
      </c>
      <c r="B42" t="s">
        <v>2182</v>
      </c>
      <c r="C42" s="399"/>
      <c r="D42" s="399">
        <f>C33+C34+C35+C36+C37+C38+C39+C40+C41</f>
        <v>0</v>
      </c>
    </row>
    <row r="43" spans="1:4">
      <c r="A43" s="364"/>
      <c r="B43" t="s">
        <v>2183</v>
      </c>
      <c r="C43" s="399"/>
      <c r="D43" s="399"/>
    </row>
    <row r="44" spans="1:4">
      <c r="A44" s="364">
        <v>64</v>
      </c>
      <c r="B44" t="s">
        <v>1020</v>
      </c>
      <c r="C44" s="399"/>
      <c r="D44" s="399"/>
    </row>
    <row r="45" spans="1:4">
      <c r="A45" s="364">
        <v>65</v>
      </c>
      <c r="B45" t="s">
        <v>2184</v>
      </c>
      <c r="C45" s="399"/>
      <c r="D45" s="399"/>
    </row>
    <row r="46" spans="1:4">
      <c r="A46" s="364">
        <v>66</v>
      </c>
      <c r="B46" s="364" t="s">
        <v>2185</v>
      </c>
      <c r="C46" s="399"/>
      <c r="D46" s="399"/>
    </row>
    <row r="47" spans="1:4">
      <c r="A47" s="364">
        <v>67</v>
      </c>
      <c r="B47" t="s">
        <v>2186</v>
      </c>
      <c r="C47" s="399"/>
      <c r="D47" s="399">
        <f>C44+C45+C46</f>
        <v>0</v>
      </c>
    </row>
    <row r="48" spans="1:4">
      <c r="A48">
        <v>68</v>
      </c>
      <c r="B48" t="s">
        <v>2187</v>
      </c>
      <c r="C48" s="399"/>
      <c r="D48" s="399">
        <f>(D27+D42+D47-C21)*0.1</f>
        <v>23100</v>
      </c>
    </row>
    <row r="49" spans="1:4">
      <c r="A49">
        <v>69</v>
      </c>
      <c r="B49" t="s">
        <v>2188</v>
      </c>
      <c r="C49" s="399"/>
      <c r="D49" s="399">
        <v>0</v>
      </c>
    </row>
    <row r="50" spans="1:4">
      <c r="A50">
        <v>70</v>
      </c>
      <c r="B50" t="s">
        <v>2189</v>
      </c>
      <c r="C50" s="399"/>
      <c r="D50" s="399"/>
    </row>
    <row r="51" spans="1:4">
      <c r="A51">
        <v>71</v>
      </c>
      <c r="B51" t="s">
        <v>2190</v>
      </c>
      <c r="C51" s="399"/>
      <c r="D51" s="399">
        <v>0</v>
      </c>
    </row>
    <row r="52" spans="1:4">
      <c r="A52">
        <v>72</v>
      </c>
      <c r="B52" t="s">
        <v>2191</v>
      </c>
      <c r="C52" s="399"/>
      <c r="D52" s="399">
        <f>D27+D42+D47+D48+D49+D50+D51</f>
        <v>270100</v>
      </c>
    </row>
  </sheetData>
  <sheetProtection formatCells="0" formatColumns="0" formatRows="0"/>
  <pageMargins left="0.75" right="0.75" top="1" bottom="1" header="0.3" footer="0.3"/>
  <pageSetup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wst07_1_HOME_Standard">
    <tabColor rgb="FF7030A0"/>
    <pageSetUpPr fitToPage="1"/>
  </sheetPr>
  <dimension ref="A1:AD66"/>
  <sheetViews>
    <sheetView zoomScale="85" zoomScaleNormal="85" workbookViewId="0"/>
  </sheetViews>
  <sheetFormatPr defaultColWidth="9.5" defaultRowHeight="15.75"/>
  <cols>
    <col min="1" max="1" width="19" style="1022" bestFit="1" customWidth="1"/>
    <col min="2" max="2" width="12.5" style="1022" bestFit="1" customWidth="1"/>
    <col min="3" max="3" width="34.5" style="1022" bestFit="1" customWidth="1"/>
    <col min="4" max="4" width="19.5" style="1050" customWidth="1"/>
    <col min="5" max="5" width="11.5" style="1022" customWidth="1"/>
    <col min="6" max="6" width="14.5" style="1022" customWidth="1"/>
    <col min="7" max="7" width="10.5" style="1022" customWidth="1"/>
    <col min="8" max="8" width="15" style="1022" bestFit="1" customWidth="1"/>
    <col min="9" max="9" width="19.5" style="1022" customWidth="1"/>
    <col min="10" max="16384" width="9.5" style="1022"/>
  </cols>
  <sheetData>
    <row r="1" spans="1:30" s="11" customFormat="1" ht="26.25">
      <c r="A1" s="61" t="s">
        <v>2192</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1:30" s="11" customFormat="1" ht="21">
      <c r="A2" s="668">
        <f>rng01_ProjectName</f>
        <v>0</v>
      </c>
      <c r="B2" s="664"/>
      <c r="C2" s="664"/>
      <c r="D2" s="664"/>
      <c r="E2" s="664"/>
      <c r="F2" s="666"/>
      <c r="G2" s="667"/>
      <c r="H2" s="664"/>
      <c r="I2" s="664"/>
      <c r="J2" s="664"/>
      <c r="K2" s="664"/>
      <c r="L2" s="664"/>
      <c r="M2" s="664"/>
      <c r="N2" s="664"/>
      <c r="O2" s="664"/>
      <c r="P2" s="664"/>
      <c r="Q2" s="664"/>
      <c r="R2" s="664"/>
      <c r="S2" s="664"/>
      <c r="T2" s="664"/>
      <c r="U2" s="664"/>
      <c r="V2" s="664"/>
      <c r="W2" s="664"/>
      <c r="X2" s="664"/>
      <c r="Y2" s="664"/>
      <c r="Z2" s="664"/>
      <c r="AA2" s="664"/>
      <c r="AB2" s="664"/>
      <c r="AC2" s="664"/>
      <c r="AD2" s="664"/>
    </row>
    <row r="3" spans="1:30">
      <c r="A3" s="2367"/>
      <c r="B3" s="2367"/>
      <c r="C3" s="2367"/>
      <c r="D3" s="2367"/>
    </row>
    <row r="4" spans="1:30" ht="16.5" thickBot="1">
      <c r="D4" s="1022"/>
    </row>
    <row r="5" spans="1:30">
      <c r="A5" s="1058" t="s">
        <v>2193</v>
      </c>
      <c r="B5" s="1059"/>
      <c r="C5" s="1062">
        <f>rng01_Address1</f>
        <v>0</v>
      </c>
      <c r="D5" s="1022"/>
      <c r="I5" s="1023" t="s">
        <v>2194</v>
      </c>
    </row>
    <row r="6" spans="1:30" ht="16.5" thickBot="1">
      <c r="A6" s="1060" t="s">
        <v>2195</v>
      </c>
      <c r="B6" s="1061"/>
      <c r="C6" s="1063"/>
      <c r="D6" s="1022"/>
    </row>
    <row r="7" spans="1:30">
      <c r="D7" s="1022"/>
    </row>
    <row r="8" spans="1:30">
      <c r="A8" s="1024"/>
      <c r="B8" s="1024"/>
      <c r="C8" s="1024"/>
      <c r="D8" s="1025"/>
    </row>
    <row r="9" spans="1:30">
      <c r="A9" s="2368" t="s">
        <v>2196</v>
      </c>
      <c r="B9" s="2369"/>
      <c r="C9" s="2369"/>
      <c r="D9" s="2369"/>
      <c r="E9" s="2369"/>
      <c r="F9" s="2369"/>
      <c r="G9" s="2370"/>
      <c r="H9" s="1026"/>
    </row>
    <row r="10" spans="1:30">
      <c r="A10" s="1027">
        <v>1</v>
      </c>
      <c r="B10" s="1028"/>
      <c r="C10" s="2373" t="s">
        <v>2197</v>
      </c>
      <c r="D10" s="2373"/>
      <c r="E10" s="2373"/>
      <c r="F10" s="2373"/>
      <c r="G10" s="2374"/>
      <c r="H10" s="1057">
        <f>'01_1_General Data'!$C$66</f>
        <v>0</v>
      </c>
      <c r="I10" s="1030"/>
    </row>
    <row r="11" spans="1:30">
      <c r="A11" s="2375"/>
      <c r="B11" s="2371"/>
      <c r="C11" s="2371"/>
      <c r="D11" s="2371"/>
      <c r="E11" s="2371"/>
      <c r="F11" s="2371"/>
      <c r="G11" s="2372"/>
      <c r="H11" s="1026"/>
    </row>
    <row r="12" spans="1:30">
      <c r="A12" s="2368" t="s">
        <v>2198</v>
      </c>
      <c r="B12" s="2369"/>
      <c r="C12" s="2369"/>
      <c r="D12" s="2369"/>
      <c r="E12" s="2369"/>
      <c r="F12" s="2369"/>
      <c r="G12" s="2370"/>
      <c r="H12" s="1026"/>
    </row>
    <row r="13" spans="1:30">
      <c r="A13" s="1027">
        <v>2</v>
      </c>
      <c r="B13" s="1031"/>
      <c r="C13" s="2376" t="s">
        <v>2199</v>
      </c>
      <c r="D13" s="2376"/>
      <c r="E13" s="2376"/>
      <c r="F13" s="2376"/>
      <c r="G13" s="2377"/>
      <c r="H13" s="1053"/>
    </row>
    <row r="14" spans="1:30">
      <c r="A14" s="2375"/>
      <c r="B14" s="2371"/>
      <c r="C14" s="2371"/>
      <c r="D14" s="2371"/>
      <c r="E14" s="2371"/>
      <c r="F14" s="2371"/>
      <c r="G14" s="2372"/>
      <c r="H14" s="1026"/>
    </row>
    <row r="15" spans="1:30">
      <c r="A15" s="2368" t="s">
        <v>2200</v>
      </c>
      <c r="B15" s="2369"/>
      <c r="C15" s="2369"/>
      <c r="D15" s="2369"/>
      <c r="E15" s="2369"/>
      <c r="F15" s="2369"/>
      <c r="G15" s="2370"/>
      <c r="H15" s="1026"/>
    </row>
    <row r="16" spans="1:30">
      <c r="A16" s="1027">
        <v>3</v>
      </c>
      <c r="B16" s="1028"/>
      <c r="C16" s="2373" t="s">
        <v>2026</v>
      </c>
      <c r="D16" s="2373"/>
      <c r="E16" s="2373"/>
      <c r="F16" s="2373"/>
      <c r="G16" s="2374"/>
      <c r="H16" s="1056">
        <f>'02_4_USES'!$F$90</f>
        <v>0</v>
      </c>
    </row>
    <row r="17" spans="1:10">
      <c r="A17" s="1027">
        <v>4</v>
      </c>
      <c r="B17" s="1028"/>
      <c r="C17" s="2373" t="s">
        <v>2201</v>
      </c>
      <c r="D17" s="2373"/>
      <c r="E17" s="2373"/>
      <c r="F17" s="2373"/>
      <c r="G17" s="2374"/>
      <c r="H17" s="1165"/>
    </row>
    <row r="18" spans="1:10">
      <c r="A18" s="1027">
        <v>5</v>
      </c>
      <c r="B18" s="1028"/>
      <c r="C18" s="2373" t="s">
        <v>2202</v>
      </c>
      <c r="D18" s="2373"/>
      <c r="E18" s="2373"/>
      <c r="F18" s="2373"/>
      <c r="G18" s="2374"/>
      <c r="H18" s="1051"/>
    </row>
    <row r="19" spans="1:10">
      <c r="A19" s="1027">
        <v>6</v>
      </c>
      <c r="B19" s="1028"/>
      <c r="C19" s="2373" t="s">
        <v>2203</v>
      </c>
      <c r="D19" s="2373"/>
      <c r="E19" s="2373"/>
      <c r="F19" s="2373"/>
      <c r="G19" s="2374"/>
      <c r="H19" s="1056">
        <f>'02_4_USES'!$F$51</f>
        <v>0</v>
      </c>
    </row>
    <row r="20" spans="1:10">
      <c r="A20" s="1027">
        <v>7</v>
      </c>
      <c r="B20" s="1028"/>
      <c r="C20" s="2373" t="s">
        <v>2204</v>
      </c>
      <c r="D20" s="2373"/>
      <c r="E20" s="2373"/>
      <c r="F20" s="2373"/>
      <c r="G20" s="2374"/>
      <c r="H20" s="1052" t="s">
        <v>225</v>
      </c>
      <c r="I20" s="1030" t="str">
        <f>IF(ISBLANK(H20),"Error, response required.","")</f>
        <v/>
      </c>
    </row>
    <row r="21" spans="1:10">
      <c r="A21" s="1032"/>
      <c r="B21" s="1028"/>
      <c r="C21" s="2371"/>
      <c r="D21" s="2371"/>
      <c r="E21" s="2371"/>
      <c r="F21" s="2371"/>
      <c r="G21" s="2372"/>
      <c r="H21" s="1026"/>
    </row>
    <row r="22" spans="1:10">
      <c r="A22" s="1027">
        <v>8</v>
      </c>
      <c r="B22" s="1028"/>
      <c r="C22" s="2373" t="s">
        <v>2205</v>
      </c>
      <c r="D22" s="2373"/>
      <c r="E22" s="2373"/>
      <c r="F22" s="2373"/>
      <c r="G22" s="2374"/>
      <c r="H22" s="1033">
        <f>IF(H20="No",H16-H17-H18,IF(H20="Yes",H16-H17-H18-H19,"Error"))</f>
        <v>0</v>
      </c>
    </row>
    <row r="23" spans="1:10">
      <c r="A23" s="1027">
        <v>9</v>
      </c>
      <c r="B23" s="1028"/>
      <c r="C23" s="2373" t="s">
        <v>2206</v>
      </c>
      <c r="D23" s="2373"/>
      <c r="E23" s="2373"/>
      <c r="F23" s="2373"/>
      <c r="G23" s="2374"/>
      <c r="H23" s="1034" t="e">
        <f>ROUNDDOWN(H22/H10,2)</f>
        <v>#DIV/0!</v>
      </c>
    </row>
    <row r="24" spans="1:10">
      <c r="A24" s="2384" t="s">
        <v>2207</v>
      </c>
      <c r="B24" s="2385"/>
      <c r="C24" s="2385"/>
      <c r="D24" s="2385"/>
      <c r="E24" s="2385"/>
      <c r="F24" s="2385"/>
      <c r="G24" s="2386"/>
      <c r="H24" s="1026"/>
    </row>
    <row r="25" spans="1:10" ht="47.25">
      <c r="A25" s="1032"/>
      <c r="B25" s="1035" t="s">
        <v>1474</v>
      </c>
      <c r="C25" s="2387" t="s">
        <v>2208</v>
      </c>
      <c r="D25" s="2387"/>
      <c r="E25" s="1036" t="s">
        <v>2209</v>
      </c>
      <c r="F25" s="1037" t="s">
        <v>2210</v>
      </c>
      <c r="G25" s="1036" t="s">
        <v>2211</v>
      </c>
      <c r="H25" s="2378"/>
      <c r="J25" s="1038"/>
    </row>
    <row r="26" spans="1:10">
      <c r="A26" s="1027">
        <v>10</v>
      </c>
      <c r="B26" s="1054"/>
      <c r="C26" s="2381"/>
      <c r="D26" s="2381"/>
      <c r="E26" s="1054"/>
      <c r="F26" s="1051"/>
      <c r="G26" s="1040" t="e">
        <f>ROUNDDOWN($H$23*F26,0)</f>
        <v>#DIV/0!</v>
      </c>
      <c r="H26" s="2379"/>
      <c r="I26" s="1041"/>
      <c r="J26" s="1041"/>
    </row>
    <row r="27" spans="1:10">
      <c r="A27" s="1027">
        <v>11</v>
      </c>
      <c r="B27" s="1054"/>
      <c r="C27" s="2382"/>
      <c r="D27" s="2382"/>
      <c r="E27" s="1054"/>
      <c r="F27" s="1051"/>
      <c r="G27" s="1040" t="e">
        <f t="shared" ref="G27:G45" si="0">ROUNDDOWN($H$23*F27,0)</f>
        <v>#DIV/0!</v>
      </c>
      <c r="H27" s="2379"/>
      <c r="I27" s="1041"/>
      <c r="J27" s="1041"/>
    </row>
    <row r="28" spans="1:10">
      <c r="A28" s="1027">
        <v>12</v>
      </c>
      <c r="B28" s="1054"/>
      <c r="C28" s="2382"/>
      <c r="D28" s="2382"/>
      <c r="E28" s="1054"/>
      <c r="F28" s="1051"/>
      <c r="G28" s="1040" t="e">
        <f t="shared" si="0"/>
        <v>#DIV/0!</v>
      </c>
      <c r="H28" s="2379"/>
      <c r="I28" s="1041"/>
      <c r="J28" s="1041"/>
    </row>
    <row r="29" spans="1:10">
      <c r="A29" s="1027">
        <v>13</v>
      </c>
      <c r="B29" s="1054"/>
      <c r="C29" s="2382"/>
      <c r="D29" s="2382"/>
      <c r="E29" s="1054"/>
      <c r="F29" s="1051"/>
      <c r="G29" s="1040" t="e">
        <f t="shared" si="0"/>
        <v>#DIV/0!</v>
      </c>
      <c r="H29" s="2379"/>
      <c r="I29" s="1041"/>
      <c r="J29" s="1041"/>
    </row>
    <row r="30" spans="1:10">
      <c r="A30" s="1027">
        <v>14</v>
      </c>
      <c r="B30" s="1054"/>
      <c r="C30" s="2382"/>
      <c r="D30" s="2382"/>
      <c r="E30" s="1054"/>
      <c r="F30" s="1055"/>
      <c r="G30" s="1040" t="e">
        <f t="shared" si="0"/>
        <v>#DIV/0!</v>
      </c>
      <c r="H30" s="2379"/>
      <c r="I30" s="1041"/>
      <c r="J30" s="1041"/>
    </row>
    <row r="31" spans="1:10">
      <c r="A31" s="1027">
        <v>15</v>
      </c>
      <c r="B31" s="1054"/>
      <c r="C31" s="2382"/>
      <c r="D31" s="2382"/>
      <c r="E31" s="1054"/>
      <c r="F31" s="1051"/>
      <c r="G31" s="1040" t="e">
        <f t="shared" si="0"/>
        <v>#DIV/0!</v>
      </c>
      <c r="H31" s="2379"/>
      <c r="I31" s="1041"/>
      <c r="J31" s="1041"/>
    </row>
    <row r="32" spans="1:10" ht="15" customHeight="1">
      <c r="A32" s="1027">
        <v>16</v>
      </c>
      <c r="B32" s="1054"/>
      <c r="C32" s="2382"/>
      <c r="D32" s="2382"/>
      <c r="E32" s="1054"/>
      <c r="F32" s="1051"/>
      <c r="G32" s="1040" t="e">
        <f t="shared" si="0"/>
        <v>#DIV/0!</v>
      </c>
      <c r="H32" s="2379"/>
      <c r="I32" s="1041"/>
      <c r="J32" s="1041"/>
    </row>
    <row r="33" spans="1:10" ht="15" customHeight="1">
      <c r="A33" s="1027">
        <v>17</v>
      </c>
      <c r="B33" s="1054"/>
      <c r="C33" s="2382"/>
      <c r="D33" s="2382"/>
      <c r="E33" s="1054"/>
      <c r="F33" s="1051"/>
      <c r="G33" s="1040" t="e">
        <f t="shared" si="0"/>
        <v>#DIV/0!</v>
      </c>
      <c r="H33" s="2379"/>
      <c r="I33" s="1041"/>
      <c r="J33" s="1041"/>
    </row>
    <row r="34" spans="1:10" ht="15" customHeight="1">
      <c r="A34" s="1027">
        <v>18</v>
      </c>
      <c r="B34" s="1054"/>
      <c r="C34" s="2382"/>
      <c r="D34" s="2382"/>
      <c r="E34" s="1054"/>
      <c r="F34" s="1051"/>
      <c r="G34" s="1040" t="e">
        <f t="shared" si="0"/>
        <v>#DIV/0!</v>
      </c>
      <c r="H34" s="2379"/>
      <c r="I34" s="1041"/>
      <c r="J34" s="1041"/>
    </row>
    <row r="35" spans="1:10" ht="15" customHeight="1">
      <c r="A35" s="1027">
        <v>19</v>
      </c>
      <c r="B35" s="1054"/>
      <c r="C35" s="2382"/>
      <c r="D35" s="2382"/>
      <c r="E35" s="1054"/>
      <c r="F35" s="1051"/>
      <c r="G35" s="1040" t="e">
        <f t="shared" si="0"/>
        <v>#DIV/0!</v>
      </c>
      <c r="H35" s="2379"/>
      <c r="I35" s="1041"/>
      <c r="J35" s="1041"/>
    </row>
    <row r="36" spans="1:10" ht="15" hidden="1" customHeight="1">
      <c r="A36" s="1027">
        <v>20</v>
      </c>
      <c r="B36" s="1039"/>
      <c r="C36" s="2383"/>
      <c r="D36" s="2383"/>
      <c r="E36" s="1039"/>
      <c r="F36" s="1029"/>
      <c r="G36" s="1040" t="e">
        <f t="shared" si="0"/>
        <v>#DIV/0!</v>
      </c>
      <c r="H36" s="2379"/>
      <c r="I36" s="1041"/>
      <c r="J36" s="1041"/>
    </row>
    <row r="37" spans="1:10" ht="15" hidden="1" customHeight="1">
      <c r="A37" s="1027">
        <v>21</v>
      </c>
      <c r="B37" s="1039"/>
      <c r="C37" s="2383"/>
      <c r="D37" s="2383"/>
      <c r="E37" s="1039"/>
      <c r="F37" s="1029"/>
      <c r="G37" s="1040" t="e">
        <f t="shared" si="0"/>
        <v>#DIV/0!</v>
      </c>
      <c r="H37" s="2379"/>
      <c r="I37" s="1041"/>
      <c r="J37" s="1041"/>
    </row>
    <row r="38" spans="1:10" ht="15" hidden="1" customHeight="1">
      <c r="A38" s="1027">
        <v>22</v>
      </c>
      <c r="B38" s="1039"/>
      <c r="C38" s="2383"/>
      <c r="D38" s="2383"/>
      <c r="E38" s="1039"/>
      <c r="F38" s="1029"/>
      <c r="G38" s="1040" t="e">
        <f t="shared" si="0"/>
        <v>#DIV/0!</v>
      </c>
      <c r="H38" s="2379"/>
      <c r="I38" s="1041"/>
      <c r="J38" s="1041"/>
    </row>
    <row r="39" spans="1:10" ht="15" hidden="1" customHeight="1">
      <c r="A39" s="1027">
        <v>23</v>
      </c>
      <c r="B39" s="1039"/>
      <c r="C39" s="2383"/>
      <c r="D39" s="2383"/>
      <c r="E39" s="1039"/>
      <c r="F39" s="1029"/>
      <c r="G39" s="1040" t="e">
        <f t="shared" si="0"/>
        <v>#DIV/0!</v>
      </c>
      <c r="H39" s="2379"/>
      <c r="I39" s="1041"/>
      <c r="J39" s="1041"/>
    </row>
    <row r="40" spans="1:10" ht="15" hidden="1" customHeight="1">
      <c r="A40" s="1027">
        <v>24</v>
      </c>
      <c r="B40" s="1039"/>
      <c r="C40" s="2383"/>
      <c r="D40" s="2383"/>
      <c r="E40" s="1039"/>
      <c r="F40" s="1029"/>
      <c r="G40" s="1040" t="e">
        <f t="shared" si="0"/>
        <v>#DIV/0!</v>
      </c>
      <c r="H40" s="2379"/>
      <c r="I40" s="1041"/>
      <c r="J40" s="1041"/>
    </row>
    <row r="41" spans="1:10" ht="15" hidden="1" customHeight="1">
      <c r="A41" s="1027">
        <v>25</v>
      </c>
      <c r="B41" s="1039"/>
      <c r="C41" s="2383"/>
      <c r="D41" s="2383"/>
      <c r="E41" s="1039"/>
      <c r="F41" s="1029"/>
      <c r="G41" s="1040" t="e">
        <f t="shared" si="0"/>
        <v>#DIV/0!</v>
      </c>
      <c r="H41" s="2379"/>
      <c r="I41" s="1041"/>
      <c r="J41" s="1041"/>
    </row>
    <row r="42" spans="1:10" ht="15" hidden="1" customHeight="1">
      <c r="A42" s="1027">
        <v>26</v>
      </c>
      <c r="B42" s="1039"/>
      <c r="C42" s="2383"/>
      <c r="D42" s="2383"/>
      <c r="E42" s="1039"/>
      <c r="F42" s="1029"/>
      <c r="G42" s="1040" t="e">
        <f t="shared" si="0"/>
        <v>#DIV/0!</v>
      </c>
      <c r="H42" s="2379"/>
      <c r="I42" s="1041"/>
      <c r="J42" s="1041"/>
    </row>
    <row r="43" spans="1:10" ht="15" hidden="1" customHeight="1">
      <c r="A43" s="1027">
        <v>27</v>
      </c>
      <c r="B43" s="1039"/>
      <c r="C43" s="2383"/>
      <c r="D43" s="2383"/>
      <c r="E43" s="1039"/>
      <c r="F43" s="1029"/>
      <c r="G43" s="1040" t="e">
        <f t="shared" si="0"/>
        <v>#DIV/0!</v>
      </c>
      <c r="H43" s="2379"/>
      <c r="I43" s="1041"/>
      <c r="J43" s="1041"/>
    </row>
    <row r="44" spans="1:10" ht="15" hidden="1" customHeight="1">
      <c r="A44" s="1027">
        <v>28</v>
      </c>
      <c r="B44" s="1039"/>
      <c r="C44" s="2383"/>
      <c r="D44" s="2383"/>
      <c r="E44" s="1039"/>
      <c r="F44" s="1029"/>
      <c r="G44" s="1040" t="e">
        <f t="shared" si="0"/>
        <v>#DIV/0!</v>
      </c>
      <c r="H44" s="2379"/>
      <c r="I44" s="1041"/>
      <c r="J44" s="1041"/>
    </row>
    <row r="45" spans="1:10" ht="15" hidden="1" customHeight="1">
      <c r="A45" s="1027">
        <v>29</v>
      </c>
      <c r="B45" s="1039"/>
      <c r="C45" s="2383"/>
      <c r="D45" s="2383"/>
      <c r="E45" s="1039"/>
      <c r="F45" s="1029"/>
      <c r="G45" s="1040" t="e">
        <f t="shared" si="0"/>
        <v>#DIV/0!</v>
      </c>
      <c r="H45" s="2380"/>
      <c r="I45" s="1041"/>
      <c r="J45" s="1041"/>
    </row>
    <row r="46" spans="1:10" ht="15" customHeight="1">
      <c r="A46" s="2388" t="s">
        <v>2212</v>
      </c>
      <c r="B46" s="2389"/>
      <c r="C46" s="2389"/>
      <c r="D46" s="2389"/>
      <c r="E46" s="2389"/>
      <c r="F46" s="2389"/>
      <c r="G46" s="2390"/>
      <c r="H46" s="1042"/>
      <c r="I46" s="1041"/>
      <c r="J46" s="1041"/>
    </row>
    <row r="47" spans="1:10">
      <c r="A47" s="1027">
        <v>30</v>
      </c>
      <c r="B47" s="1028"/>
      <c r="C47" s="2373" t="s">
        <v>2213</v>
      </c>
      <c r="D47" s="2373"/>
      <c r="E47" s="2373"/>
      <c r="F47" s="2373"/>
      <c r="G47" s="2374"/>
      <c r="H47" s="1043" t="e">
        <f>SUM(G26:G45)</f>
        <v>#DIV/0!</v>
      </c>
    </row>
    <row r="48" spans="1:10">
      <c r="A48" s="1027">
        <v>31</v>
      </c>
      <c r="B48" s="1028"/>
      <c r="C48" s="2373" t="s">
        <v>2214</v>
      </c>
      <c r="D48" s="2373"/>
      <c r="E48" s="2373"/>
      <c r="F48" s="2373"/>
      <c r="G48" s="2373"/>
      <c r="H48" s="1033">
        <f>IF(H20="no",0,IF(H20="yes",H19,"Error"))</f>
        <v>0</v>
      </c>
    </row>
    <row r="49" spans="1:8">
      <c r="A49" s="1027">
        <v>32</v>
      </c>
      <c r="B49" s="1028"/>
      <c r="C49" s="2376" t="s">
        <v>2215</v>
      </c>
      <c r="D49" s="2376"/>
      <c r="E49" s="2376"/>
      <c r="F49" s="2376"/>
      <c r="G49" s="2377"/>
      <c r="H49" s="1044" t="e">
        <f>H47+H48</f>
        <v>#DIV/0!</v>
      </c>
    </row>
    <row r="50" spans="1:8">
      <c r="A50" s="2375"/>
      <c r="B50" s="2371"/>
      <c r="C50" s="2371"/>
      <c r="D50" s="2371"/>
      <c r="E50" s="2371"/>
      <c r="F50" s="2371"/>
      <c r="G50" s="2372"/>
      <c r="H50" s="1026"/>
    </row>
    <row r="51" spans="1:8">
      <c r="A51" s="2391" t="s">
        <v>2216</v>
      </c>
      <c r="B51" s="2392"/>
      <c r="C51" s="2392"/>
      <c r="D51" s="2392"/>
      <c r="E51" s="2392"/>
      <c r="F51" s="2392"/>
      <c r="G51" s="2393"/>
      <c r="H51" s="1026"/>
    </row>
    <row r="52" spans="1:8">
      <c r="A52" s="1032"/>
      <c r="B52" s="1045" t="s">
        <v>2217</v>
      </c>
      <c r="C52" s="1035" t="s">
        <v>2218</v>
      </c>
      <c r="D52" s="2394" t="s">
        <v>2219</v>
      </c>
      <c r="E52" s="2395"/>
      <c r="F52" s="2396" t="s">
        <v>2220</v>
      </c>
      <c r="G52" s="2397"/>
      <c r="H52" s="1046"/>
    </row>
    <row r="53" spans="1:8">
      <c r="A53" s="1027">
        <v>33</v>
      </c>
      <c r="B53" s="1047">
        <f>COUNTIF(E26:E45,0)</f>
        <v>0</v>
      </c>
      <c r="C53" s="1026" t="s">
        <v>2221</v>
      </c>
      <c r="D53" s="2399"/>
      <c r="E53" s="2400"/>
      <c r="F53" s="2401">
        <f>B53*D53</f>
        <v>0</v>
      </c>
      <c r="G53" s="2402"/>
      <c r="H53" s="2398"/>
    </row>
    <row r="54" spans="1:8">
      <c r="A54" s="1027">
        <v>34</v>
      </c>
      <c r="B54" s="1047">
        <f>COUNTIF(E26:E45,1)</f>
        <v>0</v>
      </c>
      <c r="C54" s="1026" t="s">
        <v>1848</v>
      </c>
      <c r="D54" s="2399"/>
      <c r="E54" s="2400"/>
      <c r="F54" s="2401">
        <f>B54*D54</f>
        <v>0</v>
      </c>
      <c r="G54" s="2402"/>
      <c r="H54" s="2398"/>
    </row>
    <row r="55" spans="1:8">
      <c r="A55" s="1027">
        <v>35</v>
      </c>
      <c r="B55" s="1047">
        <f>COUNTIF(E26:E45,2)</f>
        <v>0</v>
      </c>
      <c r="C55" s="1026" t="s">
        <v>2222</v>
      </c>
      <c r="D55" s="2399"/>
      <c r="E55" s="2400"/>
      <c r="F55" s="2401">
        <f>B55*D55</f>
        <v>0</v>
      </c>
      <c r="G55" s="2402"/>
      <c r="H55" s="2398"/>
    </row>
    <row r="56" spans="1:8">
      <c r="A56" s="1027">
        <v>36</v>
      </c>
      <c r="B56" s="1047">
        <f>COUNTIF(E26:E45,3)</f>
        <v>0</v>
      </c>
      <c r="C56" s="1026" t="s">
        <v>2223</v>
      </c>
      <c r="D56" s="2399"/>
      <c r="E56" s="2400"/>
      <c r="F56" s="2401">
        <f>B56*D56</f>
        <v>0</v>
      </c>
      <c r="G56" s="2402"/>
      <c r="H56" s="2398"/>
    </row>
    <row r="57" spans="1:8">
      <c r="A57" s="1027">
        <v>37</v>
      </c>
      <c r="B57" s="1047">
        <f>COUNTIF(E26:E45,4)</f>
        <v>0</v>
      </c>
      <c r="C57" s="1026" t="s">
        <v>2224</v>
      </c>
      <c r="D57" s="2399"/>
      <c r="E57" s="2400"/>
      <c r="F57" s="2401">
        <f>B57*D57</f>
        <v>0</v>
      </c>
      <c r="G57" s="2402"/>
      <c r="H57" s="2398"/>
    </row>
    <row r="58" spans="1:8">
      <c r="A58" s="1027">
        <v>38</v>
      </c>
      <c r="B58" s="1028"/>
      <c r="C58" s="2376" t="s">
        <v>2225</v>
      </c>
      <c r="D58" s="2376"/>
      <c r="E58" s="2376"/>
      <c r="F58" s="2376"/>
      <c r="G58" s="2377"/>
      <c r="H58" s="1048">
        <f>SUM(F53:F57)</f>
        <v>0</v>
      </c>
    </row>
    <row r="59" spans="1:8">
      <c r="A59" s="2375"/>
      <c r="B59" s="2371"/>
      <c r="C59" s="2371"/>
      <c r="D59" s="2371"/>
      <c r="E59" s="2371"/>
      <c r="F59" s="2371"/>
      <c r="G59" s="2372"/>
      <c r="H59" s="1026"/>
    </row>
    <row r="60" spans="1:8">
      <c r="A60" s="2368" t="s">
        <v>2226</v>
      </c>
      <c r="B60" s="2369"/>
      <c r="C60" s="2369"/>
      <c r="D60" s="2369"/>
      <c r="E60" s="2369"/>
      <c r="F60" s="2369"/>
      <c r="G60" s="2370"/>
      <c r="H60" s="1026"/>
    </row>
    <row r="61" spans="1:8">
      <c r="A61" s="1027">
        <v>39</v>
      </c>
      <c r="B61" s="1028"/>
      <c r="C61" s="2373" t="s">
        <v>2227</v>
      </c>
      <c r="D61" s="2373"/>
      <c r="E61" s="2373"/>
      <c r="F61" s="2373"/>
      <c r="G61" s="1028"/>
      <c r="H61" s="1033">
        <f>H13</f>
        <v>0</v>
      </c>
    </row>
    <row r="62" spans="1:8">
      <c r="A62" s="1027">
        <v>40</v>
      </c>
      <c r="B62" s="1028"/>
      <c r="C62" s="2373" t="s">
        <v>2228</v>
      </c>
      <c r="D62" s="2373"/>
      <c r="E62" s="2373"/>
      <c r="F62" s="2373"/>
      <c r="G62" s="1028"/>
      <c r="H62" s="1033" t="e">
        <f>H49</f>
        <v>#DIV/0!</v>
      </c>
    </row>
    <row r="63" spans="1:8">
      <c r="A63" s="1027">
        <v>41</v>
      </c>
      <c r="B63" s="1028"/>
      <c r="C63" s="2373" t="s">
        <v>2229</v>
      </c>
      <c r="D63" s="2373"/>
      <c r="E63" s="2373"/>
      <c r="F63" s="2373"/>
      <c r="G63" s="1028"/>
      <c r="H63" s="1033">
        <f>H58</f>
        <v>0</v>
      </c>
    </row>
    <row r="64" spans="1:8">
      <c r="A64" s="1027">
        <v>42</v>
      </c>
      <c r="B64" s="1028"/>
      <c r="C64" s="2376" t="s">
        <v>2230</v>
      </c>
      <c r="D64" s="2376"/>
      <c r="E64" s="2376"/>
      <c r="F64" s="2376"/>
      <c r="G64" s="2377"/>
      <c r="H64" s="1044" t="e">
        <f>IF(ISBLANK(H13),MIN(H62:H63),MIN(H61:H63))</f>
        <v>#DIV/0!</v>
      </c>
    </row>
    <row r="65" spans="3:4">
      <c r="D65" s="1049"/>
    </row>
    <row r="66" spans="3:4">
      <c r="C66" s="1022" t="s">
        <v>2231</v>
      </c>
    </row>
  </sheetData>
  <sheetProtection algorithmName="SHA-512" hashValue="9GicnVfzDai1LpYL9kFzcaGfWI3I1KXX7efd1b8CdJVgcYlXAemsKmVm62q3YnR4Ev1iWJQ8FRYNhnajh6sByg==" saltValue="7InmGBKtgIh3n/ySFjzxxQ==" spinCount="100000" sheet="1" formatCells="0" formatColumns="0" formatRows="0"/>
  <mergeCells count="65">
    <mergeCell ref="C64:G64"/>
    <mergeCell ref="C58:G58"/>
    <mergeCell ref="A59:G59"/>
    <mergeCell ref="A60:G60"/>
    <mergeCell ref="C61:F61"/>
    <mergeCell ref="C62:F62"/>
    <mergeCell ref="C63:F63"/>
    <mergeCell ref="H53:H57"/>
    <mergeCell ref="D54:E54"/>
    <mergeCell ref="F54:G54"/>
    <mergeCell ref="D55:E55"/>
    <mergeCell ref="F55:G55"/>
    <mergeCell ref="D56:E56"/>
    <mergeCell ref="F56:G56"/>
    <mergeCell ref="D57:E57"/>
    <mergeCell ref="F57:G57"/>
    <mergeCell ref="D53:E53"/>
    <mergeCell ref="F53:G53"/>
    <mergeCell ref="C49:G49"/>
    <mergeCell ref="A50:G50"/>
    <mergeCell ref="A51:G51"/>
    <mergeCell ref="D52:E52"/>
    <mergeCell ref="F52:G52"/>
    <mergeCell ref="C48:G48"/>
    <mergeCell ref="C37:D37"/>
    <mergeCell ref="C38:D38"/>
    <mergeCell ref="C39:D39"/>
    <mergeCell ref="C40:D40"/>
    <mergeCell ref="C41:D41"/>
    <mergeCell ref="C42:D42"/>
    <mergeCell ref="C43:D43"/>
    <mergeCell ref="C44:D44"/>
    <mergeCell ref="C45:D45"/>
    <mergeCell ref="A46:G46"/>
    <mergeCell ref="C47:G47"/>
    <mergeCell ref="C22:G22"/>
    <mergeCell ref="C23:G23"/>
    <mergeCell ref="A24:G24"/>
    <mergeCell ref="C25:D25"/>
    <mergeCell ref="C31:D31"/>
    <mergeCell ref="H25:H45"/>
    <mergeCell ref="C26:D26"/>
    <mergeCell ref="C27:D27"/>
    <mergeCell ref="C28:D28"/>
    <mergeCell ref="C29:D29"/>
    <mergeCell ref="C30:D30"/>
    <mergeCell ref="C36:D36"/>
    <mergeCell ref="C32:D32"/>
    <mergeCell ref="C33:D33"/>
    <mergeCell ref="C34:D34"/>
    <mergeCell ref="C35:D35"/>
    <mergeCell ref="A3:D3"/>
    <mergeCell ref="A9:G9"/>
    <mergeCell ref="C21:G21"/>
    <mergeCell ref="C10:G10"/>
    <mergeCell ref="A11:G11"/>
    <mergeCell ref="A12:G12"/>
    <mergeCell ref="C13:G13"/>
    <mergeCell ref="A14:G14"/>
    <mergeCell ref="A15:G15"/>
    <mergeCell ref="C16:G16"/>
    <mergeCell ref="C17:G17"/>
    <mergeCell ref="C18:G18"/>
    <mergeCell ref="C19:G19"/>
    <mergeCell ref="C20:G20"/>
  </mergeCells>
  <dataValidations count="2">
    <dataValidation type="list" showInputMessage="1" showErrorMessage="1" promptTitle="Response Required" prompt="To treat relocation as common cost of project, choose No.  To treat relocation as a cost exclusive to the HOME-assisted units, enter Yes." sqref="H20" xr:uid="{00000000-0002-0000-1C00-000000000000}">
      <formula1>"No,Yes"</formula1>
    </dataValidation>
    <dataValidation type="list" allowBlank="1" showInputMessage="1" showErrorMessage="1" sqref="E26:E45" xr:uid="{00000000-0002-0000-1C00-000001000000}">
      <formula1>"0,1,2,3,4"</formula1>
    </dataValidation>
  </dataValidations>
  <pageMargins left="0.7" right="0.7" top="0.75" bottom="0.75" header="0.3" footer="0.3"/>
  <pageSetup scale="7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st00_3_DropDown">
    <tabColor theme="0" tint="-0.34998626667073579"/>
  </sheetPr>
  <dimension ref="B2:AJ59"/>
  <sheetViews>
    <sheetView zoomScale="85" zoomScaleNormal="85" workbookViewId="0"/>
  </sheetViews>
  <sheetFormatPr defaultColWidth="9.5" defaultRowHeight="15.75"/>
  <cols>
    <col min="1" max="1" width="3.5" style="8" customWidth="1"/>
    <col min="2" max="2" width="25" style="8" customWidth="1"/>
    <col min="3" max="3" width="22" style="8" bestFit="1" customWidth="1"/>
    <col min="4" max="4" width="41" style="8" bestFit="1" customWidth="1"/>
    <col min="5" max="5" width="25.5" style="8" bestFit="1" customWidth="1"/>
    <col min="6" max="6" width="27" style="8" bestFit="1" customWidth="1"/>
    <col min="7" max="7" width="19" style="8" bestFit="1" customWidth="1"/>
    <col min="8" max="8" width="31" style="8" customWidth="1"/>
    <col min="9" max="9" width="17.5" style="8" bestFit="1" customWidth="1"/>
    <col min="10" max="10" width="24" style="8" bestFit="1" customWidth="1"/>
    <col min="11" max="12" width="20" style="8" bestFit="1" customWidth="1"/>
    <col min="13" max="13" width="11" style="8" customWidth="1"/>
    <col min="14" max="14" width="24.5" style="8" customWidth="1"/>
    <col min="15" max="15" width="10.5" style="8" bestFit="1" customWidth="1"/>
    <col min="16" max="16" width="14.5" style="8" bestFit="1" customWidth="1"/>
    <col min="17" max="17" width="23" style="8" customWidth="1"/>
    <col min="18" max="18" width="32.5" style="8" bestFit="1" customWidth="1"/>
    <col min="19" max="20" width="27.5" style="8" bestFit="1" customWidth="1"/>
    <col min="21" max="21" width="27" style="8" bestFit="1" customWidth="1"/>
    <col min="22" max="22" width="65.5" style="8" bestFit="1" customWidth="1"/>
    <col min="23" max="23" width="27" style="8" bestFit="1" customWidth="1"/>
    <col min="24" max="24" width="35.5" style="8" bestFit="1" customWidth="1"/>
    <col min="25" max="25" width="50.5" style="8" bestFit="1" customWidth="1"/>
    <col min="26" max="26" width="22" style="8" bestFit="1" customWidth="1"/>
    <col min="27" max="27" width="18.5" style="8" customWidth="1"/>
    <col min="28" max="28" width="93.83203125" style="8" bestFit="1" customWidth="1"/>
    <col min="29" max="29" width="23.5" style="8" customWidth="1"/>
    <col min="30" max="30" width="25" style="8" customWidth="1"/>
    <col min="31" max="31" width="18.5" style="8" customWidth="1"/>
    <col min="32" max="32" width="31.5" style="8" bestFit="1" customWidth="1"/>
    <col min="33" max="33" width="31" style="8" bestFit="1" customWidth="1"/>
    <col min="34" max="34" width="32.1640625" style="8" bestFit="1" customWidth="1"/>
    <col min="35" max="35" width="13.33203125" style="8" customWidth="1"/>
    <col min="36" max="36" width="45" style="8" bestFit="1" customWidth="1"/>
    <col min="37" max="16384" width="9.5" style="8"/>
  </cols>
  <sheetData>
    <row r="2" spans="2:36" ht="21">
      <c r="B2" s="128" t="s">
        <v>101</v>
      </c>
    </row>
    <row r="4" spans="2:36">
      <c r="B4" s="8" t="s">
        <v>102</v>
      </c>
    </row>
    <row r="5" spans="2:36">
      <c r="B5" s="129" t="s">
        <v>103</v>
      </c>
    </row>
    <row r="6" spans="2:36">
      <c r="B6" s="129" t="s">
        <v>104</v>
      </c>
    </row>
    <row r="7" spans="2:36" ht="16.5" thickBot="1"/>
    <row r="8" spans="2:36" ht="16.5" thickBot="1">
      <c r="B8" s="8" t="s">
        <v>105</v>
      </c>
      <c r="D8" s="1303" t="s">
        <v>130</v>
      </c>
    </row>
    <row r="11" spans="2:36">
      <c r="B11" s="112" t="s">
        <v>43</v>
      </c>
      <c r="C11" s="112" t="s">
        <v>42</v>
      </c>
      <c r="D11" s="112" t="s">
        <v>107</v>
      </c>
      <c r="E11" s="112" t="s">
        <v>108</v>
      </c>
      <c r="F11" s="112" t="s">
        <v>109</v>
      </c>
      <c r="G11" s="112" t="s">
        <v>50</v>
      </c>
      <c r="H11" s="113" t="s">
        <v>110</v>
      </c>
      <c r="I11" s="113" t="s">
        <v>111</v>
      </c>
      <c r="J11" s="113" t="s">
        <v>112</v>
      </c>
      <c r="K11" s="113" t="s">
        <v>113</v>
      </c>
      <c r="L11" s="113" t="s">
        <v>114</v>
      </c>
      <c r="M11" s="112" t="s">
        <v>115</v>
      </c>
      <c r="N11" s="112" t="s">
        <v>116</v>
      </c>
      <c r="O11" s="112" t="s">
        <v>117</v>
      </c>
      <c r="P11" s="112" t="s">
        <v>118</v>
      </c>
      <c r="Q11" s="112" t="s">
        <v>119</v>
      </c>
      <c r="R11" s="112" t="s">
        <v>120</v>
      </c>
      <c r="S11" s="112" t="s">
        <v>121</v>
      </c>
      <c r="T11" s="112" t="s">
        <v>122</v>
      </c>
      <c r="U11" s="112" t="s">
        <v>123</v>
      </c>
      <c r="V11" s="114" t="s">
        <v>124</v>
      </c>
      <c r="W11" s="112" t="s">
        <v>125</v>
      </c>
      <c r="X11" s="112" t="s">
        <v>45</v>
      </c>
      <c r="Y11" s="8" t="s">
        <v>126</v>
      </c>
      <c r="Z11" s="8" t="s">
        <v>127</v>
      </c>
      <c r="AA11" s="8" t="s">
        <v>46</v>
      </c>
      <c r="AB11" s="8" t="s">
        <v>128</v>
      </c>
      <c r="AC11" s="8" t="s">
        <v>47</v>
      </c>
      <c r="AD11" s="8" t="s">
        <v>129</v>
      </c>
      <c r="AE11" s="8" t="s">
        <v>130</v>
      </c>
      <c r="AF11" s="8" t="s">
        <v>131</v>
      </c>
      <c r="AG11" s="112" t="s">
        <v>106</v>
      </c>
      <c r="AH11" s="2019" t="s">
        <v>2444</v>
      </c>
      <c r="AI11" s="2019" t="s">
        <v>2480</v>
      </c>
      <c r="AJ11" s="2030" t="s">
        <v>2481</v>
      </c>
    </row>
    <row r="12" spans="2:36">
      <c r="B12" s="8" t="s">
        <v>132</v>
      </c>
      <c r="C12" s="8" t="s">
        <v>133</v>
      </c>
      <c r="D12" s="8" t="s">
        <v>134</v>
      </c>
      <c r="E12" s="130" t="s">
        <v>135</v>
      </c>
      <c r="F12" s="8" t="s">
        <v>136</v>
      </c>
      <c r="G12" s="8" t="s">
        <v>137</v>
      </c>
      <c r="H12" s="9" t="s">
        <v>138</v>
      </c>
      <c r="I12" s="9" t="s">
        <v>139</v>
      </c>
      <c r="J12" s="9" t="s">
        <v>140</v>
      </c>
      <c r="K12" s="131" t="s">
        <v>141</v>
      </c>
      <c r="L12" s="1153" t="s">
        <v>142</v>
      </c>
      <c r="M12" s="9">
        <v>0</v>
      </c>
      <c r="N12" s="9" t="s">
        <v>143</v>
      </c>
      <c r="O12" s="9">
        <v>2002</v>
      </c>
      <c r="P12" s="9" t="s">
        <v>144</v>
      </c>
      <c r="Q12" s="9" t="s">
        <v>145</v>
      </c>
      <c r="R12" s="9" t="s">
        <v>146</v>
      </c>
      <c r="S12" s="9" t="s">
        <v>147</v>
      </c>
      <c r="T12" s="9" t="s">
        <v>148</v>
      </c>
      <c r="U12" s="9" t="s">
        <v>149</v>
      </c>
      <c r="V12" s="132" t="s">
        <v>2317</v>
      </c>
      <c r="W12" s="8" t="s">
        <v>150</v>
      </c>
      <c r="X12" s="8" t="s">
        <v>151</v>
      </c>
      <c r="Y12" s="8" t="s">
        <v>152</v>
      </c>
      <c r="Z12" s="8" t="s">
        <v>153</v>
      </c>
      <c r="AA12" s="8" t="s">
        <v>154</v>
      </c>
      <c r="AB12" s="472" t="s">
        <v>155</v>
      </c>
      <c r="AC12" s="589" t="s">
        <v>156</v>
      </c>
      <c r="AD12" s="293">
        <v>1</v>
      </c>
      <c r="AE12" s="8" t="s">
        <v>157</v>
      </c>
      <c r="AF12" s="8" t="s">
        <v>158</v>
      </c>
      <c r="AG12" s="9" t="s">
        <v>146</v>
      </c>
      <c r="AH12" s="9" t="s">
        <v>2445</v>
      </c>
      <c r="AI12" s="9" t="b">
        <v>1</v>
      </c>
      <c r="AJ12" s="1650" t="s">
        <v>2509</v>
      </c>
    </row>
    <row r="13" spans="2:36">
      <c r="B13" s="8" t="s">
        <v>159</v>
      </c>
      <c r="C13" s="8" t="s">
        <v>160</v>
      </c>
      <c r="D13" s="8" t="s">
        <v>161</v>
      </c>
      <c r="E13" s="130" t="s">
        <v>162</v>
      </c>
      <c r="F13" s="8" t="s">
        <v>163</v>
      </c>
      <c r="G13" s="8" t="s">
        <v>164</v>
      </c>
      <c r="H13" s="9" t="s">
        <v>165</v>
      </c>
      <c r="I13" s="9" t="s">
        <v>166</v>
      </c>
      <c r="J13" s="9" t="s">
        <v>167</v>
      </c>
      <c r="K13" s="131" t="s">
        <v>168</v>
      </c>
      <c r="L13" s="1153" t="s">
        <v>169</v>
      </c>
      <c r="M13" s="9">
        <v>1</v>
      </c>
      <c r="N13" s="9" t="s">
        <v>170</v>
      </c>
      <c r="O13" s="9">
        <f t="shared" ref="O13:O41" si="0">O12+1</f>
        <v>2003</v>
      </c>
      <c r="P13" s="9" t="s">
        <v>171</v>
      </c>
      <c r="Q13" s="9" t="s">
        <v>172</v>
      </c>
      <c r="R13" s="9" t="s">
        <v>173</v>
      </c>
      <c r="S13" s="9" t="s">
        <v>174</v>
      </c>
      <c r="T13" s="9" t="s">
        <v>175</v>
      </c>
      <c r="U13" s="9" t="s">
        <v>176</v>
      </c>
      <c r="V13" s="132" t="s">
        <v>89</v>
      </c>
      <c r="W13" s="8" t="s">
        <v>177</v>
      </c>
      <c r="X13" s="8" t="s">
        <v>178</v>
      </c>
      <c r="Y13" s="8" t="s">
        <v>179</v>
      </c>
      <c r="Z13" s="8" t="s">
        <v>180</v>
      </c>
      <c r="AA13" s="8" t="s">
        <v>181</v>
      </c>
      <c r="AB13" s="472" t="s">
        <v>182</v>
      </c>
      <c r="AC13" s="589" t="s">
        <v>183</v>
      </c>
      <c r="AD13" s="293">
        <v>1.3</v>
      </c>
      <c r="AE13" s="8" t="s">
        <v>184</v>
      </c>
      <c r="AF13" s="8" t="s">
        <v>185</v>
      </c>
      <c r="AG13" s="9" t="s">
        <v>173</v>
      </c>
      <c r="AH13" s="9" t="s">
        <v>2446</v>
      </c>
      <c r="AI13" s="9" t="b">
        <v>0</v>
      </c>
      <c r="AJ13" s="1650" t="s">
        <v>2510</v>
      </c>
    </row>
    <row r="14" spans="2:36">
      <c r="B14" s="8" t="s">
        <v>186</v>
      </c>
      <c r="C14" s="8" t="s">
        <v>187</v>
      </c>
      <c r="D14" s="8" t="s">
        <v>188</v>
      </c>
      <c r="E14" s="133">
        <v>1</v>
      </c>
      <c r="F14" s="8" t="s">
        <v>96</v>
      </c>
      <c r="G14" s="8" t="s">
        <v>96</v>
      </c>
      <c r="H14" s="9" t="s">
        <v>189</v>
      </c>
      <c r="I14" s="9" t="s">
        <v>190</v>
      </c>
      <c r="J14" s="9" t="s">
        <v>191</v>
      </c>
      <c r="K14" s="131">
        <v>1</v>
      </c>
      <c r="L14" s="1153" t="s">
        <v>192</v>
      </c>
      <c r="M14" s="9">
        <v>2</v>
      </c>
      <c r="O14" s="9">
        <f t="shared" si="0"/>
        <v>2004</v>
      </c>
      <c r="P14" s="9" t="s">
        <v>193</v>
      </c>
      <c r="Q14" s="9" t="s">
        <v>194</v>
      </c>
      <c r="R14" s="9" t="s">
        <v>195</v>
      </c>
      <c r="S14" s="9" t="s">
        <v>196</v>
      </c>
      <c r="T14" s="9" t="s">
        <v>197</v>
      </c>
      <c r="V14" s="132" t="s">
        <v>88</v>
      </c>
      <c r="W14" s="8" t="s">
        <v>198</v>
      </c>
      <c r="X14" s="8" t="s">
        <v>199</v>
      </c>
      <c r="Y14" s="8" t="s">
        <v>200</v>
      </c>
      <c r="Z14" s="8" t="s">
        <v>201</v>
      </c>
      <c r="AA14" s="8" t="s">
        <v>202</v>
      </c>
      <c r="AB14" s="472" t="s">
        <v>203</v>
      </c>
      <c r="AC14" s="589" t="s">
        <v>204</v>
      </c>
      <c r="AF14" s="8" t="s">
        <v>2414</v>
      </c>
      <c r="AI14" s="9"/>
      <c r="AJ14" s="1650" t="s">
        <v>2511</v>
      </c>
    </row>
    <row r="15" spans="2:36">
      <c r="B15" s="8" t="s">
        <v>96</v>
      </c>
      <c r="C15" s="8" t="s">
        <v>205</v>
      </c>
      <c r="D15" s="8" t="s">
        <v>206</v>
      </c>
      <c r="E15" s="130" t="s">
        <v>207</v>
      </c>
      <c r="H15" s="9" t="s">
        <v>208</v>
      </c>
      <c r="I15" s="9" t="s">
        <v>175</v>
      </c>
      <c r="J15" s="9" t="s">
        <v>96</v>
      </c>
      <c r="K15" s="131">
        <v>2</v>
      </c>
      <c r="L15" s="1153" t="s">
        <v>209</v>
      </c>
      <c r="M15" s="9">
        <v>3</v>
      </c>
      <c r="O15" s="9">
        <f t="shared" si="0"/>
        <v>2005</v>
      </c>
      <c r="Q15" s="9" t="s">
        <v>96</v>
      </c>
      <c r="T15" s="9" t="s">
        <v>210</v>
      </c>
      <c r="V15" s="132" t="s">
        <v>2318</v>
      </c>
      <c r="W15" s="8" t="s">
        <v>211</v>
      </c>
      <c r="Y15" s="8" t="s">
        <v>212</v>
      </c>
      <c r="Z15" s="8" t="s">
        <v>213</v>
      </c>
      <c r="AA15" s="8" t="s">
        <v>214</v>
      </c>
      <c r="AB15" s="472" t="s">
        <v>215</v>
      </c>
      <c r="AC15" s="589" t="s">
        <v>216</v>
      </c>
      <c r="AF15" s="8" t="s">
        <v>2437</v>
      </c>
      <c r="AI15" s="9"/>
      <c r="AJ15" s="1650" t="s">
        <v>2512</v>
      </c>
    </row>
    <row r="16" spans="2:36">
      <c r="C16" s="8" t="s">
        <v>217</v>
      </c>
      <c r="D16" s="8" t="s">
        <v>96</v>
      </c>
      <c r="E16" s="130" t="s">
        <v>96</v>
      </c>
      <c r="H16" s="9" t="s">
        <v>218</v>
      </c>
      <c r="I16" s="9" t="s">
        <v>96</v>
      </c>
      <c r="K16" s="131">
        <v>3</v>
      </c>
      <c r="L16" s="1153" t="s">
        <v>219</v>
      </c>
      <c r="M16" s="9">
        <v>4</v>
      </c>
      <c r="O16" s="9">
        <f t="shared" si="0"/>
        <v>2006</v>
      </c>
      <c r="V16" s="132" t="s">
        <v>2283</v>
      </c>
      <c r="W16" s="8" t="s">
        <v>220</v>
      </c>
      <c r="Y16" s="8" t="s">
        <v>221</v>
      </c>
      <c r="Z16" s="8" t="s">
        <v>92</v>
      </c>
      <c r="AA16" s="8" t="s">
        <v>222</v>
      </c>
      <c r="AB16" s="472" t="s">
        <v>223</v>
      </c>
      <c r="AC16" s="589" t="s">
        <v>224</v>
      </c>
      <c r="AF16" s="8" t="s">
        <v>96</v>
      </c>
      <c r="AI16" s="9"/>
      <c r="AJ16" s="1650" t="s">
        <v>2513</v>
      </c>
    </row>
    <row r="17" spans="3:36">
      <c r="C17" s="8" t="s">
        <v>226</v>
      </c>
      <c r="H17" s="9" t="s">
        <v>227</v>
      </c>
      <c r="K17" s="131">
        <v>4</v>
      </c>
      <c r="L17" s="1153" t="s">
        <v>228</v>
      </c>
      <c r="M17" s="9">
        <v>5</v>
      </c>
      <c r="O17" s="9">
        <f t="shared" si="0"/>
        <v>2007</v>
      </c>
      <c r="V17" s="132" t="s">
        <v>2295</v>
      </c>
      <c r="W17" s="8" t="s">
        <v>229</v>
      </c>
      <c r="Y17" s="8" t="s">
        <v>230</v>
      </c>
      <c r="Z17" s="8" t="s">
        <v>93</v>
      </c>
      <c r="AA17" s="8" t="s">
        <v>231</v>
      </c>
      <c r="AB17" s="472" t="s">
        <v>232</v>
      </c>
      <c r="AC17" s="589" t="s">
        <v>233</v>
      </c>
      <c r="AI17" s="9"/>
      <c r="AJ17" s="1650" t="s">
        <v>2514</v>
      </c>
    </row>
    <row r="18" spans="3:36">
      <c r="C18" s="8" t="s">
        <v>96</v>
      </c>
      <c r="H18" s="9" t="s">
        <v>234</v>
      </c>
      <c r="K18" s="131">
        <v>5</v>
      </c>
      <c r="L18" s="1153" t="s">
        <v>235</v>
      </c>
      <c r="M18" s="9">
        <v>6</v>
      </c>
      <c r="O18" s="9">
        <f t="shared" si="0"/>
        <v>2008</v>
      </c>
      <c r="V18" s="132" t="s">
        <v>2292</v>
      </c>
      <c r="W18" s="8" t="s">
        <v>236</v>
      </c>
      <c r="Y18" s="8" t="s">
        <v>237</v>
      </c>
      <c r="Z18" s="8" t="s">
        <v>96</v>
      </c>
      <c r="AB18" s="472" t="s">
        <v>2458</v>
      </c>
      <c r="AI18" s="9"/>
      <c r="AJ18" s="1650" t="s">
        <v>2515</v>
      </c>
    </row>
    <row r="19" spans="3:36">
      <c r="H19" s="9" t="s">
        <v>238</v>
      </c>
      <c r="L19" s="1153" t="s">
        <v>239</v>
      </c>
      <c r="M19" s="9">
        <v>7</v>
      </c>
      <c r="O19" s="9">
        <f t="shared" si="0"/>
        <v>2009</v>
      </c>
      <c r="V19" s="132" t="s">
        <v>84</v>
      </c>
      <c r="Y19" s="8" t="s">
        <v>240</v>
      </c>
      <c r="AI19" s="9"/>
      <c r="AJ19" s="1650" t="s">
        <v>2516</v>
      </c>
    </row>
    <row r="20" spans="3:36">
      <c r="H20" s="9" t="s">
        <v>96</v>
      </c>
      <c r="L20" s="1153" t="s">
        <v>241</v>
      </c>
      <c r="M20" s="9">
        <v>8</v>
      </c>
      <c r="O20" s="9">
        <f t="shared" si="0"/>
        <v>2010</v>
      </c>
      <c r="V20" s="132" t="s">
        <v>2319</v>
      </c>
      <c r="Y20" s="8" t="s">
        <v>96</v>
      </c>
      <c r="AI20" s="9"/>
      <c r="AJ20" s="1650" t="s">
        <v>2517</v>
      </c>
    </row>
    <row r="21" spans="3:36">
      <c r="L21" s="1153" t="s">
        <v>242</v>
      </c>
      <c r="M21" s="9">
        <v>9</v>
      </c>
      <c r="O21" s="9">
        <f t="shared" si="0"/>
        <v>2011</v>
      </c>
      <c r="V21" s="132" t="s">
        <v>86</v>
      </c>
      <c r="AI21" s="9"/>
      <c r="AJ21" s="1650" t="s">
        <v>2518</v>
      </c>
    </row>
    <row r="22" spans="3:36">
      <c r="L22" s="1153" t="s">
        <v>243</v>
      </c>
      <c r="M22" s="9">
        <v>10</v>
      </c>
      <c r="O22" s="9">
        <f t="shared" si="0"/>
        <v>2012</v>
      </c>
      <c r="V22" s="132" t="s">
        <v>87</v>
      </c>
      <c r="AI22" s="9"/>
      <c r="AJ22" s="1650" t="s">
        <v>2519</v>
      </c>
    </row>
    <row r="23" spans="3:36">
      <c r="M23" s="9">
        <v>11</v>
      </c>
      <c r="O23" s="9">
        <f t="shared" si="0"/>
        <v>2013</v>
      </c>
      <c r="V23" s="132" t="s">
        <v>2320</v>
      </c>
      <c r="AI23" s="9"/>
      <c r="AJ23" s="1650" t="s">
        <v>2520</v>
      </c>
    </row>
    <row r="24" spans="3:36">
      <c r="M24" s="9">
        <v>12</v>
      </c>
      <c r="O24" s="9">
        <f t="shared" si="0"/>
        <v>2014</v>
      </c>
      <c r="V24" s="132" t="s">
        <v>2321</v>
      </c>
      <c r="AI24" s="9"/>
      <c r="AJ24" s="1650" t="s">
        <v>2521</v>
      </c>
    </row>
    <row r="25" spans="3:36">
      <c r="O25" s="9">
        <f t="shared" si="0"/>
        <v>2015</v>
      </c>
      <c r="V25" s="132" t="s">
        <v>2322</v>
      </c>
      <c r="AI25" s="9"/>
      <c r="AJ25" s="1650" t="s">
        <v>2522</v>
      </c>
    </row>
    <row r="26" spans="3:36">
      <c r="O26" s="9">
        <f t="shared" si="0"/>
        <v>2016</v>
      </c>
      <c r="V26" s="1670" t="s">
        <v>91</v>
      </c>
      <c r="AI26" s="9"/>
      <c r="AJ26" s="1650" t="s">
        <v>2523</v>
      </c>
    </row>
    <row r="27" spans="3:36">
      <c r="O27" s="9">
        <f t="shared" si="0"/>
        <v>2017</v>
      </c>
      <c r="V27" s="1670" t="s">
        <v>90</v>
      </c>
      <c r="AI27" s="9"/>
      <c r="AJ27" s="1650" t="s">
        <v>2524</v>
      </c>
    </row>
    <row r="28" spans="3:36">
      <c r="O28" s="9">
        <f t="shared" si="0"/>
        <v>2018</v>
      </c>
      <c r="V28" s="1670" t="s">
        <v>95</v>
      </c>
    </row>
    <row r="29" spans="3:36">
      <c r="O29" s="9">
        <f t="shared" si="0"/>
        <v>2019</v>
      </c>
      <c r="V29" s="1670" t="s">
        <v>2323</v>
      </c>
    </row>
    <row r="30" spans="3:36">
      <c r="O30" s="9">
        <f t="shared" si="0"/>
        <v>2020</v>
      </c>
      <c r="V30" s="1670" t="s">
        <v>92</v>
      </c>
    </row>
    <row r="31" spans="3:36">
      <c r="O31" s="9">
        <f t="shared" si="0"/>
        <v>2021</v>
      </c>
      <c r="V31" s="1670" t="s">
        <v>96</v>
      </c>
    </row>
    <row r="32" spans="3:36">
      <c r="O32" s="9">
        <f t="shared" si="0"/>
        <v>2022</v>
      </c>
      <c r="V32" s="1670" t="s">
        <v>2296</v>
      </c>
    </row>
    <row r="33" spans="15:22">
      <c r="O33" s="9">
        <f t="shared" si="0"/>
        <v>2023</v>
      </c>
      <c r="V33" s="1670" t="s">
        <v>2293</v>
      </c>
    </row>
    <row r="34" spans="15:22">
      <c r="O34" s="9">
        <f t="shared" si="0"/>
        <v>2024</v>
      </c>
      <c r="V34" s="1670" t="s">
        <v>161</v>
      </c>
    </row>
    <row r="35" spans="15:22">
      <c r="O35" s="9">
        <f t="shared" si="0"/>
        <v>2025</v>
      </c>
      <c r="V35" s="1670" t="s">
        <v>2324</v>
      </c>
    </row>
    <row r="36" spans="15:22">
      <c r="O36" s="9">
        <f t="shared" si="0"/>
        <v>2026</v>
      </c>
      <c r="V36" s="1670" t="s">
        <v>2294</v>
      </c>
    </row>
    <row r="37" spans="15:22">
      <c r="O37" s="9">
        <f t="shared" si="0"/>
        <v>2027</v>
      </c>
      <c r="V37" s="1670" t="s">
        <v>85</v>
      </c>
    </row>
    <row r="38" spans="15:22">
      <c r="O38" s="9">
        <f t="shared" si="0"/>
        <v>2028</v>
      </c>
      <c r="V38" s="1670" t="s">
        <v>93</v>
      </c>
    </row>
    <row r="39" spans="15:22">
      <c r="O39" s="9">
        <f t="shared" si="0"/>
        <v>2029</v>
      </c>
      <c r="V39" s="1670" t="s">
        <v>2325</v>
      </c>
    </row>
    <row r="40" spans="15:22">
      <c r="O40" s="9">
        <f t="shared" si="0"/>
        <v>2030</v>
      </c>
      <c r="V40" s="1670" t="s">
        <v>2326</v>
      </c>
    </row>
    <row r="41" spans="15:22">
      <c r="O41" s="9">
        <f t="shared" si="0"/>
        <v>2031</v>
      </c>
      <c r="V41" s="1670" t="s">
        <v>94</v>
      </c>
    </row>
    <row r="42" spans="15:22">
      <c r="V42" s="1670" t="s">
        <v>1224</v>
      </c>
    </row>
    <row r="43" spans="15:22">
      <c r="V43" s="1670" t="s">
        <v>83</v>
      </c>
    </row>
    <row r="44" spans="15:22">
      <c r="V44" s="1670" t="s">
        <v>82</v>
      </c>
    </row>
    <row r="45" spans="15:22">
      <c r="V45" s="1670" t="s">
        <v>2327</v>
      </c>
    </row>
    <row r="46" spans="15:22">
      <c r="V46" s="1670" t="s">
        <v>63</v>
      </c>
    </row>
    <row r="47" spans="15:22">
      <c r="V47" s="1670" t="s">
        <v>1228</v>
      </c>
    </row>
    <row r="48" spans="15:22">
      <c r="V48" s="1670" t="s">
        <v>1230</v>
      </c>
    </row>
    <row r="49" spans="22:22">
      <c r="V49" s="1670" t="s">
        <v>1231</v>
      </c>
    </row>
    <row r="50" spans="22:22">
      <c r="V50" s="1670" t="s">
        <v>2378</v>
      </c>
    </row>
    <row r="51" spans="22:22">
      <c r="V51" s="1670" t="s">
        <v>2403</v>
      </c>
    </row>
    <row r="52" spans="22:22">
      <c r="V52" s="1670" t="s">
        <v>2379</v>
      </c>
    </row>
    <row r="53" spans="22:22">
      <c r="V53" s="1670" t="s">
        <v>2380</v>
      </c>
    </row>
    <row r="54" spans="22:22">
      <c r="V54" s="1670" t="s">
        <v>2381</v>
      </c>
    </row>
    <row r="55" spans="22:22">
      <c r="V55" s="1670" t="s">
        <v>2382</v>
      </c>
    </row>
    <row r="56" spans="22:22">
      <c r="V56" s="1840" t="s">
        <v>2411</v>
      </c>
    </row>
    <row r="57" spans="22:22">
      <c r="V57" s="1840" t="s">
        <v>2412</v>
      </c>
    </row>
    <row r="58" spans="22:22">
      <c r="V58" s="1840" t="s">
        <v>2413</v>
      </c>
    </row>
    <row r="59" spans="22:22">
      <c r="V59" s="1871" t="s">
        <v>2436</v>
      </c>
    </row>
  </sheetData>
  <sheetProtection formatCells="0" formatColumns="0" formatRows="0"/>
  <dataValidations disablePrompts="1" count="1">
    <dataValidation type="list" allowBlank="1" showInputMessage="1" showErrorMessage="1" sqref="D8" xr:uid="{00000000-0002-0000-0300-000000000000}">
      <formula1>$B$11:$AG$11</formula1>
    </dataValidation>
  </dataValidations>
  <pageMargins left="0.7" right="0.7" top="0.75" bottom="0.75" header="0.3" footer="0.3"/>
  <pageSetup orientation="portrait" r:id="rId1"/>
  <drawing r:id="rId2"/>
  <tableParts count="3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st00_4_Tables">
    <tabColor theme="0" tint="-0.34998626667073579"/>
  </sheetPr>
  <dimension ref="A1:EC335"/>
  <sheetViews>
    <sheetView zoomScale="85" zoomScaleNormal="85" workbookViewId="0"/>
  </sheetViews>
  <sheetFormatPr defaultColWidth="0" defaultRowHeight="12.75" zeroHeight="1"/>
  <cols>
    <col min="1" max="1" width="3" style="11" bestFit="1" customWidth="1"/>
    <col min="2" max="2" width="30.5" style="11" customWidth="1"/>
    <col min="3" max="3" width="31" style="11" customWidth="1"/>
    <col min="4" max="4" width="15" style="11" customWidth="1"/>
    <col min="5" max="5" width="14.5" style="11" customWidth="1"/>
    <col min="6" max="6" width="21.5" style="11" customWidth="1"/>
    <col min="7" max="7" width="13.5" style="11" customWidth="1"/>
    <col min="8" max="8" width="17.33203125" style="11" bestFit="1" customWidth="1"/>
    <col min="9" max="9" width="13" style="11" customWidth="1"/>
    <col min="10" max="10" width="10.5" style="11" bestFit="1" customWidth="1"/>
    <col min="11" max="11" width="11.83203125" style="11" bestFit="1" customWidth="1"/>
    <col min="12" max="12" width="13.33203125" style="11" bestFit="1" customWidth="1"/>
    <col min="13" max="13" width="13.83203125" style="11" bestFit="1" customWidth="1"/>
    <col min="14" max="14" width="11.6640625" style="11" bestFit="1" customWidth="1"/>
    <col min="15" max="15" width="11.83203125" style="11" bestFit="1" customWidth="1"/>
    <col min="16" max="16" width="10.5" style="11" bestFit="1" customWidth="1"/>
    <col min="17" max="17" width="11.83203125" style="11" bestFit="1" customWidth="1"/>
    <col min="18" max="18" width="13.33203125" style="11" bestFit="1" customWidth="1"/>
    <col min="19" max="19" width="13.83203125" style="11" bestFit="1" customWidth="1"/>
    <col min="20" max="21" width="11.83203125" style="11" bestFit="1" customWidth="1"/>
    <col min="22" max="22" width="10.5" style="11" bestFit="1" customWidth="1"/>
    <col min="23" max="23" width="11.83203125" style="11" bestFit="1" customWidth="1"/>
    <col min="24" max="24" width="13.1640625" style="11" bestFit="1" customWidth="1"/>
    <col min="25" max="25" width="13.6640625" style="11" bestFit="1" customWidth="1"/>
    <col min="26" max="27" width="11.6640625" style="11" bestFit="1" customWidth="1"/>
    <col min="28" max="28" width="10.5" style="11" bestFit="1" customWidth="1"/>
    <col min="29" max="29" width="11.6640625" style="11" bestFit="1" customWidth="1"/>
    <col min="30" max="30" width="13.1640625" style="11" bestFit="1" customWidth="1"/>
    <col min="31" max="31" width="13.6640625" style="11" bestFit="1" customWidth="1"/>
    <col min="32" max="33" width="11.6640625" style="11" bestFit="1" customWidth="1"/>
    <col min="34" max="34" width="16" style="11" bestFit="1" customWidth="1"/>
    <col min="35" max="35" width="12" style="11" bestFit="1" customWidth="1"/>
    <col min="36" max="37" width="13" style="11" bestFit="1" customWidth="1"/>
    <col min="38" max="38" width="12" style="11" bestFit="1" customWidth="1"/>
    <col min="39" max="39" width="12.5" style="11" bestFit="1" customWidth="1"/>
    <col min="40" max="40" width="16" style="11" bestFit="1" customWidth="1"/>
    <col min="41" max="41" width="20.5" style="11" customWidth="1"/>
    <col min="42" max="52" width="9.5" style="11" customWidth="1"/>
    <col min="53" max="133" width="0" style="11" hidden="1" customWidth="1"/>
    <col min="134" max="16384" width="9.5" style="11" hidden="1"/>
  </cols>
  <sheetData>
    <row r="1" spans="1:133" ht="26.25">
      <c r="A1" s="61" t="s">
        <v>244</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c r="DW1" s="630"/>
      <c r="DX1" s="630"/>
      <c r="DY1" s="630"/>
      <c r="DZ1" s="630"/>
      <c r="EA1" s="630"/>
      <c r="EB1" s="630"/>
      <c r="EC1" s="630"/>
    </row>
    <row r="2" spans="1:133" ht="21">
      <c r="A2" s="663" t="str">
        <f>IF(rng01_ProjectName="","[Project Name]", rng01_ProjectName)</f>
        <v>[Project Name]</v>
      </c>
      <c r="B2" s="664"/>
      <c r="C2" s="664"/>
      <c r="D2" s="665"/>
      <c r="E2" s="666"/>
      <c r="F2" s="667"/>
      <c r="G2" s="676" t="s">
        <v>245</v>
      </c>
      <c r="H2" s="667">
        <f>tbl00ModelProgress[[#Totals],[Date of Progress /
Last Edit]]</f>
        <v>0</v>
      </c>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row>
    <row r="3" spans="1:133" ht="13.5" thickBot="1"/>
    <row r="4" spans="1:133" ht="21.75" thickBot="1">
      <c r="B4" s="473" t="s">
        <v>246</v>
      </c>
      <c r="C4" s="20"/>
      <c r="D4" s="21"/>
      <c r="E4" s="474"/>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c r="AW4" s="616"/>
    </row>
    <row r="5" spans="1:133" ht="13.5" thickBot="1"/>
    <row r="6" spans="1:133" s="164" customFormat="1" ht="31.5">
      <c r="B6" s="1076" t="s">
        <v>247</v>
      </c>
      <c r="C6" s="1077" t="s">
        <v>28</v>
      </c>
      <c r="D6" s="1078" t="s">
        <v>248</v>
      </c>
      <c r="E6" s="1078" t="s">
        <v>249</v>
      </c>
      <c r="F6" s="1078" t="s">
        <v>250</v>
      </c>
      <c r="G6" s="1078" t="s">
        <v>251</v>
      </c>
      <c r="H6" s="1078" t="s">
        <v>252</v>
      </c>
      <c r="I6" s="1078" t="s">
        <v>253</v>
      </c>
      <c r="J6" s="1078" t="s">
        <v>254</v>
      </c>
      <c r="K6" s="1078" t="s">
        <v>255</v>
      </c>
      <c r="L6" s="1078" t="s">
        <v>256</v>
      </c>
      <c r="M6" s="1078" t="s">
        <v>257</v>
      </c>
      <c r="N6" s="1078" t="s">
        <v>258</v>
      </c>
      <c r="O6" s="1078" t="s">
        <v>259</v>
      </c>
      <c r="P6" s="1078" t="s">
        <v>260</v>
      </c>
      <c r="Q6" s="1078" t="s">
        <v>261</v>
      </c>
      <c r="R6" s="1078" t="s">
        <v>262</v>
      </c>
      <c r="S6" s="1078" t="s">
        <v>263</v>
      </c>
      <c r="T6" s="1078" t="s">
        <v>264</v>
      </c>
      <c r="U6" s="1078" t="s">
        <v>265</v>
      </c>
      <c r="V6" s="1078" t="s">
        <v>266</v>
      </c>
      <c r="W6" s="1078" t="s">
        <v>267</v>
      </c>
      <c r="X6" s="1078" t="s">
        <v>268</v>
      </c>
      <c r="Y6" s="1078" t="s">
        <v>269</v>
      </c>
      <c r="Z6" s="1078" t="s">
        <v>270</v>
      </c>
      <c r="AA6" s="1078" t="s">
        <v>271</v>
      </c>
      <c r="AB6" s="1078" t="s">
        <v>272</v>
      </c>
      <c r="AC6" s="1078" t="s">
        <v>273</v>
      </c>
      <c r="AD6" s="1078" t="s">
        <v>274</v>
      </c>
      <c r="AE6" s="1078" t="s">
        <v>275</v>
      </c>
      <c r="AF6" s="1078" t="s">
        <v>276</v>
      </c>
      <c r="AG6" s="1078" t="s">
        <v>277</v>
      </c>
      <c r="AH6" s="1078" t="s">
        <v>99</v>
      </c>
      <c r="AI6" s="1078" t="s">
        <v>278</v>
      </c>
      <c r="AJ6" s="1078" t="s">
        <v>279</v>
      </c>
      <c r="AK6" s="1078" t="s">
        <v>280</v>
      </c>
      <c r="AL6" s="1078" t="s">
        <v>281</v>
      </c>
      <c r="AM6" s="1078" t="s">
        <v>282</v>
      </c>
      <c r="AN6" s="1079" t="s">
        <v>283</v>
      </c>
      <c r="AO6" s="1080" t="s">
        <v>284</v>
      </c>
    </row>
    <row r="7" spans="1:133" ht="15.75">
      <c r="B7" s="1081">
        <v>1</v>
      </c>
      <c r="C7" s="1072" t="s">
        <v>285</v>
      </c>
      <c r="D7" s="1073"/>
      <c r="E7" s="1073">
        <v>1233</v>
      </c>
      <c r="F7" s="1073">
        <v>1001</v>
      </c>
      <c r="G7" s="1073">
        <v>1233</v>
      </c>
      <c r="H7" s="1073">
        <v>1001</v>
      </c>
      <c r="I7" s="1073">
        <v>1201</v>
      </c>
      <c r="J7" s="1073"/>
      <c r="K7" s="1073">
        <v>1319</v>
      </c>
      <c r="L7" s="1073">
        <v>1072</v>
      </c>
      <c r="M7" s="1073">
        <v>1319</v>
      </c>
      <c r="N7" s="1073">
        <v>1072</v>
      </c>
      <c r="O7" s="1073">
        <v>1287</v>
      </c>
      <c r="P7" s="1073"/>
      <c r="Q7" s="1073">
        <v>1614</v>
      </c>
      <c r="R7" s="1073">
        <v>1286</v>
      </c>
      <c r="S7" s="1073">
        <v>1614</v>
      </c>
      <c r="T7" s="1073">
        <v>1286</v>
      </c>
      <c r="U7" s="1073">
        <v>1543</v>
      </c>
      <c r="V7" s="1073"/>
      <c r="W7" s="1073">
        <v>1945</v>
      </c>
      <c r="X7" s="1073">
        <v>1486</v>
      </c>
      <c r="Y7" s="1073">
        <v>1898</v>
      </c>
      <c r="Z7" s="1073">
        <v>1486</v>
      </c>
      <c r="AA7" s="1073">
        <v>1783</v>
      </c>
      <c r="AB7" s="1073"/>
      <c r="AC7" s="1073">
        <v>2359</v>
      </c>
      <c r="AD7" s="1073">
        <v>1657</v>
      </c>
      <c r="AE7" s="1073">
        <v>2098</v>
      </c>
      <c r="AF7" s="1073">
        <v>1657</v>
      </c>
      <c r="AG7" s="1073">
        <v>1989</v>
      </c>
      <c r="AH7" s="1072" t="s">
        <v>286</v>
      </c>
      <c r="AI7" s="1072">
        <v>49800</v>
      </c>
      <c r="AJ7" s="1074">
        <v>1.5599999999999999E-2</v>
      </c>
      <c r="AK7" s="1074">
        <v>0.35</v>
      </c>
      <c r="AL7" s="1074">
        <v>1.0800000000000001E-2</v>
      </c>
      <c r="AM7" s="1074">
        <v>0.02</v>
      </c>
      <c r="AN7" s="1075">
        <v>16819</v>
      </c>
      <c r="AO7" s="1082">
        <v>57150</v>
      </c>
      <c r="AP7" s="2014" t="s">
        <v>2463</v>
      </c>
      <c r="AQ7" s="2014"/>
      <c r="AR7" s="2014"/>
      <c r="AS7" s="2014"/>
      <c r="AT7" s="2014"/>
    </row>
    <row r="8" spans="1:133" ht="15.75">
      <c r="B8" s="1081">
        <v>2</v>
      </c>
      <c r="C8" s="1072" t="s">
        <v>286</v>
      </c>
      <c r="D8" s="1073"/>
      <c r="E8" s="1073">
        <v>1233</v>
      </c>
      <c r="F8" s="1073">
        <v>1001</v>
      </c>
      <c r="G8" s="1073">
        <v>1233</v>
      </c>
      <c r="H8" s="1073">
        <v>1001</v>
      </c>
      <c r="I8" s="1073">
        <v>1201</v>
      </c>
      <c r="J8" s="1073"/>
      <c r="K8" s="1073">
        <v>1319</v>
      </c>
      <c r="L8" s="1073">
        <v>1072</v>
      </c>
      <c r="M8" s="1073">
        <v>1319</v>
      </c>
      <c r="N8" s="1073">
        <v>1072</v>
      </c>
      <c r="O8" s="1073">
        <v>1287</v>
      </c>
      <c r="P8" s="1073"/>
      <c r="Q8" s="1073">
        <v>1614</v>
      </c>
      <c r="R8" s="1073">
        <v>1286</v>
      </c>
      <c r="S8" s="1073">
        <v>1614</v>
      </c>
      <c r="T8" s="1073">
        <v>1286</v>
      </c>
      <c r="U8" s="1073">
        <v>1543</v>
      </c>
      <c r="V8" s="1073"/>
      <c r="W8" s="1073">
        <v>1945</v>
      </c>
      <c r="X8" s="1073">
        <v>1486</v>
      </c>
      <c r="Y8" s="1073">
        <v>1898</v>
      </c>
      <c r="Z8" s="1073">
        <v>1486</v>
      </c>
      <c r="AA8" s="1073">
        <v>1783</v>
      </c>
      <c r="AB8" s="1073"/>
      <c r="AC8" s="1073">
        <v>2359</v>
      </c>
      <c r="AD8" s="1073">
        <v>1657</v>
      </c>
      <c r="AE8" s="1073">
        <v>2098</v>
      </c>
      <c r="AF8" s="1073">
        <v>1657</v>
      </c>
      <c r="AG8" s="1073">
        <v>1989</v>
      </c>
      <c r="AH8" s="1072" t="s">
        <v>286</v>
      </c>
      <c r="AI8" s="1072">
        <v>49800</v>
      </c>
      <c r="AJ8" s="1074">
        <v>1.5599999999999999E-2</v>
      </c>
      <c r="AK8" s="1074">
        <v>0.35</v>
      </c>
      <c r="AL8" s="1074">
        <v>1.0800000000000001E-2</v>
      </c>
      <c r="AM8" s="1074">
        <v>0.02</v>
      </c>
      <c r="AN8" s="1075">
        <v>16819</v>
      </c>
      <c r="AO8" s="1082">
        <v>57150</v>
      </c>
    </row>
    <row r="9" spans="1:133" ht="15.75">
      <c r="B9" s="1081">
        <v>3</v>
      </c>
      <c r="C9" s="1072" t="s">
        <v>287</v>
      </c>
      <c r="D9" s="1073"/>
      <c r="E9" s="1073">
        <v>1233</v>
      </c>
      <c r="F9" s="1073">
        <v>1001</v>
      </c>
      <c r="G9" s="1073">
        <v>1233</v>
      </c>
      <c r="H9" s="1073">
        <v>1001</v>
      </c>
      <c r="I9" s="1073">
        <v>1201</v>
      </c>
      <c r="J9" s="1073"/>
      <c r="K9" s="1073">
        <v>1319</v>
      </c>
      <c r="L9" s="1073">
        <v>1072</v>
      </c>
      <c r="M9" s="1073">
        <v>1319</v>
      </c>
      <c r="N9" s="1073">
        <v>1072</v>
      </c>
      <c r="O9" s="1073">
        <v>1287</v>
      </c>
      <c r="P9" s="1073"/>
      <c r="Q9" s="1073">
        <v>1614</v>
      </c>
      <c r="R9" s="1073">
        <v>1286</v>
      </c>
      <c r="S9" s="1073">
        <v>1614</v>
      </c>
      <c r="T9" s="1073">
        <v>1286</v>
      </c>
      <c r="U9" s="1073">
        <v>1543</v>
      </c>
      <c r="V9" s="1073"/>
      <c r="W9" s="1073">
        <v>1945</v>
      </c>
      <c r="X9" s="1073">
        <v>1486</v>
      </c>
      <c r="Y9" s="1073">
        <v>1898</v>
      </c>
      <c r="Z9" s="1073">
        <v>1486</v>
      </c>
      <c r="AA9" s="1073">
        <v>1783</v>
      </c>
      <c r="AB9" s="1073"/>
      <c r="AC9" s="1073">
        <v>2359</v>
      </c>
      <c r="AD9" s="1073">
        <v>1657</v>
      </c>
      <c r="AE9" s="1073">
        <v>2098</v>
      </c>
      <c r="AF9" s="1073">
        <v>1657</v>
      </c>
      <c r="AG9" s="1073">
        <v>1989</v>
      </c>
      <c r="AH9" s="1072" t="s">
        <v>286</v>
      </c>
      <c r="AI9" s="1072">
        <v>49800</v>
      </c>
      <c r="AJ9" s="1074">
        <v>1.5599999999999999E-2</v>
      </c>
      <c r="AK9" s="1074">
        <v>0.35</v>
      </c>
      <c r="AL9" s="1074">
        <v>1.0800000000000001E-2</v>
      </c>
      <c r="AM9" s="1074">
        <v>0.02</v>
      </c>
      <c r="AN9" s="1075">
        <v>16819</v>
      </c>
      <c r="AO9" s="1082">
        <v>57150</v>
      </c>
    </row>
    <row r="10" spans="1:133" ht="15.75">
      <c r="B10" s="1081">
        <v>4</v>
      </c>
      <c r="C10" s="1072" t="s">
        <v>288</v>
      </c>
      <c r="D10" s="1073"/>
      <c r="E10" s="1073">
        <v>1233</v>
      </c>
      <c r="F10" s="1073">
        <v>1001</v>
      </c>
      <c r="G10" s="1073">
        <v>1233</v>
      </c>
      <c r="H10" s="1073">
        <v>1001</v>
      </c>
      <c r="I10" s="1073">
        <v>1201</v>
      </c>
      <c r="J10" s="1073"/>
      <c r="K10" s="1073">
        <v>1319</v>
      </c>
      <c r="L10" s="1073">
        <v>1072</v>
      </c>
      <c r="M10" s="1073">
        <v>1319</v>
      </c>
      <c r="N10" s="1073">
        <v>1072</v>
      </c>
      <c r="O10" s="1073">
        <v>1287</v>
      </c>
      <c r="P10" s="1073"/>
      <c r="Q10" s="1073">
        <v>1614</v>
      </c>
      <c r="R10" s="1073">
        <v>1286</v>
      </c>
      <c r="S10" s="1073">
        <v>1614</v>
      </c>
      <c r="T10" s="1073">
        <v>1286</v>
      </c>
      <c r="U10" s="1073">
        <v>1543</v>
      </c>
      <c r="V10" s="1073"/>
      <c r="W10" s="1073">
        <v>1945</v>
      </c>
      <c r="X10" s="1073">
        <v>1486</v>
      </c>
      <c r="Y10" s="1073">
        <v>1898</v>
      </c>
      <c r="Z10" s="1073">
        <v>1486</v>
      </c>
      <c r="AA10" s="1073">
        <v>1783</v>
      </c>
      <c r="AB10" s="1073"/>
      <c r="AC10" s="1073">
        <v>2359</v>
      </c>
      <c r="AD10" s="1073">
        <v>1657</v>
      </c>
      <c r="AE10" s="1073">
        <v>2098</v>
      </c>
      <c r="AF10" s="1073">
        <v>1657</v>
      </c>
      <c r="AG10" s="1073">
        <v>1989</v>
      </c>
      <c r="AH10" s="1072" t="s">
        <v>286</v>
      </c>
      <c r="AI10" s="1072">
        <v>49800</v>
      </c>
      <c r="AJ10" s="1074">
        <v>1.5599999999999999E-2</v>
      </c>
      <c r="AK10" s="1074">
        <v>0.35</v>
      </c>
      <c r="AL10" s="1074">
        <v>1.0800000000000001E-2</v>
      </c>
      <c r="AM10" s="1074">
        <v>0.02</v>
      </c>
      <c r="AN10" s="1075">
        <v>16819</v>
      </c>
      <c r="AO10" s="1082">
        <v>57150</v>
      </c>
    </row>
    <row r="11" spans="1:133" ht="15.75">
      <c r="B11" s="1081">
        <v>5</v>
      </c>
      <c r="C11" s="1072" t="s">
        <v>289</v>
      </c>
      <c r="D11" s="1073"/>
      <c r="E11" s="1073">
        <v>1233</v>
      </c>
      <c r="F11" s="1073">
        <v>1001</v>
      </c>
      <c r="G11" s="1073">
        <v>1233</v>
      </c>
      <c r="H11" s="1073">
        <v>1001</v>
      </c>
      <c r="I11" s="1073">
        <v>1201</v>
      </c>
      <c r="J11" s="1073"/>
      <c r="K11" s="1073">
        <v>1319</v>
      </c>
      <c r="L11" s="1073">
        <v>1072</v>
      </c>
      <c r="M11" s="1073">
        <v>1319</v>
      </c>
      <c r="N11" s="1073">
        <v>1072</v>
      </c>
      <c r="O11" s="1073">
        <v>1287</v>
      </c>
      <c r="P11" s="1073"/>
      <c r="Q11" s="1073">
        <v>1614</v>
      </c>
      <c r="R11" s="1073">
        <v>1286</v>
      </c>
      <c r="S11" s="1073">
        <v>1614</v>
      </c>
      <c r="T11" s="1073">
        <v>1286</v>
      </c>
      <c r="U11" s="1073">
        <v>1543</v>
      </c>
      <c r="V11" s="1073"/>
      <c r="W11" s="1073">
        <v>1945</v>
      </c>
      <c r="X11" s="1073">
        <v>1486</v>
      </c>
      <c r="Y11" s="1073">
        <v>1898</v>
      </c>
      <c r="Z11" s="1073">
        <v>1486</v>
      </c>
      <c r="AA11" s="1073">
        <v>1783</v>
      </c>
      <c r="AB11" s="1073"/>
      <c r="AC11" s="1073">
        <v>2359</v>
      </c>
      <c r="AD11" s="1073">
        <v>1657</v>
      </c>
      <c r="AE11" s="1073">
        <v>2098</v>
      </c>
      <c r="AF11" s="1073">
        <v>1657</v>
      </c>
      <c r="AG11" s="1073">
        <v>1989</v>
      </c>
      <c r="AH11" s="1072" t="s">
        <v>286</v>
      </c>
      <c r="AI11" s="1072">
        <v>49800</v>
      </c>
      <c r="AJ11" s="1074">
        <v>1.5599999999999999E-2</v>
      </c>
      <c r="AK11" s="1074">
        <v>0.35</v>
      </c>
      <c r="AL11" s="1074">
        <v>1.0800000000000001E-2</v>
      </c>
      <c r="AM11" s="1074">
        <v>0.02</v>
      </c>
      <c r="AN11" s="1075">
        <v>16819</v>
      </c>
      <c r="AO11" s="1082">
        <v>57150</v>
      </c>
    </row>
    <row r="12" spans="1:133" ht="15.75">
      <c r="B12" s="1081">
        <v>6</v>
      </c>
      <c r="C12" s="1072" t="s">
        <v>290</v>
      </c>
      <c r="D12" s="1073"/>
      <c r="E12" s="1073">
        <v>1233</v>
      </c>
      <c r="F12" s="1073">
        <v>1001</v>
      </c>
      <c r="G12" s="1073">
        <v>1233</v>
      </c>
      <c r="H12" s="1073">
        <v>1001</v>
      </c>
      <c r="I12" s="1073">
        <v>1201</v>
      </c>
      <c r="J12" s="1073"/>
      <c r="K12" s="1073">
        <v>1319</v>
      </c>
      <c r="L12" s="1073">
        <v>1072</v>
      </c>
      <c r="M12" s="1073">
        <v>1319</v>
      </c>
      <c r="N12" s="1073">
        <v>1072</v>
      </c>
      <c r="O12" s="1073">
        <v>1287</v>
      </c>
      <c r="P12" s="1073"/>
      <c r="Q12" s="1073">
        <v>1614</v>
      </c>
      <c r="R12" s="1073">
        <v>1286</v>
      </c>
      <c r="S12" s="1073">
        <v>1614</v>
      </c>
      <c r="T12" s="1073">
        <v>1286</v>
      </c>
      <c r="U12" s="1073">
        <v>1543</v>
      </c>
      <c r="V12" s="1073"/>
      <c r="W12" s="1073">
        <v>1945</v>
      </c>
      <c r="X12" s="1073">
        <v>1486</v>
      </c>
      <c r="Y12" s="1073">
        <v>1898</v>
      </c>
      <c r="Z12" s="1073">
        <v>1486</v>
      </c>
      <c r="AA12" s="1073">
        <v>1783</v>
      </c>
      <c r="AB12" s="1073"/>
      <c r="AC12" s="1073">
        <v>2359</v>
      </c>
      <c r="AD12" s="1073">
        <v>1657</v>
      </c>
      <c r="AE12" s="1073">
        <v>2098</v>
      </c>
      <c r="AF12" s="1073">
        <v>1657</v>
      </c>
      <c r="AG12" s="1073">
        <v>1989</v>
      </c>
      <c r="AH12" s="1072" t="s">
        <v>286</v>
      </c>
      <c r="AI12" s="1072">
        <v>49800</v>
      </c>
      <c r="AJ12" s="1074">
        <v>1.5599999999999999E-2</v>
      </c>
      <c r="AK12" s="1074">
        <v>0.35</v>
      </c>
      <c r="AL12" s="1074">
        <v>1.0800000000000001E-2</v>
      </c>
      <c r="AM12" s="1074">
        <v>0.02</v>
      </c>
      <c r="AN12" s="1075">
        <v>16819</v>
      </c>
      <c r="AO12" s="1082">
        <v>57150</v>
      </c>
    </row>
    <row r="13" spans="1:133" ht="15.75">
      <c r="B13" s="1081">
        <v>7</v>
      </c>
      <c r="C13" s="1072" t="s">
        <v>292</v>
      </c>
      <c r="D13" s="1073"/>
      <c r="E13" s="1073">
        <v>1233</v>
      </c>
      <c r="F13" s="1073">
        <v>1001</v>
      </c>
      <c r="G13" s="1073">
        <v>1233</v>
      </c>
      <c r="H13" s="1073">
        <v>1001</v>
      </c>
      <c r="I13" s="1073">
        <v>1201</v>
      </c>
      <c r="J13" s="1073"/>
      <c r="K13" s="1073">
        <v>1319</v>
      </c>
      <c r="L13" s="1073">
        <v>1072</v>
      </c>
      <c r="M13" s="1073">
        <v>1319</v>
      </c>
      <c r="N13" s="1073">
        <v>1072</v>
      </c>
      <c r="O13" s="1073">
        <v>1287</v>
      </c>
      <c r="P13" s="1073"/>
      <c r="Q13" s="1073">
        <v>1614</v>
      </c>
      <c r="R13" s="1073">
        <v>1286</v>
      </c>
      <c r="S13" s="1073">
        <v>1614</v>
      </c>
      <c r="T13" s="1073">
        <v>1286</v>
      </c>
      <c r="U13" s="1073">
        <v>1543</v>
      </c>
      <c r="V13" s="1073"/>
      <c r="W13" s="1073">
        <v>1945</v>
      </c>
      <c r="X13" s="1073">
        <v>1486</v>
      </c>
      <c r="Y13" s="1073">
        <v>1898</v>
      </c>
      <c r="Z13" s="1073">
        <v>1486</v>
      </c>
      <c r="AA13" s="1073">
        <v>1783</v>
      </c>
      <c r="AB13" s="1073"/>
      <c r="AC13" s="1073">
        <v>2359</v>
      </c>
      <c r="AD13" s="1073">
        <v>1657</v>
      </c>
      <c r="AE13" s="1073">
        <v>2098</v>
      </c>
      <c r="AF13" s="1073">
        <v>1657</v>
      </c>
      <c r="AG13" s="1073">
        <v>1989</v>
      </c>
      <c r="AH13" s="1072" t="s">
        <v>286</v>
      </c>
      <c r="AI13" s="1072">
        <v>49800</v>
      </c>
      <c r="AJ13" s="1074">
        <v>1.5599999999999999E-2</v>
      </c>
      <c r="AK13" s="1074">
        <v>0.35</v>
      </c>
      <c r="AL13" s="1074">
        <v>1.0800000000000001E-2</v>
      </c>
      <c r="AM13" s="1074">
        <v>0.02</v>
      </c>
      <c r="AN13" s="1075">
        <v>16819</v>
      </c>
      <c r="AO13" s="1082">
        <v>57150</v>
      </c>
    </row>
    <row r="14" spans="1:133" ht="15.75">
      <c r="B14" s="1081">
        <v>8</v>
      </c>
      <c r="C14" s="1072" t="s">
        <v>293</v>
      </c>
      <c r="D14" s="1073"/>
      <c r="E14" s="1073">
        <v>1233</v>
      </c>
      <c r="F14" s="1073">
        <v>1001</v>
      </c>
      <c r="G14" s="1073">
        <v>1233</v>
      </c>
      <c r="H14" s="1073">
        <v>1001</v>
      </c>
      <c r="I14" s="1073">
        <v>1201</v>
      </c>
      <c r="J14" s="1073"/>
      <c r="K14" s="1073">
        <v>1319</v>
      </c>
      <c r="L14" s="1073">
        <v>1072</v>
      </c>
      <c r="M14" s="1073">
        <v>1319</v>
      </c>
      <c r="N14" s="1073">
        <v>1072</v>
      </c>
      <c r="O14" s="1073">
        <v>1287</v>
      </c>
      <c r="P14" s="1073"/>
      <c r="Q14" s="1073">
        <v>1614</v>
      </c>
      <c r="R14" s="1073">
        <v>1286</v>
      </c>
      <c r="S14" s="1073">
        <v>1614</v>
      </c>
      <c r="T14" s="1073">
        <v>1286</v>
      </c>
      <c r="U14" s="1073">
        <v>1543</v>
      </c>
      <c r="V14" s="1073"/>
      <c r="W14" s="1073">
        <v>1945</v>
      </c>
      <c r="X14" s="1073">
        <v>1486</v>
      </c>
      <c r="Y14" s="1073">
        <v>1898</v>
      </c>
      <c r="Z14" s="1073">
        <v>1486</v>
      </c>
      <c r="AA14" s="1073">
        <v>1783</v>
      </c>
      <c r="AB14" s="1073"/>
      <c r="AC14" s="1073">
        <v>2359</v>
      </c>
      <c r="AD14" s="1073">
        <v>1657</v>
      </c>
      <c r="AE14" s="1073">
        <v>2098</v>
      </c>
      <c r="AF14" s="1073">
        <v>1657</v>
      </c>
      <c r="AG14" s="1073">
        <v>1989</v>
      </c>
      <c r="AH14" s="1072" t="s">
        <v>286</v>
      </c>
      <c r="AI14" s="1072">
        <v>49800</v>
      </c>
      <c r="AJ14" s="1074">
        <v>1.5599999999999999E-2</v>
      </c>
      <c r="AK14" s="1074">
        <v>0.35</v>
      </c>
      <c r="AL14" s="1074">
        <v>1.0800000000000001E-2</v>
      </c>
      <c r="AM14" s="1074">
        <v>0.02</v>
      </c>
      <c r="AN14" s="1075">
        <v>16819</v>
      </c>
      <c r="AO14" s="1082">
        <v>57150</v>
      </c>
    </row>
    <row r="15" spans="1:133" ht="15.75">
      <c r="B15" s="1081">
        <v>9</v>
      </c>
      <c r="C15" s="1072" t="s">
        <v>294</v>
      </c>
      <c r="D15" s="1073"/>
      <c r="E15" s="1073">
        <v>1233</v>
      </c>
      <c r="F15" s="1073">
        <v>1001</v>
      </c>
      <c r="G15" s="1073">
        <v>1233</v>
      </c>
      <c r="H15" s="1073">
        <v>1001</v>
      </c>
      <c r="I15" s="1073">
        <v>1201</v>
      </c>
      <c r="J15" s="1073"/>
      <c r="K15" s="1073">
        <v>1319</v>
      </c>
      <c r="L15" s="1073">
        <v>1072</v>
      </c>
      <c r="M15" s="1073">
        <v>1319</v>
      </c>
      <c r="N15" s="1073">
        <v>1072</v>
      </c>
      <c r="O15" s="1073">
        <v>1287</v>
      </c>
      <c r="P15" s="1073"/>
      <c r="Q15" s="1073">
        <v>1614</v>
      </c>
      <c r="R15" s="1073">
        <v>1286</v>
      </c>
      <c r="S15" s="1073">
        <v>1614</v>
      </c>
      <c r="T15" s="1073">
        <v>1286</v>
      </c>
      <c r="U15" s="1073">
        <v>1543</v>
      </c>
      <c r="V15" s="1073"/>
      <c r="W15" s="1073">
        <v>1945</v>
      </c>
      <c r="X15" s="1073">
        <v>1486</v>
      </c>
      <c r="Y15" s="1073">
        <v>1898</v>
      </c>
      <c r="Z15" s="1073">
        <v>1486</v>
      </c>
      <c r="AA15" s="1073">
        <v>1783</v>
      </c>
      <c r="AB15" s="1073"/>
      <c r="AC15" s="1073">
        <v>2359</v>
      </c>
      <c r="AD15" s="1073">
        <v>1657</v>
      </c>
      <c r="AE15" s="1073">
        <v>2098</v>
      </c>
      <c r="AF15" s="1073">
        <v>1657</v>
      </c>
      <c r="AG15" s="1073">
        <v>1989</v>
      </c>
      <c r="AH15" s="1072" t="s">
        <v>286</v>
      </c>
      <c r="AI15" s="1072">
        <v>49800</v>
      </c>
      <c r="AJ15" s="1074">
        <v>1.5599999999999999E-2</v>
      </c>
      <c r="AK15" s="1074">
        <v>0.35</v>
      </c>
      <c r="AL15" s="1074">
        <v>1.0800000000000001E-2</v>
      </c>
      <c r="AM15" s="1074">
        <v>0.02</v>
      </c>
      <c r="AN15" s="1075">
        <v>16819</v>
      </c>
      <c r="AO15" s="1082">
        <v>57150</v>
      </c>
    </row>
    <row r="16" spans="1:133" ht="15.75">
      <c r="B16" s="1081">
        <v>10</v>
      </c>
      <c r="C16" s="1072" t="s">
        <v>295</v>
      </c>
      <c r="D16" s="1073"/>
      <c r="E16" s="1073">
        <v>1233</v>
      </c>
      <c r="F16" s="1073">
        <v>1001</v>
      </c>
      <c r="G16" s="1073">
        <v>1233</v>
      </c>
      <c r="H16" s="1073">
        <v>1001</v>
      </c>
      <c r="I16" s="1073">
        <v>1201</v>
      </c>
      <c r="J16" s="1073"/>
      <c r="K16" s="1073">
        <v>1319</v>
      </c>
      <c r="L16" s="1073">
        <v>1072</v>
      </c>
      <c r="M16" s="1073">
        <v>1319</v>
      </c>
      <c r="N16" s="1073">
        <v>1072</v>
      </c>
      <c r="O16" s="1073">
        <v>1287</v>
      </c>
      <c r="P16" s="1073"/>
      <c r="Q16" s="1073">
        <v>1614</v>
      </c>
      <c r="R16" s="1073">
        <v>1286</v>
      </c>
      <c r="S16" s="1073">
        <v>1614</v>
      </c>
      <c r="T16" s="1073">
        <v>1286</v>
      </c>
      <c r="U16" s="1073">
        <v>1543</v>
      </c>
      <c r="V16" s="1073"/>
      <c r="W16" s="1073">
        <v>1945</v>
      </c>
      <c r="X16" s="1073">
        <v>1486</v>
      </c>
      <c r="Y16" s="1073">
        <v>1898</v>
      </c>
      <c r="Z16" s="1073">
        <v>1486</v>
      </c>
      <c r="AA16" s="1073">
        <v>1783</v>
      </c>
      <c r="AB16" s="1073"/>
      <c r="AC16" s="1073">
        <v>2359</v>
      </c>
      <c r="AD16" s="1073">
        <v>1657</v>
      </c>
      <c r="AE16" s="1073">
        <v>2098</v>
      </c>
      <c r="AF16" s="1073">
        <v>1657</v>
      </c>
      <c r="AG16" s="1073">
        <v>1989</v>
      </c>
      <c r="AH16" s="1072" t="s">
        <v>286</v>
      </c>
      <c r="AI16" s="1072">
        <v>49800</v>
      </c>
      <c r="AJ16" s="1074">
        <v>1.5599999999999999E-2</v>
      </c>
      <c r="AK16" s="1074">
        <v>0.35</v>
      </c>
      <c r="AL16" s="1074">
        <v>1.0800000000000001E-2</v>
      </c>
      <c r="AM16" s="1074">
        <v>0.02</v>
      </c>
      <c r="AN16" s="1075">
        <v>16819</v>
      </c>
      <c r="AO16" s="1082">
        <v>57150</v>
      </c>
    </row>
    <row r="17" spans="2:41" ht="15.75">
      <c r="B17" s="1081">
        <v>11</v>
      </c>
      <c r="C17" s="1072" t="s">
        <v>296</v>
      </c>
      <c r="D17" s="1073"/>
      <c r="E17" s="1073">
        <v>1233</v>
      </c>
      <c r="F17" s="1073">
        <v>1001</v>
      </c>
      <c r="G17" s="1073">
        <v>1233</v>
      </c>
      <c r="H17" s="1073">
        <v>1001</v>
      </c>
      <c r="I17" s="1073">
        <v>1201</v>
      </c>
      <c r="J17" s="1073"/>
      <c r="K17" s="1073">
        <v>1319</v>
      </c>
      <c r="L17" s="1073">
        <v>1072</v>
      </c>
      <c r="M17" s="1073">
        <v>1319</v>
      </c>
      <c r="N17" s="1073">
        <v>1072</v>
      </c>
      <c r="O17" s="1073">
        <v>1287</v>
      </c>
      <c r="P17" s="1073"/>
      <c r="Q17" s="1073">
        <v>1614</v>
      </c>
      <c r="R17" s="1073">
        <v>1286</v>
      </c>
      <c r="S17" s="1073">
        <v>1614</v>
      </c>
      <c r="T17" s="1073">
        <v>1286</v>
      </c>
      <c r="U17" s="1073">
        <v>1543</v>
      </c>
      <c r="V17" s="1073"/>
      <c r="W17" s="1073">
        <v>1945</v>
      </c>
      <c r="X17" s="1073">
        <v>1486</v>
      </c>
      <c r="Y17" s="1073">
        <v>1898</v>
      </c>
      <c r="Z17" s="1073">
        <v>1486</v>
      </c>
      <c r="AA17" s="1073">
        <v>1783</v>
      </c>
      <c r="AB17" s="1073"/>
      <c r="AC17" s="1073">
        <v>2359</v>
      </c>
      <c r="AD17" s="1073">
        <v>1657</v>
      </c>
      <c r="AE17" s="1073">
        <v>2098</v>
      </c>
      <c r="AF17" s="1073">
        <v>1657</v>
      </c>
      <c r="AG17" s="1073">
        <v>1989</v>
      </c>
      <c r="AH17" s="1072" t="s">
        <v>286</v>
      </c>
      <c r="AI17" s="1072">
        <v>49800</v>
      </c>
      <c r="AJ17" s="1074">
        <v>1.5599999999999999E-2</v>
      </c>
      <c r="AK17" s="1074">
        <v>0.35</v>
      </c>
      <c r="AL17" s="1074">
        <v>1.0800000000000001E-2</v>
      </c>
      <c r="AM17" s="1074">
        <v>0.02</v>
      </c>
      <c r="AN17" s="1075">
        <v>16819</v>
      </c>
      <c r="AO17" s="1082">
        <v>57150</v>
      </c>
    </row>
    <row r="18" spans="2:41" ht="15.75">
      <c r="B18" s="1081">
        <v>12</v>
      </c>
      <c r="C18" s="1072" t="s">
        <v>297</v>
      </c>
      <c r="D18" s="1073"/>
      <c r="E18" s="1073">
        <v>1233</v>
      </c>
      <c r="F18" s="1073">
        <v>1001</v>
      </c>
      <c r="G18" s="1073">
        <v>1233</v>
      </c>
      <c r="H18" s="1073">
        <v>1001</v>
      </c>
      <c r="I18" s="1073">
        <v>1201</v>
      </c>
      <c r="J18" s="1073"/>
      <c r="K18" s="1073">
        <v>1319</v>
      </c>
      <c r="L18" s="1073">
        <v>1072</v>
      </c>
      <c r="M18" s="1073">
        <v>1319</v>
      </c>
      <c r="N18" s="1073">
        <v>1072</v>
      </c>
      <c r="O18" s="1073">
        <v>1287</v>
      </c>
      <c r="P18" s="1073"/>
      <c r="Q18" s="1073">
        <v>1614</v>
      </c>
      <c r="R18" s="1073">
        <v>1286</v>
      </c>
      <c r="S18" s="1073">
        <v>1614</v>
      </c>
      <c r="T18" s="1073">
        <v>1286</v>
      </c>
      <c r="U18" s="1073">
        <v>1543</v>
      </c>
      <c r="V18" s="1073"/>
      <c r="W18" s="1073">
        <v>1945</v>
      </c>
      <c r="X18" s="1073">
        <v>1486</v>
      </c>
      <c r="Y18" s="1073">
        <v>1898</v>
      </c>
      <c r="Z18" s="1073">
        <v>1486</v>
      </c>
      <c r="AA18" s="1073">
        <v>1783</v>
      </c>
      <c r="AB18" s="1073"/>
      <c r="AC18" s="1073">
        <v>2359</v>
      </c>
      <c r="AD18" s="1073">
        <v>1657</v>
      </c>
      <c r="AE18" s="1073">
        <v>2098</v>
      </c>
      <c r="AF18" s="1073">
        <v>1657</v>
      </c>
      <c r="AG18" s="1073">
        <v>1989</v>
      </c>
      <c r="AH18" s="1072" t="s">
        <v>286</v>
      </c>
      <c r="AI18" s="1072">
        <v>49800</v>
      </c>
      <c r="AJ18" s="1074">
        <v>1.5599999999999999E-2</v>
      </c>
      <c r="AK18" s="1074">
        <v>0.35</v>
      </c>
      <c r="AL18" s="1074">
        <v>1.0800000000000001E-2</v>
      </c>
      <c r="AM18" s="1074">
        <v>0.02</v>
      </c>
      <c r="AN18" s="1075">
        <v>16819</v>
      </c>
      <c r="AO18" s="1082">
        <v>57150</v>
      </c>
    </row>
    <row r="19" spans="2:41" ht="15.75">
      <c r="B19" s="1081">
        <v>13</v>
      </c>
      <c r="C19" s="1072" t="s">
        <v>298</v>
      </c>
      <c r="D19" s="1073"/>
      <c r="E19" s="1073">
        <v>1233</v>
      </c>
      <c r="F19" s="1073">
        <v>1001</v>
      </c>
      <c r="G19" s="1073">
        <v>1233</v>
      </c>
      <c r="H19" s="1073">
        <v>1001</v>
      </c>
      <c r="I19" s="1073">
        <v>1201</v>
      </c>
      <c r="J19" s="1073"/>
      <c r="K19" s="1073">
        <v>1319</v>
      </c>
      <c r="L19" s="1073">
        <v>1072</v>
      </c>
      <c r="M19" s="1073">
        <v>1319</v>
      </c>
      <c r="N19" s="1073">
        <v>1072</v>
      </c>
      <c r="O19" s="1073">
        <v>1287</v>
      </c>
      <c r="P19" s="1073"/>
      <c r="Q19" s="1073">
        <v>1614</v>
      </c>
      <c r="R19" s="1073">
        <v>1286</v>
      </c>
      <c r="S19" s="1073">
        <v>1614</v>
      </c>
      <c r="T19" s="1073">
        <v>1286</v>
      </c>
      <c r="U19" s="1073">
        <v>1543</v>
      </c>
      <c r="V19" s="1073"/>
      <c r="W19" s="1073">
        <v>1945</v>
      </c>
      <c r="X19" s="1073">
        <v>1486</v>
      </c>
      <c r="Y19" s="1073">
        <v>1898</v>
      </c>
      <c r="Z19" s="1073">
        <v>1486</v>
      </c>
      <c r="AA19" s="1073">
        <v>1783</v>
      </c>
      <c r="AB19" s="1073"/>
      <c r="AC19" s="1073">
        <v>2359</v>
      </c>
      <c r="AD19" s="1073">
        <v>1657</v>
      </c>
      <c r="AE19" s="1073">
        <v>2098</v>
      </c>
      <c r="AF19" s="1073">
        <v>1657</v>
      </c>
      <c r="AG19" s="1073">
        <v>1989</v>
      </c>
      <c r="AH19" s="1072" t="s">
        <v>286</v>
      </c>
      <c r="AI19" s="1072">
        <v>49800</v>
      </c>
      <c r="AJ19" s="1074">
        <v>1.5599999999999999E-2</v>
      </c>
      <c r="AK19" s="1074">
        <v>0.35</v>
      </c>
      <c r="AL19" s="1074">
        <v>1.0800000000000001E-2</v>
      </c>
      <c r="AM19" s="1074">
        <v>0.02</v>
      </c>
      <c r="AN19" s="1075">
        <v>16819</v>
      </c>
      <c r="AO19" s="1082">
        <v>57150</v>
      </c>
    </row>
    <row r="20" spans="2:41" ht="15.75">
      <c r="B20" s="1083">
        <v>14</v>
      </c>
      <c r="C20" s="1084" t="s">
        <v>299</v>
      </c>
      <c r="D20" s="1085"/>
      <c r="E20" s="1085">
        <v>1284</v>
      </c>
      <c r="F20" s="1085">
        <v>1082</v>
      </c>
      <c r="G20" s="1085">
        <v>1284</v>
      </c>
      <c r="H20" s="1085">
        <v>1082</v>
      </c>
      <c r="I20" s="1085">
        <v>1299</v>
      </c>
      <c r="J20" s="1085"/>
      <c r="K20" s="1085">
        <v>1292</v>
      </c>
      <c r="L20" s="1085">
        <v>1160</v>
      </c>
      <c r="M20" s="1085">
        <v>1292</v>
      </c>
      <c r="N20" s="1085">
        <v>1160</v>
      </c>
      <c r="O20" s="1085">
        <v>1392</v>
      </c>
      <c r="P20" s="1085"/>
      <c r="Q20" s="1085">
        <v>1576</v>
      </c>
      <c r="R20" s="1085">
        <v>1392</v>
      </c>
      <c r="S20" s="1085">
        <v>1576</v>
      </c>
      <c r="T20" s="1085">
        <v>1392</v>
      </c>
      <c r="U20" s="1085">
        <v>1671</v>
      </c>
      <c r="V20" s="1085"/>
      <c r="W20" s="1085">
        <v>1970</v>
      </c>
      <c r="X20" s="1085">
        <v>1608</v>
      </c>
      <c r="Y20" s="1085">
        <v>1970</v>
      </c>
      <c r="Z20" s="1085">
        <v>1608</v>
      </c>
      <c r="AA20" s="1085">
        <v>1929</v>
      </c>
      <c r="AB20" s="1085"/>
      <c r="AC20" s="1085">
        <v>2459</v>
      </c>
      <c r="AD20" s="1085">
        <v>1793</v>
      </c>
      <c r="AE20" s="1085">
        <v>2275</v>
      </c>
      <c r="AF20" s="1085">
        <v>1793</v>
      </c>
      <c r="AG20" s="1085">
        <v>2152</v>
      </c>
      <c r="AH20" s="1086" t="s">
        <v>193</v>
      </c>
      <c r="AI20" s="1086">
        <v>54500</v>
      </c>
      <c r="AJ20" s="1087">
        <v>5.67E-2</v>
      </c>
      <c r="AK20" s="1087">
        <v>0.28000000000000003</v>
      </c>
      <c r="AL20" s="1087">
        <v>5.7099999999999998E-2</v>
      </c>
      <c r="AM20" s="1087">
        <v>1.9E-2</v>
      </c>
      <c r="AN20" s="1088">
        <v>7836</v>
      </c>
      <c r="AO20" s="1089">
        <v>61850</v>
      </c>
    </row>
    <row r="21" spans="2:41" ht="15.75">
      <c r="B21" s="1081">
        <v>15</v>
      </c>
      <c r="C21" s="1072" t="s">
        <v>300</v>
      </c>
      <c r="D21" s="1073"/>
      <c r="E21" s="1073">
        <v>1233</v>
      </c>
      <c r="F21" s="1073">
        <v>1001</v>
      </c>
      <c r="G21" s="1073">
        <v>1233</v>
      </c>
      <c r="H21" s="1073">
        <v>1001</v>
      </c>
      <c r="I21" s="1073">
        <v>1201</v>
      </c>
      <c r="J21" s="1073"/>
      <c r="K21" s="1073">
        <v>1319</v>
      </c>
      <c r="L21" s="1073">
        <v>1072</v>
      </c>
      <c r="M21" s="1073">
        <v>1319</v>
      </c>
      <c r="N21" s="1073">
        <v>1072</v>
      </c>
      <c r="O21" s="1073">
        <v>1287</v>
      </c>
      <c r="P21" s="1073"/>
      <c r="Q21" s="1073">
        <v>1614</v>
      </c>
      <c r="R21" s="1073">
        <v>1286</v>
      </c>
      <c r="S21" s="1073">
        <v>1614</v>
      </c>
      <c r="T21" s="1073">
        <v>1286</v>
      </c>
      <c r="U21" s="1073">
        <v>1543</v>
      </c>
      <c r="V21" s="1073"/>
      <c r="W21" s="1073">
        <v>1945</v>
      </c>
      <c r="X21" s="1073">
        <v>1486</v>
      </c>
      <c r="Y21" s="1073">
        <v>1898</v>
      </c>
      <c r="Z21" s="1073">
        <v>1486</v>
      </c>
      <c r="AA21" s="1073">
        <v>1783</v>
      </c>
      <c r="AB21" s="1073"/>
      <c r="AC21" s="1073">
        <v>2359</v>
      </c>
      <c r="AD21" s="1073">
        <v>1657</v>
      </c>
      <c r="AE21" s="1073">
        <v>2098</v>
      </c>
      <c r="AF21" s="1073">
        <v>1657</v>
      </c>
      <c r="AG21" s="1073">
        <v>1989</v>
      </c>
      <c r="AH21" s="1072" t="s">
        <v>286</v>
      </c>
      <c r="AI21" s="1072">
        <v>49800</v>
      </c>
      <c r="AJ21" s="1074">
        <v>1.5599999999999999E-2</v>
      </c>
      <c r="AK21" s="1074">
        <v>0.35</v>
      </c>
      <c r="AL21" s="1074">
        <v>1.0800000000000001E-2</v>
      </c>
      <c r="AM21" s="1074">
        <v>0.02</v>
      </c>
      <c r="AN21" s="1075">
        <v>16819</v>
      </c>
      <c r="AO21" s="1082">
        <v>57150</v>
      </c>
    </row>
    <row r="22" spans="2:41" ht="15.75">
      <c r="B22" s="1081">
        <v>16</v>
      </c>
      <c r="C22" s="1072" t="s">
        <v>301</v>
      </c>
      <c r="D22" s="1073"/>
      <c r="E22" s="1073">
        <v>1233</v>
      </c>
      <c r="F22" s="1073">
        <v>1001</v>
      </c>
      <c r="G22" s="1073">
        <v>1233</v>
      </c>
      <c r="H22" s="1073">
        <v>1001</v>
      </c>
      <c r="I22" s="1073">
        <v>1201</v>
      </c>
      <c r="J22" s="1073"/>
      <c r="K22" s="1073">
        <v>1319</v>
      </c>
      <c r="L22" s="1073">
        <v>1072</v>
      </c>
      <c r="M22" s="1073">
        <v>1319</v>
      </c>
      <c r="N22" s="1073">
        <v>1072</v>
      </c>
      <c r="O22" s="1073">
        <v>1287</v>
      </c>
      <c r="P22" s="1073"/>
      <c r="Q22" s="1073">
        <v>1614</v>
      </c>
      <c r="R22" s="1073">
        <v>1286</v>
      </c>
      <c r="S22" s="1073">
        <v>1614</v>
      </c>
      <c r="T22" s="1073">
        <v>1286</v>
      </c>
      <c r="U22" s="1073">
        <v>1543</v>
      </c>
      <c r="V22" s="1073"/>
      <c r="W22" s="1073">
        <v>1945</v>
      </c>
      <c r="X22" s="1073">
        <v>1486</v>
      </c>
      <c r="Y22" s="1073">
        <v>1898</v>
      </c>
      <c r="Z22" s="1073">
        <v>1486</v>
      </c>
      <c r="AA22" s="1073">
        <v>1783</v>
      </c>
      <c r="AB22" s="1073"/>
      <c r="AC22" s="1073">
        <v>2359</v>
      </c>
      <c r="AD22" s="1073">
        <v>1657</v>
      </c>
      <c r="AE22" s="1073">
        <v>2098</v>
      </c>
      <c r="AF22" s="1073">
        <v>1657</v>
      </c>
      <c r="AG22" s="1073">
        <v>1989</v>
      </c>
      <c r="AH22" s="1072" t="s">
        <v>286</v>
      </c>
      <c r="AI22" s="1072">
        <v>49800</v>
      </c>
      <c r="AJ22" s="1074">
        <v>1.5599999999999999E-2</v>
      </c>
      <c r="AK22" s="1074">
        <v>0.35</v>
      </c>
      <c r="AL22" s="1074">
        <v>1.0800000000000001E-2</v>
      </c>
      <c r="AM22" s="1074">
        <v>0.02</v>
      </c>
      <c r="AN22" s="1075">
        <v>16819</v>
      </c>
      <c r="AO22" s="1082">
        <v>57150</v>
      </c>
    </row>
    <row r="23" spans="2:41" ht="15.75">
      <c r="B23" s="1081">
        <v>17</v>
      </c>
      <c r="C23" s="1072" t="s">
        <v>302</v>
      </c>
      <c r="D23" s="1073"/>
      <c r="E23" s="1073">
        <v>1233</v>
      </c>
      <c r="F23" s="1073">
        <v>1001</v>
      </c>
      <c r="G23" s="1073">
        <v>1233</v>
      </c>
      <c r="H23" s="1073">
        <v>1001</v>
      </c>
      <c r="I23" s="1073">
        <v>1201</v>
      </c>
      <c r="J23" s="1073"/>
      <c r="K23" s="1073">
        <v>1319</v>
      </c>
      <c r="L23" s="1073">
        <v>1072</v>
      </c>
      <c r="M23" s="1073">
        <v>1319</v>
      </c>
      <c r="N23" s="1073">
        <v>1072</v>
      </c>
      <c r="O23" s="1073">
        <v>1287</v>
      </c>
      <c r="P23" s="1073"/>
      <c r="Q23" s="1073">
        <v>1614</v>
      </c>
      <c r="R23" s="1073">
        <v>1286</v>
      </c>
      <c r="S23" s="1073">
        <v>1614</v>
      </c>
      <c r="T23" s="1073">
        <v>1286</v>
      </c>
      <c r="U23" s="1073">
        <v>1543</v>
      </c>
      <c r="V23" s="1073"/>
      <c r="W23" s="1073">
        <v>1945</v>
      </c>
      <c r="X23" s="1073">
        <v>1486</v>
      </c>
      <c r="Y23" s="1073">
        <v>1898</v>
      </c>
      <c r="Z23" s="1073">
        <v>1486</v>
      </c>
      <c r="AA23" s="1073">
        <v>1783</v>
      </c>
      <c r="AB23" s="1073"/>
      <c r="AC23" s="1073">
        <v>2359</v>
      </c>
      <c r="AD23" s="1073">
        <v>1657</v>
      </c>
      <c r="AE23" s="1073">
        <v>2098</v>
      </c>
      <c r="AF23" s="1073">
        <v>1657</v>
      </c>
      <c r="AG23" s="1073">
        <v>1989</v>
      </c>
      <c r="AH23" s="1072" t="s">
        <v>286</v>
      </c>
      <c r="AI23" s="1072">
        <v>49800</v>
      </c>
      <c r="AJ23" s="1074">
        <v>1.5599999999999999E-2</v>
      </c>
      <c r="AK23" s="1074">
        <v>0.35</v>
      </c>
      <c r="AL23" s="1074">
        <v>1.0800000000000001E-2</v>
      </c>
      <c r="AM23" s="1074">
        <v>0.02</v>
      </c>
      <c r="AN23" s="1075">
        <v>16819</v>
      </c>
      <c r="AO23" s="1082">
        <v>57150</v>
      </c>
    </row>
    <row r="24" spans="2:41" ht="15.75">
      <c r="B24" s="1081">
        <v>18</v>
      </c>
      <c r="C24" s="1072" t="s">
        <v>303</v>
      </c>
      <c r="D24" s="1073"/>
      <c r="E24" s="1073">
        <v>1233</v>
      </c>
      <c r="F24" s="1073">
        <v>1001</v>
      </c>
      <c r="G24" s="1073">
        <v>1233</v>
      </c>
      <c r="H24" s="1073">
        <v>1001</v>
      </c>
      <c r="I24" s="1073">
        <v>1201</v>
      </c>
      <c r="J24" s="1073"/>
      <c r="K24" s="1073">
        <v>1319</v>
      </c>
      <c r="L24" s="1073">
        <v>1072</v>
      </c>
      <c r="M24" s="1073">
        <v>1319</v>
      </c>
      <c r="N24" s="1073">
        <v>1072</v>
      </c>
      <c r="O24" s="1073">
        <v>1287</v>
      </c>
      <c r="P24" s="1073"/>
      <c r="Q24" s="1073">
        <v>1614</v>
      </c>
      <c r="R24" s="1073">
        <v>1286</v>
      </c>
      <c r="S24" s="1073">
        <v>1614</v>
      </c>
      <c r="T24" s="1073">
        <v>1286</v>
      </c>
      <c r="U24" s="1073">
        <v>1543</v>
      </c>
      <c r="V24" s="1073"/>
      <c r="W24" s="1073">
        <v>1945</v>
      </c>
      <c r="X24" s="1073">
        <v>1486</v>
      </c>
      <c r="Y24" s="1073">
        <v>1898</v>
      </c>
      <c r="Z24" s="1073">
        <v>1486</v>
      </c>
      <c r="AA24" s="1073">
        <v>1783</v>
      </c>
      <c r="AB24" s="1073"/>
      <c r="AC24" s="1073">
        <v>2359</v>
      </c>
      <c r="AD24" s="1073">
        <v>1657</v>
      </c>
      <c r="AE24" s="1073">
        <v>2098</v>
      </c>
      <c r="AF24" s="1073">
        <v>1657</v>
      </c>
      <c r="AG24" s="1073">
        <v>1989</v>
      </c>
      <c r="AH24" s="1072" t="s">
        <v>286</v>
      </c>
      <c r="AI24" s="1072">
        <v>49800</v>
      </c>
      <c r="AJ24" s="1074">
        <v>1.5599999999999999E-2</v>
      </c>
      <c r="AK24" s="1074">
        <v>0.35</v>
      </c>
      <c r="AL24" s="1074">
        <v>1.0800000000000001E-2</v>
      </c>
      <c r="AM24" s="1074">
        <v>0.02</v>
      </c>
      <c r="AN24" s="1075">
        <v>16819</v>
      </c>
      <c r="AO24" s="1082">
        <v>57150</v>
      </c>
    </row>
    <row r="25" spans="2:41" ht="15.75">
      <c r="B25" s="1090">
        <v>19</v>
      </c>
      <c r="C25" s="1091" t="s">
        <v>304</v>
      </c>
      <c r="D25" s="1092"/>
      <c r="E25" s="1092">
        <v>1666</v>
      </c>
      <c r="F25" s="1092">
        <v>1221</v>
      </c>
      <c r="G25" s="1092">
        <v>1568</v>
      </c>
      <c r="H25" s="1092">
        <v>1221</v>
      </c>
      <c r="I25" s="1092">
        <v>1465</v>
      </c>
      <c r="J25" s="1092"/>
      <c r="K25" s="1092">
        <v>1677</v>
      </c>
      <c r="L25" s="1092">
        <v>1308</v>
      </c>
      <c r="M25" s="1092">
        <v>1677</v>
      </c>
      <c r="N25" s="1092">
        <v>1308</v>
      </c>
      <c r="O25" s="1092">
        <v>1569</v>
      </c>
      <c r="P25" s="1092"/>
      <c r="Q25" s="1092">
        <v>2200</v>
      </c>
      <c r="R25" s="1092">
        <v>1570</v>
      </c>
      <c r="S25" s="1092">
        <v>2019</v>
      </c>
      <c r="T25" s="1092">
        <v>1570</v>
      </c>
      <c r="U25" s="1092">
        <v>1884</v>
      </c>
      <c r="V25" s="1092"/>
      <c r="W25" s="1092">
        <v>2937</v>
      </c>
      <c r="X25" s="1092">
        <v>1813</v>
      </c>
      <c r="Y25" s="1092">
        <v>2325</v>
      </c>
      <c r="Z25" s="1092">
        <v>1813</v>
      </c>
      <c r="AA25" s="1092">
        <v>2176</v>
      </c>
      <c r="AB25" s="1092"/>
      <c r="AC25" s="1092">
        <v>3328</v>
      </c>
      <c r="AD25" s="1092">
        <v>2023</v>
      </c>
      <c r="AE25" s="1092">
        <v>2574</v>
      </c>
      <c r="AF25" s="1092">
        <v>2023</v>
      </c>
      <c r="AG25" s="1092">
        <v>2428</v>
      </c>
      <c r="AH25" s="1091" t="s">
        <v>171</v>
      </c>
      <c r="AI25" s="1091">
        <v>51900</v>
      </c>
      <c r="AJ25" s="1093">
        <v>0.12039999999999999</v>
      </c>
      <c r="AK25" s="1093">
        <v>0.28000000000000003</v>
      </c>
      <c r="AL25" s="1093">
        <v>1.4500000000000001E-2</v>
      </c>
      <c r="AM25" s="1093">
        <v>1.6E-2</v>
      </c>
      <c r="AN25" s="1094">
        <v>17334</v>
      </c>
      <c r="AO25" s="1095">
        <v>69750</v>
      </c>
    </row>
    <row r="26" spans="2:41" ht="15.75">
      <c r="B26" s="1081">
        <v>20</v>
      </c>
      <c r="C26" s="1072" t="s">
        <v>305</v>
      </c>
      <c r="D26" s="1073"/>
      <c r="E26" s="1073">
        <v>1233</v>
      </c>
      <c r="F26" s="1073">
        <v>1001</v>
      </c>
      <c r="G26" s="1073">
        <v>1233</v>
      </c>
      <c r="H26" s="1073">
        <v>1001</v>
      </c>
      <c r="I26" s="1073">
        <v>1201</v>
      </c>
      <c r="J26" s="1073"/>
      <c r="K26" s="1073">
        <v>1319</v>
      </c>
      <c r="L26" s="1073">
        <v>1072</v>
      </c>
      <c r="M26" s="1073">
        <v>1319</v>
      </c>
      <c r="N26" s="1073">
        <v>1072</v>
      </c>
      <c r="O26" s="1073">
        <v>1287</v>
      </c>
      <c r="P26" s="1073"/>
      <c r="Q26" s="1073">
        <v>1614</v>
      </c>
      <c r="R26" s="1073">
        <v>1286</v>
      </c>
      <c r="S26" s="1073">
        <v>1614</v>
      </c>
      <c r="T26" s="1073">
        <v>1286</v>
      </c>
      <c r="U26" s="1073">
        <v>1543</v>
      </c>
      <c r="V26" s="1073"/>
      <c r="W26" s="1073">
        <v>1945</v>
      </c>
      <c r="X26" s="1073">
        <v>1486</v>
      </c>
      <c r="Y26" s="1073">
        <v>1898</v>
      </c>
      <c r="Z26" s="1073">
        <v>1486</v>
      </c>
      <c r="AA26" s="1073">
        <v>1783</v>
      </c>
      <c r="AB26" s="1073"/>
      <c r="AC26" s="1073">
        <v>2359</v>
      </c>
      <c r="AD26" s="1073">
        <v>1657</v>
      </c>
      <c r="AE26" s="1073">
        <v>2098</v>
      </c>
      <c r="AF26" s="1073">
        <v>1657</v>
      </c>
      <c r="AG26" s="1073">
        <v>1989</v>
      </c>
      <c r="AH26" s="1072" t="s">
        <v>286</v>
      </c>
      <c r="AI26" s="1072">
        <v>49800</v>
      </c>
      <c r="AJ26" s="1074">
        <v>1.5599999999999999E-2</v>
      </c>
      <c r="AK26" s="1074">
        <v>0.35</v>
      </c>
      <c r="AL26" s="1074">
        <v>1.0800000000000001E-2</v>
      </c>
      <c r="AM26" s="1074">
        <v>0.02</v>
      </c>
      <c r="AN26" s="1075">
        <v>16819</v>
      </c>
      <c r="AO26" s="1082">
        <v>57150</v>
      </c>
    </row>
    <row r="27" spans="2:41" ht="15.75">
      <c r="B27" s="1096">
        <v>21</v>
      </c>
      <c r="C27" s="1086" t="s">
        <v>306</v>
      </c>
      <c r="D27" s="1085"/>
      <c r="E27" s="1085">
        <v>1284</v>
      </c>
      <c r="F27" s="1085">
        <v>1082</v>
      </c>
      <c r="G27" s="1085">
        <v>1284</v>
      </c>
      <c r="H27" s="1085">
        <v>1082</v>
      </c>
      <c r="I27" s="1085">
        <v>1299</v>
      </c>
      <c r="J27" s="1085"/>
      <c r="K27" s="1085">
        <v>1292</v>
      </c>
      <c r="L27" s="1085">
        <v>1160</v>
      </c>
      <c r="M27" s="1085">
        <v>1292</v>
      </c>
      <c r="N27" s="1085">
        <v>1160</v>
      </c>
      <c r="O27" s="1085">
        <v>1392</v>
      </c>
      <c r="P27" s="1085"/>
      <c r="Q27" s="1085">
        <v>1576</v>
      </c>
      <c r="R27" s="1085">
        <v>1392</v>
      </c>
      <c r="S27" s="1085">
        <v>1576</v>
      </c>
      <c r="T27" s="1085">
        <v>1392</v>
      </c>
      <c r="U27" s="1085">
        <v>1671</v>
      </c>
      <c r="V27" s="1085"/>
      <c r="W27" s="1085">
        <v>1970</v>
      </c>
      <c r="X27" s="1085">
        <v>1608</v>
      </c>
      <c r="Y27" s="1085">
        <v>1970</v>
      </c>
      <c r="Z27" s="1085">
        <v>1608</v>
      </c>
      <c r="AA27" s="1085">
        <v>1929</v>
      </c>
      <c r="AB27" s="1085"/>
      <c r="AC27" s="1085">
        <v>2459</v>
      </c>
      <c r="AD27" s="1085">
        <v>1793</v>
      </c>
      <c r="AE27" s="1085">
        <v>2275</v>
      </c>
      <c r="AF27" s="1085">
        <v>1793</v>
      </c>
      <c r="AG27" s="1085">
        <v>2152</v>
      </c>
      <c r="AH27" s="1086" t="s">
        <v>193</v>
      </c>
      <c r="AI27" s="1086">
        <v>53500</v>
      </c>
      <c r="AJ27" s="1087">
        <v>1.2699999999999999E-2</v>
      </c>
      <c r="AK27" s="1087">
        <v>0</v>
      </c>
      <c r="AL27" s="1087">
        <v>0</v>
      </c>
      <c r="AM27" s="1087">
        <v>0.161</v>
      </c>
      <c r="AN27" s="1088">
        <v>1010</v>
      </c>
      <c r="AO27" s="1089">
        <v>61850</v>
      </c>
    </row>
    <row r="28" spans="2:41" ht="15.75">
      <c r="B28" s="1090">
        <v>22</v>
      </c>
      <c r="C28" s="1091" t="s">
        <v>171</v>
      </c>
      <c r="D28" s="1092"/>
      <c r="E28" s="1092">
        <v>1666</v>
      </c>
      <c r="F28" s="1092">
        <v>1221</v>
      </c>
      <c r="G28" s="1092">
        <v>1568</v>
      </c>
      <c r="H28" s="1092">
        <v>1221</v>
      </c>
      <c r="I28" s="1092">
        <v>1465</v>
      </c>
      <c r="J28" s="1092"/>
      <c r="K28" s="1092">
        <v>1677</v>
      </c>
      <c r="L28" s="1092">
        <v>1308</v>
      </c>
      <c r="M28" s="1092">
        <v>1677</v>
      </c>
      <c r="N28" s="1092">
        <v>1308</v>
      </c>
      <c r="O28" s="1092">
        <v>1569</v>
      </c>
      <c r="P28" s="1092"/>
      <c r="Q28" s="1092">
        <v>2200</v>
      </c>
      <c r="R28" s="1092">
        <v>1570</v>
      </c>
      <c r="S28" s="1092">
        <v>2019</v>
      </c>
      <c r="T28" s="1092">
        <v>1570</v>
      </c>
      <c r="U28" s="1092">
        <v>1884</v>
      </c>
      <c r="V28" s="1092"/>
      <c r="W28" s="1092">
        <v>2937</v>
      </c>
      <c r="X28" s="1092">
        <v>1813</v>
      </c>
      <c r="Y28" s="1092">
        <v>2325</v>
      </c>
      <c r="Z28" s="1092">
        <v>1813</v>
      </c>
      <c r="AA28" s="1092">
        <v>2176</v>
      </c>
      <c r="AB28" s="1092"/>
      <c r="AC28" s="1092">
        <v>3328</v>
      </c>
      <c r="AD28" s="1092">
        <v>2023</v>
      </c>
      <c r="AE28" s="1092">
        <v>2574</v>
      </c>
      <c r="AF28" s="1092">
        <v>2023</v>
      </c>
      <c r="AG28" s="1092">
        <v>2428</v>
      </c>
      <c r="AH28" s="1091" t="s">
        <v>171</v>
      </c>
      <c r="AI28" s="1091">
        <v>51900</v>
      </c>
      <c r="AJ28" s="1093">
        <v>0.16209999999999999</v>
      </c>
      <c r="AK28" s="1093">
        <v>0.3</v>
      </c>
      <c r="AL28" s="1093">
        <v>2.0400000000000001E-2</v>
      </c>
      <c r="AM28" s="1093">
        <v>7.6999999999999999E-2</v>
      </c>
      <c r="AN28" s="1094">
        <v>26475</v>
      </c>
      <c r="AO28" s="1095">
        <v>69750</v>
      </c>
    </row>
    <row r="29" spans="2:41" ht="15.75">
      <c r="B29" s="1081">
        <v>23</v>
      </c>
      <c r="C29" s="1072" t="s">
        <v>307</v>
      </c>
      <c r="D29" s="1073"/>
      <c r="E29" s="1073">
        <v>1233</v>
      </c>
      <c r="F29" s="1073">
        <v>1001</v>
      </c>
      <c r="G29" s="1073">
        <v>1233</v>
      </c>
      <c r="H29" s="1073">
        <v>1001</v>
      </c>
      <c r="I29" s="1073">
        <v>1201</v>
      </c>
      <c r="J29" s="1073"/>
      <c r="K29" s="1073">
        <v>1319</v>
      </c>
      <c r="L29" s="1073">
        <v>1072</v>
      </c>
      <c r="M29" s="1073">
        <v>1319</v>
      </c>
      <c r="N29" s="1073">
        <v>1072</v>
      </c>
      <c r="O29" s="1073">
        <v>1287</v>
      </c>
      <c r="P29" s="1073"/>
      <c r="Q29" s="1073">
        <v>1614</v>
      </c>
      <c r="R29" s="1073">
        <v>1286</v>
      </c>
      <c r="S29" s="1073">
        <v>1614</v>
      </c>
      <c r="T29" s="1073">
        <v>1286</v>
      </c>
      <c r="U29" s="1073">
        <v>1543</v>
      </c>
      <c r="V29" s="1073"/>
      <c r="W29" s="1073">
        <v>1945</v>
      </c>
      <c r="X29" s="1073">
        <v>1486</v>
      </c>
      <c r="Y29" s="1073">
        <v>1898</v>
      </c>
      <c r="Z29" s="1073">
        <v>1486</v>
      </c>
      <c r="AA29" s="1073">
        <v>1783</v>
      </c>
      <c r="AB29" s="1073"/>
      <c r="AC29" s="1073">
        <v>2359</v>
      </c>
      <c r="AD29" s="1073">
        <v>1657</v>
      </c>
      <c r="AE29" s="1073">
        <v>2098</v>
      </c>
      <c r="AF29" s="1073">
        <v>1657</v>
      </c>
      <c r="AG29" s="1073">
        <v>1989</v>
      </c>
      <c r="AH29" s="1072" t="s">
        <v>286</v>
      </c>
      <c r="AI29" s="1072">
        <v>49800</v>
      </c>
      <c r="AJ29" s="1074">
        <v>1.5599999999999999E-2</v>
      </c>
      <c r="AK29" s="1074">
        <v>0.35</v>
      </c>
      <c r="AL29" s="1074">
        <v>1.0800000000000001E-2</v>
      </c>
      <c r="AM29" s="1074">
        <v>0.02</v>
      </c>
      <c r="AN29" s="1075">
        <v>16819</v>
      </c>
      <c r="AO29" s="1082">
        <v>57150</v>
      </c>
    </row>
    <row r="30" spans="2:41" ht="15.75">
      <c r="B30" s="1081">
        <v>24</v>
      </c>
      <c r="C30" s="1072" t="s">
        <v>308</v>
      </c>
      <c r="D30" s="1073"/>
      <c r="E30" s="1073">
        <v>1233</v>
      </c>
      <c r="F30" s="1073">
        <v>1001</v>
      </c>
      <c r="G30" s="1073">
        <v>1233</v>
      </c>
      <c r="H30" s="1073">
        <v>1001</v>
      </c>
      <c r="I30" s="1073">
        <v>1201</v>
      </c>
      <c r="J30" s="1073"/>
      <c r="K30" s="1073">
        <v>1319</v>
      </c>
      <c r="L30" s="1073">
        <v>1072</v>
      </c>
      <c r="M30" s="1073">
        <v>1319</v>
      </c>
      <c r="N30" s="1073">
        <v>1072</v>
      </c>
      <c r="O30" s="1073">
        <v>1287</v>
      </c>
      <c r="P30" s="1073"/>
      <c r="Q30" s="1073">
        <v>1614</v>
      </c>
      <c r="R30" s="1073">
        <v>1286</v>
      </c>
      <c r="S30" s="1073">
        <v>1614</v>
      </c>
      <c r="T30" s="1073">
        <v>1286</v>
      </c>
      <c r="U30" s="1073">
        <v>1543</v>
      </c>
      <c r="V30" s="1073"/>
      <c r="W30" s="1073">
        <v>1945</v>
      </c>
      <c r="X30" s="1073">
        <v>1486</v>
      </c>
      <c r="Y30" s="1073">
        <v>1898</v>
      </c>
      <c r="Z30" s="1073">
        <v>1486</v>
      </c>
      <c r="AA30" s="1073">
        <v>1783</v>
      </c>
      <c r="AB30" s="1073"/>
      <c r="AC30" s="1073">
        <v>2359</v>
      </c>
      <c r="AD30" s="1073">
        <v>1657</v>
      </c>
      <c r="AE30" s="1073">
        <v>2098</v>
      </c>
      <c r="AF30" s="1073">
        <v>1657</v>
      </c>
      <c r="AG30" s="1073">
        <v>1989</v>
      </c>
      <c r="AH30" s="1072" t="s">
        <v>286</v>
      </c>
      <c r="AI30" s="1072">
        <v>49800</v>
      </c>
      <c r="AJ30" s="1074">
        <v>1.5599999999999999E-2</v>
      </c>
      <c r="AK30" s="1074">
        <v>0.35</v>
      </c>
      <c r="AL30" s="1074">
        <v>1.0800000000000001E-2</v>
      </c>
      <c r="AM30" s="1074">
        <v>0.02</v>
      </c>
      <c r="AN30" s="1075">
        <v>16819</v>
      </c>
      <c r="AO30" s="1082">
        <v>57150</v>
      </c>
    </row>
    <row r="31" spans="2:41" ht="15.75">
      <c r="B31" s="1081">
        <v>25</v>
      </c>
      <c r="C31" s="1072" t="s">
        <v>309</v>
      </c>
      <c r="D31" s="1073"/>
      <c r="E31" s="1073">
        <v>1233</v>
      </c>
      <c r="F31" s="1073">
        <v>1001</v>
      </c>
      <c r="G31" s="1073">
        <v>1233</v>
      </c>
      <c r="H31" s="1073">
        <v>1001</v>
      </c>
      <c r="I31" s="1073">
        <v>1201</v>
      </c>
      <c r="J31" s="1073"/>
      <c r="K31" s="1073">
        <v>1319</v>
      </c>
      <c r="L31" s="1073">
        <v>1072</v>
      </c>
      <c r="M31" s="1073">
        <v>1319</v>
      </c>
      <c r="N31" s="1073">
        <v>1072</v>
      </c>
      <c r="O31" s="1073">
        <v>1287</v>
      </c>
      <c r="P31" s="1073"/>
      <c r="Q31" s="1073">
        <v>1614</v>
      </c>
      <c r="R31" s="1073">
        <v>1286</v>
      </c>
      <c r="S31" s="1073">
        <v>1614</v>
      </c>
      <c r="T31" s="1073">
        <v>1286</v>
      </c>
      <c r="U31" s="1073">
        <v>1543</v>
      </c>
      <c r="V31" s="1073"/>
      <c r="W31" s="1073">
        <v>1945</v>
      </c>
      <c r="X31" s="1073">
        <v>1486</v>
      </c>
      <c r="Y31" s="1073">
        <v>1898</v>
      </c>
      <c r="Z31" s="1073">
        <v>1486</v>
      </c>
      <c r="AA31" s="1073">
        <v>1783</v>
      </c>
      <c r="AB31" s="1073"/>
      <c r="AC31" s="1073">
        <v>2359</v>
      </c>
      <c r="AD31" s="1073">
        <v>1657</v>
      </c>
      <c r="AE31" s="1073">
        <v>2098</v>
      </c>
      <c r="AF31" s="1073">
        <v>1657</v>
      </c>
      <c r="AG31" s="1073">
        <v>1989</v>
      </c>
      <c r="AH31" s="1072" t="s">
        <v>286</v>
      </c>
      <c r="AI31" s="1072">
        <v>49800</v>
      </c>
      <c r="AJ31" s="1074">
        <v>1.5599999999999999E-2</v>
      </c>
      <c r="AK31" s="1074">
        <v>0.35</v>
      </c>
      <c r="AL31" s="1074">
        <v>1.0800000000000001E-2</v>
      </c>
      <c r="AM31" s="1074">
        <v>0.02</v>
      </c>
      <c r="AN31" s="1075">
        <v>16819</v>
      </c>
      <c r="AO31" s="1082">
        <v>57150</v>
      </c>
    </row>
    <row r="32" spans="2:41" ht="15.75">
      <c r="B32" s="1081">
        <v>26</v>
      </c>
      <c r="C32" s="1072" t="s">
        <v>310</v>
      </c>
      <c r="D32" s="1073"/>
      <c r="E32" s="1073">
        <v>1233</v>
      </c>
      <c r="F32" s="1073">
        <v>1001</v>
      </c>
      <c r="G32" s="1073">
        <v>1233</v>
      </c>
      <c r="H32" s="1073">
        <v>1001</v>
      </c>
      <c r="I32" s="1073">
        <v>1201</v>
      </c>
      <c r="J32" s="1073"/>
      <c r="K32" s="1073">
        <v>1319</v>
      </c>
      <c r="L32" s="1073">
        <v>1072</v>
      </c>
      <c r="M32" s="1073">
        <v>1319</v>
      </c>
      <c r="N32" s="1073">
        <v>1072</v>
      </c>
      <c r="O32" s="1073">
        <v>1287</v>
      </c>
      <c r="P32" s="1073"/>
      <c r="Q32" s="1073">
        <v>1614</v>
      </c>
      <c r="R32" s="1073">
        <v>1286</v>
      </c>
      <c r="S32" s="1073">
        <v>1614</v>
      </c>
      <c r="T32" s="1073">
        <v>1286</v>
      </c>
      <c r="U32" s="1073">
        <v>1543</v>
      </c>
      <c r="V32" s="1073"/>
      <c r="W32" s="1073">
        <v>1945</v>
      </c>
      <c r="X32" s="1073">
        <v>1486</v>
      </c>
      <c r="Y32" s="1073">
        <v>1898</v>
      </c>
      <c r="Z32" s="1073">
        <v>1486</v>
      </c>
      <c r="AA32" s="1073">
        <v>1783</v>
      </c>
      <c r="AB32" s="1073"/>
      <c r="AC32" s="1073">
        <v>2359</v>
      </c>
      <c r="AD32" s="1073">
        <v>1657</v>
      </c>
      <c r="AE32" s="1073">
        <v>2098</v>
      </c>
      <c r="AF32" s="1073">
        <v>1657</v>
      </c>
      <c r="AG32" s="1073">
        <v>1989</v>
      </c>
      <c r="AH32" s="1072" t="s">
        <v>286</v>
      </c>
      <c r="AI32" s="1072">
        <v>49800</v>
      </c>
      <c r="AJ32" s="1074">
        <v>1.5599999999999999E-2</v>
      </c>
      <c r="AK32" s="1074">
        <v>0.35</v>
      </c>
      <c r="AL32" s="1074">
        <v>1.0800000000000001E-2</v>
      </c>
      <c r="AM32" s="1074">
        <v>0.02</v>
      </c>
      <c r="AN32" s="1075">
        <v>16819</v>
      </c>
      <c r="AO32" s="1082">
        <v>57150</v>
      </c>
    </row>
    <row r="33" spans="1:49" ht="15.75">
      <c r="B33" s="1090">
        <v>27</v>
      </c>
      <c r="C33" s="1091" t="s">
        <v>311</v>
      </c>
      <c r="D33" s="1092"/>
      <c r="E33" s="1092">
        <v>1666</v>
      </c>
      <c r="F33" s="1092">
        <v>1221</v>
      </c>
      <c r="G33" s="1092">
        <v>1568</v>
      </c>
      <c r="H33" s="1092">
        <v>1221</v>
      </c>
      <c r="I33" s="1092">
        <v>1465</v>
      </c>
      <c r="J33" s="1092"/>
      <c r="K33" s="1092">
        <v>1677</v>
      </c>
      <c r="L33" s="1092">
        <v>1308</v>
      </c>
      <c r="M33" s="1092">
        <v>1677</v>
      </c>
      <c r="N33" s="1092">
        <v>1308</v>
      </c>
      <c r="O33" s="1092">
        <v>1569</v>
      </c>
      <c r="P33" s="1092"/>
      <c r="Q33" s="1092">
        <v>2200</v>
      </c>
      <c r="R33" s="1092">
        <v>1570</v>
      </c>
      <c r="S33" s="1092">
        <v>2019</v>
      </c>
      <c r="T33" s="1092">
        <v>1570</v>
      </c>
      <c r="U33" s="1092">
        <v>1884</v>
      </c>
      <c r="V33" s="1092"/>
      <c r="W33" s="1092">
        <v>2937</v>
      </c>
      <c r="X33" s="1092">
        <v>1813</v>
      </c>
      <c r="Y33" s="1092">
        <v>2325</v>
      </c>
      <c r="Z33" s="1092">
        <v>1813</v>
      </c>
      <c r="AA33" s="1092">
        <v>2176</v>
      </c>
      <c r="AB33" s="1092"/>
      <c r="AC33" s="1092">
        <v>3328</v>
      </c>
      <c r="AD33" s="1092">
        <v>2023</v>
      </c>
      <c r="AE33" s="1092">
        <v>2574</v>
      </c>
      <c r="AF33" s="1092">
        <v>2023</v>
      </c>
      <c r="AG33" s="1092">
        <v>2428</v>
      </c>
      <c r="AH33" s="1091" t="s">
        <v>171</v>
      </c>
      <c r="AI33" s="1091">
        <v>51900</v>
      </c>
      <c r="AJ33" s="1093">
        <v>2.3099999999999999E-2</v>
      </c>
      <c r="AK33" s="1093">
        <v>0.31</v>
      </c>
      <c r="AL33" s="1093">
        <v>1.9900000000000001E-2</v>
      </c>
      <c r="AM33" s="1093">
        <v>1.6E-2</v>
      </c>
      <c r="AN33" s="1094">
        <v>17149</v>
      </c>
      <c r="AO33" s="1095">
        <v>69750</v>
      </c>
    </row>
    <row r="34" spans="1:49" ht="15.75">
      <c r="B34" s="1081">
        <v>28</v>
      </c>
      <c r="C34" s="1072" t="s">
        <v>144</v>
      </c>
      <c r="D34" s="1073"/>
      <c r="E34" s="1073">
        <v>1233</v>
      </c>
      <c r="F34" s="1073">
        <v>1001</v>
      </c>
      <c r="G34" s="1073">
        <v>1233</v>
      </c>
      <c r="H34" s="1073">
        <v>1001</v>
      </c>
      <c r="I34" s="1073">
        <v>1201</v>
      </c>
      <c r="J34" s="1073"/>
      <c r="K34" s="1073">
        <v>1319</v>
      </c>
      <c r="L34" s="1073">
        <v>1072</v>
      </c>
      <c r="M34" s="1073">
        <v>1319</v>
      </c>
      <c r="N34" s="1073">
        <v>1072</v>
      </c>
      <c r="O34" s="1073">
        <v>1287</v>
      </c>
      <c r="P34" s="1073"/>
      <c r="Q34" s="1073">
        <v>1614</v>
      </c>
      <c r="R34" s="1073">
        <v>1286</v>
      </c>
      <c r="S34" s="1073">
        <v>1614</v>
      </c>
      <c r="T34" s="1073">
        <v>1286</v>
      </c>
      <c r="U34" s="1073">
        <v>1543</v>
      </c>
      <c r="V34" s="1073"/>
      <c r="W34" s="1073">
        <v>1945</v>
      </c>
      <c r="X34" s="1073">
        <v>1486</v>
      </c>
      <c r="Y34" s="1073">
        <v>1898</v>
      </c>
      <c r="Z34" s="1073">
        <v>1486</v>
      </c>
      <c r="AA34" s="1073">
        <v>1783</v>
      </c>
      <c r="AB34" s="1073"/>
      <c r="AC34" s="1073">
        <v>2359</v>
      </c>
      <c r="AD34" s="1073">
        <v>1657</v>
      </c>
      <c r="AE34" s="1073">
        <v>2098</v>
      </c>
      <c r="AF34" s="1073">
        <v>1657</v>
      </c>
      <c r="AG34" s="1073">
        <v>1989</v>
      </c>
      <c r="AH34" s="1072" t="s">
        <v>286</v>
      </c>
      <c r="AI34" s="1072">
        <v>49800</v>
      </c>
      <c r="AJ34" s="1074">
        <v>1.5599999999999999E-2</v>
      </c>
      <c r="AK34" s="1074">
        <v>0.35</v>
      </c>
      <c r="AL34" s="1074">
        <v>1.0800000000000001E-2</v>
      </c>
      <c r="AM34" s="1074">
        <v>0.02</v>
      </c>
      <c r="AN34" s="1075">
        <v>16819</v>
      </c>
      <c r="AO34" s="1082">
        <v>57150</v>
      </c>
    </row>
    <row r="35" spans="1:49" ht="15.75">
      <c r="B35" s="1081">
        <v>29</v>
      </c>
      <c r="C35" s="1072" t="s">
        <v>312</v>
      </c>
      <c r="D35" s="1073"/>
      <c r="E35" s="1073">
        <v>1233</v>
      </c>
      <c r="F35" s="1073">
        <v>1001</v>
      </c>
      <c r="G35" s="1073">
        <v>1233</v>
      </c>
      <c r="H35" s="1073">
        <v>1001</v>
      </c>
      <c r="I35" s="1073">
        <v>1201</v>
      </c>
      <c r="J35" s="1073"/>
      <c r="K35" s="1073">
        <v>1319</v>
      </c>
      <c r="L35" s="1073">
        <v>1072</v>
      </c>
      <c r="M35" s="1073">
        <v>1319</v>
      </c>
      <c r="N35" s="1073">
        <v>1072</v>
      </c>
      <c r="O35" s="1073">
        <v>1287</v>
      </c>
      <c r="P35" s="1073"/>
      <c r="Q35" s="1073">
        <v>1614</v>
      </c>
      <c r="R35" s="1073">
        <v>1286</v>
      </c>
      <c r="S35" s="1073">
        <v>1614</v>
      </c>
      <c r="T35" s="1073">
        <v>1286</v>
      </c>
      <c r="U35" s="1073">
        <v>1543</v>
      </c>
      <c r="V35" s="1073"/>
      <c r="W35" s="1073">
        <v>1945</v>
      </c>
      <c r="X35" s="1073">
        <v>1486</v>
      </c>
      <c r="Y35" s="1073">
        <v>1898</v>
      </c>
      <c r="Z35" s="1073">
        <v>1486</v>
      </c>
      <c r="AA35" s="1073">
        <v>1783</v>
      </c>
      <c r="AB35" s="1073"/>
      <c r="AC35" s="1073">
        <v>2359</v>
      </c>
      <c r="AD35" s="1073">
        <v>1657</v>
      </c>
      <c r="AE35" s="1073">
        <v>2098</v>
      </c>
      <c r="AF35" s="1073">
        <v>1657</v>
      </c>
      <c r="AG35" s="1073">
        <v>1989</v>
      </c>
      <c r="AH35" s="1072" t="s">
        <v>286</v>
      </c>
      <c r="AI35" s="1072">
        <v>49800</v>
      </c>
      <c r="AJ35" s="1074">
        <v>1.5599999999999999E-2</v>
      </c>
      <c r="AK35" s="1074">
        <v>0.35</v>
      </c>
      <c r="AL35" s="1074">
        <v>1.0800000000000001E-2</v>
      </c>
      <c r="AM35" s="1074">
        <v>0.02</v>
      </c>
      <c r="AN35" s="1075">
        <v>16819</v>
      </c>
      <c r="AO35" s="1082">
        <v>57150</v>
      </c>
    </row>
    <row r="36" spans="1:49" ht="15.75">
      <c r="B36" s="1081">
        <v>30</v>
      </c>
      <c r="C36" s="1072" t="s">
        <v>313</v>
      </c>
      <c r="D36" s="1073"/>
      <c r="E36" s="1073">
        <v>1233</v>
      </c>
      <c r="F36" s="1073">
        <v>1001</v>
      </c>
      <c r="G36" s="1073">
        <v>1233</v>
      </c>
      <c r="H36" s="1073">
        <v>1001</v>
      </c>
      <c r="I36" s="1073">
        <v>1201</v>
      </c>
      <c r="J36" s="1073"/>
      <c r="K36" s="1073">
        <v>1319</v>
      </c>
      <c r="L36" s="1073">
        <v>1072</v>
      </c>
      <c r="M36" s="1073">
        <v>1319</v>
      </c>
      <c r="N36" s="1073">
        <v>1072</v>
      </c>
      <c r="O36" s="1073">
        <v>1287</v>
      </c>
      <c r="P36" s="1073"/>
      <c r="Q36" s="1073">
        <v>1614</v>
      </c>
      <c r="R36" s="1073">
        <v>1286</v>
      </c>
      <c r="S36" s="1073">
        <v>1614</v>
      </c>
      <c r="T36" s="1073">
        <v>1286</v>
      </c>
      <c r="U36" s="1073">
        <v>1543</v>
      </c>
      <c r="V36" s="1073"/>
      <c r="W36" s="1073">
        <v>1945</v>
      </c>
      <c r="X36" s="1073">
        <v>1486</v>
      </c>
      <c r="Y36" s="1073">
        <v>1898</v>
      </c>
      <c r="Z36" s="1073">
        <v>1486</v>
      </c>
      <c r="AA36" s="1073">
        <v>1783</v>
      </c>
      <c r="AB36" s="1073"/>
      <c r="AC36" s="1073">
        <v>2359</v>
      </c>
      <c r="AD36" s="1073">
        <v>1657</v>
      </c>
      <c r="AE36" s="1073">
        <v>2098</v>
      </c>
      <c r="AF36" s="1073">
        <v>1657</v>
      </c>
      <c r="AG36" s="1073">
        <v>1989</v>
      </c>
      <c r="AH36" s="1072" t="s">
        <v>286</v>
      </c>
      <c r="AI36" s="1072">
        <v>49800</v>
      </c>
      <c r="AJ36" s="1074">
        <v>1.5599999999999999E-2</v>
      </c>
      <c r="AK36" s="1074">
        <v>0.35</v>
      </c>
      <c r="AL36" s="1074">
        <v>1.0800000000000001E-2</v>
      </c>
      <c r="AM36" s="1074">
        <v>0.02</v>
      </c>
      <c r="AN36" s="1075">
        <v>16819</v>
      </c>
      <c r="AO36" s="1082">
        <v>57150</v>
      </c>
    </row>
    <row r="37" spans="1:49" ht="15.75">
      <c r="B37" s="1081">
        <v>31</v>
      </c>
      <c r="C37" s="1072" t="s">
        <v>314</v>
      </c>
      <c r="D37" s="1073"/>
      <c r="E37" s="1073">
        <v>1233</v>
      </c>
      <c r="F37" s="1073">
        <v>1001</v>
      </c>
      <c r="G37" s="1073">
        <v>1233</v>
      </c>
      <c r="H37" s="1073">
        <v>1001</v>
      </c>
      <c r="I37" s="1073">
        <v>1201</v>
      </c>
      <c r="J37" s="1073"/>
      <c r="K37" s="1073">
        <v>1319</v>
      </c>
      <c r="L37" s="1073">
        <v>1072</v>
      </c>
      <c r="M37" s="1073">
        <v>1319</v>
      </c>
      <c r="N37" s="1073">
        <v>1072</v>
      </c>
      <c r="O37" s="1073">
        <v>1287</v>
      </c>
      <c r="P37" s="1073"/>
      <c r="Q37" s="1073">
        <v>1614</v>
      </c>
      <c r="R37" s="1073">
        <v>1286</v>
      </c>
      <c r="S37" s="1073">
        <v>1614</v>
      </c>
      <c r="T37" s="1073">
        <v>1286</v>
      </c>
      <c r="U37" s="1073">
        <v>1543</v>
      </c>
      <c r="V37" s="1073"/>
      <c r="W37" s="1073">
        <v>1945</v>
      </c>
      <c r="X37" s="1073">
        <v>1486</v>
      </c>
      <c r="Y37" s="1073">
        <v>1898</v>
      </c>
      <c r="Z37" s="1073">
        <v>1486</v>
      </c>
      <c r="AA37" s="1073">
        <v>1783</v>
      </c>
      <c r="AB37" s="1073"/>
      <c r="AC37" s="1073">
        <v>2359</v>
      </c>
      <c r="AD37" s="1073">
        <v>1657</v>
      </c>
      <c r="AE37" s="1073">
        <v>2098</v>
      </c>
      <c r="AF37" s="1073">
        <v>1657</v>
      </c>
      <c r="AG37" s="1073">
        <v>1989</v>
      </c>
      <c r="AH37" s="1072" t="s">
        <v>286</v>
      </c>
      <c r="AI37" s="1072">
        <v>49800</v>
      </c>
      <c r="AJ37" s="1074">
        <v>1.5599999999999999E-2</v>
      </c>
      <c r="AK37" s="1074">
        <v>0.35</v>
      </c>
      <c r="AL37" s="1074">
        <v>1.0800000000000001E-2</v>
      </c>
      <c r="AM37" s="1074">
        <v>0.02</v>
      </c>
      <c r="AN37" s="1075">
        <v>16819</v>
      </c>
      <c r="AO37" s="1082">
        <v>57150</v>
      </c>
    </row>
    <row r="38" spans="1:49" ht="15.75">
      <c r="B38" s="1081">
        <v>32</v>
      </c>
      <c r="C38" s="1072" t="s">
        <v>315</v>
      </c>
      <c r="D38" s="1073"/>
      <c r="E38" s="1073">
        <v>1233</v>
      </c>
      <c r="F38" s="1073">
        <v>1001</v>
      </c>
      <c r="G38" s="1073">
        <v>1233</v>
      </c>
      <c r="H38" s="1073">
        <v>1001</v>
      </c>
      <c r="I38" s="1073">
        <v>1201</v>
      </c>
      <c r="J38" s="1073"/>
      <c r="K38" s="1073">
        <v>1319</v>
      </c>
      <c r="L38" s="1073">
        <v>1072</v>
      </c>
      <c r="M38" s="1073">
        <v>1319</v>
      </c>
      <c r="N38" s="1073">
        <v>1072</v>
      </c>
      <c r="O38" s="1073">
        <v>1287</v>
      </c>
      <c r="P38" s="1073"/>
      <c r="Q38" s="1073">
        <v>1614</v>
      </c>
      <c r="R38" s="1073">
        <v>1286</v>
      </c>
      <c r="S38" s="1073">
        <v>1614</v>
      </c>
      <c r="T38" s="1073">
        <v>1286</v>
      </c>
      <c r="U38" s="1073">
        <v>1543</v>
      </c>
      <c r="V38" s="1073"/>
      <c r="W38" s="1073">
        <v>1945</v>
      </c>
      <c r="X38" s="1073">
        <v>1486</v>
      </c>
      <c r="Y38" s="1073">
        <v>1898</v>
      </c>
      <c r="Z38" s="1073">
        <v>1486</v>
      </c>
      <c r="AA38" s="1073">
        <v>1783</v>
      </c>
      <c r="AB38" s="1073"/>
      <c r="AC38" s="1073">
        <v>2359</v>
      </c>
      <c r="AD38" s="1073">
        <v>1657</v>
      </c>
      <c r="AE38" s="1073">
        <v>2098</v>
      </c>
      <c r="AF38" s="1073">
        <v>1657</v>
      </c>
      <c r="AG38" s="1073">
        <v>1989</v>
      </c>
      <c r="AH38" s="1072" t="s">
        <v>286</v>
      </c>
      <c r="AI38" s="1072">
        <v>49800</v>
      </c>
      <c r="AJ38" s="1074">
        <v>1.5599999999999999E-2</v>
      </c>
      <c r="AK38" s="1074">
        <v>0.35</v>
      </c>
      <c r="AL38" s="1074">
        <v>1.0800000000000001E-2</v>
      </c>
      <c r="AM38" s="1074">
        <v>0.02</v>
      </c>
      <c r="AN38" s="1075">
        <v>16819</v>
      </c>
      <c r="AO38" s="1082">
        <v>57150</v>
      </c>
    </row>
    <row r="39" spans="1:49" ht="15.75">
      <c r="B39" s="1081">
        <v>33</v>
      </c>
      <c r="C39" s="1072" t="s">
        <v>316</v>
      </c>
      <c r="D39" s="1073"/>
      <c r="E39" s="1073">
        <v>1233</v>
      </c>
      <c r="F39" s="1073">
        <v>1001</v>
      </c>
      <c r="G39" s="1073">
        <v>1233</v>
      </c>
      <c r="H39" s="1073">
        <v>1001</v>
      </c>
      <c r="I39" s="1073">
        <v>1201</v>
      </c>
      <c r="J39" s="1073"/>
      <c r="K39" s="1073">
        <v>1319</v>
      </c>
      <c r="L39" s="1073">
        <v>1072</v>
      </c>
      <c r="M39" s="1073">
        <v>1319</v>
      </c>
      <c r="N39" s="1073">
        <v>1072</v>
      </c>
      <c r="O39" s="1073">
        <v>1287</v>
      </c>
      <c r="P39" s="1073"/>
      <c r="Q39" s="1073">
        <v>1614</v>
      </c>
      <c r="R39" s="1073">
        <v>1286</v>
      </c>
      <c r="S39" s="1073">
        <v>1614</v>
      </c>
      <c r="T39" s="1073">
        <v>1286</v>
      </c>
      <c r="U39" s="1073">
        <v>1543</v>
      </c>
      <c r="V39" s="1073"/>
      <c r="W39" s="1073">
        <v>1945</v>
      </c>
      <c r="X39" s="1073">
        <v>1486</v>
      </c>
      <c r="Y39" s="1073">
        <v>1898</v>
      </c>
      <c r="Z39" s="1073">
        <v>1486</v>
      </c>
      <c r="AA39" s="1073">
        <v>1783</v>
      </c>
      <c r="AB39" s="1073"/>
      <c r="AC39" s="1073">
        <v>2359</v>
      </c>
      <c r="AD39" s="1073">
        <v>1657</v>
      </c>
      <c r="AE39" s="1073">
        <v>2098</v>
      </c>
      <c r="AF39" s="1073">
        <v>1657</v>
      </c>
      <c r="AG39" s="1073">
        <v>1989</v>
      </c>
      <c r="AH39" s="1072" t="s">
        <v>286</v>
      </c>
      <c r="AI39" s="1072">
        <v>49800</v>
      </c>
      <c r="AJ39" s="1074">
        <v>1.5599999999999999E-2</v>
      </c>
      <c r="AK39" s="1074">
        <v>0.35</v>
      </c>
      <c r="AL39" s="1074">
        <v>1.0800000000000001E-2</v>
      </c>
      <c r="AM39" s="1074">
        <v>0.02</v>
      </c>
      <c r="AN39" s="1075">
        <v>16819</v>
      </c>
      <c r="AO39" s="1082">
        <v>57150</v>
      </c>
    </row>
    <row r="40" spans="1:49" ht="15.75">
      <c r="B40" s="1081">
        <v>34</v>
      </c>
      <c r="C40" s="1072" t="s">
        <v>317</v>
      </c>
      <c r="D40" s="1073"/>
      <c r="E40" s="1073">
        <v>1233</v>
      </c>
      <c r="F40" s="1073">
        <v>1001</v>
      </c>
      <c r="G40" s="1073">
        <v>1233</v>
      </c>
      <c r="H40" s="1073">
        <v>1001</v>
      </c>
      <c r="I40" s="1073">
        <v>1201</v>
      </c>
      <c r="J40" s="1073"/>
      <c r="K40" s="1073">
        <v>1319</v>
      </c>
      <c r="L40" s="1073">
        <v>1072</v>
      </c>
      <c r="M40" s="1073">
        <v>1319</v>
      </c>
      <c r="N40" s="1073">
        <v>1072</v>
      </c>
      <c r="O40" s="1073">
        <v>1287</v>
      </c>
      <c r="P40" s="1073"/>
      <c r="Q40" s="1073">
        <v>1614</v>
      </c>
      <c r="R40" s="1073">
        <v>1286</v>
      </c>
      <c r="S40" s="1073">
        <v>1614</v>
      </c>
      <c r="T40" s="1073">
        <v>1286</v>
      </c>
      <c r="U40" s="1073">
        <v>1543</v>
      </c>
      <c r="V40" s="1073"/>
      <c r="W40" s="1073">
        <v>1945</v>
      </c>
      <c r="X40" s="1073">
        <v>1486</v>
      </c>
      <c r="Y40" s="1073">
        <v>1898</v>
      </c>
      <c r="Z40" s="1073">
        <v>1486</v>
      </c>
      <c r="AA40" s="1073">
        <v>1783</v>
      </c>
      <c r="AB40" s="1073"/>
      <c r="AC40" s="1073">
        <v>2359</v>
      </c>
      <c r="AD40" s="1073">
        <v>1657</v>
      </c>
      <c r="AE40" s="1073">
        <v>2098</v>
      </c>
      <c r="AF40" s="1073">
        <v>1657</v>
      </c>
      <c r="AG40" s="1073">
        <v>1989</v>
      </c>
      <c r="AH40" s="1072" t="s">
        <v>286</v>
      </c>
      <c r="AI40" s="1072">
        <v>49800</v>
      </c>
      <c r="AJ40" s="1074">
        <v>1.5599999999999999E-2</v>
      </c>
      <c r="AK40" s="1074">
        <v>0.35</v>
      </c>
      <c r="AL40" s="1074">
        <v>1.0800000000000001E-2</v>
      </c>
      <c r="AM40" s="1074">
        <v>0.02</v>
      </c>
      <c r="AN40" s="1075">
        <v>16819</v>
      </c>
      <c r="AO40" s="1082">
        <v>57150</v>
      </c>
    </row>
    <row r="41" spans="1:49" ht="15.75">
      <c r="B41" s="1081">
        <v>35</v>
      </c>
      <c r="C41" s="1072" t="s">
        <v>318</v>
      </c>
      <c r="D41" s="1073"/>
      <c r="E41" s="1073">
        <v>1233</v>
      </c>
      <c r="F41" s="1073">
        <v>1001</v>
      </c>
      <c r="G41" s="1073">
        <v>1233</v>
      </c>
      <c r="H41" s="1073">
        <v>1001</v>
      </c>
      <c r="I41" s="1073">
        <v>1201</v>
      </c>
      <c r="J41" s="1073"/>
      <c r="K41" s="1073">
        <v>1319</v>
      </c>
      <c r="L41" s="1073">
        <v>1072</v>
      </c>
      <c r="M41" s="1073">
        <v>1319</v>
      </c>
      <c r="N41" s="1073">
        <v>1072</v>
      </c>
      <c r="O41" s="1073">
        <v>1287</v>
      </c>
      <c r="P41" s="1073"/>
      <c r="Q41" s="1073">
        <v>1614</v>
      </c>
      <c r="R41" s="1073">
        <v>1286</v>
      </c>
      <c r="S41" s="1073">
        <v>1614</v>
      </c>
      <c r="T41" s="1073">
        <v>1286</v>
      </c>
      <c r="U41" s="1073">
        <v>1543</v>
      </c>
      <c r="V41" s="1073"/>
      <c r="W41" s="1073">
        <v>1945</v>
      </c>
      <c r="X41" s="1073">
        <v>1486</v>
      </c>
      <c r="Y41" s="1073">
        <v>1898</v>
      </c>
      <c r="Z41" s="1073">
        <v>1486</v>
      </c>
      <c r="AA41" s="1073">
        <v>1783</v>
      </c>
      <c r="AB41" s="1073"/>
      <c r="AC41" s="1073">
        <v>2359</v>
      </c>
      <c r="AD41" s="1073">
        <v>1657</v>
      </c>
      <c r="AE41" s="1073">
        <v>2098</v>
      </c>
      <c r="AF41" s="1073">
        <v>1657</v>
      </c>
      <c r="AG41" s="1073">
        <v>1989</v>
      </c>
      <c r="AH41" s="1072" t="s">
        <v>286</v>
      </c>
      <c r="AI41" s="1072">
        <v>49800</v>
      </c>
      <c r="AJ41" s="1074">
        <v>1.5599999999999999E-2</v>
      </c>
      <c r="AK41" s="1074">
        <v>0.35</v>
      </c>
      <c r="AL41" s="1074">
        <v>1.0800000000000001E-2</v>
      </c>
      <c r="AM41" s="1074">
        <v>0.02</v>
      </c>
      <c r="AN41" s="1075">
        <v>16819</v>
      </c>
      <c r="AO41" s="1082">
        <v>57150</v>
      </c>
    </row>
    <row r="42" spans="1:49" ht="15.75">
      <c r="B42" s="1081">
        <v>36</v>
      </c>
      <c r="C42" s="1072" t="s">
        <v>319</v>
      </c>
      <c r="D42" s="1073"/>
      <c r="E42" s="1073">
        <v>1233</v>
      </c>
      <c r="F42" s="1073">
        <v>1001</v>
      </c>
      <c r="G42" s="1073">
        <v>1233</v>
      </c>
      <c r="H42" s="1073">
        <v>1001</v>
      </c>
      <c r="I42" s="1073">
        <v>1201</v>
      </c>
      <c r="J42" s="1073"/>
      <c r="K42" s="1073">
        <v>1319</v>
      </c>
      <c r="L42" s="1073">
        <v>1072</v>
      </c>
      <c r="M42" s="1073">
        <v>1319</v>
      </c>
      <c r="N42" s="1073">
        <v>1072</v>
      </c>
      <c r="O42" s="1073">
        <v>1287</v>
      </c>
      <c r="P42" s="1073"/>
      <c r="Q42" s="1073">
        <v>1614</v>
      </c>
      <c r="R42" s="1073">
        <v>1286</v>
      </c>
      <c r="S42" s="1073">
        <v>1614</v>
      </c>
      <c r="T42" s="1073">
        <v>1286</v>
      </c>
      <c r="U42" s="1073">
        <v>1543</v>
      </c>
      <c r="V42" s="1073"/>
      <c r="W42" s="1073">
        <v>1945</v>
      </c>
      <c r="X42" s="1073">
        <v>1486</v>
      </c>
      <c r="Y42" s="1073">
        <v>1898</v>
      </c>
      <c r="Z42" s="1073">
        <v>1486</v>
      </c>
      <c r="AA42" s="1073">
        <v>1783</v>
      </c>
      <c r="AB42" s="1073"/>
      <c r="AC42" s="1073">
        <v>2359</v>
      </c>
      <c r="AD42" s="1073">
        <v>1657</v>
      </c>
      <c r="AE42" s="1073">
        <v>2098</v>
      </c>
      <c r="AF42" s="1073">
        <v>1657</v>
      </c>
      <c r="AG42" s="1073">
        <v>1989</v>
      </c>
      <c r="AH42" s="1072" t="s">
        <v>286</v>
      </c>
      <c r="AI42" s="1072">
        <v>49800</v>
      </c>
      <c r="AJ42" s="1074">
        <v>1.5599999999999999E-2</v>
      </c>
      <c r="AK42" s="1074">
        <v>0.35</v>
      </c>
      <c r="AL42" s="1074">
        <v>1.0800000000000001E-2</v>
      </c>
      <c r="AM42" s="1074">
        <v>0.02</v>
      </c>
      <c r="AN42" s="1075">
        <v>16819</v>
      </c>
      <c r="AO42" s="1082">
        <v>57150</v>
      </c>
    </row>
    <row r="43" spans="1:49" ht="15.75">
      <c r="B43" s="1081">
        <v>37</v>
      </c>
      <c r="C43" s="1072" t="s">
        <v>320</v>
      </c>
      <c r="D43" s="1073"/>
      <c r="E43" s="1073">
        <v>1233</v>
      </c>
      <c r="F43" s="1073">
        <v>1001</v>
      </c>
      <c r="G43" s="1073">
        <v>1233</v>
      </c>
      <c r="H43" s="1073">
        <v>1001</v>
      </c>
      <c r="I43" s="1073">
        <v>1201</v>
      </c>
      <c r="J43" s="1073"/>
      <c r="K43" s="1073">
        <v>1319</v>
      </c>
      <c r="L43" s="1073">
        <v>1072</v>
      </c>
      <c r="M43" s="1073">
        <v>1319</v>
      </c>
      <c r="N43" s="1073">
        <v>1072</v>
      </c>
      <c r="O43" s="1073">
        <v>1287</v>
      </c>
      <c r="P43" s="1073"/>
      <c r="Q43" s="1073">
        <v>1614</v>
      </c>
      <c r="R43" s="1073">
        <v>1286</v>
      </c>
      <c r="S43" s="1073">
        <v>1614</v>
      </c>
      <c r="T43" s="1073">
        <v>1286</v>
      </c>
      <c r="U43" s="1073">
        <v>1543</v>
      </c>
      <c r="V43" s="1073"/>
      <c r="W43" s="1073">
        <v>1945</v>
      </c>
      <c r="X43" s="1073">
        <v>1486</v>
      </c>
      <c r="Y43" s="1073">
        <v>1898</v>
      </c>
      <c r="Z43" s="1073">
        <v>1486</v>
      </c>
      <c r="AA43" s="1073">
        <v>1783</v>
      </c>
      <c r="AB43" s="1073"/>
      <c r="AC43" s="1073">
        <v>2359</v>
      </c>
      <c r="AD43" s="1073">
        <v>1657</v>
      </c>
      <c r="AE43" s="1073">
        <v>2098</v>
      </c>
      <c r="AF43" s="1073">
        <v>1657</v>
      </c>
      <c r="AG43" s="1073">
        <v>1989</v>
      </c>
      <c r="AH43" s="1072" t="s">
        <v>286</v>
      </c>
      <c r="AI43" s="1072">
        <v>49800</v>
      </c>
      <c r="AJ43" s="1074">
        <v>1.5599999999999999E-2</v>
      </c>
      <c r="AK43" s="1074">
        <v>0.35</v>
      </c>
      <c r="AL43" s="1074">
        <v>1.0800000000000001E-2</v>
      </c>
      <c r="AM43" s="1074">
        <v>0.02</v>
      </c>
      <c r="AN43" s="1075">
        <v>16819</v>
      </c>
      <c r="AO43" s="1082">
        <v>57150</v>
      </c>
    </row>
    <row r="44" spans="1:49" ht="15.75">
      <c r="B44" s="1083">
        <v>38</v>
      </c>
      <c r="C44" s="1084" t="s">
        <v>321</v>
      </c>
      <c r="D44" s="1085"/>
      <c r="E44" s="1085">
        <v>1284</v>
      </c>
      <c r="F44" s="1085">
        <v>1082</v>
      </c>
      <c r="G44" s="1085">
        <v>1284</v>
      </c>
      <c r="H44" s="1085">
        <v>1082</v>
      </c>
      <c r="I44" s="1085">
        <v>1299</v>
      </c>
      <c r="J44" s="1085"/>
      <c r="K44" s="1085">
        <v>1292</v>
      </c>
      <c r="L44" s="1085">
        <v>1160</v>
      </c>
      <c r="M44" s="1085">
        <v>1292</v>
      </c>
      <c r="N44" s="1085">
        <v>1160</v>
      </c>
      <c r="O44" s="1085">
        <v>1392</v>
      </c>
      <c r="P44" s="1085"/>
      <c r="Q44" s="1085">
        <v>1576</v>
      </c>
      <c r="R44" s="1085">
        <v>1392</v>
      </c>
      <c r="S44" s="1085">
        <v>1576</v>
      </c>
      <c r="T44" s="1085">
        <v>1392</v>
      </c>
      <c r="U44" s="1085">
        <v>1671</v>
      </c>
      <c r="V44" s="1085"/>
      <c r="W44" s="1085">
        <v>1970</v>
      </c>
      <c r="X44" s="1085">
        <v>1608</v>
      </c>
      <c r="Y44" s="1085">
        <v>1970</v>
      </c>
      <c r="Z44" s="1085">
        <v>1608</v>
      </c>
      <c r="AA44" s="1085">
        <v>1929</v>
      </c>
      <c r="AB44" s="1085"/>
      <c r="AC44" s="1085">
        <v>2459</v>
      </c>
      <c r="AD44" s="1085">
        <v>1793</v>
      </c>
      <c r="AE44" s="1085">
        <v>2275</v>
      </c>
      <c r="AF44" s="1085">
        <v>1793</v>
      </c>
      <c r="AG44" s="1085">
        <v>2152</v>
      </c>
      <c r="AH44" s="1086" t="s">
        <v>193</v>
      </c>
      <c r="AI44" s="1086">
        <v>54500</v>
      </c>
      <c r="AJ44" s="1087">
        <v>5.0299999999999997E-2</v>
      </c>
      <c r="AK44" s="1087">
        <v>0.28000000000000003</v>
      </c>
      <c r="AL44" s="1087">
        <v>2.81E-2</v>
      </c>
      <c r="AM44" s="1087">
        <v>1.7000000000000001E-2</v>
      </c>
      <c r="AN44" s="1088">
        <v>22966</v>
      </c>
      <c r="AO44" s="1089">
        <v>61850</v>
      </c>
    </row>
    <row r="45" spans="1:49" ht="16.5" thickBot="1">
      <c r="B45" s="1097">
        <v>39</v>
      </c>
      <c r="C45" s="1098" t="s">
        <v>322</v>
      </c>
      <c r="D45" s="1099"/>
      <c r="E45" s="1073">
        <v>1233</v>
      </c>
      <c r="F45" s="1073">
        <v>1001</v>
      </c>
      <c r="G45" s="1073">
        <v>1233</v>
      </c>
      <c r="H45" s="1073">
        <v>1001</v>
      </c>
      <c r="I45" s="1073">
        <v>1201</v>
      </c>
      <c r="J45" s="1073"/>
      <c r="K45" s="1073">
        <v>1319</v>
      </c>
      <c r="L45" s="1073">
        <v>1072</v>
      </c>
      <c r="M45" s="1073">
        <v>1319</v>
      </c>
      <c r="N45" s="1073">
        <v>1072</v>
      </c>
      <c r="O45" s="1073">
        <v>1287</v>
      </c>
      <c r="P45" s="1073"/>
      <c r="Q45" s="1073">
        <v>1614</v>
      </c>
      <c r="R45" s="1073">
        <v>1286</v>
      </c>
      <c r="S45" s="1073">
        <v>1614</v>
      </c>
      <c r="T45" s="1073">
        <v>1286</v>
      </c>
      <c r="U45" s="1073">
        <v>1543</v>
      </c>
      <c r="V45" s="1073"/>
      <c r="W45" s="1073">
        <v>1945</v>
      </c>
      <c r="X45" s="1073">
        <v>1486</v>
      </c>
      <c r="Y45" s="1073">
        <v>1898</v>
      </c>
      <c r="Z45" s="1073">
        <v>1486</v>
      </c>
      <c r="AA45" s="1073">
        <v>1783</v>
      </c>
      <c r="AB45" s="1073"/>
      <c r="AC45" s="1073">
        <v>2359</v>
      </c>
      <c r="AD45" s="1073">
        <v>1657</v>
      </c>
      <c r="AE45" s="1073">
        <v>2098</v>
      </c>
      <c r="AF45" s="1073">
        <v>1657</v>
      </c>
      <c r="AG45" s="1073">
        <v>1989</v>
      </c>
      <c r="AH45" s="1072" t="s">
        <v>286</v>
      </c>
      <c r="AI45" s="1072">
        <v>49800</v>
      </c>
      <c r="AJ45" s="1074">
        <v>1.5599999999999999E-2</v>
      </c>
      <c r="AK45" s="1074">
        <v>0.35</v>
      </c>
      <c r="AL45" s="1074">
        <v>1.0800000000000001E-2</v>
      </c>
      <c r="AM45" s="1074">
        <v>0.02</v>
      </c>
      <c r="AN45" s="1075">
        <v>16819</v>
      </c>
      <c r="AO45" s="1082">
        <v>57150</v>
      </c>
    </row>
    <row r="46" spans="1:49" ht="15.75">
      <c r="A46" s="1068"/>
      <c r="B46" s="1068"/>
      <c r="C46" s="1069"/>
      <c r="D46" s="1069"/>
      <c r="E46" s="1069"/>
      <c r="F46" s="1069"/>
      <c r="G46" s="1069"/>
      <c r="H46" s="1069"/>
      <c r="I46" s="1069"/>
      <c r="J46" s="1069"/>
      <c r="K46" s="1069"/>
      <c r="L46" s="1069"/>
      <c r="M46" s="1069"/>
      <c r="N46" s="1069"/>
      <c r="O46" s="1069"/>
      <c r="P46" s="1069"/>
      <c r="Q46" s="1069"/>
      <c r="R46" s="1069"/>
      <c r="S46" s="1069"/>
      <c r="T46" s="1069"/>
      <c r="U46" s="1069"/>
      <c r="V46" s="1069"/>
      <c r="W46" s="1069"/>
      <c r="X46" s="1069"/>
      <c r="Y46" s="1069"/>
      <c r="Z46" s="1069"/>
      <c r="AA46" s="1069"/>
      <c r="AB46" s="1069"/>
      <c r="AC46" s="1069"/>
      <c r="AD46" s="1069"/>
      <c r="AE46" s="1069"/>
      <c r="AF46" s="1069"/>
      <c r="AG46" s="1069"/>
      <c r="AH46" s="1069"/>
      <c r="AI46" s="1069"/>
      <c r="AJ46" s="1069"/>
      <c r="AK46" s="1070"/>
      <c r="AL46" s="1069"/>
      <c r="AM46" s="1071"/>
    </row>
    <row r="47" spans="1:49" ht="16.5" thickBot="1">
      <c r="A47" s="1068"/>
      <c r="B47" s="1068"/>
      <c r="C47" s="1069"/>
      <c r="D47" s="1069"/>
      <c r="E47" s="1069"/>
      <c r="F47" s="1069"/>
      <c r="G47" s="1069"/>
      <c r="H47" s="1069"/>
      <c r="I47" s="1069"/>
      <c r="J47" s="1069"/>
      <c r="K47" s="1069"/>
      <c r="L47" s="1069"/>
      <c r="M47" s="1069"/>
      <c r="N47" s="1069"/>
      <c r="O47" s="1069"/>
      <c r="P47" s="1069"/>
      <c r="Q47" s="1069"/>
      <c r="R47" s="1069"/>
      <c r="S47" s="1069"/>
      <c r="T47" s="1069"/>
      <c r="U47" s="1069"/>
      <c r="V47" s="1069"/>
      <c r="W47" s="1069"/>
      <c r="X47" s="1069"/>
      <c r="Y47" s="1069"/>
      <c r="Z47" s="1069"/>
      <c r="AA47" s="1069"/>
      <c r="AB47" s="1069"/>
      <c r="AC47" s="1069"/>
      <c r="AD47" s="1069"/>
      <c r="AE47" s="1069"/>
      <c r="AF47" s="1069"/>
      <c r="AG47" s="1069"/>
      <c r="AH47" s="1069"/>
      <c r="AI47" s="1069"/>
      <c r="AJ47" s="1069"/>
      <c r="AK47" s="1070"/>
      <c r="AL47" s="1069"/>
      <c r="AM47" s="1071"/>
    </row>
    <row r="48" spans="1:49" ht="21.75" thickBot="1">
      <c r="A48" s="1068"/>
      <c r="B48" s="473" t="s">
        <v>323</v>
      </c>
      <c r="C48" s="20"/>
      <c r="D48" s="21"/>
      <c r="E48" s="474"/>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5"/>
      <c r="AN48" s="475"/>
      <c r="AO48" s="475"/>
      <c r="AP48" s="475"/>
      <c r="AQ48" s="475"/>
      <c r="AR48" s="475"/>
      <c r="AS48" s="475"/>
      <c r="AT48" s="475"/>
      <c r="AU48" s="475"/>
      <c r="AV48" s="475"/>
      <c r="AW48" s="616"/>
    </row>
    <row r="49" spans="1:39" ht="16.5" thickBot="1">
      <c r="A49" s="1068"/>
      <c r="B49" s="1068"/>
      <c r="C49" s="1069"/>
      <c r="D49" s="1069"/>
      <c r="E49" s="1069"/>
      <c r="F49" s="1069"/>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1069"/>
      <c r="AM49" s="1071"/>
    </row>
    <row r="50" spans="1:39" ht="15.75">
      <c r="A50" s="1070"/>
      <c r="B50" s="1116" t="s">
        <v>324</v>
      </c>
      <c r="C50" s="1112" t="s">
        <v>325</v>
      </c>
      <c r="D50" s="1108"/>
      <c r="E50" s="1112" t="s">
        <v>326</v>
      </c>
      <c r="F50" s="1108"/>
      <c r="G50" s="1107" t="s">
        <v>327</v>
      </c>
      <c r="H50" s="1107"/>
      <c r="I50" s="1112" t="s">
        <v>328</v>
      </c>
      <c r="J50" s="1108"/>
      <c r="K50" s="1107" t="s">
        <v>329</v>
      </c>
      <c r="L50" s="1107"/>
      <c r="M50" s="1112" t="s">
        <v>330</v>
      </c>
      <c r="N50" s="1108"/>
      <c r="O50" s="1107" t="s">
        <v>331</v>
      </c>
      <c r="P50" s="1107"/>
      <c r="Q50" s="1112" t="s">
        <v>332</v>
      </c>
      <c r="R50" s="1108"/>
      <c r="S50" s="1069"/>
      <c r="T50" s="1069"/>
      <c r="U50" s="1069"/>
      <c r="V50" s="1069"/>
      <c r="W50" s="1069"/>
      <c r="X50" s="1069"/>
      <c r="Y50" s="1069"/>
      <c r="Z50" s="1069"/>
      <c r="AA50" s="1069"/>
      <c r="AB50" s="1069"/>
      <c r="AC50" s="1069"/>
      <c r="AD50" s="1069"/>
      <c r="AE50" s="1069"/>
      <c r="AF50" s="1069"/>
      <c r="AG50" s="1069"/>
      <c r="AH50" s="1069"/>
      <c r="AI50" s="1069"/>
      <c r="AJ50" s="1069"/>
      <c r="AK50" s="1070"/>
      <c r="AL50" s="1069"/>
      <c r="AM50" s="1071"/>
    </row>
    <row r="51" spans="1:39" ht="16.5" thickBot="1">
      <c r="A51" s="1070"/>
      <c r="B51" s="1117"/>
      <c r="C51" s="1113" t="s">
        <v>333</v>
      </c>
      <c r="D51" s="1115" t="s">
        <v>334</v>
      </c>
      <c r="E51" s="1113" t="s">
        <v>333</v>
      </c>
      <c r="F51" s="1115" t="s">
        <v>334</v>
      </c>
      <c r="G51" s="1114" t="s">
        <v>333</v>
      </c>
      <c r="H51" s="1114" t="s">
        <v>334</v>
      </c>
      <c r="I51" s="1113" t="s">
        <v>333</v>
      </c>
      <c r="J51" s="1115" t="s">
        <v>334</v>
      </c>
      <c r="K51" s="1114" t="s">
        <v>333</v>
      </c>
      <c r="L51" s="1114" t="s">
        <v>334</v>
      </c>
      <c r="M51" s="1113" t="s">
        <v>333</v>
      </c>
      <c r="N51" s="1115" t="s">
        <v>334</v>
      </c>
      <c r="O51" s="1114" t="s">
        <v>333</v>
      </c>
      <c r="P51" s="1114" t="s">
        <v>334</v>
      </c>
      <c r="Q51" s="1113" t="s">
        <v>333</v>
      </c>
      <c r="R51" s="1115" t="s">
        <v>334</v>
      </c>
      <c r="S51" s="1069"/>
      <c r="T51" s="1069"/>
      <c r="U51" s="1069"/>
      <c r="V51" s="1069"/>
      <c r="W51" s="1069"/>
      <c r="X51" s="1069"/>
      <c r="Y51" s="1069"/>
      <c r="Z51" s="1069"/>
      <c r="AA51" s="1069"/>
      <c r="AB51" s="1069"/>
      <c r="AC51" s="1069"/>
      <c r="AD51" s="1069"/>
      <c r="AE51" s="1069"/>
      <c r="AF51" s="1069"/>
      <c r="AG51" s="1069"/>
      <c r="AH51" s="1069"/>
      <c r="AI51" s="1069"/>
      <c r="AJ51" s="1069"/>
      <c r="AK51" s="1070"/>
      <c r="AL51" s="1069"/>
      <c r="AM51" s="1071"/>
    </row>
    <row r="52" spans="1:39" ht="15.75" hidden="1">
      <c r="A52" s="1070"/>
      <c r="B52" s="1109" t="s">
        <v>335</v>
      </c>
      <c r="C52" s="1109">
        <v>29050</v>
      </c>
      <c r="D52" s="1110">
        <v>46480</v>
      </c>
      <c r="E52" s="1109">
        <v>33200</v>
      </c>
      <c r="F52" s="1110">
        <v>53120</v>
      </c>
      <c r="G52" s="1102">
        <v>37350</v>
      </c>
      <c r="H52" s="1102">
        <v>59760</v>
      </c>
      <c r="I52" s="1109">
        <v>41500</v>
      </c>
      <c r="J52" s="1110">
        <v>66400</v>
      </c>
      <c r="K52" s="1102">
        <v>44850</v>
      </c>
      <c r="L52" s="1102">
        <v>71760</v>
      </c>
      <c r="M52" s="1109">
        <v>48150</v>
      </c>
      <c r="N52" s="1110">
        <v>77040</v>
      </c>
      <c r="O52" s="1102">
        <v>51500</v>
      </c>
      <c r="P52" s="1102">
        <v>82400</v>
      </c>
      <c r="Q52" s="1109">
        <v>54800</v>
      </c>
      <c r="R52" s="1110">
        <v>87680</v>
      </c>
      <c r="S52" s="1069"/>
      <c r="T52" s="1069"/>
      <c r="U52" s="1069"/>
      <c r="V52" s="1069"/>
      <c r="W52" s="1069"/>
      <c r="X52" s="1069"/>
      <c r="Y52" s="1069"/>
      <c r="Z52" s="1069"/>
      <c r="AA52" s="1069"/>
      <c r="AB52" s="1069"/>
      <c r="AC52" s="1069"/>
      <c r="AD52" s="1069"/>
      <c r="AE52" s="1069"/>
      <c r="AF52" s="1069"/>
      <c r="AG52" s="1069"/>
      <c r="AH52" s="1069"/>
      <c r="AI52" s="1069"/>
      <c r="AJ52" s="1069"/>
      <c r="AK52" s="1070"/>
      <c r="AL52" s="1069"/>
      <c r="AM52" s="1071"/>
    </row>
    <row r="53" spans="1:39" ht="15.75">
      <c r="A53" s="1070"/>
      <c r="B53" s="1109" t="s">
        <v>171</v>
      </c>
      <c r="C53" s="1560">
        <v>48850</v>
      </c>
      <c r="D53" s="1561">
        <v>78160</v>
      </c>
      <c r="E53" s="1560">
        <v>55800</v>
      </c>
      <c r="F53" s="1561">
        <v>89280</v>
      </c>
      <c r="G53" s="1562">
        <v>62800</v>
      </c>
      <c r="H53" s="1562">
        <v>100480</v>
      </c>
      <c r="I53" s="1560">
        <v>69750</v>
      </c>
      <c r="J53" s="1561">
        <v>111600</v>
      </c>
      <c r="K53" s="1563">
        <v>75350</v>
      </c>
      <c r="L53" s="1563">
        <v>120560</v>
      </c>
      <c r="M53" s="1564">
        <v>80950</v>
      </c>
      <c r="N53" s="1565">
        <v>129520</v>
      </c>
      <c r="O53" s="1563">
        <v>86500</v>
      </c>
      <c r="P53" s="1563">
        <v>138400</v>
      </c>
      <c r="Q53" s="1564">
        <v>92100</v>
      </c>
      <c r="R53" s="1565">
        <v>147360</v>
      </c>
      <c r="S53" s="1069"/>
      <c r="T53" s="1069"/>
      <c r="U53" s="1069"/>
      <c r="V53" s="1069"/>
      <c r="W53" s="1069"/>
      <c r="X53" s="1069"/>
      <c r="Y53" s="1069"/>
      <c r="Z53" s="1069"/>
      <c r="AA53" s="1069"/>
      <c r="AB53" s="1069"/>
      <c r="AC53" s="1069"/>
      <c r="AD53" s="1069"/>
      <c r="AE53" s="1069"/>
      <c r="AF53" s="1069"/>
      <c r="AG53" s="1069"/>
      <c r="AH53" s="1069"/>
      <c r="AI53" s="1069"/>
      <c r="AJ53" s="1069"/>
      <c r="AK53" s="1070"/>
      <c r="AL53" s="1069"/>
      <c r="AM53" s="1071"/>
    </row>
    <row r="54" spans="1:39" ht="15.75">
      <c r="A54" s="1070"/>
      <c r="B54" s="1825" t="s">
        <v>144</v>
      </c>
      <c r="C54" s="1560">
        <v>40050</v>
      </c>
      <c r="D54" s="1561">
        <v>64080</v>
      </c>
      <c r="E54" s="1560">
        <v>45750</v>
      </c>
      <c r="F54" s="1561">
        <v>73200</v>
      </c>
      <c r="G54" s="1562">
        <v>51450</v>
      </c>
      <c r="H54" s="1562">
        <v>82320</v>
      </c>
      <c r="I54" s="1560">
        <v>57150</v>
      </c>
      <c r="J54" s="1561">
        <v>91440</v>
      </c>
      <c r="K54" s="1563">
        <v>61750</v>
      </c>
      <c r="L54" s="1563">
        <v>98800</v>
      </c>
      <c r="M54" s="1564">
        <v>66300</v>
      </c>
      <c r="N54" s="1565">
        <v>106080</v>
      </c>
      <c r="O54" s="1563">
        <v>70900</v>
      </c>
      <c r="P54" s="1563">
        <v>113440</v>
      </c>
      <c r="Q54" s="1564">
        <v>75450</v>
      </c>
      <c r="R54" s="1565">
        <v>120720</v>
      </c>
      <c r="S54" s="1069"/>
      <c r="T54" s="1069"/>
      <c r="U54" s="1069"/>
      <c r="V54" s="1069"/>
      <c r="W54" s="1069"/>
      <c r="X54" s="1069"/>
      <c r="Y54" s="1069"/>
      <c r="Z54" s="1069"/>
      <c r="AA54" s="1069"/>
      <c r="AB54" s="1069"/>
      <c r="AC54" s="1069"/>
      <c r="AD54" s="1069"/>
      <c r="AE54" s="1069"/>
      <c r="AF54" s="1069"/>
      <c r="AG54" s="1069"/>
      <c r="AH54" s="1069"/>
      <c r="AI54" s="1069"/>
      <c r="AJ54" s="1069"/>
      <c r="AK54" s="1070"/>
      <c r="AL54" s="1069"/>
      <c r="AM54" s="1071"/>
    </row>
    <row r="55" spans="1:39" ht="16.5" thickBot="1">
      <c r="A55" s="1070"/>
      <c r="B55" s="1111" t="s">
        <v>193</v>
      </c>
      <c r="C55" s="1566">
        <v>43300</v>
      </c>
      <c r="D55" s="1567">
        <v>69280</v>
      </c>
      <c r="E55" s="1566">
        <v>49500</v>
      </c>
      <c r="F55" s="1567">
        <v>79200</v>
      </c>
      <c r="G55" s="1568">
        <v>55700</v>
      </c>
      <c r="H55" s="1568">
        <v>89120</v>
      </c>
      <c r="I55" s="1566">
        <v>61850</v>
      </c>
      <c r="J55" s="1567">
        <v>98960</v>
      </c>
      <c r="K55" s="1569">
        <v>66800</v>
      </c>
      <c r="L55" s="1569">
        <v>106880</v>
      </c>
      <c r="M55" s="1570">
        <v>71750</v>
      </c>
      <c r="N55" s="1571">
        <v>114800</v>
      </c>
      <c r="O55" s="1569">
        <v>76700</v>
      </c>
      <c r="P55" s="1569">
        <v>122720</v>
      </c>
      <c r="Q55" s="1570">
        <v>81650</v>
      </c>
      <c r="R55" s="1571">
        <v>130640</v>
      </c>
      <c r="S55" s="1069"/>
      <c r="T55" s="1069"/>
      <c r="U55" s="1069"/>
      <c r="V55" s="1069"/>
      <c r="W55" s="1069"/>
      <c r="X55" s="1069"/>
      <c r="Y55" s="1069"/>
      <c r="Z55" s="1069"/>
      <c r="AA55" s="1069"/>
      <c r="AB55" s="1069"/>
      <c r="AC55" s="1069"/>
      <c r="AD55" s="1069"/>
      <c r="AE55" s="1069"/>
      <c r="AF55" s="1069"/>
      <c r="AG55" s="1069"/>
      <c r="AH55" s="1069"/>
      <c r="AI55" s="1069"/>
      <c r="AJ55" s="1069"/>
      <c r="AK55" s="1070"/>
      <c r="AL55" s="1069"/>
      <c r="AM55" s="1071"/>
    </row>
    <row r="56" spans="1:39" ht="16.5" thickBot="1">
      <c r="A56" s="1070"/>
      <c r="B56" s="1068"/>
      <c r="C56" s="8"/>
      <c r="D56" s="8"/>
      <c r="E56" s="8"/>
      <c r="F56" s="8"/>
      <c r="G56" s="8"/>
      <c r="H56" s="8"/>
      <c r="I56" s="8"/>
      <c r="J56" s="8"/>
      <c r="K56" s="8"/>
      <c r="L56" s="8"/>
      <c r="M56" s="8"/>
      <c r="N56" s="8"/>
      <c r="O56" s="8"/>
      <c r="P56" s="8"/>
      <c r="Q56" s="8"/>
      <c r="R56" s="8"/>
      <c r="S56" s="1069"/>
      <c r="T56" s="1069"/>
      <c r="U56" s="1069"/>
      <c r="V56" s="1069"/>
      <c r="W56" s="1069"/>
      <c r="X56" s="1069"/>
      <c r="Y56" s="1069"/>
      <c r="Z56" s="1069"/>
      <c r="AA56" s="1069"/>
      <c r="AB56" s="1069"/>
      <c r="AC56" s="1069"/>
      <c r="AD56" s="1069"/>
      <c r="AE56" s="1069"/>
      <c r="AF56" s="1069"/>
      <c r="AG56" s="1069"/>
      <c r="AH56" s="1069"/>
      <c r="AI56" s="1069"/>
      <c r="AJ56" s="1069"/>
      <c r="AK56" s="1070"/>
      <c r="AL56" s="1069"/>
      <c r="AM56" s="1071"/>
    </row>
    <row r="57" spans="1:39" ht="15.75">
      <c r="A57" s="1070"/>
      <c r="B57" s="1123" t="s">
        <v>336</v>
      </c>
      <c r="C57" s="1126" t="s">
        <v>333</v>
      </c>
      <c r="D57" s="1119" t="s">
        <v>334</v>
      </c>
      <c r="E57" s="1118" t="s">
        <v>333</v>
      </c>
      <c r="F57" s="1118" t="s">
        <v>334</v>
      </c>
      <c r="G57" s="1126" t="s">
        <v>333</v>
      </c>
      <c r="H57" s="1119" t="s">
        <v>334</v>
      </c>
      <c r="I57" s="1118" t="s">
        <v>333</v>
      </c>
      <c r="J57" s="1118" t="s">
        <v>334</v>
      </c>
      <c r="K57" s="1126" t="s">
        <v>333</v>
      </c>
      <c r="L57" s="1119" t="s">
        <v>334</v>
      </c>
      <c r="M57" s="1118" t="s">
        <v>333</v>
      </c>
      <c r="N57" s="1118" t="s">
        <v>334</v>
      </c>
      <c r="O57" s="1126" t="s">
        <v>333</v>
      </c>
      <c r="P57" s="1119" t="s">
        <v>334</v>
      </c>
      <c r="Q57" s="1118" t="s">
        <v>333</v>
      </c>
      <c r="R57" s="1119" t="s">
        <v>334</v>
      </c>
      <c r="S57" s="1069"/>
      <c r="T57" s="1069"/>
      <c r="U57" s="1069"/>
      <c r="V57" s="1069"/>
      <c r="W57" s="1069"/>
      <c r="X57" s="1069"/>
      <c r="Y57" s="1069"/>
      <c r="Z57" s="1069"/>
      <c r="AA57" s="1069"/>
      <c r="AB57" s="1069"/>
      <c r="AC57" s="1069"/>
      <c r="AD57" s="1069"/>
      <c r="AE57" s="1069"/>
      <c r="AF57" s="1069"/>
      <c r="AG57" s="1069"/>
      <c r="AH57" s="1069"/>
      <c r="AI57" s="1069"/>
      <c r="AJ57" s="1069"/>
      <c r="AK57" s="1070"/>
      <c r="AL57" s="1069"/>
      <c r="AM57" s="1071"/>
    </row>
    <row r="58" spans="1:39" ht="15.75">
      <c r="A58" s="1068"/>
      <c r="B58" s="1124" t="s">
        <v>171</v>
      </c>
      <c r="C58" s="1127">
        <f t="shared" ref="C58:R60" si="0">(C53/12)*30%</f>
        <v>1221.25</v>
      </c>
      <c r="D58" s="1120">
        <f t="shared" si="0"/>
        <v>1953.9999999999998</v>
      </c>
      <c r="E58" s="1103">
        <f t="shared" si="0"/>
        <v>1395</v>
      </c>
      <c r="F58" s="1103">
        <f t="shared" si="0"/>
        <v>2232</v>
      </c>
      <c r="G58" s="1127">
        <f t="shared" si="0"/>
        <v>1569.9999999999998</v>
      </c>
      <c r="H58" s="1120">
        <f t="shared" si="0"/>
        <v>2512</v>
      </c>
      <c r="I58" s="1103">
        <f t="shared" si="0"/>
        <v>1743.75</v>
      </c>
      <c r="J58" s="1103">
        <f t="shared" si="0"/>
        <v>2790</v>
      </c>
      <c r="K58" s="1127">
        <f t="shared" si="0"/>
        <v>1883.75</v>
      </c>
      <c r="L58" s="1120">
        <f t="shared" si="0"/>
        <v>3013.9999999999995</v>
      </c>
      <c r="M58" s="1103">
        <f t="shared" si="0"/>
        <v>2023.7499999999998</v>
      </c>
      <c r="N58" s="1103">
        <f t="shared" si="0"/>
        <v>3238</v>
      </c>
      <c r="O58" s="1127">
        <f t="shared" si="0"/>
        <v>2162.5</v>
      </c>
      <c r="P58" s="1120">
        <f t="shared" si="0"/>
        <v>3460</v>
      </c>
      <c r="Q58" s="1103">
        <f t="shared" si="0"/>
        <v>2302.5</v>
      </c>
      <c r="R58" s="1120">
        <f t="shared" si="0"/>
        <v>3684</v>
      </c>
      <c r="S58" s="1069"/>
      <c r="T58" s="1069"/>
      <c r="U58" s="1069"/>
      <c r="V58" s="1069"/>
      <c r="W58" s="1069"/>
      <c r="X58" s="1069"/>
      <c r="Y58" s="1069"/>
      <c r="Z58" s="1069"/>
      <c r="AA58" s="1069"/>
      <c r="AB58" s="1069"/>
      <c r="AC58" s="1069"/>
      <c r="AD58" s="1069"/>
      <c r="AE58" s="1069"/>
      <c r="AF58" s="1069"/>
      <c r="AG58" s="1069"/>
      <c r="AH58" s="1069"/>
      <c r="AI58" s="1069"/>
      <c r="AJ58" s="1069"/>
      <c r="AK58" s="1070"/>
      <c r="AL58" s="1069"/>
      <c r="AM58" s="1071"/>
    </row>
    <row r="59" spans="1:39" ht="15.75">
      <c r="A59" s="1068"/>
      <c r="B59" s="1124" t="s">
        <v>144</v>
      </c>
      <c r="C59" s="1127">
        <f t="shared" si="0"/>
        <v>1001.25</v>
      </c>
      <c r="D59" s="1120">
        <f t="shared" si="0"/>
        <v>1602</v>
      </c>
      <c r="E59" s="1103">
        <f t="shared" si="0"/>
        <v>1143.75</v>
      </c>
      <c r="F59" s="1103">
        <f t="shared" si="0"/>
        <v>1830</v>
      </c>
      <c r="G59" s="1127">
        <f>(G54/12)*30%</f>
        <v>1286.25</v>
      </c>
      <c r="H59" s="1120">
        <f>(H54/12)*30%</f>
        <v>2058</v>
      </c>
      <c r="I59" s="1103">
        <f t="shared" si="0"/>
        <v>1428.75</v>
      </c>
      <c r="J59" s="1103">
        <f t="shared" si="0"/>
        <v>2286</v>
      </c>
      <c r="K59" s="1127">
        <f t="shared" si="0"/>
        <v>1543.7499999999998</v>
      </c>
      <c r="L59" s="1120">
        <f t="shared" si="0"/>
        <v>2470</v>
      </c>
      <c r="M59" s="1103">
        <f t="shared" si="0"/>
        <v>1657.5</v>
      </c>
      <c r="N59" s="1103">
        <f t="shared" si="0"/>
        <v>2652</v>
      </c>
      <c r="O59" s="1127">
        <f t="shared" si="0"/>
        <v>1772.4999999999998</v>
      </c>
      <c r="P59" s="1120">
        <f t="shared" si="0"/>
        <v>2836</v>
      </c>
      <c r="Q59" s="1103">
        <f t="shared" si="0"/>
        <v>1886.25</v>
      </c>
      <c r="R59" s="1120">
        <f t="shared" si="0"/>
        <v>3018</v>
      </c>
      <c r="S59" s="1069"/>
      <c r="T59" s="1069"/>
      <c r="U59" s="1069"/>
      <c r="V59" s="1069"/>
      <c r="W59" s="1069"/>
      <c r="X59" s="1069"/>
      <c r="Y59" s="1069"/>
      <c r="Z59" s="1069"/>
      <c r="AA59" s="1069"/>
      <c r="AB59" s="1069"/>
      <c r="AC59" s="1069"/>
      <c r="AD59" s="1069"/>
      <c r="AE59" s="1069"/>
      <c r="AF59" s="1069"/>
      <c r="AG59" s="1069"/>
      <c r="AH59" s="1069"/>
      <c r="AI59" s="1069"/>
      <c r="AJ59" s="1069"/>
      <c r="AK59" s="1070"/>
      <c r="AL59" s="1069"/>
      <c r="AM59" s="1071"/>
    </row>
    <row r="60" spans="1:39" ht="16.5" thickBot="1">
      <c r="A60" s="1068"/>
      <c r="B60" s="1125" t="s">
        <v>193</v>
      </c>
      <c r="C60" s="1128">
        <f t="shared" si="0"/>
        <v>1082.5</v>
      </c>
      <c r="D60" s="1122">
        <f t="shared" si="0"/>
        <v>1731.9999999999998</v>
      </c>
      <c r="E60" s="1121">
        <f t="shared" si="0"/>
        <v>1237.5</v>
      </c>
      <c r="F60" s="1121">
        <f t="shared" si="0"/>
        <v>1980</v>
      </c>
      <c r="G60" s="1128">
        <f t="shared" si="0"/>
        <v>1392.5</v>
      </c>
      <c r="H60" s="1122">
        <f t="shared" si="0"/>
        <v>2228</v>
      </c>
      <c r="I60" s="1121">
        <f t="shared" si="0"/>
        <v>1546.25</v>
      </c>
      <c r="J60" s="1121">
        <f t="shared" si="0"/>
        <v>2473.9999999999995</v>
      </c>
      <c r="K60" s="1128">
        <f t="shared" si="0"/>
        <v>1670</v>
      </c>
      <c r="L60" s="1122">
        <f t="shared" si="0"/>
        <v>2671.9999999999995</v>
      </c>
      <c r="M60" s="1121">
        <f t="shared" si="0"/>
        <v>1793.75</v>
      </c>
      <c r="N60" s="1121">
        <f t="shared" si="0"/>
        <v>2869.9999999999995</v>
      </c>
      <c r="O60" s="1128">
        <f t="shared" si="0"/>
        <v>1917.5</v>
      </c>
      <c r="P60" s="1122">
        <f t="shared" si="0"/>
        <v>3067.9999999999995</v>
      </c>
      <c r="Q60" s="1121">
        <f t="shared" si="0"/>
        <v>2041.25</v>
      </c>
      <c r="R60" s="1122">
        <f t="shared" si="0"/>
        <v>3265.9999999999995</v>
      </c>
      <c r="S60" s="1069"/>
      <c r="T60" s="1069"/>
      <c r="U60" s="1069"/>
      <c r="V60" s="1069"/>
      <c r="W60" s="1069"/>
      <c r="X60" s="1069"/>
      <c r="Y60" s="1069"/>
      <c r="Z60" s="1069"/>
      <c r="AA60" s="1069"/>
      <c r="AB60" s="1069"/>
      <c r="AC60" s="1069"/>
      <c r="AD60" s="1069"/>
      <c r="AE60" s="1069"/>
      <c r="AF60" s="1069"/>
      <c r="AG60" s="1069"/>
      <c r="AH60" s="1069"/>
      <c r="AI60" s="1069"/>
      <c r="AJ60" s="1069"/>
      <c r="AK60" s="1070"/>
      <c r="AL60" s="1069"/>
      <c r="AM60" s="1071"/>
    </row>
    <row r="61" spans="1:39" ht="16.5" thickBot="1">
      <c r="A61" s="1068"/>
      <c r="B61" s="1068"/>
      <c r="C61" s="1102"/>
      <c r="D61" s="1102"/>
      <c r="E61" s="1102"/>
      <c r="F61" s="1102"/>
      <c r="G61" s="1102"/>
      <c r="H61" s="1102"/>
      <c r="I61" s="1102"/>
      <c r="J61" s="1102"/>
      <c r="K61" s="1102"/>
      <c r="L61" s="1102"/>
      <c r="M61" s="1102"/>
      <c r="N61" s="1102"/>
      <c r="O61" s="1069"/>
      <c r="P61" s="1069"/>
      <c r="Q61" s="1069"/>
      <c r="R61" s="1069"/>
      <c r="S61" s="1069"/>
      <c r="T61" s="1069"/>
      <c r="U61" s="1069"/>
      <c r="V61" s="1069"/>
      <c r="W61" s="1069"/>
      <c r="X61" s="1069"/>
      <c r="Y61" s="1069"/>
      <c r="Z61" s="1069"/>
      <c r="AA61" s="1069"/>
      <c r="AB61" s="1069"/>
      <c r="AC61" s="1069"/>
      <c r="AD61" s="1069"/>
      <c r="AE61" s="1069"/>
      <c r="AF61" s="1069"/>
      <c r="AG61" s="1069"/>
      <c r="AH61" s="1069"/>
      <c r="AI61" s="1069"/>
      <c r="AJ61" s="1069"/>
      <c r="AK61" s="1070"/>
      <c r="AL61" s="1069"/>
      <c r="AM61" s="1071"/>
    </row>
    <row r="62" spans="1:39" ht="16.5" thickBot="1">
      <c r="A62" s="1068"/>
      <c r="B62" s="1116" t="s">
        <v>337</v>
      </c>
      <c r="C62" s="1129"/>
      <c r="D62" s="1130"/>
      <c r="E62" s="1131">
        <f>'00_5_LIHTC Data'!B10</f>
        <v>0</v>
      </c>
      <c r="F62" s="1129"/>
      <c r="G62" s="1129"/>
      <c r="H62" s="1132"/>
      <c r="I62" s="8"/>
      <c r="J62" s="1104"/>
      <c r="K62" s="1102"/>
      <c r="L62" s="1102"/>
      <c r="M62" s="1102"/>
      <c r="N62" s="1102"/>
      <c r="O62" s="1069"/>
      <c r="P62" s="1069"/>
      <c r="Q62" s="1069"/>
      <c r="R62" s="1069"/>
      <c r="S62" s="1069"/>
      <c r="T62" s="1069"/>
      <c r="U62" s="1069"/>
      <c r="V62" s="1069"/>
      <c r="W62" s="1069"/>
      <c r="X62" s="1069"/>
      <c r="Y62" s="1069"/>
      <c r="Z62" s="1069"/>
      <c r="AA62" s="1069"/>
      <c r="AB62" s="1069"/>
      <c r="AC62" s="1069"/>
      <c r="AD62" s="1069"/>
      <c r="AE62" s="1069"/>
      <c r="AF62" s="1069"/>
      <c r="AG62" s="1069"/>
      <c r="AH62" s="1069"/>
      <c r="AI62" s="1069"/>
      <c r="AJ62" s="1069"/>
      <c r="AK62" s="1070"/>
      <c r="AL62" s="1069"/>
      <c r="AM62" s="1071"/>
    </row>
    <row r="63" spans="1:39" ht="15.75">
      <c r="A63" s="1068"/>
      <c r="B63" s="1137">
        <v>1</v>
      </c>
      <c r="C63" s="1129">
        <f>ROUND(B63*1.5,0)</f>
        <v>2</v>
      </c>
      <c r="D63" s="1129">
        <v>1</v>
      </c>
      <c r="E63" s="1131" t="e">
        <f>LOOKUP($E$62,$B$52:$B$55,C52:C55)</f>
        <v>#N/A</v>
      </c>
      <c r="F63" s="1138" t="e">
        <f>LOOKUP($E$62,$B$58:$B$60,C58:C60)</f>
        <v>#N/A</v>
      </c>
      <c r="G63" s="1131" t="e">
        <f>LOOKUP($E$62,$B$52:$B$55,D52:D55)</f>
        <v>#N/A</v>
      </c>
      <c r="H63" s="1139" t="e">
        <f>LOOKUP($E$62,$B$58:$B$60,D58:D60)</f>
        <v>#N/A</v>
      </c>
      <c r="I63" s="8"/>
      <c r="J63" s="1106"/>
      <c r="K63" s="1101"/>
      <c r="L63" s="1101"/>
      <c r="M63" s="1102"/>
      <c r="N63" s="1102"/>
      <c r="O63" s="1069"/>
      <c r="P63" s="1069"/>
      <c r="Q63" s="1069"/>
      <c r="R63" s="1069"/>
      <c r="S63" s="1069"/>
      <c r="T63" s="1069"/>
      <c r="U63" s="1069"/>
      <c r="V63" s="1069"/>
      <c r="W63" s="1069"/>
      <c r="X63" s="1069"/>
      <c r="Y63" s="1069"/>
      <c r="Z63" s="1069"/>
      <c r="AA63" s="1069"/>
      <c r="AB63" s="1069"/>
      <c r="AC63" s="1069"/>
      <c r="AD63" s="1069"/>
      <c r="AE63" s="1069"/>
      <c r="AF63" s="1069"/>
      <c r="AG63" s="1069"/>
      <c r="AH63" s="1069"/>
      <c r="AI63" s="1069"/>
      <c r="AJ63" s="1069"/>
      <c r="AK63" s="1070"/>
      <c r="AL63" s="1069"/>
      <c r="AM63" s="1071"/>
    </row>
    <row r="64" spans="1:39" ht="15.75">
      <c r="A64" s="1068"/>
      <c r="B64" s="1109">
        <v>2</v>
      </c>
      <c r="C64" s="1102">
        <f>ROUND(B64*1.5,0)</f>
        <v>3</v>
      </c>
      <c r="D64" s="1102">
        <v>2</v>
      </c>
      <c r="E64" s="1103" t="e">
        <f>LOOKUP($E$62,$B$52:$B$55,E52:E55)</f>
        <v>#N/A</v>
      </c>
      <c r="F64" s="1105" t="e">
        <f>LOOKUP($E$62,$B$58:$B$60,E58:E60)</f>
        <v>#N/A</v>
      </c>
      <c r="G64" s="1103" t="e">
        <f>LOOKUP($E$62,$B$52:$B$55,F52:F55)</f>
        <v>#N/A</v>
      </c>
      <c r="H64" s="1133" t="e">
        <f>LOOKUP($E$62,$B$58:$B$60,F58:F60)</f>
        <v>#N/A</v>
      </c>
      <c r="I64" s="8"/>
      <c r="J64" s="1102"/>
      <c r="K64" s="1102"/>
      <c r="L64" s="1102"/>
      <c r="M64" s="1102"/>
      <c r="N64" s="1102"/>
      <c r="O64" s="1069"/>
      <c r="P64" s="1069"/>
      <c r="Q64" s="1069"/>
      <c r="R64" s="1069"/>
      <c r="S64" s="1069"/>
      <c r="T64" s="1069"/>
      <c r="U64" s="1069"/>
      <c r="V64" s="1069"/>
      <c r="W64" s="1069"/>
      <c r="X64" s="1069"/>
      <c r="Y64" s="1069"/>
      <c r="Z64" s="1069"/>
      <c r="AA64" s="1069"/>
      <c r="AB64" s="1069"/>
      <c r="AC64" s="1069"/>
      <c r="AD64" s="1069"/>
      <c r="AE64" s="1069"/>
      <c r="AF64" s="1069"/>
      <c r="AG64" s="1069"/>
      <c r="AH64" s="1069"/>
      <c r="AI64" s="1069"/>
      <c r="AJ64" s="1069"/>
      <c r="AK64" s="1070"/>
      <c r="AL64" s="1069"/>
      <c r="AM64" s="1071"/>
    </row>
    <row r="65" spans="1:49" ht="15.75">
      <c r="A65" s="1068"/>
      <c r="B65" s="1109">
        <v>3</v>
      </c>
      <c r="C65" s="1102">
        <f>ROUND(B65*1.5,0)</f>
        <v>5</v>
      </c>
      <c r="D65" s="1102">
        <v>3</v>
      </c>
      <c r="E65" s="1103" t="e">
        <f>LOOKUP($E$62,$B$52:$B$55,G52:G55)</f>
        <v>#N/A</v>
      </c>
      <c r="F65" s="1105" t="e">
        <f>LOOKUP($E$62,$B$58:$B$60,G58:G60)</f>
        <v>#N/A</v>
      </c>
      <c r="G65" s="1103" t="e">
        <f>LOOKUP($E$62,$B$52:$B$55,H52:H55)</f>
        <v>#N/A</v>
      </c>
      <c r="H65" s="1133" t="e">
        <f>LOOKUP($E$62,$B$58:$B$60,H58:H60)</f>
        <v>#N/A</v>
      </c>
      <c r="I65" s="8"/>
      <c r="J65" s="1102"/>
      <c r="K65" s="1102"/>
      <c r="L65" s="1102"/>
      <c r="M65" s="1102"/>
      <c r="N65" s="1102"/>
      <c r="O65" s="1069"/>
      <c r="P65" s="1069"/>
      <c r="Q65" s="1069"/>
      <c r="R65" s="1069"/>
      <c r="S65" s="1069"/>
      <c r="T65" s="1069"/>
      <c r="U65" s="1069"/>
      <c r="V65" s="1069"/>
      <c r="W65" s="1069"/>
      <c r="X65" s="1069"/>
      <c r="Y65" s="1069"/>
      <c r="Z65" s="1069"/>
      <c r="AA65" s="1069"/>
      <c r="AB65" s="1069"/>
      <c r="AC65" s="1069"/>
      <c r="AD65" s="1069"/>
      <c r="AE65" s="1069"/>
      <c r="AF65" s="1069"/>
      <c r="AG65" s="1069"/>
      <c r="AH65" s="1069"/>
      <c r="AI65" s="1069"/>
      <c r="AJ65" s="1069"/>
      <c r="AK65" s="1070"/>
      <c r="AL65" s="1069"/>
      <c r="AM65" s="1071"/>
    </row>
    <row r="66" spans="1:49" ht="15.75">
      <c r="A66" s="1068"/>
      <c r="B66" s="1109">
        <v>4</v>
      </c>
      <c r="C66" s="1102">
        <f>ROUND(B66*1.5,0)</f>
        <v>6</v>
      </c>
      <c r="D66" s="1102">
        <v>4</v>
      </c>
      <c r="E66" s="1103" t="e">
        <f>LOOKUP($E$62,$B$52:$B$55,I52:I55)</f>
        <v>#N/A</v>
      </c>
      <c r="F66" s="1105" t="e">
        <f>LOOKUP($E$62,$B$58:$B$60,I58:I60)</f>
        <v>#N/A</v>
      </c>
      <c r="G66" s="1103" t="e">
        <f>LOOKUP($E$62,$B$52:$B$55,J52:J55)</f>
        <v>#N/A</v>
      </c>
      <c r="H66" s="1133" t="e">
        <f>LOOKUP($E$62,$B$58:$B$60,J58:J60)</f>
        <v>#N/A</v>
      </c>
      <c r="I66" s="8"/>
      <c r="J66" s="1102"/>
      <c r="K66" s="1102"/>
      <c r="L66" s="1102"/>
      <c r="M66" s="1102"/>
      <c r="N66" s="1102"/>
      <c r="O66" s="1069"/>
      <c r="P66" s="1069"/>
      <c r="Q66" s="1069"/>
      <c r="R66" s="1069"/>
      <c r="S66" s="1069"/>
      <c r="T66" s="1069"/>
      <c r="U66" s="1069"/>
      <c r="V66" s="1069"/>
      <c r="W66" s="1069"/>
      <c r="X66" s="1069"/>
      <c r="Y66" s="1069"/>
      <c r="Z66" s="1069"/>
      <c r="AA66" s="1069"/>
      <c r="AB66" s="1069"/>
      <c r="AC66" s="1069"/>
      <c r="AD66" s="1069"/>
      <c r="AE66" s="1069"/>
      <c r="AF66" s="1069"/>
      <c r="AG66" s="1069"/>
      <c r="AH66" s="1069"/>
      <c r="AI66" s="1069"/>
      <c r="AJ66" s="1069"/>
      <c r="AK66" s="1070"/>
      <c r="AL66" s="1069"/>
      <c r="AM66" s="1071"/>
    </row>
    <row r="67" spans="1:49" ht="15.75">
      <c r="A67" s="1068"/>
      <c r="B67" s="1109">
        <v>5</v>
      </c>
      <c r="C67" s="1102">
        <f>ROUND(B67*1.5,0)</f>
        <v>8</v>
      </c>
      <c r="D67" s="1102">
        <v>5</v>
      </c>
      <c r="E67" s="1103" t="e">
        <f>LOOKUP($E$62,$B$52:$B$55,K52:K55)</f>
        <v>#N/A</v>
      </c>
      <c r="F67" s="1105" t="e">
        <f>LOOKUP($E$62,$B$58:$B$60,K58:K60)</f>
        <v>#N/A</v>
      </c>
      <c r="G67" s="1103" t="e">
        <f>LOOKUP($E$62,$B$52:$B$55,L52:L55)</f>
        <v>#N/A</v>
      </c>
      <c r="H67" s="1133" t="e">
        <f>LOOKUP($E$62,$B$58:$B$60,L58:L60)</f>
        <v>#N/A</v>
      </c>
      <c r="I67" s="8"/>
      <c r="J67" s="1102"/>
      <c r="K67" s="1102"/>
      <c r="L67" s="1102"/>
      <c r="M67" s="1102"/>
      <c r="N67" s="1102"/>
      <c r="O67" s="1069"/>
      <c r="P67" s="1069"/>
      <c r="Q67" s="1069"/>
      <c r="R67" s="1069"/>
      <c r="S67" s="1069"/>
      <c r="T67" s="1069"/>
      <c r="U67" s="1069"/>
      <c r="V67" s="1069"/>
      <c r="W67" s="1069"/>
      <c r="X67" s="1069"/>
      <c r="Y67" s="1069"/>
      <c r="Z67" s="1069"/>
      <c r="AA67" s="1069"/>
      <c r="AB67" s="1069"/>
      <c r="AC67" s="1069"/>
      <c r="AD67" s="1069"/>
      <c r="AE67" s="1069"/>
      <c r="AF67" s="1069"/>
      <c r="AG67" s="1069"/>
      <c r="AH67" s="1069"/>
      <c r="AI67" s="1069"/>
      <c r="AJ67" s="1069"/>
      <c r="AK67" s="1070"/>
      <c r="AL67" s="1069"/>
      <c r="AM67" s="1071"/>
    </row>
    <row r="68" spans="1:49" ht="16.5" thickBot="1">
      <c r="A68" s="1068"/>
      <c r="B68" s="162"/>
      <c r="C68" s="1134"/>
      <c r="D68" s="1134">
        <v>6</v>
      </c>
      <c r="E68" s="1121" t="e">
        <f>LOOKUP($E$62,$B$52:$B$55,M52:M55)</f>
        <v>#N/A</v>
      </c>
      <c r="F68" s="1135" t="e">
        <f>LOOKUP($E$62,$B$58:$B$60,M58:M60)</f>
        <v>#N/A</v>
      </c>
      <c r="G68" s="1121" t="e">
        <f>LOOKUP($E$62,$B$52:$B$55,N52:N55)</f>
        <v>#N/A</v>
      </c>
      <c r="H68" s="1136" t="e">
        <f>LOOKUP($E$62,$B$58:$B$60,N58:N60)</f>
        <v>#N/A</v>
      </c>
      <c r="I68" s="8"/>
      <c r="J68" s="1102"/>
      <c r="K68" s="8"/>
      <c r="L68" s="1102"/>
      <c r="M68" s="1102"/>
      <c r="N68" s="1102"/>
      <c r="O68" s="1069"/>
      <c r="P68" s="1069"/>
      <c r="Q68" s="1069"/>
      <c r="R68" s="1069"/>
      <c r="S68" s="1069"/>
      <c r="T68" s="1069"/>
      <c r="U68" s="1069"/>
      <c r="V68" s="1069"/>
      <c r="W68" s="1069"/>
      <c r="X68" s="1069"/>
      <c r="Y68" s="1069"/>
      <c r="Z68" s="1069"/>
      <c r="AA68" s="1069"/>
      <c r="AB68" s="1069"/>
      <c r="AC68" s="1069"/>
      <c r="AD68" s="1069"/>
      <c r="AE68" s="1069"/>
      <c r="AF68" s="1069"/>
      <c r="AG68" s="1069"/>
      <c r="AH68" s="1069"/>
      <c r="AI68" s="1069"/>
      <c r="AJ68" s="1069"/>
      <c r="AK68" s="1070"/>
      <c r="AL68" s="1069"/>
      <c r="AM68" s="1071"/>
    </row>
    <row r="69" spans="1:49" ht="15.75">
      <c r="A69" s="1068"/>
      <c r="B69" s="1100"/>
      <c r="C69" s="1102"/>
      <c r="D69" s="1102"/>
      <c r="E69" s="1103"/>
      <c r="F69" s="1105"/>
      <c r="G69" s="1103"/>
      <c r="H69" s="1105"/>
      <c r="I69" s="8"/>
      <c r="J69" s="1102"/>
      <c r="K69" s="1100"/>
      <c r="L69" s="1102"/>
      <c r="M69" s="1102"/>
      <c r="N69" s="1102"/>
      <c r="O69" s="1069"/>
      <c r="P69" s="1069"/>
      <c r="Q69" s="1069"/>
      <c r="R69" s="1069"/>
      <c r="S69" s="1069"/>
      <c r="T69" s="1069"/>
      <c r="U69" s="1069"/>
      <c r="V69" s="1069"/>
      <c r="W69" s="1069"/>
      <c r="X69" s="1069"/>
      <c r="Y69" s="1069"/>
      <c r="Z69" s="1069"/>
      <c r="AA69" s="1069"/>
      <c r="AB69" s="1069"/>
      <c r="AC69" s="1069"/>
      <c r="AD69" s="1069"/>
      <c r="AE69" s="1069"/>
      <c r="AF69" s="1069"/>
      <c r="AG69" s="1069"/>
      <c r="AH69" s="1069"/>
      <c r="AI69" s="1069"/>
      <c r="AJ69" s="1069"/>
      <c r="AK69" s="1070"/>
      <c r="AL69" s="1069"/>
      <c r="AM69" s="1071"/>
    </row>
    <row r="70" spans="1:49" ht="15.75">
      <c r="A70" s="1068"/>
      <c r="B70" s="1100"/>
      <c r="C70" s="1102"/>
      <c r="D70" s="1102"/>
      <c r="E70" s="1102"/>
      <c r="F70" s="1102"/>
      <c r="G70" s="1102"/>
      <c r="H70" s="1102"/>
      <c r="I70" s="1102"/>
      <c r="J70" s="8"/>
      <c r="K70" s="1102"/>
      <c r="L70" s="1102"/>
      <c r="M70" s="1102"/>
      <c r="N70" s="1102"/>
      <c r="O70" s="1069"/>
      <c r="P70" s="1069"/>
      <c r="Q70" s="1069"/>
      <c r="R70" s="1069"/>
      <c r="S70" s="1069"/>
      <c r="T70" s="1069"/>
      <c r="U70" s="1069"/>
      <c r="V70" s="1069"/>
      <c r="W70" s="1069"/>
      <c r="X70" s="1069"/>
      <c r="Y70" s="1069"/>
      <c r="Z70" s="1069"/>
      <c r="AA70" s="1069"/>
      <c r="AB70" s="1069"/>
      <c r="AC70" s="1069"/>
      <c r="AD70" s="1069"/>
      <c r="AE70" s="1069"/>
      <c r="AF70" s="1069"/>
      <c r="AG70" s="1069"/>
      <c r="AH70" s="1069"/>
      <c r="AI70" s="1069"/>
      <c r="AJ70" s="1069"/>
      <c r="AK70" s="1070"/>
      <c r="AL70" s="1069"/>
      <c r="AM70" s="1071"/>
    </row>
    <row r="71" spans="1:49" ht="15.75">
      <c r="A71" s="1068"/>
      <c r="B71" s="1100" t="s">
        <v>2447</v>
      </c>
      <c r="C71" s="1102"/>
      <c r="D71" s="1102"/>
      <c r="E71" s="1102"/>
      <c r="F71" s="1102"/>
      <c r="G71" s="1102"/>
      <c r="H71" s="1102"/>
      <c r="I71" s="1102"/>
      <c r="J71" s="8"/>
      <c r="K71" s="1102"/>
      <c r="L71" s="1102"/>
      <c r="M71" s="1102"/>
      <c r="N71" s="1102"/>
      <c r="O71" s="1069"/>
      <c r="P71" s="1069"/>
      <c r="Q71" s="1069"/>
      <c r="R71" s="1069"/>
      <c r="S71" s="1069"/>
      <c r="T71" s="1069"/>
      <c r="U71" s="1069"/>
      <c r="V71" s="1069"/>
      <c r="W71" s="1069"/>
      <c r="X71" s="1069"/>
      <c r="Y71" s="1069"/>
      <c r="Z71" s="1069"/>
      <c r="AA71" s="1069"/>
      <c r="AB71" s="1069"/>
      <c r="AC71" s="1069"/>
      <c r="AD71" s="1069"/>
      <c r="AE71" s="1069"/>
      <c r="AF71" s="1069"/>
      <c r="AG71" s="1069"/>
      <c r="AH71" s="1069"/>
      <c r="AI71" s="1069"/>
      <c r="AJ71" s="1069"/>
      <c r="AK71" s="1070"/>
      <c r="AL71" s="1069"/>
      <c r="AM71" s="1071"/>
    </row>
    <row r="72" spans="1:49" ht="15.75">
      <c r="A72" s="1068"/>
      <c r="B72" s="1102"/>
      <c r="C72" s="1102"/>
      <c r="D72" s="1102"/>
      <c r="E72" s="1102"/>
      <c r="F72" s="1102"/>
      <c r="G72" s="1102"/>
      <c r="H72" s="1102"/>
      <c r="I72" s="1102"/>
      <c r="J72" s="8"/>
      <c r="K72" s="1102"/>
      <c r="L72" s="1102"/>
      <c r="M72" s="1102"/>
      <c r="N72" s="1102"/>
      <c r="O72" s="1069"/>
      <c r="P72" s="1069"/>
      <c r="Q72" s="1069"/>
      <c r="R72" s="1069"/>
      <c r="S72" s="1069"/>
      <c r="T72" s="1069"/>
      <c r="U72" s="1069"/>
      <c r="V72" s="1069"/>
      <c r="W72" s="1069"/>
      <c r="X72" s="1069"/>
      <c r="Y72" s="1069"/>
      <c r="Z72" s="1069"/>
      <c r="AA72" s="1069"/>
      <c r="AB72" s="1069"/>
      <c r="AC72" s="1069"/>
      <c r="AD72" s="1069"/>
      <c r="AE72" s="1069"/>
      <c r="AF72" s="1069"/>
      <c r="AG72" s="1069"/>
      <c r="AH72" s="1069"/>
      <c r="AI72" s="1069"/>
      <c r="AJ72" s="1069"/>
      <c r="AK72" s="1070"/>
      <c r="AL72" s="1069"/>
      <c r="AM72" s="1071"/>
    </row>
    <row r="73" spans="1:49" ht="15.75">
      <c r="A73" s="1068"/>
      <c r="B73" s="1880" t="s">
        <v>338</v>
      </c>
      <c r="C73" s="1102"/>
      <c r="D73" s="1102"/>
      <c r="E73" s="1102"/>
      <c r="F73" s="1102"/>
      <c r="G73" s="1102"/>
      <c r="H73" s="1102"/>
      <c r="I73" s="1102"/>
      <c r="J73" s="8"/>
      <c r="K73" s="1102"/>
      <c r="L73" s="1102"/>
      <c r="M73" s="1102"/>
      <c r="N73" s="1102"/>
      <c r="O73" s="1069"/>
      <c r="P73" s="1069"/>
      <c r="Q73" s="1069"/>
      <c r="R73" s="1069"/>
      <c r="S73" s="1069"/>
      <c r="T73" s="1069"/>
      <c r="U73" s="1069"/>
      <c r="V73" s="1069"/>
      <c r="W73" s="1069"/>
      <c r="X73" s="1069"/>
      <c r="Y73" s="1069"/>
      <c r="Z73" s="1069"/>
      <c r="AA73" s="1069"/>
      <c r="AB73" s="1069"/>
      <c r="AC73" s="1069"/>
      <c r="AD73" s="1069"/>
      <c r="AE73" s="1069"/>
      <c r="AF73" s="1069"/>
      <c r="AG73" s="1069"/>
      <c r="AH73" s="1069"/>
      <c r="AI73" s="1069"/>
      <c r="AJ73" s="1069"/>
      <c r="AK73" s="1070"/>
      <c r="AL73" s="1069"/>
      <c r="AM73" s="1071"/>
    </row>
    <row r="74" spans="1:49" ht="15.75">
      <c r="A74" s="1068"/>
      <c r="B74" s="1102"/>
      <c r="C74" s="1102"/>
      <c r="D74" s="1102"/>
      <c r="E74" s="1102"/>
      <c r="F74" s="1102"/>
      <c r="G74" s="1102"/>
      <c r="H74" s="1102"/>
      <c r="I74" s="1102"/>
      <c r="J74" s="8"/>
      <c r="K74" s="1102"/>
      <c r="L74" s="1102"/>
      <c r="M74" s="1102"/>
      <c r="N74" s="1102"/>
      <c r="O74" s="1069"/>
      <c r="P74" s="1069"/>
      <c r="Q74" s="1069"/>
      <c r="R74" s="1069"/>
      <c r="S74" s="1069"/>
      <c r="T74" s="1069"/>
      <c r="U74" s="1069"/>
      <c r="V74" s="1069"/>
      <c r="W74" s="1069"/>
      <c r="X74" s="1069"/>
      <c r="Y74" s="1069"/>
      <c r="Z74" s="1069"/>
      <c r="AA74" s="1069"/>
      <c r="AB74" s="1069"/>
      <c r="AC74" s="1069"/>
      <c r="AD74" s="1069"/>
      <c r="AE74" s="1069"/>
      <c r="AF74" s="1069"/>
      <c r="AG74" s="1069"/>
      <c r="AH74" s="1069"/>
      <c r="AI74" s="1069"/>
      <c r="AJ74" s="1069"/>
      <c r="AK74" s="1070"/>
      <c r="AL74" s="1069"/>
      <c r="AM74" s="1071"/>
    </row>
    <row r="75" spans="1:49" ht="16.5" thickBot="1">
      <c r="A75" s="1068"/>
      <c r="B75" s="1102"/>
      <c r="C75" s="1102"/>
      <c r="D75" s="1102"/>
      <c r="E75" s="1102"/>
      <c r="F75" s="1102"/>
      <c r="G75" s="1102"/>
      <c r="H75" s="1102"/>
      <c r="I75" s="1102"/>
      <c r="J75" s="8"/>
      <c r="K75" s="1102"/>
      <c r="L75" s="1102"/>
      <c r="M75" s="1102"/>
      <c r="N75" s="1102"/>
      <c r="O75" s="1069"/>
      <c r="P75" s="1069"/>
      <c r="Q75" s="1069"/>
      <c r="R75" s="1069"/>
      <c r="S75" s="1069"/>
      <c r="T75" s="1069"/>
      <c r="U75" s="1069"/>
      <c r="V75" s="1069"/>
      <c r="W75" s="1069"/>
      <c r="X75" s="1069"/>
      <c r="Y75" s="1069"/>
      <c r="Z75" s="1069"/>
      <c r="AA75" s="1069"/>
      <c r="AB75" s="1069"/>
      <c r="AC75" s="1069"/>
      <c r="AD75" s="1069"/>
      <c r="AE75" s="1069"/>
      <c r="AF75" s="1069"/>
      <c r="AG75" s="1069"/>
      <c r="AH75" s="1069"/>
      <c r="AI75" s="1069"/>
      <c r="AJ75" s="1069"/>
      <c r="AK75" s="1070"/>
      <c r="AL75" s="1069"/>
      <c r="AM75" s="1071"/>
    </row>
    <row r="76" spans="1:49" ht="21.75" thickBot="1">
      <c r="A76" s="1068"/>
      <c r="B76" s="473" t="s">
        <v>339</v>
      </c>
      <c r="C76" s="20"/>
      <c r="D76" s="21"/>
      <c r="E76" s="474"/>
      <c r="F76" s="475"/>
      <c r="G76" s="475"/>
      <c r="H76" s="475"/>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475"/>
      <c r="AK76" s="475"/>
      <c r="AL76" s="475"/>
      <c r="AM76" s="475"/>
      <c r="AN76" s="475"/>
      <c r="AO76" s="475"/>
      <c r="AP76" s="475"/>
      <c r="AQ76" s="475"/>
      <c r="AR76" s="475"/>
      <c r="AS76" s="475"/>
      <c r="AT76" s="475"/>
      <c r="AU76" s="475"/>
      <c r="AV76" s="475"/>
      <c r="AW76" s="616"/>
    </row>
    <row r="77" spans="1:49" ht="16.5" thickBot="1">
      <c r="B77" s="8"/>
      <c r="C77" s="8"/>
      <c r="D77" s="8"/>
      <c r="E77" s="8"/>
      <c r="F77" s="8"/>
      <c r="G77" s="8"/>
      <c r="H77" s="8"/>
      <c r="I77" s="8"/>
      <c r="J77" s="8"/>
      <c r="K77" s="8"/>
      <c r="L77" s="8"/>
      <c r="M77" s="8"/>
      <c r="N77" s="8"/>
    </row>
    <row r="78" spans="1:49" ht="32.25" customHeight="1" thickBot="1">
      <c r="B78" s="1140" t="s">
        <v>340</v>
      </c>
      <c r="C78" s="1141" t="s">
        <v>341</v>
      </c>
      <c r="D78" s="1141" t="s">
        <v>342</v>
      </c>
      <c r="E78" s="1141" t="s">
        <v>343</v>
      </c>
      <c r="F78" s="1141" t="s">
        <v>344</v>
      </c>
      <c r="G78" s="1140" t="s">
        <v>345</v>
      </c>
      <c r="H78" s="1142" t="s">
        <v>346</v>
      </c>
      <c r="I78" s="8"/>
      <c r="J78" s="8"/>
      <c r="K78" s="8"/>
      <c r="L78" s="8"/>
      <c r="M78" s="8"/>
      <c r="N78" s="8"/>
    </row>
    <row r="79" spans="1:49" ht="15.75">
      <c r="B79" s="1143">
        <v>44003980000</v>
      </c>
      <c r="C79" s="8" t="s">
        <v>291</v>
      </c>
      <c r="D79" s="8">
        <v>3</v>
      </c>
      <c r="E79" s="8">
        <v>9800</v>
      </c>
      <c r="F79" s="8" t="s">
        <v>347</v>
      </c>
      <c r="G79" s="152" t="s">
        <v>225</v>
      </c>
      <c r="H79" s="156" t="s">
        <v>225</v>
      </c>
      <c r="I79" s="8"/>
      <c r="J79" s="8"/>
      <c r="K79" s="8"/>
      <c r="L79" s="8"/>
      <c r="M79" s="8"/>
      <c r="N79" s="8"/>
    </row>
    <row r="80" spans="1:49" ht="15.75">
      <c r="B80" s="1143">
        <v>44001030300</v>
      </c>
      <c r="C80" s="8" t="s">
        <v>286</v>
      </c>
      <c r="D80" s="8">
        <v>1</v>
      </c>
      <c r="E80" s="8">
        <v>303</v>
      </c>
      <c r="F80" s="8" t="s">
        <v>348</v>
      </c>
      <c r="G80" s="152" t="s">
        <v>225</v>
      </c>
      <c r="H80" s="156" t="s">
        <v>225</v>
      </c>
      <c r="I80" s="8"/>
      <c r="J80" s="8"/>
      <c r="K80" s="8"/>
      <c r="L80" s="8"/>
      <c r="M80" s="8"/>
      <c r="N80" s="8"/>
    </row>
    <row r="81" spans="2:14" ht="15.75">
      <c r="B81" s="1143">
        <v>44001030400</v>
      </c>
      <c r="C81" s="8" t="s">
        <v>286</v>
      </c>
      <c r="D81" s="8">
        <v>1</v>
      </c>
      <c r="E81" s="8">
        <v>304</v>
      </c>
      <c r="F81" s="8" t="s">
        <v>349</v>
      </c>
      <c r="G81" s="152" t="s">
        <v>225</v>
      </c>
      <c r="H81" s="156" t="s">
        <v>225</v>
      </c>
      <c r="I81" s="8"/>
      <c r="J81" s="8"/>
      <c r="K81" s="8"/>
      <c r="L81" s="8"/>
      <c r="M81" s="8"/>
      <c r="N81" s="8"/>
    </row>
    <row r="82" spans="2:14" ht="15.75">
      <c r="B82" s="1143">
        <v>44007001900</v>
      </c>
      <c r="C82" s="8" t="s">
        <v>144</v>
      </c>
      <c r="D82" s="8">
        <v>7</v>
      </c>
      <c r="E82" s="8">
        <v>19</v>
      </c>
      <c r="F82" s="8" t="s">
        <v>350</v>
      </c>
      <c r="G82" s="152" t="s">
        <v>351</v>
      </c>
      <c r="H82" s="156" t="s">
        <v>351</v>
      </c>
      <c r="I82" s="8"/>
      <c r="J82" s="8"/>
      <c r="K82" s="8"/>
      <c r="L82" s="8"/>
      <c r="M82" s="8"/>
      <c r="N82" s="8"/>
    </row>
    <row r="83" spans="2:14" ht="15.75">
      <c r="B83" s="1143">
        <v>44007012702</v>
      </c>
      <c r="C83" s="8" t="s">
        <v>144</v>
      </c>
      <c r="D83" s="8">
        <v>7</v>
      </c>
      <c r="E83" s="8">
        <v>127.02</v>
      </c>
      <c r="F83" s="8" t="s">
        <v>352</v>
      </c>
      <c r="G83" s="152" t="s">
        <v>225</v>
      </c>
      <c r="H83" s="156" t="s">
        <v>225</v>
      </c>
      <c r="I83" s="8"/>
      <c r="J83" s="8"/>
      <c r="K83" s="8"/>
      <c r="L83" s="8"/>
      <c r="M83" s="8"/>
      <c r="N83" s="8"/>
    </row>
    <row r="84" spans="2:14" ht="15.75">
      <c r="B84" s="1143">
        <v>44007012801</v>
      </c>
      <c r="C84" s="8" t="s">
        <v>144</v>
      </c>
      <c r="D84" s="8">
        <v>7</v>
      </c>
      <c r="E84" s="8">
        <v>128.01</v>
      </c>
      <c r="F84" s="8" t="s">
        <v>353</v>
      </c>
      <c r="G84" s="152" t="s">
        <v>225</v>
      </c>
      <c r="H84" s="156" t="s">
        <v>225</v>
      </c>
      <c r="I84" s="8"/>
      <c r="J84" s="8"/>
      <c r="K84" s="8"/>
      <c r="L84" s="8"/>
      <c r="M84" s="8"/>
      <c r="N84" s="8"/>
    </row>
    <row r="85" spans="2:14" ht="15.75">
      <c r="B85" s="1143">
        <v>44007013600</v>
      </c>
      <c r="C85" s="8" t="s">
        <v>144</v>
      </c>
      <c r="D85" s="8">
        <v>7</v>
      </c>
      <c r="E85" s="8">
        <v>136</v>
      </c>
      <c r="F85" s="8" t="s">
        <v>354</v>
      </c>
      <c r="G85" s="152" t="s">
        <v>225</v>
      </c>
      <c r="H85" s="156" t="s">
        <v>225</v>
      </c>
      <c r="I85" s="8"/>
      <c r="J85" s="8"/>
      <c r="K85" s="8"/>
      <c r="L85" s="8"/>
      <c r="M85" s="8"/>
      <c r="N85" s="8"/>
    </row>
    <row r="86" spans="2:14" ht="15.75">
      <c r="B86" s="1143">
        <v>44007018400</v>
      </c>
      <c r="C86" s="8" t="s">
        <v>144</v>
      </c>
      <c r="D86" s="8">
        <v>7</v>
      </c>
      <c r="E86" s="8">
        <v>184</v>
      </c>
      <c r="F86" s="8" t="s">
        <v>355</v>
      </c>
      <c r="G86" s="152" t="s">
        <v>225</v>
      </c>
      <c r="H86" s="156" t="s">
        <v>225</v>
      </c>
      <c r="I86" s="8"/>
      <c r="J86" s="8"/>
      <c r="K86" s="8"/>
      <c r="L86" s="8"/>
      <c r="M86" s="8"/>
      <c r="N86" s="8"/>
    </row>
    <row r="87" spans="2:14" ht="15.75">
      <c r="B87" s="1143">
        <v>44003020200</v>
      </c>
      <c r="C87" s="8" t="s">
        <v>291</v>
      </c>
      <c r="D87" s="8">
        <v>3</v>
      </c>
      <c r="E87" s="8">
        <v>202</v>
      </c>
      <c r="F87" s="8" t="s">
        <v>356</v>
      </c>
      <c r="G87" s="152" t="s">
        <v>225</v>
      </c>
      <c r="H87" s="156" t="s">
        <v>351</v>
      </c>
      <c r="I87" s="8"/>
      <c r="J87" s="8"/>
      <c r="K87" s="8"/>
      <c r="L87" s="8"/>
      <c r="M87" s="8"/>
      <c r="N87" s="8"/>
    </row>
    <row r="88" spans="2:14" ht="15.75">
      <c r="B88" s="1143">
        <v>44005041200</v>
      </c>
      <c r="C88" s="8" t="s">
        <v>171</v>
      </c>
      <c r="D88" s="8">
        <v>5</v>
      </c>
      <c r="E88" s="8">
        <v>412</v>
      </c>
      <c r="F88" s="8" t="s">
        <v>357</v>
      </c>
      <c r="G88" s="152" t="s">
        <v>225</v>
      </c>
      <c r="H88" s="156" t="s">
        <v>225</v>
      </c>
      <c r="I88" s="8"/>
      <c r="J88" s="8"/>
      <c r="K88" s="8"/>
      <c r="L88" s="8"/>
      <c r="M88" s="8"/>
      <c r="N88" s="8"/>
    </row>
    <row r="89" spans="2:14" ht="15.75">
      <c r="B89" s="1143">
        <v>44007003500</v>
      </c>
      <c r="C89" s="8" t="s">
        <v>144</v>
      </c>
      <c r="D89" s="8">
        <v>7</v>
      </c>
      <c r="E89" s="8">
        <v>35</v>
      </c>
      <c r="F89" s="8" t="s">
        <v>358</v>
      </c>
      <c r="G89" s="152" t="s">
        <v>225</v>
      </c>
      <c r="H89" s="156" t="s">
        <v>225</v>
      </c>
      <c r="I89" s="8"/>
      <c r="J89" s="8"/>
      <c r="K89" s="8"/>
      <c r="L89" s="8"/>
      <c r="M89" s="8"/>
      <c r="N89" s="8"/>
    </row>
    <row r="90" spans="2:14" ht="15.75">
      <c r="B90" s="1143">
        <v>44007013800</v>
      </c>
      <c r="C90" s="8" t="s">
        <v>144</v>
      </c>
      <c r="D90" s="8">
        <v>7</v>
      </c>
      <c r="E90" s="8">
        <v>138</v>
      </c>
      <c r="F90" s="8" t="s">
        <v>359</v>
      </c>
      <c r="G90" s="152" t="s">
        <v>225</v>
      </c>
      <c r="H90" s="156" t="s">
        <v>225</v>
      </c>
      <c r="I90" s="8"/>
      <c r="J90" s="8"/>
      <c r="K90" s="8"/>
      <c r="L90" s="8"/>
      <c r="M90" s="8"/>
      <c r="N90" s="8"/>
    </row>
    <row r="91" spans="2:14" ht="15.75">
      <c r="B91" s="1143">
        <v>44009050301</v>
      </c>
      <c r="C91" s="8" t="s">
        <v>193</v>
      </c>
      <c r="D91" s="8">
        <v>9</v>
      </c>
      <c r="E91" s="8">
        <v>503.01</v>
      </c>
      <c r="F91" s="8" t="s">
        <v>360</v>
      </c>
      <c r="G91" s="152" t="s">
        <v>225</v>
      </c>
      <c r="H91" s="156" t="s">
        <v>225</v>
      </c>
      <c r="I91" s="8"/>
      <c r="J91" s="8"/>
      <c r="K91" s="8"/>
      <c r="L91" s="8"/>
      <c r="M91" s="8"/>
      <c r="N91" s="8"/>
    </row>
    <row r="92" spans="2:14" ht="15.75">
      <c r="B92" s="1143">
        <v>44003020701</v>
      </c>
      <c r="C92" s="8" t="s">
        <v>291</v>
      </c>
      <c r="D92" s="8">
        <v>3</v>
      </c>
      <c r="E92" s="8">
        <v>207.01</v>
      </c>
      <c r="F92" s="8" t="s">
        <v>361</v>
      </c>
      <c r="G92" s="152" t="s">
        <v>225</v>
      </c>
      <c r="H92" s="156" t="s">
        <v>225</v>
      </c>
      <c r="I92" s="8"/>
      <c r="J92" s="8"/>
      <c r="K92" s="8"/>
      <c r="L92" s="8"/>
      <c r="M92" s="8"/>
      <c r="N92" s="8"/>
    </row>
    <row r="93" spans="2:14" ht="15.75">
      <c r="B93" s="1143">
        <v>44005990000</v>
      </c>
      <c r="C93" s="8" t="s">
        <v>171</v>
      </c>
      <c r="D93" s="8">
        <v>5</v>
      </c>
      <c r="E93" s="8">
        <v>9900</v>
      </c>
      <c r="F93" s="8" t="s">
        <v>362</v>
      </c>
      <c r="G93" s="152" t="s">
        <v>225</v>
      </c>
      <c r="H93" s="156" t="s">
        <v>225</v>
      </c>
      <c r="I93" s="8"/>
      <c r="J93" s="8"/>
      <c r="K93" s="8"/>
      <c r="L93" s="8"/>
      <c r="M93" s="8"/>
      <c r="N93" s="8"/>
    </row>
    <row r="94" spans="2:14" ht="15.75">
      <c r="B94" s="1143">
        <v>44007014501</v>
      </c>
      <c r="C94" s="8" t="s">
        <v>144</v>
      </c>
      <c r="D94" s="8">
        <v>7</v>
      </c>
      <c r="E94" s="8">
        <v>145.01</v>
      </c>
      <c r="F94" s="8" t="s">
        <v>363</v>
      </c>
      <c r="G94" s="152" t="s">
        <v>225</v>
      </c>
      <c r="H94" s="156" t="s">
        <v>225</v>
      </c>
      <c r="I94" s="8"/>
      <c r="J94" s="8"/>
      <c r="K94" s="8"/>
      <c r="L94" s="8"/>
      <c r="M94" s="8"/>
      <c r="N94" s="8"/>
    </row>
    <row r="95" spans="2:14" ht="15.75">
      <c r="B95" s="1143">
        <v>44007014502</v>
      </c>
      <c r="C95" s="8" t="s">
        <v>144</v>
      </c>
      <c r="D95" s="8">
        <v>7</v>
      </c>
      <c r="E95" s="8">
        <v>145.02000000000001</v>
      </c>
      <c r="F95" s="8" t="s">
        <v>364</v>
      </c>
      <c r="G95" s="152" t="s">
        <v>225</v>
      </c>
      <c r="H95" s="156" t="s">
        <v>225</v>
      </c>
      <c r="I95" s="8"/>
      <c r="J95" s="8"/>
      <c r="K95" s="8"/>
      <c r="L95" s="8"/>
      <c r="M95" s="8"/>
      <c r="N95" s="8"/>
    </row>
    <row r="96" spans="2:14" ht="15.75">
      <c r="B96" s="1143">
        <v>44007014600</v>
      </c>
      <c r="C96" s="8" t="s">
        <v>144</v>
      </c>
      <c r="D96" s="8">
        <v>7</v>
      </c>
      <c r="E96" s="8">
        <v>146</v>
      </c>
      <c r="F96" s="8" t="s">
        <v>365</v>
      </c>
      <c r="G96" s="152" t="s">
        <v>225</v>
      </c>
      <c r="H96" s="156" t="s">
        <v>225</v>
      </c>
      <c r="I96" s="8"/>
      <c r="J96" s="8"/>
      <c r="K96" s="8"/>
      <c r="L96" s="8"/>
      <c r="M96" s="8"/>
      <c r="N96" s="8"/>
    </row>
    <row r="97" spans="2:14" ht="15.75">
      <c r="B97" s="1143">
        <v>44003021401</v>
      </c>
      <c r="C97" s="8" t="s">
        <v>291</v>
      </c>
      <c r="D97" s="8">
        <v>3</v>
      </c>
      <c r="E97" s="8">
        <v>214.01</v>
      </c>
      <c r="F97" s="8" t="s">
        <v>366</v>
      </c>
      <c r="G97" s="152" t="s">
        <v>225</v>
      </c>
      <c r="H97" s="156" t="s">
        <v>225</v>
      </c>
      <c r="I97" s="8"/>
      <c r="J97" s="8"/>
      <c r="K97" s="8"/>
      <c r="L97" s="8"/>
      <c r="M97" s="8"/>
      <c r="N97" s="8"/>
    </row>
    <row r="98" spans="2:14" ht="15.75">
      <c r="B98" s="1143">
        <v>44003021402</v>
      </c>
      <c r="C98" s="8" t="s">
        <v>291</v>
      </c>
      <c r="D98" s="8">
        <v>3</v>
      </c>
      <c r="E98" s="8">
        <v>214.02</v>
      </c>
      <c r="F98" s="8" t="s">
        <v>367</v>
      </c>
      <c r="G98" s="152" t="s">
        <v>225</v>
      </c>
      <c r="H98" s="156" t="s">
        <v>225</v>
      </c>
      <c r="I98" s="8"/>
      <c r="J98" s="8"/>
      <c r="K98" s="8"/>
      <c r="L98" s="8"/>
      <c r="M98" s="8"/>
      <c r="N98" s="8"/>
    </row>
    <row r="99" spans="2:14" ht="15.75">
      <c r="B99" s="1143">
        <v>44005040302</v>
      </c>
      <c r="C99" s="8" t="s">
        <v>171</v>
      </c>
      <c r="D99" s="8">
        <v>5</v>
      </c>
      <c r="E99" s="8">
        <v>403.02</v>
      </c>
      <c r="F99" s="8" t="s">
        <v>368</v>
      </c>
      <c r="G99" s="152" t="s">
        <v>225</v>
      </c>
      <c r="H99" s="156" t="s">
        <v>225</v>
      </c>
      <c r="I99" s="8"/>
      <c r="J99" s="8"/>
      <c r="K99" s="8"/>
      <c r="L99" s="8"/>
      <c r="M99" s="8"/>
      <c r="N99" s="8"/>
    </row>
    <row r="100" spans="2:14" ht="15.75">
      <c r="B100" s="1143">
        <v>44007011200</v>
      </c>
      <c r="C100" s="8" t="s">
        <v>144</v>
      </c>
      <c r="D100" s="8">
        <v>7</v>
      </c>
      <c r="E100" s="8">
        <v>112</v>
      </c>
      <c r="F100" s="8" t="s">
        <v>369</v>
      </c>
      <c r="G100" s="152" t="s">
        <v>225</v>
      </c>
      <c r="H100" s="156" t="s">
        <v>351</v>
      </c>
      <c r="I100" s="8"/>
      <c r="J100" s="8"/>
      <c r="K100" s="8"/>
      <c r="L100" s="8"/>
      <c r="M100" s="8"/>
      <c r="N100" s="8"/>
    </row>
    <row r="101" spans="2:14" ht="15.75">
      <c r="B101" s="1143">
        <v>44007011302</v>
      </c>
      <c r="C101" s="8" t="s">
        <v>144</v>
      </c>
      <c r="D101" s="8">
        <v>7</v>
      </c>
      <c r="E101" s="8">
        <v>113.02</v>
      </c>
      <c r="F101" s="8" t="s">
        <v>370</v>
      </c>
      <c r="G101" s="152" t="s">
        <v>225</v>
      </c>
      <c r="H101" s="156" t="s">
        <v>225</v>
      </c>
      <c r="I101" s="8"/>
      <c r="J101" s="8"/>
      <c r="K101" s="8"/>
      <c r="L101" s="8"/>
      <c r="M101" s="8"/>
      <c r="N101" s="8"/>
    </row>
    <row r="102" spans="2:14" ht="15.75">
      <c r="B102" s="1143">
        <v>44007011401</v>
      </c>
      <c r="C102" s="8" t="s">
        <v>144</v>
      </c>
      <c r="D102" s="8">
        <v>7</v>
      </c>
      <c r="E102" s="8">
        <v>114.01</v>
      </c>
      <c r="F102" s="8" t="s">
        <v>371</v>
      </c>
      <c r="G102" s="152" t="s">
        <v>225</v>
      </c>
      <c r="H102" s="156" t="s">
        <v>225</v>
      </c>
      <c r="I102" s="8"/>
      <c r="J102" s="8"/>
      <c r="K102" s="8"/>
      <c r="L102" s="8"/>
      <c r="M102" s="8"/>
      <c r="N102" s="8"/>
    </row>
    <row r="103" spans="2:14" ht="15.75">
      <c r="B103" s="1143">
        <v>44007015600</v>
      </c>
      <c r="C103" s="8" t="s">
        <v>144</v>
      </c>
      <c r="D103" s="8">
        <v>7</v>
      </c>
      <c r="E103" s="8">
        <v>156</v>
      </c>
      <c r="F103" s="8" t="s">
        <v>372</v>
      </c>
      <c r="G103" s="152" t="s">
        <v>225</v>
      </c>
      <c r="H103" s="156" t="s">
        <v>225</v>
      </c>
      <c r="I103" s="8"/>
      <c r="J103" s="8"/>
      <c r="K103" s="8"/>
      <c r="L103" s="8"/>
      <c r="M103" s="8"/>
      <c r="N103" s="8"/>
    </row>
    <row r="104" spans="2:14" ht="15.75">
      <c r="B104" s="1143">
        <v>44007015800</v>
      </c>
      <c r="C104" s="8" t="s">
        <v>144</v>
      </c>
      <c r="D104" s="8">
        <v>7</v>
      </c>
      <c r="E104" s="8">
        <v>158</v>
      </c>
      <c r="F104" s="8" t="s">
        <v>373</v>
      </c>
      <c r="G104" s="152" t="s">
        <v>225</v>
      </c>
      <c r="H104" s="156" t="s">
        <v>225</v>
      </c>
      <c r="I104" s="8"/>
      <c r="J104" s="8"/>
      <c r="K104" s="8"/>
      <c r="L104" s="8"/>
      <c r="M104" s="8"/>
      <c r="N104" s="8"/>
    </row>
    <row r="105" spans="2:14" ht="15.75">
      <c r="B105" s="1143">
        <v>44009051400</v>
      </c>
      <c r="C105" s="8" t="s">
        <v>193</v>
      </c>
      <c r="D105" s="8">
        <v>9</v>
      </c>
      <c r="E105" s="8">
        <v>514</v>
      </c>
      <c r="F105" s="8" t="s">
        <v>374</v>
      </c>
      <c r="G105" s="152" t="s">
        <v>225</v>
      </c>
      <c r="H105" s="156" t="s">
        <v>351</v>
      </c>
      <c r="I105" s="8"/>
      <c r="J105" s="8"/>
      <c r="K105" s="8"/>
      <c r="L105" s="8"/>
      <c r="M105" s="8"/>
      <c r="N105" s="8"/>
    </row>
    <row r="106" spans="2:14" ht="15.75">
      <c r="B106" s="1143">
        <v>44009051502</v>
      </c>
      <c r="C106" s="8" t="s">
        <v>193</v>
      </c>
      <c r="D106" s="8">
        <v>9</v>
      </c>
      <c r="E106" s="8">
        <v>515.02</v>
      </c>
      <c r="F106" s="8" t="s">
        <v>375</v>
      </c>
      <c r="G106" s="152" t="s">
        <v>225</v>
      </c>
      <c r="H106" s="156" t="s">
        <v>225</v>
      </c>
      <c r="I106" s="8"/>
      <c r="J106" s="8"/>
      <c r="K106" s="8"/>
      <c r="L106" s="8"/>
      <c r="M106" s="8"/>
      <c r="N106" s="8"/>
    </row>
    <row r="107" spans="2:14" ht="15.75">
      <c r="B107" s="1143">
        <v>44003020800</v>
      </c>
      <c r="C107" s="8" t="s">
        <v>291</v>
      </c>
      <c r="D107" s="8">
        <v>3</v>
      </c>
      <c r="E107" s="8">
        <v>208</v>
      </c>
      <c r="F107" s="8" t="s">
        <v>376</v>
      </c>
      <c r="G107" s="152" t="s">
        <v>225</v>
      </c>
      <c r="H107" s="156" t="s">
        <v>225</v>
      </c>
      <c r="I107" s="8"/>
      <c r="J107" s="8"/>
      <c r="K107" s="8"/>
      <c r="L107" s="8"/>
      <c r="M107" s="8"/>
      <c r="N107" s="8"/>
    </row>
    <row r="108" spans="2:14" ht="15.75">
      <c r="B108" s="1143">
        <v>44007013400</v>
      </c>
      <c r="C108" s="8" t="s">
        <v>144</v>
      </c>
      <c r="D108" s="8">
        <v>7</v>
      </c>
      <c r="E108" s="8">
        <v>134</v>
      </c>
      <c r="F108" s="8" t="s">
        <v>377</v>
      </c>
      <c r="G108" s="152" t="s">
        <v>225</v>
      </c>
      <c r="H108" s="156" t="s">
        <v>225</v>
      </c>
      <c r="I108" s="8"/>
      <c r="J108" s="8"/>
      <c r="K108" s="8"/>
      <c r="L108" s="8"/>
      <c r="M108" s="8"/>
      <c r="N108" s="8"/>
    </row>
    <row r="109" spans="2:14" ht="15.75">
      <c r="B109" s="1143">
        <v>44007013500</v>
      </c>
      <c r="C109" s="8" t="s">
        <v>144</v>
      </c>
      <c r="D109" s="8">
        <v>7</v>
      </c>
      <c r="E109" s="8">
        <v>135</v>
      </c>
      <c r="F109" s="8" t="s">
        <v>378</v>
      </c>
      <c r="G109" s="152" t="s">
        <v>225</v>
      </c>
      <c r="H109" s="156" t="s">
        <v>225</v>
      </c>
      <c r="I109" s="8"/>
      <c r="J109" s="8"/>
      <c r="K109" s="8"/>
      <c r="L109" s="8"/>
      <c r="M109" s="8"/>
      <c r="N109" s="8"/>
    </row>
    <row r="110" spans="2:14" ht="15.75">
      <c r="B110" s="1143">
        <v>44009041500</v>
      </c>
      <c r="C110" s="8" t="s">
        <v>193</v>
      </c>
      <c r="D110" s="8">
        <v>9</v>
      </c>
      <c r="E110" s="8">
        <v>415</v>
      </c>
      <c r="F110" s="8" t="s">
        <v>379</v>
      </c>
      <c r="G110" s="152" t="s">
        <v>225</v>
      </c>
      <c r="H110" s="156" t="s">
        <v>225</v>
      </c>
      <c r="I110" s="8"/>
      <c r="J110" s="8"/>
      <c r="K110" s="8"/>
      <c r="L110" s="8"/>
      <c r="M110" s="8"/>
      <c r="N110" s="8"/>
    </row>
    <row r="111" spans="2:14" ht="15.75">
      <c r="B111" s="1143">
        <v>44009050102</v>
      </c>
      <c r="C111" s="8" t="s">
        <v>193</v>
      </c>
      <c r="D111" s="8">
        <v>9</v>
      </c>
      <c r="E111" s="8">
        <v>501.02</v>
      </c>
      <c r="F111" s="8" t="s">
        <v>380</v>
      </c>
      <c r="G111" s="152" t="s">
        <v>225</v>
      </c>
      <c r="H111" s="156" t="s">
        <v>225</v>
      </c>
      <c r="I111" s="8"/>
      <c r="J111" s="8"/>
      <c r="K111" s="8"/>
      <c r="L111" s="8"/>
      <c r="M111" s="8"/>
      <c r="N111" s="8"/>
    </row>
    <row r="112" spans="2:14" ht="15.75">
      <c r="B112" s="1143">
        <v>44003021100</v>
      </c>
      <c r="C112" s="8" t="s">
        <v>291</v>
      </c>
      <c r="D112" s="8">
        <v>3</v>
      </c>
      <c r="E112" s="8">
        <v>211</v>
      </c>
      <c r="F112" s="8" t="s">
        <v>381</v>
      </c>
      <c r="G112" s="152" t="s">
        <v>225</v>
      </c>
      <c r="H112" s="156" t="s">
        <v>225</v>
      </c>
      <c r="I112" s="8"/>
      <c r="J112" s="8"/>
      <c r="K112" s="8"/>
      <c r="L112" s="8"/>
      <c r="M112" s="8"/>
      <c r="N112" s="8"/>
    </row>
    <row r="113" spans="2:14" ht="15.75">
      <c r="B113" s="1143">
        <v>44003021300</v>
      </c>
      <c r="C113" s="8" t="s">
        <v>291</v>
      </c>
      <c r="D113" s="8">
        <v>3</v>
      </c>
      <c r="E113" s="8">
        <v>213</v>
      </c>
      <c r="F113" s="8" t="s">
        <v>382</v>
      </c>
      <c r="G113" s="152" t="s">
        <v>225</v>
      </c>
      <c r="H113" s="156" t="s">
        <v>225</v>
      </c>
      <c r="I113" s="8"/>
      <c r="J113" s="8"/>
      <c r="K113" s="8"/>
      <c r="L113" s="8"/>
      <c r="M113" s="8"/>
      <c r="N113" s="8"/>
    </row>
    <row r="114" spans="2:14" ht="15.75">
      <c r="B114" s="1143">
        <v>44003022202</v>
      </c>
      <c r="C114" s="8" t="s">
        <v>291</v>
      </c>
      <c r="D114" s="8">
        <v>3</v>
      </c>
      <c r="E114" s="8">
        <v>222.02</v>
      </c>
      <c r="F114" s="8" t="s">
        <v>383</v>
      </c>
      <c r="G114" s="152" t="s">
        <v>225</v>
      </c>
      <c r="H114" s="156" t="s">
        <v>225</v>
      </c>
      <c r="I114" s="8"/>
      <c r="J114" s="8"/>
      <c r="K114" s="8"/>
      <c r="L114" s="8"/>
      <c r="M114" s="8"/>
      <c r="N114" s="8"/>
    </row>
    <row r="115" spans="2:14" ht="15.75">
      <c r="B115" s="1143">
        <v>44003022300</v>
      </c>
      <c r="C115" s="8" t="s">
        <v>291</v>
      </c>
      <c r="D115" s="8">
        <v>3</v>
      </c>
      <c r="E115" s="8">
        <v>223</v>
      </c>
      <c r="F115" s="8" t="s">
        <v>384</v>
      </c>
      <c r="G115" s="152" t="s">
        <v>225</v>
      </c>
      <c r="H115" s="156" t="s">
        <v>225</v>
      </c>
      <c r="I115" s="8"/>
      <c r="J115" s="8"/>
      <c r="K115" s="8"/>
      <c r="L115" s="8"/>
      <c r="M115" s="8"/>
      <c r="N115" s="8"/>
    </row>
    <row r="116" spans="2:14" ht="15.75">
      <c r="B116" s="1143">
        <v>44005040500</v>
      </c>
      <c r="C116" s="8" t="s">
        <v>171</v>
      </c>
      <c r="D116" s="8">
        <v>5</v>
      </c>
      <c r="E116" s="8">
        <v>405</v>
      </c>
      <c r="F116" s="8" t="s">
        <v>385</v>
      </c>
      <c r="G116" s="152" t="s">
        <v>351</v>
      </c>
      <c r="H116" s="156" t="s">
        <v>351</v>
      </c>
      <c r="I116" s="8"/>
      <c r="J116" s="8"/>
      <c r="K116" s="8"/>
      <c r="L116" s="8"/>
      <c r="M116" s="8"/>
      <c r="N116" s="8"/>
    </row>
    <row r="117" spans="2:14" ht="15.75">
      <c r="B117" s="1143">
        <v>44005040600</v>
      </c>
      <c r="C117" s="8" t="s">
        <v>171</v>
      </c>
      <c r="D117" s="8">
        <v>5</v>
      </c>
      <c r="E117" s="8">
        <v>406</v>
      </c>
      <c r="F117" s="8" t="s">
        <v>386</v>
      </c>
      <c r="G117" s="152" t="s">
        <v>225</v>
      </c>
      <c r="H117" s="156" t="s">
        <v>225</v>
      </c>
      <c r="I117" s="8"/>
      <c r="J117" s="8"/>
      <c r="K117" s="8"/>
      <c r="L117" s="8"/>
      <c r="M117" s="8"/>
      <c r="N117" s="8"/>
    </row>
    <row r="118" spans="2:14" ht="15.75">
      <c r="B118" s="1143">
        <v>44007000800</v>
      </c>
      <c r="C118" s="8" t="s">
        <v>144</v>
      </c>
      <c r="D118" s="8">
        <v>7</v>
      </c>
      <c r="E118" s="8">
        <v>8</v>
      </c>
      <c r="F118" s="8" t="s">
        <v>387</v>
      </c>
      <c r="G118" s="152" t="s">
        <v>351</v>
      </c>
      <c r="H118" s="156" t="s">
        <v>351</v>
      </c>
      <c r="I118" s="8"/>
      <c r="J118" s="8"/>
      <c r="K118" s="8"/>
      <c r="L118" s="8"/>
      <c r="M118" s="8"/>
      <c r="N118" s="8"/>
    </row>
    <row r="119" spans="2:14" ht="15.75">
      <c r="B119" s="1143">
        <v>44007000900</v>
      </c>
      <c r="C119" s="8" t="s">
        <v>144</v>
      </c>
      <c r="D119" s="8">
        <v>7</v>
      </c>
      <c r="E119" s="8">
        <v>9</v>
      </c>
      <c r="F119" s="8" t="s">
        <v>388</v>
      </c>
      <c r="G119" s="152" t="s">
        <v>351</v>
      </c>
      <c r="H119" s="156" t="s">
        <v>225</v>
      </c>
      <c r="I119" s="8"/>
      <c r="J119" s="8"/>
      <c r="K119" s="8"/>
      <c r="L119" s="8"/>
      <c r="M119" s="8"/>
      <c r="N119" s="8"/>
    </row>
    <row r="120" spans="2:14" ht="15.75">
      <c r="B120" s="1143">
        <v>44007002700</v>
      </c>
      <c r="C120" s="8" t="s">
        <v>144</v>
      </c>
      <c r="D120" s="8">
        <v>7</v>
      </c>
      <c r="E120" s="8">
        <v>27</v>
      </c>
      <c r="F120" s="8" t="s">
        <v>389</v>
      </c>
      <c r="G120" s="152" t="s">
        <v>351</v>
      </c>
      <c r="H120" s="156" t="s">
        <v>225</v>
      </c>
      <c r="I120" s="8"/>
      <c r="J120" s="8"/>
      <c r="K120" s="8"/>
      <c r="L120" s="8"/>
      <c r="M120" s="8"/>
      <c r="N120" s="8"/>
    </row>
    <row r="121" spans="2:14" ht="15.75">
      <c r="B121" s="1143">
        <v>44007002800</v>
      </c>
      <c r="C121" s="8" t="s">
        <v>144</v>
      </c>
      <c r="D121" s="8">
        <v>7</v>
      </c>
      <c r="E121" s="8">
        <v>28</v>
      </c>
      <c r="F121" s="8" t="s">
        <v>390</v>
      </c>
      <c r="G121" s="152" t="s">
        <v>351</v>
      </c>
      <c r="H121" s="156" t="s">
        <v>225</v>
      </c>
      <c r="I121" s="8"/>
      <c r="J121" s="8"/>
      <c r="K121" s="8"/>
      <c r="L121" s="8"/>
      <c r="M121" s="8"/>
      <c r="N121" s="8"/>
    </row>
    <row r="122" spans="2:14" ht="15.75">
      <c r="B122" s="1143">
        <v>44007011100</v>
      </c>
      <c r="C122" s="8" t="s">
        <v>144</v>
      </c>
      <c r="D122" s="8">
        <v>7</v>
      </c>
      <c r="E122" s="8">
        <v>111</v>
      </c>
      <c r="F122" s="8" t="s">
        <v>391</v>
      </c>
      <c r="G122" s="152" t="s">
        <v>351</v>
      </c>
      <c r="H122" s="156" t="s">
        <v>351</v>
      </c>
      <c r="I122" s="8"/>
      <c r="J122" s="8"/>
      <c r="K122" s="8"/>
      <c r="L122" s="8"/>
      <c r="M122" s="8"/>
      <c r="N122" s="8"/>
    </row>
    <row r="123" spans="2:14" ht="15.75">
      <c r="B123" s="1143">
        <v>44007012103</v>
      </c>
      <c r="C123" s="8" t="s">
        <v>144</v>
      </c>
      <c r="D123" s="8">
        <v>7</v>
      </c>
      <c r="E123" s="8">
        <v>121.03</v>
      </c>
      <c r="F123" s="8" t="s">
        <v>392</v>
      </c>
      <c r="G123" s="152" t="s">
        <v>225</v>
      </c>
      <c r="H123" s="156" t="s">
        <v>225</v>
      </c>
      <c r="I123" s="8"/>
      <c r="J123" s="8"/>
      <c r="K123" s="8"/>
      <c r="L123" s="8"/>
      <c r="M123" s="8"/>
      <c r="N123" s="8"/>
    </row>
    <row r="124" spans="2:14" ht="15.75">
      <c r="B124" s="1143">
        <v>44007012104</v>
      </c>
      <c r="C124" s="8" t="s">
        <v>144</v>
      </c>
      <c r="D124" s="8">
        <v>7</v>
      </c>
      <c r="E124" s="8">
        <v>121.04</v>
      </c>
      <c r="F124" s="8" t="s">
        <v>393</v>
      </c>
      <c r="G124" s="152" t="s">
        <v>225</v>
      </c>
      <c r="H124" s="156" t="s">
        <v>225</v>
      </c>
      <c r="I124" s="8"/>
      <c r="J124" s="8"/>
      <c r="K124" s="8"/>
      <c r="L124" s="8"/>
      <c r="M124" s="8"/>
      <c r="N124" s="8"/>
    </row>
    <row r="125" spans="2:14" ht="15.75">
      <c r="B125" s="1143">
        <v>44007015500</v>
      </c>
      <c r="C125" s="8" t="s">
        <v>144</v>
      </c>
      <c r="D125" s="8">
        <v>7</v>
      </c>
      <c r="E125" s="8">
        <v>155</v>
      </c>
      <c r="F125" s="8" t="s">
        <v>394</v>
      </c>
      <c r="G125" s="152" t="s">
        <v>225</v>
      </c>
      <c r="H125" s="156" t="s">
        <v>225</v>
      </c>
      <c r="I125" s="8"/>
      <c r="J125" s="8"/>
      <c r="K125" s="8"/>
      <c r="L125" s="8"/>
      <c r="M125" s="8"/>
      <c r="N125" s="8"/>
    </row>
    <row r="126" spans="2:14" ht="15.75">
      <c r="B126" s="1143">
        <v>44007013202</v>
      </c>
      <c r="C126" s="8" t="s">
        <v>144</v>
      </c>
      <c r="D126" s="8">
        <v>7</v>
      </c>
      <c r="E126" s="8">
        <v>132.02000000000001</v>
      </c>
      <c r="F126" s="8" t="s">
        <v>395</v>
      </c>
      <c r="G126" s="152" t="s">
        <v>225</v>
      </c>
      <c r="H126" s="156" t="s">
        <v>225</v>
      </c>
      <c r="I126" s="8"/>
      <c r="J126" s="8"/>
      <c r="K126" s="8"/>
      <c r="L126" s="8"/>
      <c r="M126" s="8"/>
      <c r="N126" s="8"/>
    </row>
    <row r="127" spans="2:14" ht="15.75">
      <c r="B127" s="1143">
        <v>44007013300</v>
      </c>
      <c r="C127" s="8" t="s">
        <v>144</v>
      </c>
      <c r="D127" s="8">
        <v>7</v>
      </c>
      <c r="E127" s="8">
        <v>133</v>
      </c>
      <c r="F127" s="8" t="s">
        <v>396</v>
      </c>
      <c r="G127" s="152" t="s">
        <v>225</v>
      </c>
      <c r="H127" s="156" t="s">
        <v>225</v>
      </c>
      <c r="I127" s="8"/>
      <c r="J127" s="8"/>
      <c r="K127" s="8"/>
      <c r="L127" s="8"/>
      <c r="M127" s="8"/>
      <c r="N127" s="8"/>
    </row>
    <row r="128" spans="2:14" ht="15.75">
      <c r="B128" s="1143">
        <v>44007015700</v>
      </c>
      <c r="C128" s="8" t="s">
        <v>144</v>
      </c>
      <c r="D128" s="8">
        <v>7</v>
      </c>
      <c r="E128" s="8">
        <v>157</v>
      </c>
      <c r="F128" s="8" t="s">
        <v>397</v>
      </c>
      <c r="G128" s="152" t="s">
        <v>225</v>
      </c>
      <c r="H128" s="156" t="s">
        <v>225</v>
      </c>
      <c r="I128" s="8"/>
      <c r="J128" s="8"/>
      <c r="K128" s="8"/>
      <c r="L128" s="8"/>
      <c r="M128" s="8"/>
      <c r="N128" s="8"/>
    </row>
    <row r="129" spans="2:14" ht="15.75">
      <c r="B129" s="1143">
        <v>44007017300</v>
      </c>
      <c r="C129" s="8" t="s">
        <v>144</v>
      </c>
      <c r="D129" s="8">
        <v>7</v>
      </c>
      <c r="E129" s="8">
        <v>173</v>
      </c>
      <c r="F129" s="8" t="s">
        <v>398</v>
      </c>
      <c r="G129" s="152" t="s">
        <v>225</v>
      </c>
      <c r="H129" s="156" t="s">
        <v>225</v>
      </c>
      <c r="I129" s="8"/>
      <c r="J129" s="8"/>
      <c r="K129" s="8"/>
      <c r="L129" s="8"/>
      <c r="M129" s="8"/>
      <c r="N129" s="8"/>
    </row>
    <row r="130" spans="2:14" ht="15.75">
      <c r="B130" s="1143">
        <v>44007017400</v>
      </c>
      <c r="C130" s="8" t="s">
        <v>144</v>
      </c>
      <c r="D130" s="8">
        <v>7</v>
      </c>
      <c r="E130" s="8">
        <v>174</v>
      </c>
      <c r="F130" s="8" t="s">
        <v>399</v>
      </c>
      <c r="G130" s="152" t="s">
        <v>351</v>
      </c>
      <c r="H130" s="156" t="s">
        <v>225</v>
      </c>
      <c r="I130" s="8"/>
      <c r="J130" s="8"/>
      <c r="K130" s="8"/>
      <c r="L130" s="8"/>
      <c r="M130" s="8"/>
      <c r="N130" s="8"/>
    </row>
    <row r="131" spans="2:14" ht="15.75">
      <c r="B131" s="1143">
        <v>44009051302</v>
      </c>
      <c r="C131" s="8" t="s">
        <v>193</v>
      </c>
      <c r="D131" s="8">
        <v>9</v>
      </c>
      <c r="E131" s="8">
        <v>513.02</v>
      </c>
      <c r="F131" s="8" t="s">
        <v>400</v>
      </c>
      <c r="G131" s="152" t="s">
        <v>225</v>
      </c>
      <c r="H131" s="156" t="s">
        <v>225</v>
      </c>
      <c r="I131" s="8"/>
      <c r="J131" s="8"/>
      <c r="K131" s="8"/>
      <c r="L131" s="8"/>
      <c r="M131" s="8"/>
      <c r="N131" s="8"/>
    </row>
    <row r="132" spans="2:14" ht="15.75">
      <c r="B132" s="1143">
        <v>44009051304</v>
      </c>
      <c r="C132" s="8" t="s">
        <v>193</v>
      </c>
      <c r="D132" s="8">
        <v>9</v>
      </c>
      <c r="E132" s="8">
        <v>513.04</v>
      </c>
      <c r="F132" s="8" t="s">
        <v>401</v>
      </c>
      <c r="G132" s="152" t="s">
        <v>225</v>
      </c>
      <c r="H132" s="156" t="s">
        <v>225</v>
      </c>
      <c r="I132" s="8"/>
      <c r="J132" s="8"/>
      <c r="K132" s="8"/>
      <c r="L132" s="8"/>
      <c r="M132" s="8"/>
      <c r="N132" s="8"/>
    </row>
    <row r="133" spans="2:14" ht="15.75">
      <c r="B133" s="1143">
        <v>44009051306</v>
      </c>
      <c r="C133" s="8" t="s">
        <v>193</v>
      </c>
      <c r="D133" s="8">
        <v>9</v>
      </c>
      <c r="E133" s="8">
        <v>513.05999999999995</v>
      </c>
      <c r="F133" s="8" t="s">
        <v>402</v>
      </c>
      <c r="G133" s="152" t="s">
        <v>225</v>
      </c>
      <c r="H133" s="156" t="s">
        <v>225</v>
      </c>
      <c r="I133" s="8"/>
      <c r="J133" s="8"/>
      <c r="K133" s="8"/>
      <c r="L133" s="8"/>
      <c r="M133" s="8"/>
      <c r="N133" s="8"/>
    </row>
    <row r="134" spans="2:14" ht="15.75">
      <c r="B134" s="1143">
        <v>44003020904</v>
      </c>
      <c r="C134" s="8" t="s">
        <v>291</v>
      </c>
      <c r="D134" s="8">
        <v>3</v>
      </c>
      <c r="E134" s="8">
        <v>209.04</v>
      </c>
      <c r="F134" s="8" t="s">
        <v>403</v>
      </c>
      <c r="G134" s="152" t="s">
        <v>225</v>
      </c>
      <c r="H134" s="156" t="s">
        <v>225</v>
      </c>
      <c r="I134" s="8"/>
      <c r="J134" s="8"/>
      <c r="K134" s="8"/>
      <c r="L134" s="8"/>
      <c r="M134" s="8"/>
      <c r="N134" s="8"/>
    </row>
    <row r="135" spans="2:14" ht="15.75">
      <c r="B135" s="1143">
        <v>44003021001</v>
      </c>
      <c r="C135" s="8" t="s">
        <v>291</v>
      </c>
      <c r="D135" s="8">
        <v>3</v>
      </c>
      <c r="E135" s="8">
        <v>210.01</v>
      </c>
      <c r="F135" s="8" t="s">
        <v>404</v>
      </c>
      <c r="G135" s="152" t="s">
        <v>225</v>
      </c>
      <c r="H135" s="156" t="s">
        <v>225</v>
      </c>
      <c r="I135" s="8"/>
      <c r="J135" s="8"/>
      <c r="K135" s="8"/>
      <c r="L135" s="8"/>
      <c r="M135" s="8"/>
      <c r="N135" s="8"/>
    </row>
    <row r="136" spans="2:14" ht="15.75">
      <c r="B136" s="1143">
        <v>44003021002</v>
      </c>
      <c r="C136" s="8" t="s">
        <v>291</v>
      </c>
      <c r="D136" s="8">
        <v>3</v>
      </c>
      <c r="E136" s="8">
        <v>210.02</v>
      </c>
      <c r="F136" s="8" t="s">
        <v>405</v>
      </c>
      <c r="G136" s="152" t="s">
        <v>225</v>
      </c>
      <c r="H136" s="156" t="s">
        <v>225</v>
      </c>
      <c r="I136" s="8"/>
      <c r="J136" s="8"/>
      <c r="K136" s="8"/>
      <c r="L136" s="8"/>
      <c r="M136" s="8"/>
      <c r="N136" s="8"/>
    </row>
    <row r="137" spans="2:14" ht="15.75">
      <c r="B137" s="1143">
        <v>44003021200</v>
      </c>
      <c r="C137" s="8" t="s">
        <v>291</v>
      </c>
      <c r="D137" s="8">
        <v>3</v>
      </c>
      <c r="E137" s="8">
        <v>212</v>
      </c>
      <c r="F137" s="8" t="s">
        <v>406</v>
      </c>
      <c r="G137" s="152" t="s">
        <v>225</v>
      </c>
      <c r="H137" s="156" t="s">
        <v>225</v>
      </c>
      <c r="I137" s="8"/>
      <c r="J137" s="8"/>
      <c r="K137" s="8"/>
      <c r="L137" s="8"/>
      <c r="M137" s="8"/>
      <c r="N137" s="8"/>
    </row>
    <row r="138" spans="2:14" ht="15.75">
      <c r="B138" s="1143">
        <v>44003022100</v>
      </c>
      <c r="C138" s="8" t="s">
        <v>291</v>
      </c>
      <c r="D138" s="8">
        <v>3</v>
      </c>
      <c r="E138" s="8">
        <v>221</v>
      </c>
      <c r="F138" s="8" t="s">
        <v>407</v>
      </c>
      <c r="G138" s="152" t="s">
        <v>225</v>
      </c>
      <c r="H138" s="156" t="s">
        <v>225</v>
      </c>
      <c r="I138" s="8"/>
      <c r="J138" s="8"/>
      <c r="K138" s="8"/>
      <c r="L138" s="8"/>
      <c r="M138" s="8"/>
      <c r="N138" s="8"/>
    </row>
    <row r="139" spans="2:14" ht="15.75">
      <c r="B139" s="1143">
        <v>44003022201</v>
      </c>
      <c r="C139" s="8" t="s">
        <v>291</v>
      </c>
      <c r="D139" s="8">
        <v>3</v>
      </c>
      <c r="E139" s="8">
        <v>222.01</v>
      </c>
      <c r="F139" s="8" t="s">
        <v>408</v>
      </c>
      <c r="G139" s="152" t="s">
        <v>225</v>
      </c>
      <c r="H139" s="156" t="s">
        <v>225</v>
      </c>
      <c r="I139" s="8"/>
      <c r="J139" s="8"/>
      <c r="K139" s="8"/>
      <c r="L139" s="8"/>
      <c r="M139" s="8"/>
      <c r="N139" s="8"/>
    </row>
    <row r="140" spans="2:14" ht="15.75">
      <c r="B140" s="1143">
        <v>44007000600</v>
      </c>
      <c r="C140" s="8" t="s">
        <v>144</v>
      </c>
      <c r="D140" s="8">
        <v>7</v>
      </c>
      <c r="E140" s="8">
        <v>6</v>
      </c>
      <c r="F140" s="8" t="s">
        <v>409</v>
      </c>
      <c r="G140" s="152" t="s">
        <v>351</v>
      </c>
      <c r="H140" s="156" t="s">
        <v>351</v>
      </c>
      <c r="I140" s="8"/>
      <c r="J140" s="8"/>
      <c r="K140" s="8"/>
      <c r="L140" s="8"/>
      <c r="M140" s="8"/>
      <c r="N140" s="8"/>
    </row>
    <row r="141" spans="2:14" ht="15.75">
      <c r="B141" s="1143">
        <v>44007000700</v>
      </c>
      <c r="C141" s="8" t="s">
        <v>144</v>
      </c>
      <c r="D141" s="8">
        <v>7</v>
      </c>
      <c r="E141" s="8">
        <v>7</v>
      </c>
      <c r="F141" s="8" t="s">
        <v>410</v>
      </c>
      <c r="G141" s="152" t="s">
        <v>351</v>
      </c>
      <c r="H141" s="156" t="s">
        <v>225</v>
      </c>
      <c r="I141" s="8"/>
      <c r="J141" s="8"/>
      <c r="K141" s="8"/>
      <c r="L141" s="8"/>
      <c r="M141" s="8"/>
      <c r="N141" s="8"/>
    </row>
    <row r="142" spans="2:14" ht="15.75">
      <c r="B142" s="1143">
        <v>44007010800</v>
      </c>
      <c r="C142" s="8" t="s">
        <v>144</v>
      </c>
      <c r="D142" s="8">
        <v>7</v>
      </c>
      <c r="E142" s="8">
        <v>108</v>
      </c>
      <c r="F142" s="8" t="s">
        <v>411</v>
      </c>
      <c r="G142" s="152" t="s">
        <v>351</v>
      </c>
      <c r="H142" s="156" t="s">
        <v>225</v>
      </c>
      <c r="I142" s="8"/>
      <c r="J142" s="8"/>
      <c r="K142" s="8"/>
      <c r="L142" s="8"/>
      <c r="M142" s="8"/>
      <c r="N142" s="8"/>
    </row>
    <row r="143" spans="2:14" ht="15.75">
      <c r="B143" s="1143">
        <v>44007010900</v>
      </c>
      <c r="C143" s="8" t="s">
        <v>144</v>
      </c>
      <c r="D143" s="8">
        <v>7</v>
      </c>
      <c r="E143" s="8">
        <v>109</v>
      </c>
      <c r="F143" s="8" t="s">
        <v>412</v>
      </c>
      <c r="G143" s="152" t="s">
        <v>351</v>
      </c>
      <c r="H143" s="156" t="s">
        <v>225</v>
      </c>
      <c r="I143" s="8"/>
      <c r="J143" s="8"/>
      <c r="K143" s="8"/>
      <c r="L143" s="8"/>
      <c r="M143" s="8"/>
      <c r="N143" s="8"/>
    </row>
    <row r="144" spans="2:14" ht="15.75">
      <c r="B144" s="1143">
        <v>44007011000</v>
      </c>
      <c r="C144" s="8" t="s">
        <v>144</v>
      </c>
      <c r="D144" s="8">
        <v>7</v>
      </c>
      <c r="E144" s="8">
        <v>110</v>
      </c>
      <c r="F144" s="8" t="s">
        <v>413</v>
      </c>
      <c r="G144" s="152" t="s">
        <v>351</v>
      </c>
      <c r="H144" s="156" t="s">
        <v>225</v>
      </c>
      <c r="I144" s="8"/>
      <c r="J144" s="8"/>
      <c r="K144" s="8"/>
      <c r="L144" s="8"/>
      <c r="M144" s="8"/>
      <c r="N144" s="8"/>
    </row>
    <row r="145" spans="2:14" ht="15.75">
      <c r="B145" s="1143">
        <v>44007011301</v>
      </c>
      <c r="C145" s="8" t="s">
        <v>144</v>
      </c>
      <c r="D145" s="8">
        <v>7</v>
      </c>
      <c r="E145" s="8">
        <v>113.01</v>
      </c>
      <c r="F145" s="8" t="s">
        <v>414</v>
      </c>
      <c r="G145" s="152" t="s">
        <v>225</v>
      </c>
      <c r="H145" s="156" t="s">
        <v>225</v>
      </c>
      <c r="I145" s="8"/>
      <c r="J145" s="8"/>
      <c r="K145" s="8"/>
      <c r="L145" s="8"/>
      <c r="M145" s="8"/>
      <c r="N145" s="8"/>
    </row>
    <row r="146" spans="2:14" ht="15.75">
      <c r="B146" s="1143">
        <v>44007012000</v>
      </c>
      <c r="C146" s="8" t="s">
        <v>144</v>
      </c>
      <c r="D146" s="8">
        <v>7</v>
      </c>
      <c r="E146" s="8">
        <v>120</v>
      </c>
      <c r="F146" s="8" t="s">
        <v>415</v>
      </c>
      <c r="G146" s="152" t="s">
        <v>225</v>
      </c>
      <c r="H146" s="156" t="s">
        <v>225</v>
      </c>
      <c r="I146" s="8"/>
      <c r="J146" s="8"/>
      <c r="K146" s="8"/>
      <c r="L146" s="8"/>
      <c r="M146" s="8"/>
      <c r="N146" s="8"/>
    </row>
    <row r="147" spans="2:14" ht="15.75">
      <c r="B147" s="1143">
        <v>44007012102</v>
      </c>
      <c r="C147" s="8" t="s">
        <v>144</v>
      </c>
      <c r="D147" s="8">
        <v>7</v>
      </c>
      <c r="E147" s="8">
        <v>121.02</v>
      </c>
      <c r="F147" s="8" t="s">
        <v>416</v>
      </c>
      <c r="G147" s="152" t="s">
        <v>225</v>
      </c>
      <c r="H147" s="156" t="s">
        <v>225</v>
      </c>
      <c r="I147" s="8"/>
      <c r="J147" s="8"/>
      <c r="K147" s="8"/>
      <c r="L147" s="8"/>
      <c r="M147" s="8"/>
      <c r="N147" s="8"/>
    </row>
    <row r="148" spans="2:14" ht="15.75">
      <c r="B148" s="1143">
        <v>44007015200</v>
      </c>
      <c r="C148" s="8" t="s">
        <v>144</v>
      </c>
      <c r="D148" s="8">
        <v>7</v>
      </c>
      <c r="E148" s="8">
        <v>152</v>
      </c>
      <c r="F148" s="8" t="s">
        <v>417</v>
      </c>
      <c r="G148" s="152" t="s">
        <v>351</v>
      </c>
      <c r="H148" s="156" t="s">
        <v>351</v>
      </c>
      <c r="I148" s="8"/>
      <c r="J148" s="8"/>
      <c r="K148" s="8"/>
      <c r="L148" s="8"/>
      <c r="M148" s="8"/>
      <c r="N148" s="8"/>
    </row>
    <row r="149" spans="2:14" ht="15.75">
      <c r="B149" s="1143">
        <v>44007015300</v>
      </c>
      <c r="C149" s="8" t="s">
        <v>144</v>
      </c>
      <c r="D149" s="8">
        <v>7</v>
      </c>
      <c r="E149" s="8">
        <v>153</v>
      </c>
      <c r="F149" s="8" t="s">
        <v>418</v>
      </c>
      <c r="G149" s="152" t="s">
        <v>351</v>
      </c>
      <c r="H149" s="156" t="s">
        <v>225</v>
      </c>
      <c r="I149" s="8"/>
      <c r="J149" s="8"/>
      <c r="K149" s="8"/>
      <c r="L149" s="8"/>
      <c r="M149" s="8"/>
      <c r="N149" s="8"/>
    </row>
    <row r="150" spans="2:14" ht="15.75">
      <c r="B150" s="1143">
        <v>44007015400</v>
      </c>
      <c r="C150" s="8" t="s">
        <v>144</v>
      </c>
      <c r="D150" s="8">
        <v>7</v>
      </c>
      <c r="E150" s="8">
        <v>154</v>
      </c>
      <c r="F150" s="8" t="s">
        <v>419</v>
      </c>
      <c r="G150" s="152" t="s">
        <v>225</v>
      </c>
      <c r="H150" s="156" t="s">
        <v>225</v>
      </c>
      <c r="I150" s="8"/>
      <c r="J150" s="8"/>
      <c r="K150" s="8"/>
      <c r="L150" s="8"/>
      <c r="M150" s="8"/>
      <c r="N150" s="8"/>
    </row>
    <row r="151" spans="2:14" ht="15.75">
      <c r="B151" s="1143">
        <v>44007017000</v>
      </c>
      <c r="C151" s="8" t="s">
        <v>144</v>
      </c>
      <c r="D151" s="8">
        <v>7</v>
      </c>
      <c r="E151" s="8">
        <v>170</v>
      </c>
      <c r="F151" s="8" t="s">
        <v>420</v>
      </c>
      <c r="G151" s="152" t="s">
        <v>225</v>
      </c>
      <c r="H151" s="156" t="s">
        <v>225</v>
      </c>
      <c r="I151" s="8"/>
      <c r="J151" s="8"/>
      <c r="K151" s="8"/>
      <c r="L151" s="8"/>
      <c r="M151" s="8"/>
      <c r="N151" s="8"/>
    </row>
    <row r="152" spans="2:14" ht="15.75">
      <c r="B152" s="1143">
        <v>44007017100</v>
      </c>
      <c r="C152" s="8" t="s">
        <v>144</v>
      </c>
      <c r="D152" s="8">
        <v>7</v>
      </c>
      <c r="E152" s="8">
        <v>171</v>
      </c>
      <c r="F152" s="8" t="s">
        <v>421</v>
      </c>
      <c r="G152" s="152" t="s">
        <v>351</v>
      </c>
      <c r="H152" s="156" t="s">
        <v>225</v>
      </c>
      <c r="I152" s="8"/>
      <c r="J152" s="8"/>
      <c r="K152" s="8"/>
      <c r="L152" s="8"/>
      <c r="M152" s="8"/>
      <c r="N152" s="8"/>
    </row>
    <row r="153" spans="2:14" ht="15.75">
      <c r="B153" s="1143">
        <v>44009051201</v>
      </c>
      <c r="C153" s="8" t="s">
        <v>193</v>
      </c>
      <c r="D153" s="8">
        <v>9</v>
      </c>
      <c r="E153" s="8">
        <v>512.01</v>
      </c>
      <c r="F153" s="8" t="s">
        <v>422</v>
      </c>
      <c r="G153" s="152" t="s">
        <v>225</v>
      </c>
      <c r="H153" s="156" t="s">
        <v>225</v>
      </c>
      <c r="I153" s="8"/>
      <c r="J153" s="8"/>
      <c r="K153" s="8"/>
      <c r="L153" s="8"/>
      <c r="M153" s="8"/>
      <c r="N153" s="8"/>
    </row>
    <row r="154" spans="2:14" ht="15.75">
      <c r="B154" s="1143">
        <v>44009051202</v>
      </c>
      <c r="C154" s="8" t="s">
        <v>193</v>
      </c>
      <c r="D154" s="8">
        <v>9</v>
      </c>
      <c r="E154" s="8">
        <v>512.02</v>
      </c>
      <c r="F154" s="8" t="s">
        <v>423</v>
      </c>
      <c r="G154" s="152" t="s">
        <v>225</v>
      </c>
      <c r="H154" s="156" t="s">
        <v>225</v>
      </c>
      <c r="I154" s="8"/>
      <c r="J154" s="8"/>
      <c r="K154" s="8"/>
      <c r="L154" s="8"/>
      <c r="M154" s="8"/>
      <c r="N154" s="8"/>
    </row>
    <row r="155" spans="2:14" ht="15.75">
      <c r="B155" s="1143">
        <v>44009051305</v>
      </c>
      <c r="C155" s="8" t="s">
        <v>193</v>
      </c>
      <c r="D155" s="8">
        <v>9</v>
      </c>
      <c r="E155" s="8">
        <v>513.04999999999995</v>
      </c>
      <c r="F155" s="8" t="s">
        <v>424</v>
      </c>
      <c r="G155" s="152" t="s">
        <v>225</v>
      </c>
      <c r="H155" s="156" t="s">
        <v>225</v>
      </c>
      <c r="I155" s="8"/>
      <c r="J155" s="8"/>
      <c r="K155" s="8"/>
      <c r="L155" s="8"/>
      <c r="M155" s="8"/>
      <c r="N155" s="8"/>
    </row>
    <row r="156" spans="2:14" ht="15.75">
      <c r="B156" s="1143">
        <v>44003020903</v>
      </c>
      <c r="C156" s="8" t="s">
        <v>291</v>
      </c>
      <c r="D156" s="8">
        <v>3</v>
      </c>
      <c r="E156" s="8">
        <v>209.03</v>
      </c>
      <c r="F156" s="8" t="s">
        <v>425</v>
      </c>
      <c r="G156" s="152" t="s">
        <v>225</v>
      </c>
      <c r="H156" s="156" t="s">
        <v>225</v>
      </c>
      <c r="I156" s="8"/>
      <c r="J156" s="8"/>
      <c r="K156" s="8"/>
      <c r="L156" s="8"/>
      <c r="M156" s="8"/>
      <c r="N156" s="8"/>
    </row>
    <row r="157" spans="2:14" ht="15.75">
      <c r="B157" s="1143">
        <v>44003021903</v>
      </c>
      <c r="C157" s="8" t="s">
        <v>291</v>
      </c>
      <c r="D157" s="8">
        <v>3</v>
      </c>
      <c r="E157" s="8">
        <v>219.03</v>
      </c>
      <c r="F157" s="8" t="s">
        <v>426</v>
      </c>
      <c r="G157" s="152" t="s">
        <v>225</v>
      </c>
      <c r="H157" s="156" t="s">
        <v>225</v>
      </c>
      <c r="I157" s="8"/>
      <c r="J157" s="8"/>
      <c r="K157" s="8"/>
      <c r="L157" s="8"/>
      <c r="M157" s="8"/>
      <c r="N157" s="8"/>
    </row>
    <row r="158" spans="2:14" ht="15.75">
      <c r="B158" s="1143">
        <v>44003022000</v>
      </c>
      <c r="C158" s="8" t="s">
        <v>291</v>
      </c>
      <c r="D158" s="8">
        <v>3</v>
      </c>
      <c r="E158" s="8">
        <v>220</v>
      </c>
      <c r="F158" s="8" t="s">
        <v>427</v>
      </c>
      <c r="G158" s="152" t="s">
        <v>225</v>
      </c>
      <c r="H158" s="156" t="s">
        <v>225</v>
      </c>
      <c r="I158" s="8"/>
      <c r="J158" s="8"/>
      <c r="K158" s="8"/>
      <c r="L158" s="8"/>
      <c r="M158" s="8"/>
      <c r="N158" s="8"/>
    </row>
    <row r="159" spans="2:14" ht="15.75">
      <c r="B159" s="1143">
        <v>44007000400</v>
      </c>
      <c r="C159" s="8" t="s">
        <v>144</v>
      </c>
      <c r="D159" s="8">
        <v>7</v>
      </c>
      <c r="E159" s="8">
        <v>4</v>
      </c>
      <c r="F159" s="8" t="s">
        <v>428</v>
      </c>
      <c r="G159" s="152" t="s">
        <v>351</v>
      </c>
      <c r="H159" s="156" t="s">
        <v>225</v>
      </c>
      <c r="I159" s="8"/>
      <c r="J159" s="8"/>
      <c r="K159" s="8"/>
      <c r="L159" s="8"/>
      <c r="M159" s="8"/>
      <c r="N159" s="8"/>
    </row>
    <row r="160" spans="2:14" ht="15.75">
      <c r="B160" s="1143">
        <v>44007000500</v>
      </c>
      <c r="C160" s="8" t="s">
        <v>144</v>
      </c>
      <c r="D160" s="8">
        <v>7</v>
      </c>
      <c r="E160" s="8">
        <v>5</v>
      </c>
      <c r="F160" s="8" t="s">
        <v>429</v>
      </c>
      <c r="G160" s="152" t="s">
        <v>351</v>
      </c>
      <c r="H160" s="156" t="s">
        <v>225</v>
      </c>
      <c r="I160" s="8"/>
      <c r="J160" s="8"/>
      <c r="K160" s="8"/>
      <c r="L160" s="8"/>
      <c r="M160" s="8"/>
      <c r="N160" s="8"/>
    </row>
    <row r="161" spans="2:14" ht="15.75">
      <c r="B161" s="1143">
        <v>44007010702</v>
      </c>
      <c r="C161" s="8" t="s">
        <v>144</v>
      </c>
      <c r="D161" s="8">
        <v>7</v>
      </c>
      <c r="E161" s="8">
        <v>107.02</v>
      </c>
      <c r="F161" s="8" t="s">
        <v>430</v>
      </c>
      <c r="G161" s="152" t="s">
        <v>225</v>
      </c>
      <c r="H161" s="156" t="s">
        <v>225</v>
      </c>
      <c r="I161" s="8"/>
      <c r="J161" s="8"/>
      <c r="K161" s="8"/>
      <c r="L161" s="8"/>
      <c r="M161" s="8"/>
      <c r="N161" s="8"/>
    </row>
    <row r="162" spans="2:14" ht="15.75">
      <c r="B162" s="1143">
        <v>44007011901</v>
      </c>
      <c r="C162" s="8" t="s">
        <v>144</v>
      </c>
      <c r="D162" s="8">
        <v>7</v>
      </c>
      <c r="E162" s="8">
        <v>119.01</v>
      </c>
      <c r="F162" s="8" t="s">
        <v>431</v>
      </c>
      <c r="G162" s="152" t="s">
        <v>225</v>
      </c>
      <c r="H162" s="156" t="s">
        <v>225</v>
      </c>
      <c r="I162" s="8"/>
      <c r="J162" s="8"/>
      <c r="K162" s="8"/>
      <c r="L162" s="8"/>
      <c r="M162" s="8"/>
      <c r="N162" s="8"/>
    </row>
    <row r="163" spans="2:14" ht="15.75">
      <c r="B163" s="1143">
        <v>44007011902</v>
      </c>
      <c r="C163" s="8" t="s">
        <v>144</v>
      </c>
      <c r="D163" s="8">
        <v>7</v>
      </c>
      <c r="E163" s="8">
        <v>119.02</v>
      </c>
      <c r="F163" s="8" t="s">
        <v>432</v>
      </c>
      <c r="G163" s="152" t="s">
        <v>225</v>
      </c>
      <c r="H163" s="156" t="s">
        <v>225</v>
      </c>
      <c r="I163" s="8"/>
      <c r="J163" s="8"/>
      <c r="K163" s="8"/>
      <c r="L163" s="8"/>
      <c r="M163" s="8"/>
      <c r="N163" s="8"/>
    </row>
    <row r="164" spans="2:14" ht="15.75">
      <c r="B164" s="1143">
        <v>44007015100</v>
      </c>
      <c r="C164" s="8" t="s">
        <v>144</v>
      </c>
      <c r="D164" s="8">
        <v>7</v>
      </c>
      <c r="E164" s="8">
        <v>151</v>
      </c>
      <c r="F164" s="8" t="s">
        <v>433</v>
      </c>
      <c r="G164" s="152" t="s">
        <v>351</v>
      </c>
      <c r="H164" s="156" t="s">
        <v>351</v>
      </c>
      <c r="I164" s="8"/>
      <c r="J164" s="8"/>
      <c r="K164" s="8"/>
      <c r="L164" s="8"/>
      <c r="M164" s="8"/>
      <c r="N164" s="8"/>
    </row>
    <row r="165" spans="2:14" ht="15.75">
      <c r="B165" s="1143">
        <v>44007016800</v>
      </c>
      <c r="C165" s="8" t="s">
        <v>144</v>
      </c>
      <c r="D165" s="8">
        <v>7</v>
      </c>
      <c r="E165" s="8">
        <v>168</v>
      </c>
      <c r="F165" s="8" t="s">
        <v>434</v>
      </c>
      <c r="G165" s="152" t="s">
        <v>225</v>
      </c>
      <c r="H165" s="156" t="s">
        <v>225</v>
      </c>
      <c r="I165" s="8"/>
      <c r="J165" s="8"/>
      <c r="K165" s="8"/>
      <c r="L165" s="8"/>
      <c r="M165" s="8"/>
      <c r="N165" s="8"/>
    </row>
    <row r="166" spans="2:14" ht="15.75">
      <c r="B166" s="1143">
        <v>44007016900</v>
      </c>
      <c r="C166" s="8" t="s">
        <v>144</v>
      </c>
      <c r="D166" s="8">
        <v>7</v>
      </c>
      <c r="E166" s="8">
        <v>169</v>
      </c>
      <c r="F166" s="8" t="s">
        <v>435</v>
      </c>
      <c r="G166" s="152" t="s">
        <v>225</v>
      </c>
      <c r="H166" s="156" t="s">
        <v>225</v>
      </c>
      <c r="I166" s="8"/>
      <c r="J166" s="8"/>
      <c r="K166" s="8"/>
      <c r="L166" s="8"/>
      <c r="M166" s="8"/>
      <c r="N166" s="8"/>
    </row>
    <row r="167" spans="2:14" ht="15.75">
      <c r="B167" s="1143">
        <v>44009051102</v>
      </c>
      <c r="C167" s="8" t="s">
        <v>193</v>
      </c>
      <c r="D167" s="8">
        <v>9</v>
      </c>
      <c r="E167" s="8">
        <v>511.02</v>
      </c>
      <c r="F167" s="8" t="s">
        <v>436</v>
      </c>
      <c r="G167" s="152" t="s">
        <v>225</v>
      </c>
      <c r="H167" s="156" t="s">
        <v>225</v>
      </c>
      <c r="I167" s="8"/>
      <c r="J167" s="8"/>
      <c r="K167" s="8"/>
      <c r="L167" s="8"/>
      <c r="M167" s="8"/>
      <c r="N167" s="8"/>
    </row>
    <row r="168" spans="2:14" ht="15.75">
      <c r="B168" s="1143">
        <v>44001030100</v>
      </c>
      <c r="C168" s="8" t="s">
        <v>286</v>
      </c>
      <c r="D168" s="8">
        <v>1</v>
      </c>
      <c r="E168" s="8">
        <v>301</v>
      </c>
      <c r="F168" s="8" t="s">
        <v>437</v>
      </c>
      <c r="G168" s="152" t="s">
        <v>225</v>
      </c>
      <c r="H168" s="156" t="s">
        <v>225</v>
      </c>
      <c r="I168" s="8"/>
      <c r="J168" s="8"/>
      <c r="K168" s="8"/>
      <c r="L168" s="8"/>
      <c r="M168" s="8"/>
      <c r="N168" s="8"/>
    </row>
    <row r="169" spans="2:14" ht="15.75">
      <c r="B169" s="1143">
        <v>44001030200</v>
      </c>
      <c r="C169" s="8" t="s">
        <v>286</v>
      </c>
      <c r="D169" s="8">
        <v>1</v>
      </c>
      <c r="E169" s="8">
        <v>302</v>
      </c>
      <c r="F169" s="8" t="s">
        <v>438</v>
      </c>
      <c r="G169" s="152" t="s">
        <v>225</v>
      </c>
      <c r="H169" s="156" t="s">
        <v>225</v>
      </c>
      <c r="I169" s="8"/>
      <c r="J169" s="8"/>
      <c r="K169" s="8"/>
      <c r="L169" s="8"/>
      <c r="M169" s="8"/>
      <c r="N169" s="8"/>
    </row>
    <row r="170" spans="2:14" ht="15.75">
      <c r="B170" s="1143">
        <v>44003022400</v>
      </c>
      <c r="C170" s="8" t="s">
        <v>291</v>
      </c>
      <c r="D170" s="8">
        <v>3</v>
      </c>
      <c r="E170" s="8">
        <v>224</v>
      </c>
      <c r="F170" s="8" t="s">
        <v>439</v>
      </c>
      <c r="G170" s="152" t="s">
        <v>225</v>
      </c>
      <c r="H170" s="156" t="s">
        <v>225</v>
      </c>
      <c r="I170" s="8"/>
      <c r="J170" s="8"/>
      <c r="K170" s="8"/>
      <c r="L170" s="8"/>
      <c r="M170" s="8"/>
      <c r="N170" s="8"/>
    </row>
    <row r="171" spans="2:14" ht="15.75">
      <c r="B171" s="1143">
        <v>44007001000</v>
      </c>
      <c r="C171" s="8" t="s">
        <v>144</v>
      </c>
      <c r="D171" s="8">
        <v>7</v>
      </c>
      <c r="E171" s="8">
        <v>10</v>
      </c>
      <c r="F171" s="8" t="s">
        <v>440</v>
      </c>
      <c r="G171" s="152" t="s">
        <v>351</v>
      </c>
      <c r="H171" s="156" t="s">
        <v>225</v>
      </c>
      <c r="I171" s="8"/>
      <c r="J171" s="8"/>
      <c r="K171" s="8"/>
      <c r="L171" s="8"/>
      <c r="M171" s="8"/>
      <c r="N171" s="8"/>
    </row>
    <row r="172" spans="2:14" ht="15.75">
      <c r="B172" s="1143">
        <v>44007001100</v>
      </c>
      <c r="C172" s="8" t="s">
        <v>144</v>
      </c>
      <c r="D172" s="8">
        <v>7</v>
      </c>
      <c r="E172" s="8">
        <v>11</v>
      </c>
      <c r="F172" s="8" t="s">
        <v>441</v>
      </c>
      <c r="G172" s="152" t="s">
        <v>351</v>
      </c>
      <c r="H172" s="156" t="s">
        <v>225</v>
      </c>
      <c r="I172" s="8"/>
      <c r="J172" s="8"/>
      <c r="K172" s="8"/>
      <c r="L172" s="8"/>
      <c r="M172" s="8"/>
      <c r="N172" s="8"/>
    </row>
    <row r="173" spans="2:14" ht="15.75">
      <c r="B173" s="1143">
        <v>44007001200</v>
      </c>
      <c r="C173" s="8" t="s">
        <v>144</v>
      </c>
      <c r="D173" s="8">
        <v>7</v>
      </c>
      <c r="E173" s="8">
        <v>12</v>
      </c>
      <c r="F173" s="8" t="s">
        <v>442</v>
      </c>
      <c r="G173" s="152" t="s">
        <v>351</v>
      </c>
      <c r="H173" s="156" t="s">
        <v>225</v>
      </c>
      <c r="I173" s="8"/>
      <c r="J173" s="8"/>
      <c r="K173" s="8"/>
      <c r="L173" s="8"/>
      <c r="M173" s="8"/>
      <c r="N173" s="8"/>
    </row>
    <row r="174" spans="2:14" ht="15.75">
      <c r="B174" s="1143">
        <v>44007001300</v>
      </c>
      <c r="C174" s="8" t="s">
        <v>144</v>
      </c>
      <c r="D174" s="8">
        <v>7</v>
      </c>
      <c r="E174" s="8">
        <v>13</v>
      </c>
      <c r="F174" s="8" t="s">
        <v>443</v>
      </c>
      <c r="G174" s="152" t="s">
        <v>351</v>
      </c>
      <c r="H174" s="156" t="s">
        <v>225</v>
      </c>
      <c r="I174" s="8"/>
      <c r="J174" s="8"/>
      <c r="K174" s="8"/>
      <c r="L174" s="8"/>
      <c r="M174" s="8"/>
      <c r="N174" s="8"/>
    </row>
    <row r="175" spans="2:14" ht="15.75">
      <c r="B175" s="1143">
        <v>44007001400</v>
      </c>
      <c r="C175" s="8" t="s">
        <v>144</v>
      </c>
      <c r="D175" s="8">
        <v>7</v>
      </c>
      <c r="E175" s="8">
        <v>14</v>
      </c>
      <c r="F175" s="8" t="s">
        <v>444</v>
      </c>
      <c r="G175" s="152" t="s">
        <v>351</v>
      </c>
      <c r="H175" s="156" t="s">
        <v>225</v>
      </c>
      <c r="I175" s="8"/>
      <c r="J175" s="8"/>
      <c r="K175" s="8"/>
      <c r="L175" s="8"/>
      <c r="M175" s="8"/>
      <c r="N175" s="8"/>
    </row>
    <row r="176" spans="2:14" ht="15.75">
      <c r="B176" s="1143">
        <v>44007001500</v>
      </c>
      <c r="C176" s="8" t="s">
        <v>144</v>
      </c>
      <c r="D176" s="8">
        <v>7</v>
      </c>
      <c r="E176" s="8">
        <v>15</v>
      </c>
      <c r="F176" s="8" t="s">
        <v>445</v>
      </c>
      <c r="G176" s="152" t="s">
        <v>225</v>
      </c>
      <c r="H176" s="156" t="s">
        <v>225</v>
      </c>
      <c r="I176" s="8"/>
      <c r="J176" s="8"/>
      <c r="K176" s="8"/>
      <c r="L176" s="8"/>
      <c r="M176" s="8"/>
      <c r="N176" s="8"/>
    </row>
    <row r="177" spans="2:14" ht="15.75">
      <c r="B177" s="1143">
        <v>44007001600</v>
      </c>
      <c r="C177" s="8" t="s">
        <v>144</v>
      </c>
      <c r="D177" s="8">
        <v>7</v>
      </c>
      <c r="E177" s="8">
        <v>16</v>
      </c>
      <c r="F177" s="8" t="s">
        <v>446</v>
      </c>
      <c r="G177" s="152" t="s">
        <v>351</v>
      </c>
      <c r="H177" s="156" t="s">
        <v>225</v>
      </c>
      <c r="I177" s="8"/>
      <c r="J177" s="8"/>
      <c r="K177" s="8"/>
      <c r="L177" s="8"/>
      <c r="M177" s="8"/>
      <c r="N177" s="8"/>
    </row>
    <row r="178" spans="2:14" ht="15.75">
      <c r="B178" s="1143">
        <v>44007001700</v>
      </c>
      <c r="C178" s="8" t="s">
        <v>144</v>
      </c>
      <c r="D178" s="8">
        <v>7</v>
      </c>
      <c r="E178" s="8">
        <v>17</v>
      </c>
      <c r="F178" s="8" t="s">
        <v>447</v>
      </c>
      <c r="G178" s="152" t="s">
        <v>351</v>
      </c>
      <c r="H178" s="156" t="s">
        <v>225</v>
      </c>
      <c r="I178" s="8"/>
      <c r="J178" s="8"/>
      <c r="K178" s="8"/>
      <c r="L178" s="8"/>
      <c r="M178" s="8"/>
      <c r="N178" s="8"/>
    </row>
    <row r="179" spans="2:14" ht="15.75">
      <c r="B179" s="1143">
        <v>44007001800</v>
      </c>
      <c r="C179" s="8" t="s">
        <v>144</v>
      </c>
      <c r="D179" s="8">
        <v>7</v>
      </c>
      <c r="E179" s="8">
        <v>18</v>
      </c>
      <c r="F179" s="8" t="s">
        <v>448</v>
      </c>
      <c r="G179" s="152" t="s">
        <v>351</v>
      </c>
      <c r="H179" s="156" t="s">
        <v>225</v>
      </c>
      <c r="I179" s="8"/>
      <c r="J179" s="8"/>
      <c r="K179" s="8"/>
      <c r="L179" s="8"/>
      <c r="M179" s="8"/>
      <c r="N179" s="8"/>
    </row>
    <row r="180" spans="2:14" ht="15.75">
      <c r="B180" s="1143">
        <v>44007012200</v>
      </c>
      <c r="C180" s="8" t="s">
        <v>144</v>
      </c>
      <c r="D180" s="8">
        <v>7</v>
      </c>
      <c r="E180" s="8">
        <v>122</v>
      </c>
      <c r="F180" s="8" t="s">
        <v>449</v>
      </c>
      <c r="G180" s="152" t="s">
        <v>225</v>
      </c>
      <c r="H180" s="156" t="s">
        <v>225</v>
      </c>
      <c r="I180" s="8"/>
      <c r="J180" s="8"/>
      <c r="K180" s="8"/>
      <c r="L180" s="8"/>
      <c r="M180" s="8"/>
      <c r="N180" s="8"/>
    </row>
    <row r="181" spans="2:14" ht="15.75">
      <c r="B181" s="1143">
        <v>44007012300</v>
      </c>
      <c r="C181" s="8" t="s">
        <v>144</v>
      </c>
      <c r="D181" s="8">
        <v>7</v>
      </c>
      <c r="E181" s="8">
        <v>123</v>
      </c>
      <c r="F181" s="8" t="s">
        <v>450</v>
      </c>
      <c r="G181" s="152" t="s">
        <v>225</v>
      </c>
      <c r="H181" s="156" t="s">
        <v>225</v>
      </c>
      <c r="I181" s="8"/>
      <c r="J181" s="8"/>
      <c r="K181" s="8"/>
      <c r="L181" s="8"/>
      <c r="M181" s="8"/>
      <c r="N181" s="8"/>
    </row>
    <row r="182" spans="2:14" ht="15.75">
      <c r="B182" s="1143">
        <v>44007012401</v>
      </c>
      <c r="C182" s="8" t="s">
        <v>144</v>
      </c>
      <c r="D182" s="8">
        <v>7</v>
      </c>
      <c r="E182" s="8">
        <v>124.01</v>
      </c>
      <c r="F182" s="8" t="s">
        <v>451</v>
      </c>
      <c r="G182" s="152" t="s">
        <v>225</v>
      </c>
      <c r="H182" s="156" t="s">
        <v>225</v>
      </c>
      <c r="I182" s="8"/>
      <c r="J182" s="8"/>
      <c r="K182" s="8"/>
      <c r="L182" s="8"/>
      <c r="M182" s="8"/>
      <c r="N182" s="8"/>
    </row>
    <row r="183" spans="2:14" ht="15.75">
      <c r="B183" s="1143">
        <v>44007012402</v>
      </c>
      <c r="C183" s="8" t="s">
        <v>144</v>
      </c>
      <c r="D183" s="8">
        <v>7</v>
      </c>
      <c r="E183" s="8">
        <v>124.02</v>
      </c>
      <c r="F183" s="8" t="s">
        <v>452</v>
      </c>
      <c r="G183" s="152" t="s">
        <v>225</v>
      </c>
      <c r="H183" s="156" t="s">
        <v>225</v>
      </c>
      <c r="I183" s="8"/>
      <c r="J183" s="8"/>
      <c r="K183" s="8"/>
      <c r="L183" s="8"/>
      <c r="M183" s="8"/>
      <c r="N183" s="8"/>
    </row>
    <row r="184" spans="2:14" ht="15.75">
      <c r="B184" s="1143">
        <v>44007012500</v>
      </c>
      <c r="C184" s="8" t="s">
        <v>144</v>
      </c>
      <c r="D184" s="8">
        <v>7</v>
      </c>
      <c r="E184" s="8">
        <v>125</v>
      </c>
      <c r="F184" s="8" t="s">
        <v>453</v>
      </c>
      <c r="G184" s="152" t="s">
        <v>351</v>
      </c>
      <c r="H184" s="156" t="s">
        <v>225</v>
      </c>
      <c r="I184" s="8"/>
      <c r="J184" s="8"/>
      <c r="K184" s="8"/>
      <c r="L184" s="8"/>
      <c r="M184" s="8"/>
      <c r="N184" s="8"/>
    </row>
    <row r="185" spans="2:14" ht="15.75">
      <c r="B185" s="1143">
        <v>44007012601</v>
      </c>
      <c r="C185" s="8" t="s">
        <v>144</v>
      </c>
      <c r="D185" s="8">
        <v>7</v>
      </c>
      <c r="E185" s="8">
        <v>126.01</v>
      </c>
      <c r="F185" s="8" t="s">
        <v>454</v>
      </c>
      <c r="G185" s="152" t="s">
        <v>225</v>
      </c>
      <c r="H185" s="156" t="s">
        <v>225</v>
      </c>
      <c r="I185" s="8"/>
      <c r="J185" s="8"/>
      <c r="K185" s="8"/>
      <c r="L185" s="8"/>
      <c r="M185" s="8"/>
      <c r="N185" s="8"/>
    </row>
    <row r="186" spans="2:14" ht="15.75">
      <c r="B186" s="1143">
        <v>44007012602</v>
      </c>
      <c r="C186" s="8" t="s">
        <v>144</v>
      </c>
      <c r="D186" s="8">
        <v>7</v>
      </c>
      <c r="E186" s="8">
        <v>126.02</v>
      </c>
      <c r="F186" s="8" t="s">
        <v>455</v>
      </c>
      <c r="G186" s="152" t="s">
        <v>225</v>
      </c>
      <c r="H186" s="156" t="s">
        <v>225</v>
      </c>
      <c r="I186" s="8"/>
      <c r="J186" s="8"/>
      <c r="K186" s="8"/>
      <c r="L186" s="8"/>
      <c r="M186" s="8"/>
      <c r="N186" s="8"/>
    </row>
    <row r="187" spans="2:14" ht="15.75">
      <c r="B187" s="1143">
        <v>44007012701</v>
      </c>
      <c r="C187" s="8" t="s">
        <v>144</v>
      </c>
      <c r="D187" s="8">
        <v>7</v>
      </c>
      <c r="E187" s="8">
        <v>127.01</v>
      </c>
      <c r="F187" s="8" t="s">
        <v>456</v>
      </c>
      <c r="G187" s="152" t="s">
        <v>225</v>
      </c>
      <c r="H187" s="156" t="s">
        <v>225</v>
      </c>
      <c r="I187" s="8"/>
      <c r="J187" s="8"/>
      <c r="K187" s="8"/>
      <c r="L187" s="8"/>
      <c r="M187" s="8"/>
      <c r="N187" s="8"/>
    </row>
    <row r="188" spans="2:14" ht="15.75">
      <c r="B188" s="1143">
        <v>44007017500</v>
      </c>
      <c r="C188" s="8" t="s">
        <v>144</v>
      </c>
      <c r="D188" s="8">
        <v>7</v>
      </c>
      <c r="E188" s="8">
        <v>175</v>
      </c>
      <c r="F188" s="8" t="s">
        <v>457</v>
      </c>
      <c r="G188" s="152" t="s">
        <v>225</v>
      </c>
      <c r="H188" s="156" t="s">
        <v>225</v>
      </c>
      <c r="I188" s="8"/>
      <c r="J188" s="8"/>
      <c r="K188" s="8"/>
      <c r="L188" s="8"/>
      <c r="M188" s="8"/>
      <c r="N188" s="8"/>
    </row>
    <row r="189" spans="2:14" ht="15.75">
      <c r="B189" s="1143">
        <v>44007017600</v>
      </c>
      <c r="C189" s="8" t="s">
        <v>144</v>
      </c>
      <c r="D189" s="8">
        <v>7</v>
      </c>
      <c r="E189" s="8">
        <v>176</v>
      </c>
      <c r="F189" s="8" t="s">
        <v>458</v>
      </c>
      <c r="G189" s="152" t="s">
        <v>351</v>
      </c>
      <c r="H189" s="156" t="s">
        <v>225</v>
      </c>
      <c r="I189" s="8"/>
      <c r="J189" s="8"/>
      <c r="K189" s="8"/>
      <c r="L189" s="8"/>
      <c r="M189" s="8"/>
      <c r="N189" s="8"/>
    </row>
    <row r="190" spans="2:14" ht="15.75">
      <c r="B190" s="1143">
        <v>44007017700</v>
      </c>
      <c r="C190" s="8" t="s">
        <v>144</v>
      </c>
      <c r="D190" s="8">
        <v>7</v>
      </c>
      <c r="E190" s="8">
        <v>177</v>
      </c>
      <c r="F190" s="8" t="s">
        <v>459</v>
      </c>
      <c r="G190" s="152" t="s">
        <v>225</v>
      </c>
      <c r="H190" s="156" t="s">
        <v>225</v>
      </c>
      <c r="I190" s="8"/>
      <c r="J190" s="8"/>
      <c r="K190" s="8"/>
      <c r="L190" s="8"/>
      <c r="M190" s="8"/>
      <c r="N190" s="8"/>
    </row>
    <row r="191" spans="2:14" ht="15.75">
      <c r="B191" s="1143">
        <v>44007017800</v>
      </c>
      <c r="C191" s="8" t="s">
        <v>144</v>
      </c>
      <c r="D191" s="8">
        <v>7</v>
      </c>
      <c r="E191" s="8">
        <v>178</v>
      </c>
      <c r="F191" s="8" t="s">
        <v>460</v>
      </c>
      <c r="G191" s="152" t="s">
        <v>351</v>
      </c>
      <c r="H191" s="156" t="s">
        <v>225</v>
      </c>
      <c r="I191" s="8"/>
      <c r="J191" s="8"/>
      <c r="K191" s="8"/>
      <c r="L191" s="8"/>
      <c r="M191" s="8"/>
      <c r="N191" s="8"/>
    </row>
    <row r="192" spans="2:14" ht="15.75">
      <c r="B192" s="1143">
        <v>44007017900</v>
      </c>
      <c r="C192" s="8" t="s">
        <v>144</v>
      </c>
      <c r="D192" s="8">
        <v>7</v>
      </c>
      <c r="E192" s="8">
        <v>179</v>
      </c>
      <c r="F192" s="8" t="s">
        <v>461</v>
      </c>
      <c r="G192" s="152" t="s">
        <v>351</v>
      </c>
      <c r="H192" s="156" t="s">
        <v>351</v>
      </c>
      <c r="I192" s="8"/>
      <c r="J192" s="8"/>
      <c r="K192" s="8"/>
      <c r="L192" s="8"/>
      <c r="M192" s="8"/>
      <c r="N192" s="8"/>
    </row>
    <row r="193" spans="2:14" ht="15.75">
      <c r="B193" s="1143">
        <v>44007018000</v>
      </c>
      <c r="C193" s="8" t="s">
        <v>144</v>
      </c>
      <c r="D193" s="8">
        <v>7</v>
      </c>
      <c r="E193" s="8">
        <v>180</v>
      </c>
      <c r="F193" s="8" t="s">
        <v>462</v>
      </c>
      <c r="G193" s="152" t="s">
        <v>351</v>
      </c>
      <c r="H193" s="156" t="s">
        <v>351</v>
      </c>
      <c r="I193" s="8"/>
      <c r="J193" s="8"/>
      <c r="K193" s="8"/>
      <c r="L193" s="8"/>
      <c r="M193" s="8"/>
      <c r="N193" s="8"/>
    </row>
    <row r="194" spans="2:14" ht="15.75">
      <c r="B194" s="1143">
        <v>44007018100</v>
      </c>
      <c r="C194" s="8" t="s">
        <v>144</v>
      </c>
      <c r="D194" s="8">
        <v>7</v>
      </c>
      <c r="E194" s="8">
        <v>181</v>
      </c>
      <c r="F194" s="8" t="s">
        <v>463</v>
      </c>
      <c r="G194" s="152" t="s">
        <v>351</v>
      </c>
      <c r="H194" s="156" t="s">
        <v>225</v>
      </c>
      <c r="I194" s="8"/>
      <c r="J194" s="8"/>
      <c r="K194" s="8"/>
      <c r="L194" s="8"/>
      <c r="M194" s="8"/>
      <c r="N194" s="8"/>
    </row>
    <row r="195" spans="2:14" ht="15.75">
      <c r="B195" s="1143">
        <v>44007018200</v>
      </c>
      <c r="C195" s="8" t="s">
        <v>144</v>
      </c>
      <c r="D195" s="8">
        <v>7</v>
      </c>
      <c r="E195" s="8">
        <v>182</v>
      </c>
      <c r="F195" s="8" t="s">
        <v>464</v>
      </c>
      <c r="G195" s="152" t="s">
        <v>225</v>
      </c>
      <c r="H195" s="156" t="s">
        <v>225</v>
      </c>
      <c r="I195" s="8"/>
      <c r="J195" s="8"/>
      <c r="K195" s="8"/>
      <c r="L195" s="8"/>
      <c r="M195" s="8"/>
      <c r="N195" s="8"/>
    </row>
    <row r="196" spans="2:14" ht="15.75">
      <c r="B196" s="1143">
        <v>44007018300</v>
      </c>
      <c r="C196" s="8" t="s">
        <v>144</v>
      </c>
      <c r="D196" s="8">
        <v>7</v>
      </c>
      <c r="E196" s="8">
        <v>183</v>
      </c>
      <c r="F196" s="8" t="s">
        <v>465</v>
      </c>
      <c r="G196" s="152" t="s">
        <v>351</v>
      </c>
      <c r="H196" s="156" t="s">
        <v>225</v>
      </c>
      <c r="I196" s="8"/>
      <c r="J196" s="8"/>
      <c r="K196" s="8"/>
      <c r="L196" s="8"/>
      <c r="M196" s="8"/>
      <c r="N196" s="8"/>
    </row>
    <row r="197" spans="2:14" ht="15.75">
      <c r="B197" s="1143">
        <v>44003021501</v>
      </c>
      <c r="C197" s="8" t="s">
        <v>291</v>
      </c>
      <c r="D197" s="8">
        <v>3</v>
      </c>
      <c r="E197" s="8">
        <v>215.01</v>
      </c>
      <c r="F197" s="8" t="s">
        <v>466</v>
      </c>
      <c r="G197" s="152" t="s">
        <v>225</v>
      </c>
      <c r="H197" s="156" t="s">
        <v>225</v>
      </c>
      <c r="I197" s="8"/>
      <c r="J197" s="8"/>
      <c r="K197" s="8"/>
      <c r="L197" s="8"/>
      <c r="M197" s="8"/>
      <c r="N197" s="8"/>
    </row>
    <row r="198" spans="2:14" ht="15.75">
      <c r="B198" s="1143">
        <v>44003021502</v>
      </c>
      <c r="C198" s="8" t="s">
        <v>291</v>
      </c>
      <c r="D198" s="8">
        <v>3</v>
      </c>
      <c r="E198" s="8">
        <v>215.02</v>
      </c>
      <c r="F198" s="8" t="s">
        <v>467</v>
      </c>
      <c r="G198" s="152" t="s">
        <v>225</v>
      </c>
      <c r="H198" s="156" t="s">
        <v>225</v>
      </c>
      <c r="I198" s="8"/>
      <c r="J198" s="8"/>
      <c r="K198" s="8"/>
      <c r="L198" s="8"/>
      <c r="M198" s="8"/>
      <c r="N198" s="8"/>
    </row>
    <row r="199" spans="2:14" ht="15.75">
      <c r="B199" s="1143">
        <v>44003021600</v>
      </c>
      <c r="C199" s="8" t="s">
        <v>291</v>
      </c>
      <c r="D199" s="8">
        <v>3</v>
      </c>
      <c r="E199" s="8">
        <v>216</v>
      </c>
      <c r="F199" s="8" t="s">
        <v>468</v>
      </c>
      <c r="G199" s="152" t="s">
        <v>225</v>
      </c>
      <c r="H199" s="156" t="s">
        <v>225</v>
      </c>
      <c r="I199" s="8"/>
      <c r="J199" s="8"/>
      <c r="K199" s="8"/>
      <c r="L199" s="8"/>
      <c r="M199" s="8"/>
      <c r="N199" s="8"/>
    </row>
    <row r="200" spans="2:14" ht="15.75">
      <c r="B200" s="1143">
        <v>44003021700</v>
      </c>
      <c r="C200" s="8" t="s">
        <v>291</v>
      </c>
      <c r="D200" s="8">
        <v>3</v>
      </c>
      <c r="E200" s="8">
        <v>217</v>
      </c>
      <c r="F200" s="8" t="s">
        <v>469</v>
      </c>
      <c r="G200" s="152" t="s">
        <v>225</v>
      </c>
      <c r="H200" s="156" t="s">
        <v>225</v>
      </c>
      <c r="I200" s="8"/>
      <c r="J200" s="8"/>
      <c r="K200" s="8"/>
      <c r="L200" s="8"/>
      <c r="M200" s="8"/>
      <c r="N200" s="8"/>
    </row>
    <row r="201" spans="2:14" ht="15.75">
      <c r="B201" s="1143">
        <v>44003021800</v>
      </c>
      <c r="C201" s="8" t="s">
        <v>291</v>
      </c>
      <c r="D201" s="8">
        <v>3</v>
      </c>
      <c r="E201" s="8">
        <v>218</v>
      </c>
      <c r="F201" s="8" t="s">
        <v>470</v>
      </c>
      <c r="G201" s="152" t="s">
        <v>225</v>
      </c>
      <c r="H201" s="156" t="s">
        <v>225</v>
      </c>
      <c r="I201" s="8"/>
      <c r="J201" s="8"/>
      <c r="K201" s="8"/>
      <c r="L201" s="8"/>
      <c r="M201" s="8"/>
      <c r="N201" s="8"/>
    </row>
    <row r="202" spans="2:14" ht="15.75">
      <c r="B202" s="1143">
        <v>44003021902</v>
      </c>
      <c r="C202" s="8" t="s">
        <v>291</v>
      </c>
      <c r="D202" s="8">
        <v>3</v>
      </c>
      <c r="E202" s="8">
        <v>219.02</v>
      </c>
      <c r="F202" s="8" t="s">
        <v>471</v>
      </c>
      <c r="G202" s="152" t="s">
        <v>225</v>
      </c>
      <c r="H202" s="156" t="s">
        <v>225</v>
      </c>
      <c r="I202" s="8"/>
      <c r="J202" s="8"/>
      <c r="K202" s="8"/>
      <c r="L202" s="8"/>
      <c r="M202" s="8"/>
      <c r="N202" s="8"/>
    </row>
    <row r="203" spans="2:14" ht="15.75">
      <c r="B203" s="1143">
        <v>44007000101</v>
      </c>
      <c r="C203" s="8" t="s">
        <v>144</v>
      </c>
      <c r="D203" s="8">
        <v>7</v>
      </c>
      <c r="E203" s="8">
        <v>1.01</v>
      </c>
      <c r="F203" s="8" t="s">
        <v>472</v>
      </c>
      <c r="G203" s="152" t="s">
        <v>351</v>
      </c>
      <c r="H203" s="156" t="s">
        <v>351</v>
      </c>
      <c r="I203" s="8"/>
      <c r="J203" s="8"/>
      <c r="K203" s="8"/>
      <c r="L203" s="8"/>
      <c r="M203" s="8"/>
      <c r="N203" s="8"/>
    </row>
    <row r="204" spans="2:14" ht="15.75">
      <c r="B204" s="1143">
        <v>44007000102</v>
      </c>
      <c r="C204" s="8" t="s">
        <v>144</v>
      </c>
      <c r="D204" s="8">
        <v>7</v>
      </c>
      <c r="E204" s="8">
        <v>1.02</v>
      </c>
      <c r="F204" s="8" t="s">
        <v>473</v>
      </c>
      <c r="G204" s="152" t="s">
        <v>351</v>
      </c>
      <c r="H204" s="156" t="s">
        <v>225</v>
      </c>
      <c r="I204" s="8"/>
      <c r="J204" s="8"/>
      <c r="K204" s="8"/>
      <c r="L204" s="8"/>
      <c r="M204" s="8"/>
      <c r="N204" s="8"/>
    </row>
    <row r="205" spans="2:14" ht="15.75">
      <c r="B205" s="1143">
        <v>44007000200</v>
      </c>
      <c r="C205" s="8" t="s">
        <v>144</v>
      </c>
      <c r="D205" s="8">
        <v>7</v>
      </c>
      <c r="E205" s="8">
        <v>2</v>
      </c>
      <c r="F205" s="8" t="s">
        <v>474</v>
      </c>
      <c r="G205" s="152" t="s">
        <v>351</v>
      </c>
      <c r="H205" s="156" t="s">
        <v>351</v>
      </c>
      <c r="I205" s="8"/>
      <c r="J205" s="8"/>
      <c r="K205" s="8"/>
      <c r="L205" s="8"/>
      <c r="M205" s="8"/>
      <c r="N205" s="8"/>
    </row>
    <row r="206" spans="2:14" ht="15.75">
      <c r="B206" s="1143">
        <v>44007000300</v>
      </c>
      <c r="C206" s="8" t="s">
        <v>144</v>
      </c>
      <c r="D206" s="8">
        <v>7</v>
      </c>
      <c r="E206" s="8">
        <v>3</v>
      </c>
      <c r="F206" s="8" t="s">
        <v>475</v>
      </c>
      <c r="G206" s="152" t="s">
        <v>351</v>
      </c>
      <c r="H206" s="156" t="s">
        <v>225</v>
      </c>
      <c r="I206" s="8"/>
      <c r="J206" s="8"/>
      <c r="K206" s="8"/>
      <c r="L206" s="8"/>
      <c r="M206" s="8"/>
      <c r="N206" s="8"/>
    </row>
    <row r="207" spans="2:14" ht="15.75">
      <c r="B207" s="1143">
        <v>44007011402</v>
      </c>
      <c r="C207" s="8" t="s">
        <v>144</v>
      </c>
      <c r="D207" s="8">
        <v>7</v>
      </c>
      <c r="E207" s="8">
        <v>114.02</v>
      </c>
      <c r="F207" s="8" t="s">
        <v>476</v>
      </c>
      <c r="G207" s="152" t="s">
        <v>225</v>
      </c>
      <c r="H207" s="156" t="s">
        <v>225</v>
      </c>
      <c r="I207" s="8"/>
      <c r="J207" s="8"/>
      <c r="K207" s="8"/>
      <c r="L207" s="8"/>
      <c r="M207" s="8"/>
      <c r="N207" s="8"/>
    </row>
    <row r="208" spans="2:14" ht="15.75">
      <c r="B208" s="1143">
        <v>44007011403</v>
      </c>
      <c r="C208" s="8" t="s">
        <v>144</v>
      </c>
      <c r="D208" s="8">
        <v>7</v>
      </c>
      <c r="E208" s="8">
        <v>114.03</v>
      </c>
      <c r="F208" s="8" t="s">
        <v>477</v>
      </c>
      <c r="G208" s="152" t="s">
        <v>225</v>
      </c>
      <c r="H208" s="156" t="s">
        <v>225</v>
      </c>
      <c r="I208" s="8"/>
      <c r="J208" s="8"/>
      <c r="K208" s="8"/>
      <c r="L208" s="8"/>
      <c r="M208" s="8"/>
      <c r="N208" s="8"/>
    </row>
    <row r="209" spans="2:14" ht="15.75">
      <c r="B209" s="1143">
        <v>44007011500</v>
      </c>
      <c r="C209" s="8" t="s">
        <v>144</v>
      </c>
      <c r="D209" s="8">
        <v>7</v>
      </c>
      <c r="E209" s="8">
        <v>115</v>
      </c>
      <c r="F209" s="8" t="s">
        <v>478</v>
      </c>
      <c r="G209" s="152" t="s">
        <v>225</v>
      </c>
      <c r="H209" s="156" t="s">
        <v>225</v>
      </c>
      <c r="I209" s="8"/>
      <c r="J209" s="8"/>
      <c r="K209" s="8"/>
      <c r="L209" s="8"/>
      <c r="M209" s="8"/>
      <c r="N209" s="8"/>
    </row>
    <row r="210" spans="2:14" ht="15.75">
      <c r="B210" s="1143">
        <v>44007011600</v>
      </c>
      <c r="C210" s="8" t="s">
        <v>144</v>
      </c>
      <c r="D210" s="8">
        <v>7</v>
      </c>
      <c r="E210" s="8">
        <v>116</v>
      </c>
      <c r="F210" s="8" t="s">
        <v>479</v>
      </c>
      <c r="G210" s="152" t="s">
        <v>225</v>
      </c>
      <c r="H210" s="156" t="s">
        <v>225</v>
      </c>
      <c r="I210" s="8"/>
      <c r="J210" s="8"/>
      <c r="K210" s="8"/>
      <c r="L210" s="8"/>
      <c r="M210" s="8"/>
      <c r="N210" s="8"/>
    </row>
    <row r="211" spans="2:14" ht="15.75">
      <c r="B211" s="1143">
        <v>44007011701</v>
      </c>
      <c r="C211" s="8" t="s">
        <v>144</v>
      </c>
      <c r="D211" s="8">
        <v>7</v>
      </c>
      <c r="E211" s="8">
        <v>117.01</v>
      </c>
      <c r="F211" s="8" t="s">
        <v>480</v>
      </c>
      <c r="G211" s="152" t="s">
        <v>225</v>
      </c>
      <c r="H211" s="156" t="s">
        <v>225</v>
      </c>
      <c r="I211" s="8"/>
      <c r="J211" s="8"/>
      <c r="K211" s="8"/>
      <c r="L211" s="8"/>
      <c r="M211" s="8"/>
      <c r="N211" s="8"/>
    </row>
    <row r="212" spans="2:14" ht="15.75">
      <c r="B212" s="1143">
        <v>44007011800</v>
      </c>
      <c r="C212" s="8" t="s">
        <v>144</v>
      </c>
      <c r="D212" s="8">
        <v>7</v>
      </c>
      <c r="E212" s="8">
        <v>118</v>
      </c>
      <c r="F212" s="8" t="s">
        <v>481</v>
      </c>
      <c r="G212" s="152" t="s">
        <v>225</v>
      </c>
      <c r="H212" s="156" t="s">
        <v>351</v>
      </c>
      <c r="I212" s="8"/>
      <c r="J212" s="8"/>
      <c r="K212" s="8"/>
      <c r="L212" s="8"/>
      <c r="M212" s="8"/>
      <c r="N212" s="8"/>
    </row>
    <row r="213" spans="2:14" ht="15.75">
      <c r="B213" s="1143">
        <v>44007015900</v>
      </c>
      <c r="C213" s="8" t="s">
        <v>144</v>
      </c>
      <c r="D213" s="8">
        <v>7</v>
      </c>
      <c r="E213" s="8">
        <v>159</v>
      </c>
      <c r="F213" s="8" t="s">
        <v>482</v>
      </c>
      <c r="G213" s="152" t="s">
        <v>225</v>
      </c>
      <c r="H213" s="156" t="s">
        <v>225</v>
      </c>
      <c r="I213" s="8"/>
      <c r="J213" s="8"/>
      <c r="K213" s="8"/>
      <c r="L213" s="8"/>
      <c r="M213" s="8"/>
      <c r="N213" s="8"/>
    </row>
    <row r="214" spans="2:14" ht="15.75">
      <c r="B214" s="1143">
        <v>44007016000</v>
      </c>
      <c r="C214" s="8" t="s">
        <v>144</v>
      </c>
      <c r="D214" s="8">
        <v>7</v>
      </c>
      <c r="E214" s="8">
        <v>160</v>
      </c>
      <c r="F214" s="8" t="s">
        <v>483</v>
      </c>
      <c r="G214" s="152" t="s">
        <v>351</v>
      </c>
      <c r="H214" s="156" t="s">
        <v>225</v>
      </c>
      <c r="I214" s="8"/>
      <c r="J214" s="8"/>
      <c r="K214" s="8"/>
      <c r="L214" s="8"/>
      <c r="M214" s="8"/>
      <c r="N214" s="8"/>
    </row>
    <row r="215" spans="2:14" ht="15.75">
      <c r="B215" s="1143">
        <v>44007016100</v>
      </c>
      <c r="C215" s="8" t="s">
        <v>144</v>
      </c>
      <c r="D215" s="8">
        <v>7</v>
      </c>
      <c r="E215" s="8">
        <v>161</v>
      </c>
      <c r="F215" s="8" t="s">
        <v>484</v>
      </c>
      <c r="G215" s="152" t="s">
        <v>351</v>
      </c>
      <c r="H215" s="156" t="s">
        <v>351</v>
      </c>
      <c r="I215" s="8"/>
      <c r="J215" s="8"/>
      <c r="K215" s="8"/>
      <c r="L215" s="8"/>
      <c r="M215" s="8"/>
      <c r="N215" s="8"/>
    </row>
    <row r="216" spans="2:14" ht="15.75">
      <c r="B216" s="1143">
        <v>44007016300</v>
      </c>
      <c r="C216" s="8" t="s">
        <v>144</v>
      </c>
      <c r="D216" s="8">
        <v>7</v>
      </c>
      <c r="E216" s="8">
        <v>163</v>
      </c>
      <c r="F216" s="8" t="s">
        <v>485</v>
      </c>
      <c r="G216" s="152" t="s">
        <v>225</v>
      </c>
      <c r="H216" s="156" t="s">
        <v>225</v>
      </c>
      <c r="I216" s="8"/>
      <c r="J216" s="8"/>
      <c r="K216" s="8"/>
      <c r="L216" s="8"/>
      <c r="M216" s="8"/>
      <c r="N216" s="8"/>
    </row>
    <row r="217" spans="2:14" ht="15.75">
      <c r="B217" s="1143">
        <v>44007016400</v>
      </c>
      <c r="C217" s="8" t="s">
        <v>144</v>
      </c>
      <c r="D217" s="8">
        <v>7</v>
      </c>
      <c r="E217" s="8">
        <v>164</v>
      </c>
      <c r="F217" s="8" t="s">
        <v>486</v>
      </c>
      <c r="G217" s="152" t="s">
        <v>351</v>
      </c>
      <c r="H217" s="156" t="s">
        <v>225</v>
      </c>
      <c r="I217" s="8"/>
      <c r="J217" s="8"/>
      <c r="K217" s="8"/>
      <c r="L217" s="8"/>
      <c r="M217" s="8"/>
      <c r="N217" s="8"/>
    </row>
    <row r="218" spans="2:14" ht="15.75">
      <c r="B218" s="1143">
        <v>44007016500</v>
      </c>
      <c r="C218" s="8" t="s">
        <v>144</v>
      </c>
      <c r="D218" s="8">
        <v>7</v>
      </c>
      <c r="E218" s="8">
        <v>165</v>
      </c>
      <c r="F218" s="8" t="s">
        <v>487</v>
      </c>
      <c r="G218" s="152" t="s">
        <v>225</v>
      </c>
      <c r="H218" s="156" t="s">
        <v>225</v>
      </c>
      <c r="I218" s="8"/>
      <c r="J218" s="8"/>
      <c r="K218" s="8"/>
      <c r="L218" s="8"/>
      <c r="M218" s="8"/>
      <c r="N218" s="8"/>
    </row>
    <row r="219" spans="2:14" ht="15.75">
      <c r="B219" s="1143">
        <v>44007016600</v>
      </c>
      <c r="C219" s="8" t="s">
        <v>144</v>
      </c>
      <c r="D219" s="8">
        <v>7</v>
      </c>
      <c r="E219" s="8">
        <v>166</v>
      </c>
      <c r="F219" s="8" t="s">
        <v>488</v>
      </c>
      <c r="G219" s="152" t="s">
        <v>351</v>
      </c>
      <c r="H219" s="156" t="s">
        <v>225</v>
      </c>
      <c r="I219" s="8"/>
      <c r="J219" s="8"/>
      <c r="K219" s="8"/>
      <c r="L219" s="8"/>
      <c r="M219" s="8"/>
      <c r="N219" s="8"/>
    </row>
    <row r="220" spans="2:14" ht="15.75">
      <c r="B220" s="1143">
        <v>44007016700</v>
      </c>
      <c r="C220" s="8" t="s">
        <v>144</v>
      </c>
      <c r="D220" s="8">
        <v>7</v>
      </c>
      <c r="E220" s="8">
        <v>167</v>
      </c>
      <c r="F220" s="8" t="s">
        <v>489</v>
      </c>
      <c r="G220" s="152" t="s">
        <v>351</v>
      </c>
      <c r="H220" s="156" t="s">
        <v>351</v>
      </c>
      <c r="I220" s="8"/>
      <c r="J220" s="8"/>
      <c r="K220" s="8"/>
      <c r="L220" s="8"/>
      <c r="M220" s="8"/>
      <c r="N220" s="8"/>
    </row>
    <row r="221" spans="2:14" ht="15.75">
      <c r="B221" s="1143">
        <v>44009051503</v>
      </c>
      <c r="C221" s="8" t="s">
        <v>193</v>
      </c>
      <c r="D221" s="8">
        <v>9</v>
      </c>
      <c r="E221" s="8">
        <v>515.03</v>
      </c>
      <c r="F221" s="8" t="s">
        <v>490</v>
      </c>
      <c r="G221" s="152" t="s">
        <v>225</v>
      </c>
      <c r="H221" s="156" t="s">
        <v>225</v>
      </c>
      <c r="I221" s="8"/>
      <c r="J221" s="8"/>
      <c r="K221" s="8"/>
      <c r="L221" s="8"/>
      <c r="M221" s="8"/>
      <c r="N221" s="8"/>
    </row>
    <row r="222" spans="2:14" ht="15.75">
      <c r="B222" s="1143">
        <v>44009051504</v>
      </c>
      <c r="C222" s="8" t="s">
        <v>193</v>
      </c>
      <c r="D222" s="8">
        <v>9</v>
      </c>
      <c r="E222" s="8">
        <v>515.04</v>
      </c>
      <c r="F222" s="8" t="s">
        <v>491</v>
      </c>
      <c r="G222" s="152" t="s">
        <v>225</v>
      </c>
      <c r="H222" s="156" t="s">
        <v>351</v>
      </c>
      <c r="I222" s="8"/>
      <c r="J222" s="8"/>
      <c r="K222" s="8"/>
      <c r="L222" s="8"/>
      <c r="M222" s="8"/>
      <c r="N222" s="8"/>
    </row>
    <row r="223" spans="2:14" ht="15.75">
      <c r="B223" s="1143">
        <v>44009990100</v>
      </c>
      <c r="C223" s="8" t="s">
        <v>193</v>
      </c>
      <c r="D223" s="8">
        <v>9</v>
      </c>
      <c r="E223" s="8">
        <v>9901</v>
      </c>
      <c r="F223" s="8" t="s">
        <v>492</v>
      </c>
      <c r="G223" s="152" t="s">
        <v>225</v>
      </c>
      <c r="H223" s="156" t="s">
        <v>225</v>
      </c>
      <c r="I223" s="8"/>
      <c r="J223" s="8"/>
      <c r="K223" s="8"/>
      <c r="L223" s="8"/>
      <c r="M223" s="8"/>
      <c r="N223" s="8"/>
    </row>
    <row r="224" spans="2:14" ht="15.75">
      <c r="B224" s="1143">
        <v>44009990200</v>
      </c>
      <c r="C224" s="8" t="s">
        <v>193</v>
      </c>
      <c r="D224" s="8">
        <v>9</v>
      </c>
      <c r="E224" s="8">
        <v>9902</v>
      </c>
      <c r="F224" s="8" t="s">
        <v>493</v>
      </c>
      <c r="G224" s="152" t="s">
        <v>225</v>
      </c>
      <c r="H224" s="156" t="s">
        <v>225</v>
      </c>
      <c r="I224" s="8"/>
      <c r="J224" s="8"/>
      <c r="K224" s="8"/>
      <c r="L224" s="8"/>
      <c r="M224" s="8"/>
      <c r="N224" s="8"/>
    </row>
    <row r="225" spans="2:14" ht="15.75">
      <c r="B225" s="1143">
        <v>44003020901</v>
      </c>
      <c r="C225" s="8" t="s">
        <v>291</v>
      </c>
      <c r="D225" s="8">
        <v>3</v>
      </c>
      <c r="E225" s="8">
        <v>209.01</v>
      </c>
      <c r="F225" s="8" t="s">
        <v>494</v>
      </c>
      <c r="G225" s="152" t="s">
        <v>225</v>
      </c>
      <c r="H225" s="156" t="s">
        <v>225</v>
      </c>
      <c r="I225" s="8"/>
      <c r="J225" s="8"/>
      <c r="K225" s="8"/>
      <c r="L225" s="8"/>
      <c r="M225" s="8"/>
      <c r="N225" s="8"/>
    </row>
    <row r="226" spans="2:14" ht="15.75">
      <c r="B226" s="1143">
        <v>44007010701</v>
      </c>
      <c r="C226" s="8" t="s">
        <v>144</v>
      </c>
      <c r="D226" s="8">
        <v>7</v>
      </c>
      <c r="E226" s="8">
        <v>107.01</v>
      </c>
      <c r="F226" s="8" t="s">
        <v>495</v>
      </c>
      <c r="G226" s="152" t="s">
        <v>225</v>
      </c>
      <c r="H226" s="156" t="s">
        <v>225</v>
      </c>
      <c r="I226" s="8"/>
      <c r="J226" s="8"/>
      <c r="K226" s="8"/>
      <c r="L226" s="8"/>
      <c r="M226" s="8"/>
      <c r="N226" s="8"/>
    </row>
    <row r="227" spans="2:14" ht="15.75">
      <c r="B227" s="1143">
        <v>44007015000</v>
      </c>
      <c r="C227" s="8" t="s">
        <v>144</v>
      </c>
      <c r="D227" s="8">
        <v>7</v>
      </c>
      <c r="E227" s="8">
        <v>150</v>
      </c>
      <c r="F227" s="8" t="s">
        <v>496</v>
      </c>
      <c r="G227" s="152" t="s">
        <v>225</v>
      </c>
      <c r="H227" s="156" t="s">
        <v>225</v>
      </c>
      <c r="I227" s="8"/>
      <c r="J227" s="8"/>
      <c r="K227" s="8"/>
      <c r="L227" s="8"/>
      <c r="M227" s="8"/>
      <c r="N227" s="8"/>
    </row>
    <row r="228" spans="2:14" ht="15.75">
      <c r="B228" s="1143">
        <v>44003020101</v>
      </c>
      <c r="C228" s="8" t="s">
        <v>291</v>
      </c>
      <c r="D228" s="8">
        <v>3</v>
      </c>
      <c r="E228" s="8">
        <v>201.01</v>
      </c>
      <c r="F228" s="8" t="s">
        <v>497</v>
      </c>
      <c r="G228" s="152" t="s">
        <v>225</v>
      </c>
      <c r="H228" s="156" t="s">
        <v>225</v>
      </c>
      <c r="I228" s="8"/>
      <c r="J228" s="8"/>
      <c r="K228" s="8"/>
      <c r="L228" s="8"/>
      <c r="M228" s="8"/>
      <c r="N228" s="8"/>
    </row>
    <row r="229" spans="2:14" ht="15.75">
      <c r="B229" s="1143">
        <v>44003020102</v>
      </c>
      <c r="C229" s="8" t="s">
        <v>291</v>
      </c>
      <c r="D229" s="8">
        <v>3</v>
      </c>
      <c r="E229" s="8">
        <v>201.02</v>
      </c>
      <c r="F229" s="8" t="s">
        <v>498</v>
      </c>
      <c r="G229" s="152" t="s">
        <v>225</v>
      </c>
      <c r="H229" s="156" t="s">
        <v>225</v>
      </c>
      <c r="I229" s="8"/>
      <c r="J229" s="8"/>
      <c r="K229" s="8"/>
      <c r="L229" s="8"/>
      <c r="M229" s="8"/>
      <c r="N229" s="8"/>
    </row>
    <row r="230" spans="2:14" ht="15.75">
      <c r="B230" s="1143">
        <v>44005041000</v>
      </c>
      <c r="C230" s="8" t="s">
        <v>171</v>
      </c>
      <c r="D230" s="8">
        <v>5</v>
      </c>
      <c r="E230" s="8">
        <v>410</v>
      </c>
      <c r="F230" s="8" t="s">
        <v>499</v>
      </c>
      <c r="G230" s="152" t="s">
        <v>225</v>
      </c>
      <c r="H230" s="156" t="s">
        <v>225</v>
      </c>
      <c r="I230" s="8"/>
      <c r="J230" s="8"/>
      <c r="K230" s="8"/>
      <c r="L230" s="8"/>
      <c r="M230" s="8"/>
      <c r="N230" s="8"/>
    </row>
    <row r="231" spans="2:14" ht="15.75">
      <c r="B231" s="1143">
        <v>44005041100</v>
      </c>
      <c r="C231" s="8" t="s">
        <v>171</v>
      </c>
      <c r="D231" s="8">
        <v>5</v>
      </c>
      <c r="E231" s="8">
        <v>411</v>
      </c>
      <c r="F231" s="8" t="s">
        <v>500</v>
      </c>
      <c r="G231" s="152" t="s">
        <v>225</v>
      </c>
      <c r="H231" s="156" t="s">
        <v>225</v>
      </c>
      <c r="I231" s="8"/>
      <c r="J231" s="8"/>
      <c r="K231" s="8"/>
      <c r="L231" s="8"/>
      <c r="M231" s="8"/>
      <c r="N231" s="8"/>
    </row>
    <row r="232" spans="2:14" ht="15.75">
      <c r="B232" s="1143">
        <v>44007003300</v>
      </c>
      <c r="C232" s="8" t="s">
        <v>144</v>
      </c>
      <c r="D232" s="8">
        <v>7</v>
      </c>
      <c r="E232" s="8">
        <v>33</v>
      </c>
      <c r="F232" s="8" t="s">
        <v>501</v>
      </c>
      <c r="G232" s="152" t="s">
        <v>225</v>
      </c>
      <c r="H232" s="156" t="s">
        <v>225</v>
      </c>
      <c r="I232" s="8"/>
      <c r="J232" s="8"/>
      <c r="K232" s="8"/>
      <c r="L232" s="8"/>
      <c r="M232" s="8"/>
      <c r="N232" s="8"/>
    </row>
    <row r="233" spans="2:14" ht="15.75">
      <c r="B233" s="1143">
        <v>44007003400</v>
      </c>
      <c r="C233" s="8" t="s">
        <v>144</v>
      </c>
      <c r="D233" s="8">
        <v>7</v>
      </c>
      <c r="E233" s="8">
        <v>34</v>
      </c>
      <c r="F233" s="8" t="s">
        <v>502</v>
      </c>
      <c r="G233" s="152" t="s">
        <v>225</v>
      </c>
      <c r="H233" s="156" t="s">
        <v>225</v>
      </c>
      <c r="I233" s="8"/>
      <c r="J233" s="8"/>
      <c r="K233" s="8"/>
      <c r="L233" s="8"/>
      <c r="M233" s="8"/>
      <c r="N233" s="8"/>
    </row>
    <row r="234" spans="2:14" ht="15.75">
      <c r="B234" s="1143">
        <v>44007013701</v>
      </c>
      <c r="C234" s="8" t="s">
        <v>144</v>
      </c>
      <c r="D234" s="8">
        <v>7</v>
      </c>
      <c r="E234" s="8">
        <v>137.01</v>
      </c>
      <c r="F234" s="8" t="s">
        <v>503</v>
      </c>
      <c r="G234" s="152" t="s">
        <v>225</v>
      </c>
      <c r="H234" s="156" t="s">
        <v>225</v>
      </c>
      <c r="I234" s="8"/>
      <c r="J234" s="8"/>
      <c r="K234" s="8"/>
      <c r="L234" s="8"/>
      <c r="M234" s="8"/>
      <c r="N234" s="8"/>
    </row>
    <row r="235" spans="2:14" ht="15.75">
      <c r="B235" s="1143">
        <v>44007013702</v>
      </c>
      <c r="C235" s="8" t="s">
        <v>144</v>
      </c>
      <c r="D235" s="8">
        <v>7</v>
      </c>
      <c r="E235" s="8">
        <v>137.02000000000001</v>
      </c>
      <c r="F235" s="8" t="s">
        <v>504</v>
      </c>
      <c r="G235" s="152" t="s">
        <v>225</v>
      </c>
      <c r="H235" s="156" t="s">
        <v>225</v>
      </c>
      <c r="I235" s="8"/>
      <c r="J235" s="8"/>
      <c r="K235" s="8"/>
      <c r="L235" s="8"/>
      <c r="M235" s="8"/>
      <c r="N235" s="8"/>
    </row>
    <row r="236" spans="2:14" ht="15.75">
      <c r="B236" s="1143">
        <v>44009050103</v>
      </c>
      <c r="C236" s="8" t="s">
        <v>193</v>
      </c>
      <c r="D236" s="8">
        <v>9</v>
      </c>
      <c r="E236" s="8">
        <v>501.03</v>
      </c>
      <c r="F236" s="8" t="s">
        <v>505</v>
      </c>
      <c r="G236" s="152" t="s">
        <v>225</v>
      </c>
      <c r="H236" s="156" t="s">
        <v>225</v>
      </c>
      <c r="I236" s="8"/>
      <c r="J236" s="8"/>
      <c r="K236" s="8"/>
      <c r="L236" s="8"/>
      <c r="M236" s="8"/>
      <c r="N236" s="8"/>
    </row>
    <row r="237" spans="2:14" ht="15.75">
      <c r="B237" s="1143">
        <v>44009050104</v>
      </c>
      <c r="C237" s="8" t="s">
        <v>193</v>
      </c>
      <c r="D237" s="8">
        <v>9</v>
      </c>
      <c r="E237" s="8">
        <v>501.04</v>
      </c>
      <c r="F237" s="8" t="s">
        <v>506</v>
      </c>
      <c r="G237" s="152" t="s">
        <v>225</v>
      </c>
      <c r="H237" s="156" t="s">
        <v>225</v>
      </c>
      <c r="I237" s="8"/>
      <c r="J237" s="8"/>
      <c r="K237" s="8"/>
      <c r="L237" s="8"/>
      <c r="M237" s="8"/>
      <c r="N237" s="8"/>
    </row>
    <row r="238" spans="2:14" ht="15.75">
      <c r="B238" s="1143">
        <v>44001030500</v>
      </c>
      <c r="C238" s="8" t="s">
        <v>286</v>
      </c>
      <c r="D238" s="8">
        <v>1</v>
      </c>
      <c r="E238" s="8">
        <v>305</v>
      </c>
      <c r="F238" s="8" t="s">
        <v>507</v>
      </c>
      <c r="G238" s="152" t="s">
        <v>225</v>
      </c>
      <c r="H238" s="156" t="s">
        <v>351</v>
      </c>
      <c r="I238" s="8"/>
      <c r="J238" s="8"/>
      <c r="K238" s="8"/>
      <c r="L238" s="8"/>
      <c r="M238" s="8"/>
      <c r="N238" s="8"/>
    </row>
    <row r="239" spans="2:14" ht="15.75">
      <c r="B239" s="1143">
        <v>44001030601</v>
      </c>
      <c r="C239" s="8" t="s">
        <v>286</v>
      </c>
      <c r="D239" s="8">
        <v>1</v>
      </c>
      <c r="E239" s="8">
        <v>306.01</v>
      </c>
      <c r="F239" s="8" t="s">
        <v>508</v>
      </c>
      <c r="G239" s="152" t="s">
        <v>225</v>
      </c>
      <c r="H239" s="156" t="s">
        <v>225</v>
      </c>
      <c r="I239" s="8"/>
      <c r="J239" s="8"/>
      <c r="K239" s="8"/>
      <c r="L239" s="8"/>
      <c r="M239" s="8"/>
      <c r="N239" s="8"/>
    </row>
    <row r="240" spans="2:14" ht="15.75">
      <c r="B240" s="1143">
        <v>44001030602</v>
      </c>
      <c r="C240" s="8" t="s">
        <v>286</v>
      </c>
      <c r="D240" s="8">
        <v>1</v>
      </c>
      <c r="E240" s="8">
        <v>306.02</v>
      </c>
      <c r="F240" s="8" t="s">
        <v>509</v>
      </c>
      <c r="G240" s="152" t="s">
        <v>225</v>
      </c>
      <c r="H240" s="156" t="s">
        <v>225</v>
      </c>
      <c r="I240" s="8"/>
      <c r="J240" s="8"/>
      <c r="K240" s="8"/>
      <c r="L240" s="8"/>
      <c r="M240" s="8"/>
      <c r="N240" s="8"/>
    </row>
    <row r="241" spans="2:14" ht="15.75">
      <c r="B241" s="1143">
        <v>44001030700</v>
      </c>
      <c r="C241" s="8" t="s">
        <v>286</v>
      </c>
      <c r="D241" s="8">
        <v>1</v>
      </c>
      <c r="E241" s="8">
        <v>307</v>
      </c>
      <c r="F241" s="8" t="s">
        <v>510</v>
      </c>
      <c r="G241" s="152" t="s">
        <v>225</v>
      </c>
      <c r="H241" s="156" t="s">
        <v>351</v>
      </c>
      <c r="I241" s="8"/>
      <c r="J241" s="8"/>
      <c r="K241" s="8"/>
      <c r="L241" s="8"/>
      <c r="M241" s="8"/>
      <c r="N241" s="8"/>
    </row>
    <row r="242" spans="2:14" ht="15.75">
      <c r="B242" s="1143">
        <v>44005040101</v>
      </c>
      <c r="C242" s="8" t="s">
        <v>171</v>
      </c>
      <c r="D242" s="8">
        <v>5</v>
      </c>
      <c r="E242" s="8">
        <v>401.01</v>
      </c>
      <c r="F242" s="8" t="s">
        <v>511</v>
      </c>
      <c r="G242" s="152" t="s">
        <v>225</v>
      </c>
      <c r="H242" s="156" t="s">
        <v>225</v>
      </c>
      <c r="I242" s="8"/>
      <c r="J242" s="8"/>
      <c r="K242" s="8"/>
      <c r="L242" s="8"/>
      <c r="M242" s="8"/>
      <c r="N242" s="8"/>
    </row>
    <row r="243" spans="2:14" ht="15.75">
      <c r="B243" s="1143">
        <v>44005040102</v>
      </c>
      <c r="C243" s="8" t="s">
        <v>171</v>
      </c>
      <c r="D243" s="8">
        <v>5</v>
      </c>
      <c r="E243" s="8">
        <v>401.02</v>
      </c>
      <c r="F243" s="8" t="s">
        <v>512</v>
      </c>
      <c r="G243" s="152" t="s">
        <v>225</v>
      </c>
      <c r="H243" s="156" t="s">
        <v>225</v>
      </c>
      <c r="I243" s="8"/>
      <c r="J243" s="8"/>
      <c r="K243" s="8"/>
      <c r="L243" s="8"/>
      <c r="M243" s="8"/>
      <c r="N243" s="8"/>
    </row>
    <row r="244" spans="2:14" ht="15.75">
      <c r="B244" s="1143">
        <v>44005040103</v>
      </c>
      <c r="C244" s="8" t="s">
        <v>171</v>
      </c>
      <c r="D244" s="8">
        <v>5</v>
      </c>
      <c r="E244" s="8">
        <v>401.03</v>
      </c>
      <c r="F244" s="8" t="s">
        <v>513</v>
      </c>
      <c r="G244" s="152" t="s">
        <v>225</v>
      </c>
      <c r="H244" s="156" t="s">
        <v>225</v>
      </c>
      <c r="I244" s="8"/>
      <c r="J244" s="8"/>
      <c r="K244" s="8"/>
      <c r="L244" s="8"/>
      <c r="M244" s="8"/>
      <c r="N244" s="8"/>
    </row>
    <row r="245" spans="2:14" ht="15.75">
      <c r="B245" s="1143">
        <v>44005040200</v>
      </c>
      <c r="C245" s="8" t="s">
        <v>171</v>
      </c>
      <c r="D245" s="8">
        <v>5</v>
      </c>
      <c r="E245" s="8">
        <v>402</v>
      </c>
      <c r="F245" s="8" t="s">
        <v>514</v>
      </c>
      <c r="G245" s="152" t="s">
        <v>225</v>
      </c>
      <c r="H245" s="156" t="s">
        <v>225</v>
      </c>
      <c r="I245" s="8"/>
      <c r="J245" s="8"/>
      <c r="K245" s="8"/>
      <c r="L245" s="8"/>
      <c r="M245" s="8"/>
      <c r="N245" s="8"/>
    </row>
    <row r="246" spans="2:14" ht="15.75">
      <c r="B246" s="1143">
        <v>44007002000</v>
      </c>
      <c r="C246" s="8" t="s">
        <v>144</v>
      </c>
      <c r="D246" s="8">
        <v>7</v>
      </c>
      <c r="E246" s="8">
        <v>20</v>
      </c>
      <c r="F246" s="8" t="s">
        <v>515</v>
      </c>
      <c r="G246" s="152" t="s">
        <v>351</v>
      </c>
      <c r="H246" s="156" t="s">
        <v>225</v>
      </c>
      <c r="I246" s="8"/>
      <c r="J246" s="8"/>
      <c r="K246" s="8"/>
      <c r="L246" s="8"/>
      <c r="M246" s="8"/>
      <c r="N246" s="8"/>
    </row>
    <row r="247" spans="2:14" ht="15.75">
      <c r="B247" s="1143">
        <v>44007002101</v>
      </c>
      <c r="C247" s="8" t="s">
        <v>144</v>
      </c>
      <c r="D247" s="8">
        <v>7</v>
      </c>
      <c r="E247" s="8">
        <v>21.01</v>
      </c>
      <c r="F247" s="8" t="s">
        <v>516</v>
      </c>
      <c r="G247" s="152" t="s">
        <v>225</v>
      </c>
      <c r="H247" s="156" t="s">
        <v>225</v>
      </c>
      <c r="I247" s="8"/>
      <c r="J247" s="8"/>
      <c r="K247" s="8"/>
      <c r="L247" s="8"/>
      <c r="M247" s="8"/>
      <c r="N247" s="8"/>
    </row>
    <row r="248" spans="2:14" ht="15.75">
      <c r="B248" s="1143">
        <v>44007002102</v>
      </c>
      <c r="C248" s="8" t="s">
        <v>144</v>
      </c>
      <c r="D248" s="8">
        <v>7</v>
      </c>
      <c r="E248" s="8">
        <v>21.02</v>
      </c>
      <c r="F248" s="8" t="s">
        <v>517</v>
      </c>
      <c r="G248" s="152" t="s">
        <v>225</v>
      </c>
      <c r="H248" s="156" t="s">
        <v>225</v>
      </c>
      <c r="I248" s="8"/>
      <c r="J248" s="8"/>
      <c r="K248" s="8"/>
      <c r="L248" s="8"/>
      <c r="M248" s="8"/>
      <c r="N248" s="8"/>
    </row>
    <row r="249" spans="2:14" ht="15.75">
      <c r="B249" s="1143">
        <v>44007002200</v>
      </c>
      <c r="C249" s="8" t="s">
        <v>144</v>
      </c>
      <c r="D249" s="8">
        <v>7</v>
      </c>
      <c r="E249" s="8">
        <v>22</v>
      </c>
      <c r="F249" s="8" t="s">
        <v>518</v>
      </c>
      <c r="G249" s="152" t="s">
        <v>351</v>
      </c>
      <c r="H249" s="156" t="s">
        <v>225</v>
      </c>
      <c r="I249" s="8"/>
      <c r="J249" s="8"/>
      <c r="K249" s="8"/>
      <c r="L249" s="8"/>
      <c r="M249" s="8"/>
      <c r="N249" s="8"/>
    </row>
    <row r="250" spans="2:14" ht="15.75">
      <c r="B250" s="1143">
        <v>44007012802</v>
      </c>
      <c r="C250" s="8" t="s">
        <v>144</v>
      </c>
      <c r="D250" s="8">
        <v>7</v>
      </c>
      <c r="E250" s="8">
        <v>128.02000000000001</v>
      </c>
      <c r="F250" s="8" t="s">
        <v>519</v>
      </c>
      <c r="G250" s="152" t="s">
        <v>225</v>
      </c>
      <c r="H250" s="156" t="s">
        <v>225</v>
      </c>
      <c r="I250" s="8"/>
      <c r="J250" s="8"/>
      <c r="K250" s="8"/>
      <c r="L250" s="8"/>
      <c r="M250" s="8"/>
      <c r="N250" s="8"/>
    </row>
    <row r="251" spans="2:14" ht="15.75">
      <c r="B251" s="1143">
        <v>44007012803</v>
      </c>
      <c r="C251" s="8" t="s">
        <v>144</v>
      </c>
      <c r="D251" s="8">
        <v>7</v>
      </c>
      <c r="E251" s="8">
        <v>128.03</v>
      </c>
      <c r="F251" s="8" t="s">
        <v>520</v>
      </c>
      <c r="G251" s="152" t="s">
        <v>225</v>
      </c>
      <c r="H251" s="156" t="s">
        <v>225</v>
      </c>
      <c r="I251" s="8"/>
      <c r="J251" s="8"/>
      <c r="K251" s="8"/>
      <c r="L251" s="8"/>
      <c r="M251" s="8"/>
      <c r="N251" s="8"/>
    </row>
    <row r="252" spans="2:14" ht="15.75">
      <c r="B252" s="1143">
        <v>44007012900</v>
      </c>
      <c r="C252" s="8" t="s">
        <v>144</v>
      </c>
      <c r="D252" s="8">
        <v>7</v>
      </c>
      <c r="E252" s="8">
        <v>129</v>
      </c>
      <c r="F252" s="8" t="s">
        <v>521</v>
      </c>
      <c r="G252" s="152" t="s">
        <v>225</v>
      </c>
      <c r="H252" s="156" t="s">
        <v>225</v>
      </c>
      <c r="I252" s="8"/>
      <c r="J252" s="8"/>
      <c r="K252" s="8"/>
      <c r="L252" s="8"/>
      <c r="M252" s="8"/>
      <c r="N252" s="8"/>
    </row>
    <row r="253" spans="2:14" ht="15.75">
      <c r="B253" s="1143">
        <v>44007013001</v>
      </c>
      <c r="C253" s="8" t="s">
        <v>144</v>
      </c>
      <c r="D253" s="8">
        <v>7</v>
      </c>
      <c r="E253" s="8">
        <v>130.01</v>
      </c>
      <c r="F253" s="8" t="s">
        <v>522</v>
      </c>
      <c r="G253" s="152" t="s">
        <v>225</v>
      </c>
      <c r="H253" s="156" t="s">
        <v>225</v>
      </c>
      <c r="I253" s="8"/>
      <c r="J253" s="8"/>
      <c r="K253" s="8"/>
      <c r="L253" s="8"/>
      <c r="M253" s="8"/>
      <c r="N253" s="8"/>
    </row>
    <row r="254" spans="2:14" ht="15.75">
      <c r="B254" s="1143">
        <v>44007013002</v>
      </c>
      <c r="C254" s="8" t="s">
        <v>144</v>
      </c>
      <c r="D254" s="8">
        <v>7</v>
      </c>
      <c r="E254" s="8">
        <v>130.02000000000001</v>
      </c>
      <c r="F254" s="8" t="s">
        <v>523</v>
      </c>
      <c r="G254" s="152" t="s">
        <v>225</v>
      </c>
      <c r="H254" s="156" t="s">
        <v>225</v>
      </c>
      <c r="I254" s="8"/>
      <c r="J254" s="8"/>
      <c r="K254" s="8"/>
      <c r="L254" s="8"/>
      <c r="M254" s="8"/>
      <c r="N254" s="8"/>
    </row>
    <row r="255" spans="2:14" ht="15.75">
      <c r="B255" s="1143">
        <v>44007018500</v>
      </c>
      <c r="C255" s="8" t="s">
        <v>144</v>
      </c>
      <c r="D255" s="8">
        <v>7</v>
      </c>
      <c r="E255" s="8">
        <v>185</v>
      </c>
      <c r="F255" s="8" t="s">
        <v>524</v>
      </c>
      <c r="G255" s="152" t="s">
        <v>225</v>
      </c>
      <c r="H255" s="156" t="s">
        <v>351</v>
      </c>
      <c r="I255" s="8"/>
      <c r="J255" s="8"/>
      <c r="K255" s="8"/>
      <c r="L255" s="8"/>
      <c r="M255" s="8"/>
      <c r="N255" s="8"/>
    </row>
    <row r="256" spans="2:14" ht="15.75">
      <c r="B256" s="1143">
        <v>44003021901</v>
      </c>
      <c r="C256" s="8" t="s">
        <v>291</v>
      </c>
      <c r="D256" s="8">
        <v>3</v>
      </c>
      <c r="E256" s="8">
        <v>219.01</v>
      </c>
      <c r="F256" s="8" t="s">
        <v>525</v>
      </c>
      <c r="G256" s="152" t="s">
        <v>225</v>
      </c>
      <c r="H256" s="156" t="s">
        <v>225</v>
      </c>
      <c r="I256" s="8"/>
      <c r="J256" s="8"/>
      <c r="K256" s="8"/>
      <c r="L256" s="8"/>
      <c r="M256" s="8"/>
      <c r="N256" s="8"/>
    </row>
    <row r="257" spans="2:14" ht="15.75">
      <c r="B257" s="1143">
        <v>44005040900</v>
      </c>
      <c r="C257" s="8" t="s">
        <v>171</v>
      </c>
      <c r="D257" s="8">
        <v>5</v>
      </c>
      <c r="E257" s="8">
        <v>409</v>
      </c>
      <c r="F257" s="8" t="s">
        <v>526</v>
      </c>
      <c r="G257" s="152" t="s">
        <v>225</v>
      </c>
      <c r="H257" s="156" t="s">
        <v>225</v>
      </c>
      <c r="I257" s="8"/>
      <c r="J257" s="8"/>
      <c r="K257" s="8"/>
      <c r="L257" s="8"/>
      <c r="M257" s="8"/>
      <c r="N257" s="8"/>
    </row>
    <row r="258" spans="2:14" ht="15.75">
      <c r="B258" s="1143">
        <v>44007003200</v>
      </c>
      <c r="C258" s="8" t="s">
        <v>144</v>
      </c>
      <c r="D258" s="8">
        <v>7</v>
      </c>
      <c r="E258" s="8">
        <v>32</v>
      </c>
      <c r="F258" s="8" t="s">
        <v>527</v>
      </c>
      <c r="G258" s="152" t="s">
        <v>225</v>
      </c>
      <c r="H258" s="156" t="s">
        <v>225</v>
      </c>
      <c r="I258" s="8"/>
      <c r="J258" s="8"/>
      <c r="K258" s="8"/>
      <c r="L258" s="8"/>
      <c r="M258" s="8"/>
      <c r="N258" s="8"/>
    </row>
    <row r="259" spans="2:14" ht="15.75">
      <c r="B259" s="1143">
        <v>44007011702</v>
      </c>
      <c r="C259" s="8" t="s">
        <v>144</v>
      </c>
      <c r="D259" s="8">
        <v>7</v>
      </c>
      <c r="E259" s="8">
        <v>117.02</v>
      </c>
      <c r="F259" s="8" t="s">
        <v>528</v>
      </c>
      <c r="G259" s="152" t="s">
        <v>225</v>
      </c>
      <c r="H259" s="156" t="s">
        <v>225</v>
      </c>
      <c r="I259" s="8"/>
      <c r="J259" s="8"/>
      <c r="K259" s="8"/>
      <c r="L259" s="8"/>
      <c r="M259" s="8"/>
      <c r="N259" s="8"/>
    </row>
    <row r="260" spans="2:14" ht="15.75">
      <c r="B260" s="1143">
        <v>44003020300</v>
      </c>
      <c r="C260" s="8" t="s">
        <v>291</v>
      </c>
      <c r="D260" s="8">
        <v>3</v>
      </c>
      <c r="E260" s="8">
        <v>203</v>
      </c>
      <c r="F260" s="8" t="s">
        <v>529</v>
      </c>
      <c r="G260" s="152" t="s">
        <v>351</v>
      </c>
      <c r="H260" s="156" t="s">
        <v>225</v>
      </c>
      <c r="I260" s="8"/>
      <c r="J260" s="8"/>
      <c r="K260" s="8"/>
      <c r="L260" s="8"/>
      <c r="M260" s="8"/>
      <c r="N260" s="8"/>
    </row>
    <row r="261" spans="2:14" ht="15.75">
      <c r="B261" s="1143">
        <v>44003020400</v>
      </c>
      <c r="C261" s="8" t="s">
        <v>291</v>
      </c>
      <c r="D261" s="8">
        <v>3</v>
      </c>
      <c r="E261" s="8">
        <v>204</v>
      </c>
      <c r="F261" s="8" t="s">
        <v>530</v>
      </c>
      <c r="G261" s="152" t="s">
        <v>225</v>
      </c>
      <c r="H261" s="156" t="s">
        <v>225</v>
      </c>
      <c r="I261" s="8"/>
      <c r="J261" s="8"/>
      <c r="K261" s="8"/>
      <c r="L261" s="8"/>
      <c r="M261" s="8"/>
      <c r="N261" s="8"/>
    </row>
    <row r="262" spans="2:14" ht="15.75">
      <c r="B262" s="1143">
        <v>44003020500</v>
      </c>
      <c r="C262" s="8" t="s">
        <v>291</v>
      </c>
      <c r="D262" s="8">
        <v>3</v>
      </c>
      <c r="E262" s="8">
        <v>205</v>
      </c>
      <c r="F262" s="8" t="s">
        <v>531</v>
      </c>
      <c r="G262" s="152" t="s">
        <v>225</v>
      </c>
      <c r="H262" s="156" t="s">
        <v>225</v>
      </c>
      <c r="I262" s="8"/>
      <c r="J262" s="8"/>
      <c r="K262" s="8"/>
      <c r="L262" s="8"/>
      <c r="M262" s="8"/>
      <c r="N262" s="8"/>
    </row>
    <row r="263" spans="2:14" ht="15.75">
      <c r="B263" s="1143">
        <v>44005041300</v>
      </c>
      <c r="C263" s="8" t="s">
        <v>171</v>
      </c>
      <c r="D263" s="8">
        <v>5</v>
      </c>
      <c r="E263" s="8">
        <v>413</v>
      </c>
      <c r="F263" s="8" t="s">
        <v>532</v>
      </c>
      <c r="G263" s="152" t="s">
        <v>225</v>
      </c>
      <c r="H263" s="156" t="s">
        <v>225</v>
      </c>
      <c r="I263" s="8"/>
      <c r="J263" s="8"/>
      <c r="K263" s="8"/>
      <c r="L263" s="8"/>
      <c r="M263" s="8"/>
      <c r="N263" s="8"/>
    </row>
    <row r="264" spans="2:14" ht="15.75">
      <c r="B264" s="1143">
        <v>44005041400</v>
      </c>
      <c r="C264" s="8" t="s">
        <v>171</v>
      </c>
      <c r="D264" s="8">
        <v>5</v>
      </c>
      <c r="E264" s="8">
        <v>414</v>
      </c>
      <c r="F264" s="8" t="s">
        <v>533</v>
      </c>
      <c r="G264" s="152" t="s">
        <v>225</v>
      </c>
      <c r="H264" s="156" t="s">
        <v>225</v>
      </c>
      <c r="I264" s="8"/>
      <c r="J264" s="8"/>
      <c r="K264" s="8"/>
      <c r="L264" s="8"/>
      <c r="M264" s="8"/>
      <c r="N264" s="8"/>
    </row>
    <row r="265" spans="2:14" ht="15.75">
      <c r="B265" s="1143">
        <v>44005041601</v>
      </c>
      <c r="C265" s="8" t="s">
        <v>171</v>
      </c>
      <c r="D265" s="8">
        <v>5</v>
      </c>
      <c r="E265" s="8">
        <v>416.01</v>
      </c>
      <c r="F265" s="8" t="s">
        <v>534</v>
      </c>
      <c r="G265" s="152" t="s">
        <v>225</v>
      </c>
      <c r="H265" s="156" t="s">
        <v>225</v>
      </c>
      <c r="I265" s="8"/>
      <c r="J265" s="8"/>
      <c r="K265" s="8"/>
      <c r="L265" s="8"/>
      <c r="M265" s="8"/>
      <c r="N265" s="8"/>
    </row>
    <row r="266" spans="2:14" ht="15.75">
      <c r="B266" s="1143">
        <v>44007003601</v>
      </c>
      <c r="C266" s="8" t="s">
        <v>144</v>
      </c>
      <c r="D266" s="8">
        <v>7</v>
      </c>
      <c r="E266" s="8">
        <v>36.01</v>
      </c>
      <c r="F266" s="8" t="s">
        <v>535</v>
      </c>
      <c r="G266" s="152" t="s">
        <v>351</v>
      </c>
      <c r="H266" s="156" t="s">
        <v>225</v>
      </c>
      <c r="I266" s="8"/>
      <c r="J266" s="8"/>
      <c r="K266" s="8"/>
      <c r="L266" s="8"/>
      <c r="M266" s="8"/>
      <c r="N266" s="8"/>
    </row>
    <row r="267" spans="2:14" ht="15.75">
      <c r="B267" s="1143">
        <v>44007003602</v>
      </c>
      <c r="C267" s="8" t="s">
        <v>144</v>
      </c>
      <c r="D267" s="8">
        <v>7</v>
      </c>
      <c r="E267" s="8">
        <v>36.020000000000003</v>
      </c>
      <c r="F267" s="8" t="s">
        <v>536</v>
      </c>
      <c r="G267" s="152" t="s">
        <v>225</v>
      </c>
      <c r="H267" s="156" t="s">
        <v>225</v>
      </c>
      <c r="I267" s="8"/>
      <c r="J267" s="8"/>
      <c r="K267" s="8"/>
      <c r="L267" s="8"/>
      <c r="M267" s="8"/>
      <c r="N267" s="8"/>
    </row>
    <row r="268" spans="2:14" ht="15.75">
      <c r="B268" s="1143">
        <v>44007003700</v>
      </c>
      <c r="C268" s="8" t="s">
        <v>144</v>
      </c>
      <c r="D268" s="8">
        <v>7</v>
      </c>
      <c r="E268" s="8">
        <v>37</v>
      </c>
      <c r="F268" s="8" t="s">
        <v>537</v>
      </c>
      <c r="G268" s="152" t="s">
        <v>351</v>
      </c>
      <c r="H268" s="156" t="s">
        <v>225</v>
      </c>
      <c r="I268" s="8"/>
      <c r="J268" s="8"/>
      <c r="K268" s="8"/>
      <c r="L268" s="8"/>
      <c r="M268" s="8"/>
      <c r="N268" s="8"/>
    </row>
    <row r="269" spans="2:14" ht="15.75">
      <c r="B269" s="1143">
        <v>44007013900</v>
      </c>
      <c r="C269" s="8" t="s">
        <v>144</v>
      </c>
      <c r="D269" s="8">
        <v>7</v>
      </c>
      <c r="E269" s="8">
        <v>139</v>
      </c>
      <c r="F269" s="8" t="s">
        <v>538</v>
      </c>
      <c r="G269" s="152" t="s">
        <v>225</v>
      </c>
      <c r="H269" s="156" t="s">
        <v>225</v>
      </c>
      <c r="I269" s="8"/>
      <c r="J269" s="8"/>
      <c r="K269" s="8"/>
      <c r="L269" s="8"/>
      <c r="M269" s="8"/>
      <c r="N269" s="8"/>
    </row>
    <row r="270" spans="2:14" ht="15.75">
      <c r="B270" s="1143">
        <v>44007014000</v>
      </c>
      <c r="C270" s="8" t="s">
        <v>144</v>
      </c>
      <c r="D270" s="8">
        <v>7</v>
      </c>
      <c r="E270" s="8">
        <v>140</v>
      </c>
      <c r="F270" s="8" t="s">
        <v>539</v>
      </c>
      <c r="G270" s="152" t="s">
        <v>225</v>
      </c>
      <c r="H270" s="156" t="s">
        <v>225</v>
      </c>
      <c r="I270" s="8"/>
      <c r="J270" s="8"/>
      <c r="K270" s="8"/>
      <c r="L270" s="8"/>
      <c r="M270" s="8"/>
      <c r="N270" s="8"/>
    </row>
    <row r="271" spans="2:14" ht="15.75">
      <c r="B271" s="1143">
        <v>44007014100</v>
      </c>
      <c r="C271" s="8" t="s">
        <v>144</v>
      </c>
      <c r="D271" s="8">
        <v>7</v>
      </c>
      <c r="E271" s="8">
        <v>141</v>
      </c>
      <c r="F271" s="8" t="s">
        <v>540</v>
      </c>
      <c r="G271" s="152" t="s">
        <v>351</v>
      </c>
      <c r="H271" s="156" t="s">
        <v>225</v>
      </c>
      <c r="I271" s="8"/>
      <c r="J271" s="8"/>
      <c r="K271" s="8"/>
      <c r="L271" s="8"/>
      <c r="M271" s="8"/>
      <c r="N271" s="8"/>
    </row>
    <row r="272" spans="2:14" ht="15.75">
      <c r="B272" s="1143">
        <v>44009050302</v>
      </c>
      <c r="C272" s="8" t="s">
        <v>193</v>
      </c>
      <c r="D272" s="8">
        <v>9</v>
      </c>
      <c r="E272" s="8">
        <v>503.02</v>
      </c>
      <c r="F272" s="8" t="s">
        <v>541</v>
      </c>
      <c r="G272" s="152" t="s">
        <v>225</v>
      </c>
      <c r="H272" s="156" t="s">
        <v>225</v>
      </c>
      <c r="I272" s="8"/>
      <c r="J272" s="8"/>
      <c r="K272" s="8"/>
      <c r="L272" s="8"/>
      <c r="M272" s="8"/>
      <c r="N272" s="8"/>
    </row>
    <row r="273" spans="2:14" ht="15.75">
      <c r="B273" s="1143">
        <v>44009050401</v>
      </c>
      <c r="C273" s="8" t="s">
        <v>193</v>
      </c>
      <c r="D273" s="8">
        <v>9</v>
      </c>
      <c r="E273" s="8">
        <v>504.01</v>
      </c>
      <c r="F273" s="8" t="s">
        <v>542</v>
      </c>
      <c r="G273" s="152" t="s">
        <v>225</v>
      </c>
      <c r="H273" s="156" t="s">
        <v>225</v>
      </c>
      <c r="I273" s="8"/>
      <c r="J273" s="8"/>
      <c r="K273" s="8"/>
      <c r="L273" s="8"/>
      <c r="M273" s="8"/>
      <c r="N273" s="8"/>
    </row>
    <row r="274" spans="2:14" ht="15.75">
      <c r="B274" s="1143">
        <v>44009050402</v>
      </c>
      <c r="C274" s="8" t="s">
        <v>193</v>
      </c>
      <c r="D274" s="8">
        <v>9</v>
      </c>
      <c r="E274" s="8">
        <v>504.02</v>
      </c>
      <c r="F274" s="8" t="s">
        <v>543</v>
      </c>
      <c r="G274" s="152" t="s">
        <v>225</v>
      </c>
      <c r="H274" s="156" t="s">
        <v>225</v>
      </c>
      <c r="I274" s="8"/>
      <c r="J274" s="8"/>
      <c r="K274" s="8"/>
      <c r="L274" s="8"/>
      <c r="M274" s="8"/>
      <c r="N274" s="8"/>
    </row>
    <row r="275" spans="2:14" ht="15.75">
      <c r="B275" s="1143">
        <v>44003020604</v>
      </c>
      <c r="C275" s="8" t="s">
        <v>291</v>
      </c>
      <c r="D275" s="8">
        <v>3</v>
      </c>
      <c r="E275" s="8">
        <v>206.04</v>
      </c>
      <c r="F275" s="8" t="s">
        <v>544</v>
      </c>
      <c r="G275" s="152" t="s">
        <v>225</v>
      </c>
      <c r="H275" s="156" t="s">
        <v>225</v>
      </c>
      <c r="I275" s="8"/>
      <c r="J275" s="8"/>
      <c r="K275" s="8"/>
      <c r="L275" s="8"/>
      <c r="M275" s="8"/>
      <c r="N275" s="8"/>
    </row>
    <row r="276" spans="2:14" ht="15.75">
      <c r="B276" s="1143">
        <v>44003020702</v>
      </c>
      <c r="C276" s="8" t="s">
        <v>291</v>
      </c>
      <c r="D276" s="8">
        <v>3</v>
      </c>
      <c r="E276" s="8">
        <v>207.02</v>
      </c>
      <c r="F276" s="8" t="s">
        <v>545</v>
      </c>
      <c r="G276" s="152" t="s">
        <v>225</v>
      </c>
      <c r="H276" s="156" t="s">
        <v>225</v>
      </c>
      <c r="I276" s="8"/>
      <c r="J276" s="8"/>
      <c r="K276" s="8"/>
      <c r="L276" s="8"/>
      <c r="M276" s="8"/>
      <c r="N276" s="8"/>
    </row>
    <row r="277" spans="2:14" ht="15.75">
      <c r="B277" s="1143">
        <v>44003020703</v>
      </c>
      <c r="C277" s="8" t="s">
        <v>291</v>
      </c>
      <c r="D277" s="8">
        <v>3</v>
      </c>
      <c r="E277" s="8">
        <v>207.03</v>
      </c>
      <c r="F277" s="8" t="s">
        <v>546</v>
      </c>
      <c r="G277" s="152" t="s">
        <v>225</v>
      </c>
      <c r="H277" s="156" t="s">
        <v>225</v>
      </c>
      <c r="I277" s="8"/>
      <c r="J277" s="8"/>
      <c r="K277" s="8"/>
      <c r="L277" s="8"/>
      <c r="M277" s="8"/>
      <c r="N277" s="8"/>
    </row>
    <row r="278" spans="2:14" ht="15.75">
      <c r="B278" s="1143">
        <v>44007010400</v>
      </c>
      <c r="C278" s="8" t="s">
        <v>144</v>
      </c>
      <c r="D278" s="8">
        <v>7</v>
      </c>
      <c r="E278" s="8">
        <v>104</v>
      </c>
      <c r="F278" s="8" t="s">
        <v>547</v>
      </c>
      <c r="G278" s="152" t="s">
        <v>225</v>
      </c>
      <c r="H278" s="156" t="s">
        <v>351</v>
      </c>
      <c r="I278" s="8"/>
      <c r="J278" s="8"/>
      <c r="K278" s="8"/>
      <c r="L278" s="8"/>
      <c r="M278" s="8"/>
      <c r="N278" s="8"/>
    </row>
    <row r="279" spans="2:14" ht="15.75">
      <c r="B279" s="1143">
        <v>44007010501</v>
      </c>
      <c r="C279" s="8" t="s">
        <v>144</v>
      </c>
      <c r="D279" s="8">
        <v>7</v>
      </c>
      <c r="E279" s="8">
        <v>105.01</v>
      </c>
      <c r="F279" s="8" t="s">
        <v>548</v>
      </c>
      <c r="G279" s="152" t="s">
        <v>225</v>
      </c>
      <c r="H279" s="156" t="s">
        <v>225</v>
      </c>
      <c r="I279" s="8"/>
      <c r="J279" s="8"/>
      <c r="K279" s="8"/>
      <c r="L279" s="8"/>
      <c r="M279" s="8"/>
      <c r="N279" s="8"/>
    </row>
    <row r="280" spans="2:14" ht="15.75">
      <c r="B280" s="1143">
        <v>44007010502</v>
      </c>
      <c r="C280" s="8" t="s">
        <v>144</v>
      </c>
      <c r="D280" s="8">
        <v>7</v>
      </c>
      <c r="E280" s="8">
        <v>105.02</v>
      </c>
      <c r="F280" s="8" t="s">
        <v>549</v>
      </c>
      <c r="G280" s="152" t="s">
        <v>225</v>
      </c>
      <c r="H280" s="156" t="s">
        <v>225</v>
      </c>
      <c r="I280" s="8"/>
      <c r="J280" s="8"/>
      <c r="K280" s="8"/>
      <c r="L280" s="8"/>
      <c r="M280" s="8"/>
      <c r="N280" s="8"/>
    </row>
    <row r="281" spans="2:14" ht="15.75">
      <c r="B281" s="1143">
        <v>44007010600</v>
      </c>
      <c r="C281" s="8" t="s">
        <v>144</v>
      </c>
      <c r="D281" s="8">
        <v>7</v>
      </c>
      <c r="E281" s="8">
        <v>106</v>
      </c>
      <c r="F281" s="8" t="s">
        <v>550</v>
      </c>
      <c r="G281" s="152" t="s">
        <v>225</v>
      </c>
      <c r="H281" s="156" t="s">
        <v>225</v>
      </c>
      <c r="I281" s="8"/>
      <c r="J281" s="8"/>
      <c r="K281" s="8"/>
      <c r="L281" s="8"/>
      <c r="M281" s="8"/>
      <c r="N281" s="8"/>
    </row>
    <row r="282" spans="2:14" ht="15.75">
      <c r="B282" s="1143">
        <v>44007014700</v>
      </c>
      <c r="C282" s="8" t="s">
        <v>144</v>
      </c>
      <c r="D282" s="8">
        <v>7</v>
      </c>
      <c r="E282" s="8">
        <v>147</v>
      </c>
      <c r="F282" s="8" t="s">
        <v>551</v>
      </c>
      <c r="G282" s="152" t="s">
        <v>225</v>
      </c>
      <c r="H282" s="156" t="s">
        <v>351</v>
      </c>
      <c r="I282" s="8"/>
      <c r="J282" s="8"/>
      <c r="K282" s="8"/>
      <c r="L282" s="8"/>
      <c r="M282" s="8"/>
      <c r="N282" s="8"/>
    </row>
    <row r="283" spans="2:14" ht="15.75">
      <c r="B283" s="1143">
        <v>44007014800</v>
      </c>
      <c r="C283" s="8" t="s">
        <v>144</v>
      </c>
      <c r="D283" s="8">
        <v>7</v>
      </c>
      <c r="E283" s="8">
        <v>148</v>
      </c>
      <c r="F283" s="8" t="s">
        <v>552</v>
      </c>
      <c r="G283" s="152" t="s">
        <v>225</v>
      </c>
      <c r="H283" s="156" t="s">
        <v>225</v>
      </c>
      <c r="I283" s="8"/>
      <c r="J283" s="8"/>
      <c r="K283" s="8"/>
      <c r="L283" s="8"/>
      <c r="M283" s="8"/>
      <c r="N283" s="8"/>
    </row>
    <row r="284" spans="2:14" ht="15.75">
      <c r="B284" s="1143">
        <v>44009050802</v>
      </c>
      <c r="C284" s="8" t="s">
        <v>193</v>
      </c>
      <c r="D284" s="8">
        <v>9</v>
      </c>
      <c r="E284" s="8">
        <v>508.02</v>
      </c>
      <c r="F284" s="8" t="s">
        <v>553</v>
      </c>
      <c r="G284" s="152" t="s">
        <v>225</v>
      </c>
      <c r="H284" s="156" t="s">
        <v>225</v>
      </c>
      <c r="I284" s="8"/>
      <c r="J284" s="8"/>
      <c r="K284" s="8"/>
      <c r="L284" s="8"/>
      <c r="M284" s="8"/>
      <c r="N284" s="8"/>
    </row>
    <row r="285" spans="2:14" ht="15.75">
      <c r="B285" s="1143">
        <v>44009050901</v>
      </c>
      <c r="C285" s="8" t="s">
        <v>193</v>
      </c>
      <c r="D285" s="8">
        <v>9</v>
      </c>
      <c r="E285" s="8">
        <v>509.01</v>
      </c>
      <c r="F285" s="8" t="s">
        <v>554</v>
      </c>
      <c r="G285" s="152" t="s">
        <v>225</v>
      </c>
      <c r="H285" s="156" t="s">
        <v>225</v>
      </c>
      <c r="I285" s="8"/>
      <c r="J285" s="8"/>
      <c r="K285" s="8"/>
      <c r="L285" s="8"/>
      <c r="M285" s="8"/>
      <c r="N285" s="8"/>
    </row>
    <row r="286" spans="2:14" ht="15.75">
      <c r="B286" s="1143">
        <v>44009050902</v>
      </c>
      <c r="C286" s="8" t="s">
        <v>193</v>
      </c>
      <c r="D286" s="8">
        <v>9</v>
      </c>
      <c r="E286" s="8">
        <v>509.02</v>
      </c>
      <c r="F286" s="8" t="s">
        <v>555</v>
      </c>
      <c r="G286" s="152" t="s">
        <v>225</v>
      </c>
      <c r="H286" s="156" t="s">
        <v>225</v>
      </c>
      <c r="I286" s="8"/>
      <c r="J286" s="8"/>
      <c r="K286" s="8"/>
      <c r="L286" s="8"/>
      <c r="M286" s="8"/>
      <c r="N286" s="8"/>
    </row>
    <row r="287" spans="2:14" ht="15.75">
      <c r="B287" s="1143">
        <v>44009051000</v>
      </c>
      <c r="C287" s="8" t="s">
        <v>193</v>
      </c>
      <c r="D287" s="8">
        <v>9</v>
      </c>
      <c r="E287" s="8">
        <v>510</v>
      </c>
      <c r="F287" s="8" t="s">
        <v>556</v>
      </c>
      <c r="G287" s="152" t="s">
        <v>225</v>
      </c>
      <c r="H287" s="156" t="s">
        <v>225</v>
      </c>
      <c r="I287" s="8"/>
      <c r="J287" s="8"/>
      <c r="K287" s="8"/>
      <c r="L287" s="8"/>
      <c r="M287" s="8"/>
      <c r="N287" s="8"/>
    </row>
    <row r="288" spans="2:14" ht="15.75">
      <c r="B288" s="1143">
        <v>44009051101</v>
      </c>
      <c r="C288" s="8" t="s">
        <v>193</v>
      </c>
      <c r="D288" s="8">
        <v>9</v>
      </c>
      <c r="E288" s="8">
        <v>511.01</v>
      </c>
      <c r="F288" s="8" t="s">
        <v>557</v>
      </c>
      <c r="G288" s="152" t="s">
        <v>225</v>
      </c>
      <c r="H288" s="156" t="s">
        <v>225</v>
      </c>
      <c r="I288" s="8"/>
      <c r="J288" s="8"/>
      <c r="K288" s="8"/>
      <c r="L288" s="8"/>
      <c r="M288" s="8"/>
      <c r="N288" s="8"/>
    </row>
    <row r="289" spans="2:14" ht="15.75">
      <c r="B289" s="1143">
        <v>44001030800</v>
      </c>
      <c r="C289" s="8" t="s">
        <v>286</v>
      </c>
      <c r="D289" s="8">
        <v>1</v>
      </c>
      <c r="E289" s="8">
        <v>308</v>
      </c>
      <c r="F289" s="8" t="s">
        <v>558</v>
      </c>
      <c r="G289" s="152" t="s">
        <v>225</v>
      </c>
      <c r="H289" s="156" t="s">
        <v>225</v>
      </c>
      <c r="I289" s="8"/>
      <c r="J289" s="8"/>
      <c r="K289" s="8"/>
      <c r="L289" s="8"/>
      <c r="M289" s="8"/>
      <c r="N289" s="8"/>
    </row>
    <row r="290" spans="2:14" ht="15.75">
      <c r="B290" s="1143">
        <v>44003020601</v>
      </c>
      <c r="C290" s="8" t="s">
        <v>291</v>
      </c>
      <c r="D290" s="8">
        <v>3</v>
      </c>
      <c r="E290" s="8">
        <v>206.01</v>
      </c>
      <c r="F290" s="8" t="s">
        <v>559</v>
      </c>
      <c r="G290" s="152" t="s">
        <v>225</v>
      </c>
      <c r="H290" s="156" t="s">
        <v>225</v>
      </c>
      <c r="I290" s="8"/>
      <c r="J290" s="8"/>
      <c r="K290" s="8"/>
      <c r="L290" s="8"/>
      <c r="M290" s="8"/>
      <c r="N290" s="8"/>
    </row>
    <row r="291" spans="2:14" ht="15.75">
      <c r="B291" s="1143">
        <v>44003020602</v>
      </c>
      <c r="C291" s="8" t="s">
        <v>291</v>
      </c>
      <c r="D291" s="8">
        <v>3</v>
      </c>
      <c r="E291" s="8">
        <v>206.02</v>
      </c>
      <c r="F291" s="8" t="s">
        <v>560</v>
      </c>
      <c r="G291" s="152" t="s">
        <v>225</v>
      </c>
      <c r="H291" s="156" t="s">
        <v>225</v>
      </c>
      <c r="I291" s="8"/>
      <c r="J291" s="8"/>
      <c r="K291" s="8"/>
      <c r="L291" s="8"/>
      <c r="M291" s="8"/>
      <c r="N291" s="8"/>
    </row>
    <row r="292" spans="2:14" ht="15.75">
      <c r="B292" s="1143">
        <v>44003020603</v>
      </c>
      <c r="C292" s="8" t="s">
        <v>291</v>
      </c>
      <c r="D292" s="8">
        <v>3</v>
      </c>
      <c r="E292" s="8">
        <v>206.03</v>
      </c>
      <c r="F292" s="8" t="s">
        <v>561</v>
      </c>
      <c r="G292" s="152" t="s">
        <v>225</v>
      </c>
      <c r="H292" s="156" t="s">
        <v>225</v>
      </c>
      <c r="I292" s="8"/>
      <c r="J292" s="8"/>
      <c r="K292" s="8"/>
      <c r="L292" s="8"/>
      <c r="M292" s="8"/>
      <c r="N292" s="8"/>
    </row>
    <row r="293" spans="2:14" ht="15.75">
      <c r="B293" s="1143">
        <v>44005040303</v>
      </c>
      <c r="C293" s="8" t="s">
        <v>171</v>
      </c>
      <c r="D293" s="8">
        <v>5</v>
      </c>
      <c r="E293" s="8">
        <v>403.03</v>
      </c>
      <c r="F293" s="8" t="s">
        <v>562</v>
      </c>
      <c r="G293" s="152" t="s">
        <v>225</v>
      </c>
      <c r="H293" s="156" t="s">
        <v>225</v>
      </c>
      <c r="I293" s="8"/>
      <c r="J293" s="8"/>
      <c r="K293" s="8"/>
      <c r="L293" s="8"/>
      <c r="M293" s="8"/>
      <c r="N293" s="8"/>
    </row>
    <row r="294" spans="2:14" ht="15.75">
      <c r="B294" s="1143">
        <v>44005041602</v>
      </c>
      <c r="C294" s="8" t="s">
        <v>171</v>
      </c>
      <c r="D294" s="8">
        <v>5</v>
      </c>
      <c r="E294" s="8">
        <v>416.02</v>
      </c>
      <c r="F294" s="8" t="s">
        <v>563</v>
      </c>
      <c r="G294" s="152" t="s">
        <v>225</v>
      </c>
      <c r="H294" s="156" t="s">
        <v>225</v>
      </c>
      <c r="I294" s="8"/>
      <c r="J294" s="8"/>
      <c r="K294" s="8"/>
      <c r="L294" s="8"/>
      <c r="M294" s="8"/>
      <c r="N294" s="8"/>
    </row>
    <row r="295" spans="2:14" ht="15.75">
      <c r="B295" s="1143">
        <v>44005041701</v>
      </c>
      <c r="C295" s="8" t="s">
        <v>171</v>
      </c>
      <c r="D295" s="8">
        <v>5</v>
      </c>
      <c r="E295" s="8">
        <v>417.01</v>
      </c>
      <c r="F295" s="8" t="s">
        <v>564</v>
      </c>
      <c r="G295" s="152" t="s">
        <v>225</v>
      </c>
      <c r="H295" s="156" t="s">
        <v>225</v>
      </c>
      <c r="I295" s="8"/>
      <c r="J295" s="8"/>
      <c r="K295" s="8"/>
      <c r="L295" s="8"/>
      <c r="M295" s="8"/>
      <c r="N295" s="8"/>
    </row>
    <row r="296" spans="2:14" ht="15.75">
      <c r="B296" s="1143">
        <v>44005041702</v>
      </c>
      <c r="C296" s="8" t="s">
        <v>171</v>
      </c>
      <c r="D296" s="8">
        <v>5</v>
      </c>
      <c r="E296" s="8">
        <v>417.02</v>
      </c>
      <c r="F296" s="8" t="s">
        <v>565</v>
      </c>
      <c r="G296" s="152" t="s">
        <v>225</v>
      </c>
      <c r="H296" s="156" t="s">
        <v>225</v>
      </c>
      <c r="I296" s="8"/>
      <c r="J296" s="8"/>
      <c r="K296" s="8"/>
      <c r="L296" s="8"/>
      <c r="M296" s="8"/>
      <c r="N296" s="8"/>
    </row>
    <row r="297" spans="2:14" ht="15.75">
      <c r="B297" s="1143">
        <v>44007002300</v>
      </c>
      <c r="C297" s="8" t="s">
        <v>144</v>
      </c>
      <c r="D297" s="8">
        <v>7</v>
      </c>
      <c r="E297" s="8">
        <v>23</v>
      </c>
      <c r="F297" s="8" t="s">
        <v>566</v>
      </c>
      <c r="G297" s="152" t="s">
        <v>225</v>
      </c>
      <c r="H297" s="156" t="s">
        <v>225</v>
      </c>
      <c r="I297" s="8"/>
      <c r="J297" s="8"/>
      <c r="K297" s="8"/>
      <c r="L297" s="8"/>
      <c r="M297" s="8"/>
      <c r="N297" s="8"/>
    </row>
    <row r="298" spans="2:14" ht="15.75">
      <c r="B298" s="1143">
        <v>44007002400</v>
      </c>
      <c r="C298" s="8" t="s">
        <v>144</v>
      </c>
      <c r="D298" s="8">
        <v>7</v>
      </c>
      <c r="E298" s="8">
        <v>24</v>
      </c>
      <c r="F298" s="8" t="s">
        <v>567</v>
      </c>
      <c r="G298" s="152" t="s">
        <v>225</v>
      </c>
      <c r="H298" s="156" t="s">
        <v>225</v>
      </c>
      <c r="I298" s="8"/>
      <c r="J298" s="8"/>
      <c r="K298" s="8"/>
      <c r="L298" s="8"/>
      <c r="M298" s="8"/>
      <c r="N298" s="8"/>
    </row>
    <row r="299" spans="2:14" ht="15.75">
      <c r="B299" s="1143">
        <v>44007010101</v>
      </c>
      <c r="C299" s="8" t="s">
        <v>144</v>
      </c>
      <c r="D299" s="8">
        <v>7</v>
      </c>
      <c r="E299" s="8">
        <v>101.01</v>
      </c>
      <c r="F299" s="8" t="s">
        <v>568</v>
      </c>
      <c r="G299" s="152" t="s">
        <v>225</v>
      </c>
      <c r="H299" s="156" t="s">
        <v>225</v>
      </c>
      <c r="I299" s="8"/>
      <c r="J299" s="8"/>
      <c r="K299" s="8"/>
      <c r="L299" s="8"/>
      <c r="M299" s="8"/>
      <c r="N299" s="8"/>
    </row>
    <row r="300" spans="2:14" ht="15.75">
      <c r="B300" s="1143">
        <v>44007010102</v>
      </c>
      <c r="C300" s="8" t="s">
        <v>144</v>
      </c>
      <c r="D300" s="8">
        <v>7</v>
      </c>
      <c r="E300" s="8">
        <v>101.02</v>
      </c>
      <c r="F300" s="8" t="s">
        <v>569</v>
      </c>
      <c r="G300" s="152" t="s">
        <v>225</v>
      </c>
      <c r="H300" s="156" t="s">
        <v>225</v>
      </c>
      <c r="I300" s="8"/>
      <c r="J300" s="8"/>
      <c r="K300" s="8"/>
      <c r="L300" s="8"/>
      <c r="M300" s="8"/>
      <c r="N300" s="8"/>
    </row>
    <row r="301" spans="2:14" ht="15.75">
      <c r="B301" s="1143">
        <v>44007010200</v>
      </c>
      <c r="C301" s="8" t="s">
        <v>144</v>
      </c>
      <c r="D301" s="8">
        <v>7</v>
      </c>
      <c r="E301" s="8">
        <v>102</v>
      </c>
      <c r="F301" s="8" t="s">
        <v>570</v>
      </c>
      <c r="G301" s="152" t="s">
        <v>225</v>
      </c>
      <c r="H301" s="156" t="s">
        <v>225</v>
      </c>
      <c r="I301" s="8"/>
      <c r="J301" s="8"/>
      <c r="K301" s="8"/>
      <c r="L301" s="8"/>
      <c r="M301" s="8"/>
      <c r="N301" s="8"/>
    </row>
    <row r="302" spans="2:14" ht="15.75">
      <c r="B302" s="1143">
        <v>44007010300</v>
      </c>
      <c r="C302" s="8" t="s">
        <v>144</v>
      </c>
      <c r="D302" s="8">
        <v>7</v>
      </c>
      <c r="E302" s="8">
        <v>103</v>
      </c>
      <c r="F302" s="8" t="s">
        <v>571</v>
      </c>
      <c r="G302" s="152" t="s">
        <v>225</v>
      </c>
      <c r="H302" s="156" t="s">
        <v>225</v>
      </c>
      <c r="I302" s="8"/>
      <c r="J302" s="8"/>
      <c r="K302" s="8"/>
      <c r="L302" s="8"/>
      <c r="M302" s="8"/>
      <c r="N302" s="8"/>
    </row>
    <row r="303" spans="2:14" ht="15.75">
      <c r="B303" s="1143">
        <v>44007014200</v>
      </c>
      <c r="C303" s="8" t="s">
        <v>144</v>
      </c>
      <c r="D303" s="8">
        <v>7</v>
      </c>
      <c r="E303" s="8">
        <v>142</v>
      </c>
      <c r="F303" s="8" t="s">
        <v>572</v>
      </c>
      <c r="G303" s="152" t="s">
        <v>225</v>
      </c>
      <c r="H303" s="156" t="s">
        <v>225</v>
      </c>
      <c r="I303" s="8"/>
      <c r="J303" s="8"/>
      <c r="K303" s="8"/>
      <c r="L303" s="8"/>
      <c r="M303" s="8"/>
      <c r="N303" s="8"/>
    </row>
    <row r="304" spans="2:14" ht="15.75">
      <c r="B304" s="1143">
        <v>44007014300</v>
      </c>
      <c r="C304" s="8" t="s">
        <v>144</v>
      </c>
      <c r="D304" s="8">
        <v>7</v>
      </c>
      <c r="E304" s="8">
        <v>143</v>
      </c>
      <c r="F304" s="8" t="s">
        <v>573</v>
      </c>
      <c r="G304" s="152" t="s">
        <v>225</v>
      </c>
      <c r="H304" s="156" t="s">
        <v>225</v>
      </c>
      <c r="I304" s="8"/>
      <c r="J304" s="8"/>
      <c r="K304" s="8"/>
      <c r="L304" s="8"/>
      <c r="M304" s="8"/>
      <c r="N304" s="8"/>
    </row>
    <row r="305" spans="2:14" ht="15.75">
      <c r="B305" s="1143">
        <v>44007014400</v>
      </c>
      <c r="C305" s="8" t="s">
        <v>144</v>
      </c>
      <c r="D305" s="8">
        <v>7</v>
      </c>
      <c r="E305" s="8">
        <v>144</v>
      </c>
      <c r="F305" s="8" t="s">
        <v>574</v>
      </c>
      <c r="G305" s="152" t="s">
        <v>225</v>
      </c>
      <c r="H305" s="156" t="s">
        <v>225</v>
      </c>
      <c r="I305" s="8"/>
      <c r="J305" s="8"/>
      <c r="K305" s="8"/>
      <c r="L305" s="8"/>
      <c r="M305" s="8"/>
      <c r="N305" s="8"/>
    </row>
    <row r="306" spans="2:14" ht="15.75">
      <c r="B306" s="1143">
        <v>44009050500</v>
      </c>
      <c r="C306" s="8" t="s">
        <v>193</v>
      </c>
      <c r="D306" s="8">
        <v>9</v>
      </c>
      <c r="E306" s="8">
        <v>505</v>
      </c>
      <c r="F306" s="8" t="s">
        <v>575</v>
      </c>
      <c r="G306" s="152" t="s">
        <v>225</v>
      </c>
      <c r="H306" s="156" t="s">
        <v>225</v>
      </c>
      <c r="I306" s="8"/>
      <c r="J306" s="8"/>
      <c r="K306" s="8"/>
      <c r="L306" s="8"/>
      <c r="M306" s="8"/>
      <c r="N306" s="8"/>
    </row>
    <row r="307" spans="2:14" ht="15.75">
      <c r="B307" s="1143">
        <v>44009050600</v>
      </c>
      <c r="C307" s="8" t="s">
        <v>193</v>
      </c>
      <c r="D307" s="8">
        <v>9</v>
      </c>
      <c r="E307" s="8">
        <v>506</v>
      </c>
      <c r="F307" s="8" t="s">
        <v>576</v>
      </c>
      <c r="G307" s="152" t="s">
        <v>225</v>
      </c>
      <c r="H307" s="156" t="s">
        <v>225</v>
      </c>
      <c r="I307" s="8"/>
      <c r="J307" s="8"/>
      <c r="K307" s="8"/>
      <c r="L307" s="8"/>
      <c r="M307" s="8"/>
      <c r="N307" s="8"/>
    </row>
    <row r="308" spans="2:14" ht="15.75">
      <c r="B308" s="1143">
        <v>44009050700</v>
      </c>
      <c r="C308" s="8" t="s">
        <v>193</v>
      </c>
      <c r="D308" s="8">
        <v>9</v>
      </c>
      <c r="E308" s="8">
        <v>507</v>
      </c>
      <c r="F308" s="8" t="s">
        <v>577</v>
      </c>
      <c r="G308" s="152" t="s">
        <v>225</v>
      </c>
      <c r="H308" s="156" t="s">
        <v>225</v>
      </c>
      <c r="I308" s="8"/>
      <c r="J308" s="8"/>
      <c r="K308" s="8"/>
      <c r="L308" s="8"/>
      <c r="M308" s="8"/>
      <c r="N308" s="8"/>
    </row>
    <row r="309" spans="2:14" ht="15.75">
      <c r="B309" s="1143">
        <v>44009050801</v>
      </c>
      <c r="C309" s="8" t="s">
        <v>193</v>
      </c>
      <c r="D309" s="8">
        <v>9</v>
      </c>
      <c r="E309" s="8">
        <v>508.01</v>
      </c>
      <c r="F309" s="8" t="s">
        <v>578</v>
      </c>
      <c r="G309" s="152" t="s">
        <v>225</v>
      </c>
      <c r="H309" s="156" t="s">
        <v>351</v>
      </c>
      <c r="I309" s="8"/>
      <c r="J309" s="8"/>
      <c r="K309" s="8"/>
      <c r="L309" s="8"/>
      <c r="M309" s="8"/>
      <c r="N309" s="8"/>
    </row>
    <row r="310" spans="2:14" ht="15.75">
      <c r="B310" s="1143">
        <v>44005040700</v>
      </c>
      <c r="C310" s="8" t="s">
        <v>171</v>
      </c>
      <c r="D310" s="8">
        <v>5</v>
      </c>
      <c r="E310" s="8">
        <v>407</v>
      </c>
      <c r="F310" s="8" t="s">
        <v>579</v>
      </c>
      <c r="G310" s="152" t="s">
        <v>225</v>
      </c>
      <c r="H310" s="156" t="s">
        <v>225</v>
      </c>
      <c r="I310" s="8"/>
      <c r="J310" s="8"/>
      <c r="K310" s="8"/>
      <c r="L310" s="8"/>
      <c r="M310" s="8"/>
      <c r="N310" s="8"/>
    </row>
    <row r="311" spans="2:14" ht="15.75">
      <c r="B311" s="1143">
        <v>44005040800</v>
      </c>
      <c r="C311" s="8" t="s">
        <v>171</v>
      </c>
      <c r="D311" s="8">
        <v>5</v>
      </c>
      <c r="E311" s="8">
        <v>408</v>
      </c>
      <c r="F311" s="8" t="s">
        <v>580</v>
      </c>
      <c r="G311" s="152" t="s">
        <v>225</v>
      </c>
      <c r="H311" s="156" t="s">
        <v>225</v>
      </c>
      <c r="I311" s="8"/>
      <c r="J311" s="8"/>
      <c r="K311" s="8"/>
      <c r="L311" s="8"/>
      <c r="M311" s="8"/>
      <c r="N311" s="8"/>
    </row>
    <row r="312" spans="2:14" ht="15.75">
      <c r="B312" s="1143">
        <v>44007002900</v>
      </c>
      <c r="C312" s="8" t="s">
        <v>144</v>
      </c>
      <c r="D312" s="8">
        <v>7</v>
      </c>
      <c r="E312" s="8">
        <v>29</v>
      </c>
      <c r="F312" s="8" t="s">
        <v>581</v>
      </c>
      <c r="G312" s="152" t="s">
        <v>351</v>
      </c>
      <c r="H312" s="156" t="s">
        <v>225</v>
      </c>
      <c r="I312" s="8"/>
      <c r="J312" s="8"/>
      <c r="K312" s="8"/>
      <c r="L312" s="8"/>
      <c r="M312" s="8"/>
      <c r="N312" s="8"/>
    </row>
    <row r="313" spans="2:14" ht="15.75">
      <c r="B313" s="1143">
        <v>44007003100</v>
      </c>
      <c r="C313" s="8" t="s">
        <v>144</v>
      </c>
      <c r="D313" s="8">
        <v>7</v>
      </c>
      <c r="E313" s="8">
        <v>31</v>
      </c>
      <c r="F313" s="8" t="s">
        <v>582</v>
      </c>
      <c r="G313" s="152" t="s">
        <v>225</v>
      </c>
      <c r="H313" s="156" t="s">
        <v>225</v>
      </c>
      <c r="I313" s="8"/>
      <c r="J313" s="8"/>
      <c r="K313" s="8"/>
      <c r="L313" s="8"/>
      <c r="M313" s="8"/>
      <c r="N313" s="8"/>
    </row>
    <row r="314" spans="2:14" ht="15.75">
      <c r="B314" s="1143">
        <v>44001030901</v>
      </c>
      <c r="C314" s="8" t="s">
        <v>286</v>
      </c>
      <c r="D314" s="8">
        <v>1</v>
      </c>
      <c r="E314" s="8">
        <v>309.01</v>
      </c>
      <c r="F314" s="8" t="s">
        <v>583</v>
      </c>
      <c r="G314" s="152" t="s">
        <v>225</v>
      </c>
      <c r="H314" s="156" t="s">
        <v>225</v>
      </c>
      <c r="I314" s="8"/>
      <c r="J314" s="8"/>
      <c r="K314" s="8"/>
      <c r="L314" s="8"/>
      <c r="M314" s="8"/>
      <c r="N314" s="8"/>
    </row>
    <row r="315" spans="2:14" ht="15.75">
      <c r="B315" s="1143">
        <v>44001030902</v>
      </c>
      <c r="C315" s="8" t="s">
        <v>286</v>
      </c>
      <c r="D315" s="8">
        <v>1</v>
      </c>
      <c r="E315" s="8">
        <v>309.02</v>
      </c>
      <c r="F315" s="8" t="s">
        <v>584</v>
      </c>
      <c r="G315" s="152" t="s">
        <v>225</v>
      </c>
      <c r="H315" s="156" t="s">
        <v>225</v>
      </c>
      <c r="I315" s="8"/>
      <c r="J315" s="8"/>
      <c r="K315" s="8"/>
      <c r="L315" s="8"/>
      <c r="M315" s="8"/>
      <c r="N315" s="8"/>
    </row>
    <row r="316" spans="2:14" ht="15.75">
      <c r="B316" s="1143">
        <v>44005040304</v>
      </c>
      <c r="C316" s="8" t="s">
        <v>171</v>
      </c>
      <c r="D316" s="8">
        <v>5</v>
      </c>
      <c r="E316" s="8">
        <v>403.04</v>
      </c>
      <c r="F316" s="8" t="s">
        <v>585</v>
      </c>
      <c r="G316" s="152" t="s">
        <v>225</v>
      </c>
      <c r="H316" s="156" t="s">
        <v>225</v>
      </c>
      <c r="I316" s="8"/>
      <c r="J316" s="8"/>
      <c r="K316" s="8"/>
      <c r="L316" s="8"/>
      <c r="M316" s="8"/>
      <c r="N316" s="8"/>
    </row>
    <row r="317" spans="2:14" ht="15.75">
      <c r="B317" s="1143">
        <v>44005040400</v>
      </c>
      <c r="C317" s="8" t="s">
        <v>171</v>
      </c>
      <c r="D317" s="8">
        <v>5</v>
      </c>
      <c r="E317" s="8">
        <v>404</v>
      </c>
      <c r="F317" s="8" t="s">
        <v>586</v>
      </c>
      <c r="G317" s="152" t="s">
        <v>225</v>
      </c>
      <c r="H317" s="156" t="s">
        <v>225</v>
      </c>
      <c r="I317" s="8"/>
      <c r="J317" s="8"/>
      <c r="K317" s="8"/>
      <c r="L317" s="8"/>
      <c r="M317" s="8"/>
      <c r="N317" s="8"/>
    </row>
    <row r="318" spans="2:14" ht="15.75">
      <c r="B318" s="1143">
        <v>44007002500</v>
      </c>
      <c r="C318" s="8" t="s">
        <v>144</v>
      </c>
      <c r="D318" s="8">
        <v>7</v>
      </c>
      <c r="E318" s="8">
        <v>25</v>
      </c>
      <c r="F318" s="8" t="s">
        <v>587</v>
      </c>
      <c r="G318" s="152" t="s">
        <v>225</v>
      </c>
      <c r="H318" s="156" t="s">
        <v>351</v>
      </c>
      <c r="I318" s="8"/>
      <c r="J318" s="8"/>
      <c r="K318" s="8"/>
      <c r="L318" s="8"/>
      <c r="M318" s="8"/>
      <c r="N318" s="8"/>
    </row>
    <row r="319" spans="2:14" ht="15.75">
      <c r="B319" s="1143">
        <v>44007002600</v>
      </c>
      <c r="C319" s="8" t="s">
        <v>144</v>
      </c>
      <c r="D319" s="8">
        <v>7</v>
      </c>
      <c r="E319" s="8">
        <v>26</v>
      </c>
      <c r="F319" s="8" t="s">
        <v>588</v>
      </c>
      <c r="G319" s="152" t="s">
        <v>351</v>
      </c>
      <c r="H319" s="156" t="s">
        <v>225</v>
      </c>
      <c r="I319" s="8"/>
      <c r="J319" s="8"/>
      <c r="K319" s="8"/>
      <c r="L319" s="8"/>
      <c r="M319" s="8"/>
      <c r="N319" s="8"/>
    </row>
    <row r="320" spans="2:14" ht="15.75">
      <c r="B320" s="1143">
        <v>44007013101</v>
      </c>
      <c r="C320" s="8" t="s">
        <v>144</v>
      </c>
      <c r="D320" s="8">
        <v>7</v>
      </c>
      <c r="E320" s="8">
        <v>131.01</v>
      </c>
      <c r="F320" s="8" t="s">
        <v>589</v>
      </c>
      <c r="G320" s="152" t="s">
        <v>225</v>
      </c>
      <c r="H320" s="156" t="s">
        <v>225</v>
      </c>
      <c r="I320" s="8"/>
      <c r="J320" s="8"/>
      <c r="K320" s="8"/>
      <c r="L320" s="8"/>
      <c r="M320" s="8"/>
      <c r="N320" s="8"/>
    </row>
    <row r="321" spans="2:14" ht="15.75">
      <c r="B321" s="1143">
        <v>44007013102</v>
      </c>
      <c r="C321" s="8" t="s">
        <v>144</v>
      </c>
      <c r="D321" s="8">
        <v>7</v>
      </c>
      <c r="E321" s="8">
        <v>131.02000000000001</v>
      </c>
      <c r="F321" s="8" t="s">
        <v>590</v>
      </c>
      <c r="G321" s="152" t="s">
        <v>225</v>
      </c>
      <c r="H321" s="156" t="s">
        <v>225</v>
      </c>
      <c r="I321" s="8"/>
      <c r="J321" s="8"/>
      <c r="K321" s="8"/>
      <c r="L321" s="8"/>
      <c r="M321" s="8"/>
      <c r="N321" s="8"/>
    </row>
    <row r="322" spans="2:14" ht="16.5" thickBot="1">
      <c r="B322" s="1144">
        <v>44007013201</v>
      </c>
      <c r="C322" s="149" t="s">
        <v>144</v>
      </c>
      <c r="D322" s="149">
        <v>7</v>
      </c>
      <c r="E322" s="149">
        <v>132.01</v>
      </c>
      <c r="F322" s="149" t="s">
        <v>591</v>
      </c>
      <c r="G322" s="162" t="s">
        <v>225</v>
      </c>
      <c r="H322" s="157" t="s">
        <v>225</v>
      </c>
      <c r="I322" s="8"/>
      <c r="J322" s="8"/>
      <c r="K322" s="8"/>
      <c r="L322" s="8"/>
      <c r="M322" s="8"/>
      <c r="N322" s="8"/>
    </row>
    <row r="323" spans="2:14" ht="15.75">
      <c r="B323" s="8"/>
      <c r="C323" s="8"/>
      <c r="D323" s="8"/>
      <c r="E323" s="8"/>
      <c r="F323" s="8"/>
      <c r="G323" s="8"/>
      <c r="H323" s="8"/>
      <c r="I323" s="8"/>
      <c r="J323" s="8"/>
      <c r="K323" s="8"/>
      <c r="L323" s="8"/>
      <c r="M323" s="8"/>
      <c r="N323" s="8"/>
    </row>
    <row r="324" spans="2:14" ht="15.75">
      <c r="B324" s="8"/>
      <c r="C324" s="8"/>
      <c r="D324" s="8"/>
      <c r="E324" s="8"/>
      <c r="F324" s="8"/>
      <c r="G324" s="8"/>
      <c r="H324" s="8"/>
      <c r="I324" s="8"/>
      <c r="J324" s="8"/>
      <c r="K324" s="8"/>
      <c r="L324" s="8"/>
      <c r="M324" s="8"/>
      <c r="N324" s="8"/>
    </row>
    <row r="325" spans="2:14" ht="15.75">
      <c r="B325" s="8"/>
      <c r="C325" s="8"/>
      <c r="D325" s="8"/>
      <c r="E325" s="8"/>
      <c r="F325" s="8"/>
      <c r="G325" s="8"/>
      <c r="H325" s="8"/>
      <c r="I325" s="8"/>
      <c r="J325" s="8"/>
      <c r="K325" s="8"/>
      <c r="L325" s="8"/>
      <c r="M325" s="8"/>
      <c r="N325" s="8"/>
    </row>
    <row r="326" spans="2:14"/>
    <row r="327" spans="2:14"/>
    <row r="328" spans="2:14"/>
    <row r="329" spans="2:14"/>
    <row r="330" spans="2:14"/>
    <row r="331" spans="2:14"/>
    <row r="332" spans="2:14"/>
    <row r="333" spans="2:14"/>
    <row r="334" spans="2:14"/>
    <row r="335" spans="2:14"/>
  </sheetData>
  <sheetProtection formatCells="0" formatColumns="0" formatRows="0"/>
  <autoFilter ref="B78:H322" xr:uid="{00000000-0009-0000-0000-000004000000}"/>
  <phoneticPr fontId="58" type="noConversion"/>
  <printOptions horizontalCentered="1" verticalCentered="1"/>
  <pageMargins left="0.5" right="0.5" top="1" bottom="1" header="0.5" footer="0.5"/>
  <pageSetup scale="64" pageOrder="overThenDown" orientation="landscape" blackAndWhite="1" r:id="rId1"/>
  <headerFooter alignWithMargins="0">
    <oddFooter>&amp;L&amp;A&amp;C&amp;P of &amp;N</oddFooter>
  </headerFooter>
  <rowBreaks count="1" manualBreakCount="1">
    <brk id="49" max="26" man="1"/>
  </rowBreaks>
  <colBreaks count="1" manualBreakCount="1">
    <brk id="20" min="5" max="8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t00_5_LIHTCData">
    <tabColor theme="0" tint="-0.34998626667073579"/>
    <pageSetUpPr autoPageBreaks="0"/>
  </sheetPr>
  <dimension ref="A1:EC59"/>
  <sheetViews>
    <sheetView zoomScale="85" zoomScaleNormal="85" workbookViewId="0"/>
  </sheetViews>
  <sheetFormatPr defaultColWidth="0" defaultRowHeight="15" zeroHeight="1"/>
  <cols>
    <col min="1" max="1" width="3" style="9" customWidth="1"/>
    <col min="2" max="2" width="32" style="9" customWidth="1"/>
    <col min="3" max="11" width="17.5" style="9" customWidth="1"/>
    <col min="12" max="12" width="13" style="9" customWidth="1"/>
    <col min="13" max="13" width="28.5" style="9" bestFit="1" customWidth="1"/>
    <col min="14" max="14" width="15" style="9" customWidth="1"/>
    <col min="15" max="20" width="17.5" style="9" hidden="1" customWidth="1"/>
    <col min="21" max="21" width="13.5" style="9" hidden="1" customWidth="1"/>
    <col min="22" max="133" width="0" style="9" hidden="1" customWidth="1"/>
    <col min="134" max="16384" width="9" style="9" hidden="1"/>
  </cols>
  <sheetData>
    <row r="1" spans="1:133" s="11" customFormat="1" ht="26.25">
      <c r="A1" s="61" t="str">
        <f>"Income Limits, Rents, and Utility Allowances for City/Town: "&amp;'01_1_General Data'!C13&amp;", MSA: "&amp;B10</f>
        <v>Income Limits, Rents, and Utility Allowances for City/Town: , MSA: 0</v>
      </c>
      <c r="B1" s="60"/>
      <c r="C1" s="60"/>
      <c r="D1" s="60"/>
      <c r="E1" s="60"/>
      <c r="F1" s="60"/>
      <c r="G1" s="60"/>
      <c r="H1" s="60"/>
      <c r="I1" s="60"/>
      <c r="J1" s="60"/>
      <c r="K1" s="60"/>
      <c r="L1" s="60"/>
      <c r="M1" s="6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c r="DW1" s="630"/>
      <c r="DX1" s="630"/>
      <c r="DY1" s="630"/>
      <c r="DZ1" s="630"/>
      <c r="EA1" s="630"/>
      <c r="EB1" s="630"/>
      <c r="EC1" s="630"/>
    </row>
    <row r="2" spans="1:133" s="11" customFormat="1" ht="21">
      <c r="A2" s="668" t="str">
        <f>IF(rng01_ProjectName="","[Project Name]", rng01_ProjectName)</f>
        <v>[Project Name]</v>
      </c>
      <c r="B2" s="664"/>
      <c r="C2" s="664"/>
      <c r="D2" s="665"/>
      <c r="E2" s="666"/>
      <c r="F2" s="667"/>
      <c r="G2" s="676" t="s">
        <v>245</v>
      </c>
      <c r="H2" s="667">
        <f>tbl00ModelProgress[[#Totals],[Date of Progress /
Last Edit]]</f>
        <v>0</v>
      </c>
      <c r="I2" s="664"/>
      <c r="J2" s="664"/>
      <c r="K2" s="664"/>
      <c r="L2" s="664"/>
      <c r="M2" s="664"/>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row>
    <row r="3" spans="1:133" ht="18.75">
      <c r="B3" s="134"/>
      <c r="J3" s="135"/>
      <c r="K3" s="136"/>
    </row>
    <row r="4" spans="1:133" ht="18.75">
      <c r="B4" s="144" t="s">
        <v>698</v>
      </c>
      <c r="J4" s="135"/>
      <c r="K4" s="136"/>
    </row>
    <row r="5" spans="1:133" ht="12.75" customHeight="1"/>
    <row r="6" spans="1:133" ht="12.75" customHeight="1">
      <c r="B6" s="151" t="s">
        <v>699</v>
      </c>
      <c r="C6" s="8"/>
      <c r="D6" s="8"/>
      <c r="E6" s="8"/>
      <c r="F6" s="8"/>
      <c r="G6" s="8"/>
      <c r="H6" s="8"/>
      <c r="I6" s="8"/>
      <c r="J6" s="8"/>
      <c r="K6" s="8"/>
      <c r="L6" s="8"/>
    </row>
    <row r="7" spans="1:133" ht="12.75" customHeight="1" thickBot="1">
      <c r="B7" s="357"/>
      <c r="C7" s="8"/>
      <c r="D7" s="8"/>
      <c r="E7" s="8"/>
      <c r="F7" s="8"/>
      <c r="G7" s="8"/>
      <c r="H7" s="8"/>
      <c r="I7" s="8"/>
      <c r="J7" s="8"/>
      <c r="K7" s="8"/>
      <c r="L7" s="8"/>
    </row>
    <row r="8" spans="1:133" ht="16.5" thickBot="1">
      <c r="B8" s="757" t="s">
        <v>700</v>
      </c>
      <c r="C8" s="758" t="s">
        <v>701</v>
      </c>
      <c r="D8" s="759" t="s">
        <v>702</v>
      </c>
      <c r="E8" s="759" t="s">
        <v>703</v>
      </c>
      <c r="F8" s="759" t="s">
        <v>704</v>
      </c>
      <c r="G8" s="759" t="s">
        <v>705</v>
      </c>
      <c r="H8" s="759" t="s">
        <v>706</v>
      </c>
      <c r="I8" s="759" t="s">
        <v>707</v>
      </c>
      <c r="J8" s="759" t="s">
        <v>708</v>
      </c>
      <c r="K8" s="760" t="s">
        <v>709</v>
      </c>
      <c r="L8" s="8"/>
    </row>
    <row r="9" spans="1:133" ht="16.5" thickBot="1">
      <c r="B9" s="761" t="s">
        <v>710</v>
      </c>
      <c r="C9" s="749"/>
      <c r="D9" s="750">
        <v>0.7</v>
      </c>
      <c r="E9" s="750">
        <v>0.8</v>
      </c>
      <c r="F9" s="750">
        <v>0.9</v>
      </c>
      <c r="G9" s="750">
        <v>1</v>
      </c>
      <c r="H9" s="750">
        <v>1.08</v>
      </c>
      <c r="I9" s="750">
        <v>1.1599999999999999</v>
      </c>
      <c r="J9" s="750">
        <v>1.24</v>
      </c>
      <c r="K9" s="751">
        <v>1.32</v>
      </c>
      <c r="L9" s="8"/>
    </row>
    <row r="10" spans="1:133" ht="15.75">
      <c r="B10" s="1154">
        <f>rng01_City1</f>
        <v>0</v>
      </c>
      <c r="C10" s="729">
        <v>0.2</v>
      </c>
      <c r="D10" s="735" t="e">
        <f t="shared" ref="D10:F12" si="0">D$13*$C10/$C$13</f>
        <v>#N/A</v>
      </c>
      <c r="E10" s="735" t="e">
        <f t="shared" si="0"/>
        <v>#N/A</v>
      </c>
      <c r="F10" s="735" t="e">
        <f t="shared" si="0"/>
        <v>#N/A</v>
      </c>
      <c r="G10" s="735" t="e">
        <f>G$13*$C10/$C$13</f>
        <v>#N/A</v>
      </c>
      <c r="H10" s="735" t="e">
        <f t="shared" ref="H10:K12" si="1">H$13*$C10/$C$13</f>
        <v>#N/A</v>
      </c>
      <c r="I10" s="735" t="e">
        <f t="shared" si="1"/>
        <v>#N/A</v>
      </c>
      <c r="J10" s="735" t="e">
        <f t="shared" si="1"/>
        <v>#N/A</v>
      </c>
      <c r="K10" s="747" t="e">
        <f t="shared" si="1"/>
        <v>#N/A</v>
      </c>
      <c r="L10" s="8"/>
    </row>
    <row r="11" spans="1:133" ht="15.75">
      <c r="B11" s="754"/>
      <c r="C11" s="728">
        <v>0.3</v>
      </c>
      <c r="D11" s="167" t="e">
        <f>D$13*$C11/$C$13</f>
        <v>#N/A</v>
      </c>
      <c r="E11" s="167" t="e">
        <f>E$13*$C11/$C$13</f>
        <v>#N/A</v>
      </c>
      <c r="F11" s="167" t="e">
        <f>F$13*$C11/$C$13</f>
        <v>#N/A</v>
      </c>
      <c r="G11" s="167" t="e">
        <f>G$13*$C11/$C$13</f>
        <v>#N/A</v>
      </c>
      <c r="H11" s="167" t="e">
        <f>H$13*$C11/$C$13</f>
        <v>#N/A</v>
      </c>
      <c r="I11" s="167" t="e">
        <f>I$13*$C11/$C$13</f>
        <v>#N/A</v>
      </c>
      <c r="J11" s="167" t="e">
        <f>J$13*$C11/$C$13</f>
        <v>#N/A</v>
      </c>
      <c r="K11" s="727" t="e">
        <f>K$13*$C11/$C$13</f>
        <v>#N/A</v>
      </c>
      <c r="L11" s="8"/>
    </row>
    <row r="12" spans="1:133" ht="15.75">
      <c r="B12" s="754"/>
      <c r="C12" s="729">
        <v>0.4</v>
      </c>
      <c r="D12" s="167" t="e">
        <f t="shared" si="0"/>
        <v>#N/A</v>
      </c>
      <c r="E12" s="167" t="e">
        <f t="shared" si="0"/>
        <v>#N/A</v>
      </c>
      <c r="F12" s="167" t="e">
        <f t="shared" si="0"/>
        <v>#N/A</v>
      </c>
      <c r="G12" s="167" t="e">
        <f>G$13*$C12/$C$13</f>
        <v>#N/A</v>
      </c>
      <c r="H12" s="167" t="e">
        <f t="shared" si="1"/>
        <v>#N/A</v>
      </c>
      <c r="I12" s="167" t="e">
        <f t="shared" si="1"/>
        <v>#N/A</v>
      </c>
      <c r="J12" s="167" t="e">
        <f t="shared" si="1"/>
        <v>#N/A</v>
      </c>
      <c r="K12" s="727" t="e">
        <f t="shared" si="1"/>
        <v>#N/A</v>
      </c>
      <c r="L12" s="8"/>
    </row>
    <row r="13" spans="1:133" ht="15.75">
      <c r="B13" s="754"/>
      <c r="C13" s="728">
        <v>0.5</v>
      </c>
      <c r="D13" s="167" t="e">
        <f>ROUNDUP(($G13*D$9)/50,0)*50</f>
        <v>#N/A</v>
      </c>
      <c r="E13" s="167" t="e">
        <f>ROUNDUP(($G13*E$9)/50,0)*50</f>
        <v>#N/A</v>
      </c>
      <c r="F13" s="167" t="e">
        <f>ROUNDUP(($G13*F$9)/50,0)*50</f>
        <v>#N/A</v>
      </c>
      <c r="G13" s="730" t="e">
        <f>VLOOKUP(B10,'00_4_Reference Tables'!$C$7:$AO$45, 39, FALSE)</f>
        <v>#N/A</v>
      </c>
      <c r="H13" s="167" t="e">
        <f>ROUNDUP(($G13*H$9)/50,0)*50</f>
        <v>#N/A</v>
      </c>
      <c r="I13" s="167" t="e">
        <f>ROUNDUP(($G13*I$9)/50,0)*50</f>
        <v>#N/A</v>
      </c>
      <c r="J13" s="167" t="e">
        <f>ROUNDUP(($G13*J$9)/50,0)*50</f>
        <v>#N/A</v>
      </c>
      <c r="K13" s="727" t="e">
        <f>ROUNDUP(($G13*K$9)/50,0)*50</f>
        <v>#N/A</v>
      </c>
      <c r="L13" s="8"/>
    </row>
    <row r="14" spans="1:133" ht="15.75">
      <c r="B14" s="754"/>
      <c r="C14" s="729">
        <v>0.6</v>
      </c>
      <c r="D14" s="167" t="e">
        <f t="shared" ref="D14:K14" si="2">D$13*$C14/$C$13</f>
        <v>#N/A</v>
      </c>
      <c r="E14" s="167" t="e">
        <f t="shared" si="2"/>
        <v>#N/A</v>
      </c>
      <c r="F14" s="167" t="e">
        <f t="shared" si="2"/>
        <v>#N/A</v>
      </c>
      <c r="G14" s="167" t="e">
        <f t="shared" si="2"/>
        <v>#N/A</v>
      </c>
      <c r="H14" s="167" t="e">
        <f t="shared" si="2"/>
        <v>#N/A</v>
      </c>
      <c r="I14" s="167" t="e">
        <f t="shared" si="2"/>
        <v>#N/A</v>
      </c>
      <c r="J14" s="167" t="e">
        <f t="shared" si="2"/>
        <v>#N/A</v>
      </c>
      <c r="K14" s="727" t="e">
        <f t="shared" si="2"/>
        <v>#N/A</v>
      </c>
      <c r="L14" s="8"/>
    </row>
    <row r="15" spans="1:133" ht="15.75">
      <c r="B15" s="754"/>
      <c r="C15" s="728">
        <v>0.7</v>
      </c>
      <c r="D15" s="167" t="e">
        <f>D$13*$C15/$C$13</f>
        <v>#N/A</v>
      </c>
      <c r="E15" s="167" t="e">
        <f t="shared" ref="E15:K16" si="3">E$13*$C15/$C$13</f>
        <v>#N/A</v>
      </c>
      <c r="F15" s="167" t="e">
        <f t="shared" si="3"/>
        <v>#N/A</v>
      </c>
      <c r="G15" s="167" t="e">
        <f t="shared" si="3"/>
        <v>#N/A</v>
      </c>
      <c r="H15" s="167" t="e">
        <f t="shared" si="3"/>
        <v>#N/A</v>
      </c>
      <c r="I15" s="167" t="e">
        <f t="shared" si="3"/>
        <v>#N/A</v>
      </c>
      <c r="J15" s="167" t="e">
        <f t="shared" si="3"/>
        <v>#N/A</v>
      </c>
      <c r="K15" s="727" t="e">
        <f t="shared" si="3"/>
        <v>#N/A</v>
      </c>
      <c r="L15" s="8"/>
    </row>
    <row r="16" spans="1:133" ht="16.5" thickBot="1">
      <c r="B16" s="755"/>
      <c r="C16" s="731">
        <v>0.8</v>
      </c>
      <c r="D16" s="187" t="e">
        <f>D$13*$C16/$C$13</f>
        <v>#N/A</v>
      </c>
      <c r="E16" s="187" t="e">
        <f t="shared" si="3"/>
        <v>#N/A</v>
      </c>
      <c r="F16" s="187" t="e">
        <f t="shared" si="3"/>
        <v>#N/A</v>
      </c>
      <c r="G16" s="187" t="e">
        <f t="shared" si="3"/>
        <v>#N/A</v>
      </c>
      <c r="H16" s="187" t="e">
        <f t="shared" si="3"/>
        <v>#N/A</v>
      </c>
      <c r="I16" s="187" t="e">
        <f t="shared" si="3"/>
        <v>#N/A</v>
      </c>
      <c r="J16" s="187" t="e">
        <f t="shared" si="3"/>
        <v>#N/A</v>
      </c>
      <c r="K16" s="732" t="e">
        <f t="shared" si="3"/>
        <v>#N/A</v>
      </c>
      <c r="L16" s="8"/>
    </row>
    <row r="17" spans="2:20" ht="16.5" thickBot="1">
      <c r="B17" s="753"/>
      <c r="C17" s="752"/>
      <c r="D17" s="477"/>
      <c r="E17" s="477"/>
      <c r="F17" s="477"/>
      <c r="G17" s="477"/>
      <c r="H17" s="477"/>
      <c r="I17" s="477"/>
      <c r="J17" s="477"/>
      <c r="K17" s="477"/>
      <c r="L17" s="8"/>
      <c r="M17" s="753"/>
      <c r="N17" s="752"/>
      <c r="O17" s="477"/>
      <c r="P17" s="477"/>
      <c r="Q17" s="477"/>
      <c r="R17" s="477"/>
      <c r="S17" s="477"/>
      <c r="T17" s="477"/>
    </row>
    <row r="18" spans="2:20" ht="16.5" thickBot="1">
      <c r="B18" s="743" t="s">
        <v>113</v>
      </c>
      <c r="C18" s="744" t="s">
        <v>701</v>
      </c>
      <c r="D18" s="745" t="s">
        <v>141</v>
      </c>
      <c r="E18" s="745" t="s">
        <v>168</v>
      </c>
      <c r="F18" s="745">
        <v>1</v>
      </c>
      <c r="G18" s="745">
        <v>2</v>
      </c>
      <c r="H18" s="745">
        <v>3</v>
      </c>
      <c r="I18" s="745">
        <v>4</v>
      </c>
      <c r="J18" s="746">
        <v>5</v>
      </c>
      <c r="K18" s="477"/>
      <c r="L18" s="8"/>
      <c r="M18" s="753"/>
      <c r="N18" s="752"/>
      <c r="O18" s="477"/>
      <c r="P18" s="477"/>
      <c r="Q18" s="477"/>
      <c r="R18" s="477"/>
      <c r="S18" s="477"/>
      <c r="T18" s="477"/>
    </row>
    <row r="19" spans="2:20" ht="16.5" thickBot="1">
      <c r="B19" s="748" t="s">
        <v>711</v>
      </c>
      <c r="C19" s="749"/>
      <c r="D19" s="750" t="s">
        <v>325</v>
      </c>
      <c r="E19" s="750" t="s">
        <v>325</v>
      </c>
      <c r="F19" s="750" t="s">
        <v>712</v>
      </c>
      <c r="G19" s="750" t="s">
        <v>713</v>
      </c>
      <c r="H19" s="750" t="s">
        <v>714</v>
      </c>
      <c r="I19" s="750" t="s">
        <v>715</v>
      </c>
      <c r="J19" s="751" t="s">
        <v>716</v>
      </c>
      <c r="K19" s="477"/>
      <c r="L19" s="8"/>
      <c r="M19" s="753"/>
      <c r="N19" s="752"/>
      <c r="O19" s="477"/>
      <c r="P19" s="477"/>
      <c r="Q19" s="477"/>
      <c r="R19" s="477"/>
      <c r="S19" s="477"/>
      <c r="T19" s="477"/>
    </row>
    <row r="20" spans="2:20" ht="15.75">
      <c r="B20" s="1154">
        <f>B10</f>
        <v>0</v>
      </c>
      <c r="C20" s="729">
        <v>0.2</v>
      </c>
      <c r="D20" s="735" t="e">
        <f>ROUNDDOWN(D10/12*0.3, 0)</f>
        <v>#N/A</v>
      </c>
      <c r="E20" s="735" t="e">
        <f>ROUNDDOWN(D10/12*0.3, 0)</f>
        <v>#N/A</v>
      </c>
      <c r="F20" s="735" t="e">
        <f>ROUNDDOWN(AVERAGE(D10:E10)/12*30%, 0)</f>
        <v>#N/A</v>
      </c>
      <c r="G20" s="735" t="e">
        <f>ROUNDDOWN(F10/12*0.3, 0)</f>
        <v>#N/A</v>
      </c>
      <c r="H20" s="735" t="e">
        <f>ROUNDDOWN(AVERAGE(G10:H10)/12*30%, 0)</f>
        <v>#N/A</v>
      </c>
      <c r="I20" s="735" t="e">
        <f>ROUNDDOWN(I10/12*0.3, 0)</f>
        <v>#N/A</v>
      </c>
      <c r="J20" s="747" t="e">
        <f>ROUNDDOWN(AVERAGE(J10:K10)/12*30%, 0)</f>
        <v>#N/A</v>
      </c>
      <c r="K20" s="477"/>
      <c r="L20" s="8"/>
      <c r="M20" s="753"/>
      <c r="N20" s="752"/>
      <c r="O20" s="477"/>
      <c r="P20" s="477"/>
      <c r="Q20" s="477"/>
      <c r="R20" s="477"/>
      <c r="S20" s="477"/>
      <c r="T20" s="477"/>
    </row>
    <row r="21" spans="2:20" ht="15.75">
      <c r="B21" s="754"/>
      <c r="C21" s="728">
        <v>0.3</v>
      </c>
      <c r="D21" s="167" t="e">
        <f t="shared" ref="D21:D26" si="4">ROUNDDOWN(D11/12*0.3, 0)</f>
        <v>#N/A</v>
      </c>
      <c r="E21" s="735" t="e">
        <f t="shared" ref="E21:E26" si="5">ROUNDDOWN(D11/12*0.3, 0)</f>
        <v>#N/A</v>
      </c>
      <c r="F21" s="167" t="e">
        <f t="shared" ref="F21:F26" si="6">ROUNDDOWN(AVERAGE(D11:E11)/12*30%, 0)</f>
        <v>#N/A</v>
      </c>
      <c r="G21" s="167" t="e">
        <f t="shared" ref="G21:G26" si="7">ROUNDDOWN(F11/12*0.3, 0)</f>
        <v>#N/A</v>
      </c>
      <c r="H21" s="167" t="e">
        <f t="shared" ref="H21:H26" si="8">ROUNDDOWN(AVERAGE(G11:H11)/12*30%, 0)</f>
        <v>#N/A</v>
      </c>
      <c r="I21" s="167" t="e">
        <f t="shared" ref="I21:I26" si="9">ROUNDDOWN(I11/12*0.3, 0)</f>
        <v>#N/A</v>
      </c>
      <c r="J21" s="727" t="e">
        <f t="shared" ref="J21:J26" si="10">ROUNDDOWN(AVERAGE(J11:K11)/12*30%, 0)</f>
        <v>#N/A</v>
      </c>
      <c r="K21" s="477"/>
      <c r="L21" s="8"/>
      <c r="M21" s="753"/>
      <c r="N21" s="752"/>
      <c r="O21" s="477"/>
      <c r="P21" s="477"/>
      <c r="Q21" s="477"/>
      <c r="R21" s="477"/>
      <c r="S21" s="477"/>
      <c r="T21" s="477"/>
    </row>
    <row r="22" spans="2:20" ht="15.75">
      <c r="B22" s="754"/>
      <c r="C22" s="729">
        <v>0.4</v>
      </c>
      <c r="D22" s="167" t="e">
        <f t="shared" si="4"/>
        <v>#N/A</v>
      </c>
      <c r="E22" s="735" t="e">
        <f t="shared" si="5"/>
        <v>#N/A</v>
      </c>
      <c r="F22" s="167" t="e">
        <f t="shared" si="6"/>
        <v>#N/A</v>
      </c>
      <c r="G22" s="167" t="e">
        <f t="shared" si="7"/>
        <v>#N/A</v>
      </c>
      <c r="H22" s="167" t="e">
        <f t="shared" si="8"/>
        <v>#N/A</v>
      </c>
      <c r="I22" s="167" t="e">
        <f t="shared" si="9"/>
        <v>#N/A</v>
      </c>
      <c r="J22" s="727" t="e">
        <f t="shared" si="10"/>
        <v>#N/A</v>
      </c>
      <c r="K22" s="477"/>
      <c r="L22" s="8"/>
      <c r="M22" s="753"/>
      <c r="N22" s="752"/>
      <c r="O22" s="477"/>
      <c r="P22" s="477"/>
      <c r="Q22" s="477"/>
      <c r="R22" s="477"/>
      <c r="S22" s="477"/>
      <c r="T22" s="477"/>
    </row>
    <row r="23" spans="2:20" ht="15.75">
      <c r="B23" s="754"/>
      <c r="C23" s="728">
        <v>0.5</v>
      </c>
      <c r="D23" s="167" t="e">
        <f t="shared" si="4"/>
        <v>#N/A</v>
      </c>
      <c r="E23" s="735" t="e">
        <f t="shared" si="5"/>
        <v>#N/A</v>
      </c>
      <c r="F23" s="167" t="e">
        <f t="shared" si="6"/>
        <v>#N/A</v>
      </c>
      <c r="G23" s="167" t="e">
        <f t="shared" si="7"/>
        <v>#N/A</v>
      </c>
      <c r="H23" s="167" t="e">
        <f t="shared" si="8"/>
        <v>#N/A</v>
      </c>
      <c r="I23" s="167" t="e">
        <f t="shared" si="9"/>
        <v>#N/A</v>
      </c>
      <c r="J23" s="727" t="e">
        <f t="shared" si="10"/>
        <v>#N/A</v>
      </c>
      <c r="K23" s="477"/>
      <c r="L23" s="8"/>
      <c r="M23" s="753"/>
      <c r="N23" s="752"/>
      <c r="O23" s="477"/>
      <c r="P23" s="477"/>
      <c r="Q23" s="477"/>
      <c r="R23" s="477"/>
      <c r="S23" s="477"/>
      <c r="T23" s="477"/>
    </row>
    <row r="24" spans="2:20" ht="15.75">
      <c r="B24" s="754"/>
      <c r="C24" s="729">
        <v>0.6</v>
      </c>
      <c r="D24" s="167" t="e">
        <f t="shared" si="4"/>
        <v>#N/A</v>
      </c>
      <c r="E24" s="735" t="e">
        <f t="shared" si="5"/>
        <v>#N/A</v>
      </c>
      <c r="F24" s="167" t="e">
        <f t="shared" si="6"/>
        <v>#N/A</v>
      </c>
      <c r="G24" s="167" t="e">
        <f t="shared" si="7"/>
        <v>#N/A</v>
      </c>
      <c r="H24" s="167" t="e">
        <f t="shared" si="8"/>
        <v>#N/A</v>
      </c>
      <c r="I24" s="167" t="e">
        <f t="shared" si="9"/>
        <v>#N/A</v>
      </c>
      <c r="J24" s="727" t="e">
        <f t="shared" si="10"/>
        <v>#N/A</v>
      </c>
      <c r="K24" s="477"/>
      <c r="L24" s="8"/>
      <c r="M24" s="753"/>
      <c r="N24" s="752"/>
      <c r="O24" s="477"/>
      <c r="P24" s="477"/>
      <c r="Q24" s="477"/>
      <c r="R24" s="477"/>
      <c r="S24" s="477"/>
      <c r="T24" s="477"/>
    </row>
    <row r="25" spans="2:20" ht="15.75">
      <c r="B25" s="754"/>
      <c r="C25" s="728">
        <v>0.7</v>
      </c>
      <c r="D25" s="167" t="e">
        <f t="shared" si="4"/>
        <v>#N/A</v>
      </c>
      <c r="E25" s="735" t="e">
        <f t="shared" si="5"/>
        <v>#N/A</v>
      </c>
      <c r="F25" s="167" t="e">
        <f t="shared" si="6"/>
        <v>#N/A</v>
      </c>
      <c r="G25" s="167" t="e">
        <f t="shared" si="7"/>
        <v>#N/A</v>
      </c>
      <c r="H25" s="167" t="e">
        <f t="shared" si="8"/>
        <v>#N/A</v>
      </c>
      <c r="I25" s="167" t="e">
        <f t="shared" si="9"/>
        <v>#N/A</v>
      </c>
      <c r="J25" s="727" t="e">
        <f t="shared" si="10"/>
        <v>#N/A</v>
      </c>
      <c r="K25" s="477"/>
      <c r="L25" s="8"/>
      <c r="M25" s="753"/>
      <c r="N25" s="752"/>
      <c r="O25" s="477"/>
      <c r="P25" s="477"/>
      <c r="Q25" s="477"/>
      <c r="R25" s="477"/>
      <c r="S25" s="477"/>
      <c r="T25" s="477"/>
    </row>
    <row r="26" spans="2:20" ht="16.5" thickBot="1">
      <c r="B26" s="755"/>
      <c r="C26" s="731">
        <v>0.8</v>
      </c>
      <c r="D26" s="187" t="e">
        <f t="shared" si="4"/>
        <v>#N/A</v>
      </c>
      <c r="E26" s="756" t="e">
        <f t="shared" si="5"/>
        <v>#N/A</v>
      </c>
      <c r="F26" s="187" t="e">
        <f t="shared" si="6"/>
        <v>#N/A</v>
      </c>
      <c r="G26" s="187" t="e">
        <f t="shared" si="7"/>
        <v>#N/A</v>
      </c>
      <c r="H26" s="187" t="e">
        <f t="shared" si="8"/>
        <v>#N/A</v>
      </c>
      <c r="I26" s="187" t="e">
        <f t="shared" si="9"/>
        <v>#N/A</v>
      </c>
      <c r="J26" s="732" t="e">
        <f t="shared" si="10"/>
        <v>#N/A</v>
      </c>
      <c r="K26" s="477"/>
      <c r="L26" s="8"/>
      <c r="M26" s="753"/>
      <c r="N26" s="752"/>
      <c r="O26" s="477"/>
      <c r="P26" s="477"/>
      <c r="Q26" s="477"/>
      <c r="R26" s="477"/>
      <c r="S26" s="477"/>
      <c r="T26" s="477"/>
    </row>
    <row r="27" spans="2:20" ht="15.75">
      <c r="B27" s="753"/>
      <c r="C27" s="752"/>
      <c r="D27" s="477"/>
      <c r="E27" s="477"/>
      <c r="F27" s="477"/>
      <c r="G27" s="477"/>
      <c r="H27" s="477"/>
      <c r="I27" s="477"/>
      <c r="J27" s="477"/>
      <c r="K27" s="477"/>
      <c r="L27" s="8"/>
      <c r="M27" s="753"/>
      <c r="N27" s="752"/>
      <c r="O27" s="477"/>
      <c r="P27" s="477"/>
      <c r="Q27" s="477"/>
      <c r="R27" s="477"/>
      <c r="S27" s="477"/>
      <c r="T27" s="477"/>
    </row>
    <row r="28" spans="2:20" ht="15.75">
      <c r="B28" s="753"/>
      <c r="C28" s="752"/>
      <c r="D28" s="477"/>
      <c r="E28" s="477"/>
      <c r="F28" s="477"/>
      <c r="G28" s="477"/>
      <c r="H28" s="477"/>
      <c r="N28" s="752"/>
      <c r="O28" s="477"/>
      <c r="P28" s="477"/>
      <c r="Q28" s="477"/>
      <c r="R28" s="477"/>
      <c r="S28" s="477"/>
      <c r="T28" s="477"/>
    </row>
    <row r="29" spans="2:20" ht="15.75">
      <c r="B29" s="151" t="s">
        <v>717</v>
      </c>
      <c r="C29" s="8"/>
      <c r="D29" s="8"/>
      <c r="E29" s="8"/>
      <c r="F29" s="8"/>
      <c r="G29" s="8"/>
      <c r="H29" s="8"/>
      <c r="I29" s="8"/>
      <c r="J29" s="8"/>
      <c r="K29" s="8"/>
      <c r="L29" s="8"/>
    </row>
    <row r="30" spans="2:20" ht="15.75">
      <c r="B30" s="8"/>
      <c r="C30" s="2127" t="s">
        <v>718</v>
      </c>
      <c r="D30" s="2128"/>
      <c r="E30" s="2128"/>
      <c r="F30" s="2128"/>
      <c r="G30" s="2129"/>
      <c r="H30" s="8"/>
      <c r="I30" s="8"/>
      <c r="J30" s="8"/>
      <c r="K30" s="8"/>
      <c r="L30" s="8"/>
    </row>
    <row r="31" spans="2:20" ht="16.5" thickBot="1">
      <c r="B31" s="733" t="s">
        <v>719</v>
      </c>
      <c r="C31" s="734" t="s">
        <v>720</v>
      </c>
      <c r="D31" s="734">
        <v>1</v>
      </c>
      <c r="E31" s="734">
        <v>2</v>
      </c>
      <c r="F31" s="734">
        <v>3</v>
      </c>
      <c r="G31" s="734">
        <v>4</v>
      </c>
      <c r="H31" s="8"/>
      <c r="I31" s="8"/>
      <c r="J31" s="8"/>
      <c r="K31" s="8"/>
      <c r="L31" s="8"/>
    </row>
    <row r="32" spans="2:20" ht="16.5" thickTop="1">
      <c r="B32" s="736" t="s">
        <v>721</v>
      </c>
      <c r="C32" s="167" t="e">
        <f>VLOOKUP('01_1_General Data'!$C$13,'00_4_Reference Tables'!$C$7:$AG$45,C35,FALSE)</f>
        <v>#N/A</v>
      </c>
      <c r="D32" s="167" t="e">
        <f>VLOOKUP('01_1_General Data'!$C$13,'00_4_Reference Tables'!$C$7:$AG$45,D35,FALSE)</f>
        <v>#N/A</v>
      </c>
      <c r="E32" s="167" t="e">
        <f>VLOOKUP('01_1_General Data'!$C$13,'00_4_Reference Tables'!$C$7:$AG$45,E35,FALSE)</f>
        <v>#N/A</v>
      </c>
      <c r="F32" s="167" t="e">
        <f>VLOOKUP('01_1_General Data'!$C$13,'00_4_Reference Tables'!$C$7:$AG$45,F35,FALSE)</f>
        <v>#N/A</v>
      </c>
      <c r="G32" s="167" t="e">
        <f>VLOOKUP('01_1_General Data'!$C$13,'00_4_Reference Tables'!$C$7:$AG$45,G35,FALSE)</f>
        <v>#N/A</v>
      </c>
      <c r="H32" s="8"/>
    </row>
    <row r="33" spans="2:12" ht="15.75">
      <c r="B33" s="736" t="s">
        <v>722</v>
      </c>
      <c r="C33" s="167" t="e">
        <f>VLOOKUP('01_1_General Data'!$C$13,'00_4_Reference Tables'!$C$7:$AG$45,C36,FALSE)</f>
        <v>#N/A</v>
      </c>
      <c r="D33" s="167" t="e">
        <f>VLOOKUP('01_1_General Data'!$C$13,'00_4_Reference Tables'!$C$7:$AG$45,D36,FALSE)</f>
        <v>#N/A</v>
      </c>
      <c r="E33" s="167" t="e">
        <f>VLOOKUP('01_1_General Data'!$C$13,'00_4_Reference Tables'!$C$7:$AG$45,E36,FALSE)</f>
        <v>#N/A</v>
      </c>
      <c r="F33" s="167" t="e">
        <f>VLOOKUP('01_1_General Data'!$C$13,'00_4_Reference Tables'!$C$7:$AG$45,F36,FALSE)</f>
        <v>#N/A</v>
      </c>
      <c r="G33" s="167" t="e">
        <f>VLOOKUP('01_1_General Data'!$C$13,'00_4_Reference Tables'!$C$7:$AG$45,G36,FALSE)</f>
        <v>#N/A</v>
      </c>
      <c r="H33" s="8"/>
    </row>
    <row r="34" spans="2:12" ht="15.75">
      <c r="B34" s="8"/>
      <c r="C34" s="8"/>
      <c r="D34" s="8"/>
      <c r="E34" s="8"/>
      <c r="F34" s="8"/>
      <c r="G34" s="8"/>
      <c r="H34" s="8"/>
    </row>
    <row r="35" spans="2:12" ht="15.75">
      <c r="C35" s="1155">
        <v>4</v>
      </c>
      <c r="D35" s="1155">
        <f t="shared" ref="D35:G36" si="11">C35+6</f>
        <v>10</v>
      </c>
      <c r="E35" s="1155">
        <f t="shared" si="11"/>
        <v>16</v>
      </c>
      <c r="F35" s="1155">
        <f t="shared" si="11"/>
        <v>22</v>
      </c>
      <c r="G35" s="1156">
        <f t="shared" si="11"/>
        <v>28</v>
      </c>
      <c r="H35" s="8"/>
      <c r="I35" s="8"/>
      <c r="J35" s="8"/>
      <c r="K35" s="8"/>
      <c r="L35" s="8"/>
    </row>
    <row r="36" spans="2:12" ht="15.75">
      <c r="C36" s="1155">
        <v>5</v>
      </c>
      <c r="D36" s="1155">
        <f t="shared" si="11"/>
        <v>11</v>
      </c>
      <c r="E36" s="1155">
        <f t="shared" si="11"/>
        <v>17</v>
      </c>
      <c r="F36" s="1155">
        <f t="shared" si="11"/>
        <v>23</v>
      </c>
      <c r="G36" s="1156">
        <f t="shared" si="11"/>
        <v>29</v>
      </c>
      <c r="H36" s="8"/>
      <c r="I36" s="8"/>
      <c r="J36" s="8"/>
      <c r="K36" s="8"/>
      <c r="L36" s="8"/>
    </row>
    <row r="37" spans="2:12" ht="15.75">
      <c r="H37" s="8"/>
      <c r="I37" s="8"/>
      <c r="J37" s="8"/>
      <c r="K37" s="8"/>
      <c r="L37" s="8"/>
    </row>
    <row r="38" spans="2:12" ht="15.75">
      <c r="H38" s="8"/>
      <c r="I38" s="8"/>
      <c r="J38" s="8"/>
      <c r="K38" s="8"/>
      <c r="L38" s="8"/>
    </row>
    <row r="39" spans="2:12" ht="15.75">
      <c r="H39" s="8"/>
      <c r="I39" s="8"/>
      <c r="J39" s="8"/>
      <c r="K39" s="8"/>
      <c r="L39" s="8"/>
    </row>
    <row r="40" spans="2:12" ht="15.75">
      <c r="H40" s="8"/>
      <c r="I40" s="8"/>
      <c r="J40" s="8"/>
      <c r="K40" s="8"/>
      <c r="L40" s="8"/>
    </row>
    <row r="41" spans="2:12" ht="15.75">
      <c r="H41" s="8"/>
      <c r="I41" s="8"/>
      <c r="J41" s="8"/>
      <c r="K41" s="8"/>
      <c r="L41" s="8"/>
    </row>
    <row r="42" spans="2:12" ht="15.75">
      <c r="H42" s="8"/>
      <c r="I42" s="8"/>
      <c r="J42" s="8"/>
      <c r="K42" s="8"/>
      <c r="L42" s="8"/>
    </row>
    <row r="43" spans="2:12" ht="15.75">
      <c r="H43" s="8"/>
      <c r="I43" s="8"/>
      <c r="J43" s="8"/>
      <c r="K43" s="8"/>
      <c r="L43" s="8"/>
    </row>
    <row r="44" spans="2:12" ht="15.75">
      <c r="H44" s="8"/>
      <c r="I44" s="8"/>
      <c r="J44" s="8"/>
      <c r="K44" s="8"/>
      <c r="L44" s="8"/>
    </row>
    <row r="45" spans="2:12" ht="15.75">
      <c r="H45" s="8"/>
      <c r="I45" s="8"/>
      <c r="J45" s="8"/>
      <c r="K45" s="8"/>
      <c r="L45" s="8"/>
    </row>
    <row r="46" spans="2:12" ht="15.75">
      <c r="H46" s="8"/>
      <c r="I46" s="8"/>
      <c r="J46" s="8"/>
      <c r="K46" s="8"/>
      <c r="L46" s="8"/>
    </row>
    <row r="47" spans="2:12" ht="15.75">
      <c r="H47" s="8"/>
      <c r="I47" s="8"/>
      <c r="J47" s="8"/>
      <c r="K47" s="8"/>
      <c r="L47" s="8"/>
    </row>
    <row r="48" spans="2:12" ht="15.75">
      <c r="H48" s="8"/>
      <c r="I48" s="8"/>
      <c r="J48" s="8"/>
      <c r="K48" s="8"/>
      <c r="L48" s="8"/>
    </row>
    <row r="49" spans="2:12" ht="15.75">
      <c r="H49" s="8"/>
      <c r="I49" s="8"/>
      <c r="J49" s="8"/>
      <c r="K49" s="8"/>
      <c r="L49" s="8"/>
    </row>
    <row r="50" spans="2:12" ht="15.75" hidden="1">
      <c r="H50" s="8"/>
      <c r="I50" s="8"/>
      <c r="J50" s="8"/>
      <c r="K50" s="8"/>
      <c r="L50" s="8"/>
    </row>
    <row r="51" spans="2:12" ht="15.75" hidden="1">
      <c r="H51" s="8"/>
      <c r="I51" s="8"/>
      <c r="J51" s="8"/>
      <c r="K51" s="8"/>
      <c r="L51" s="8"/>
    </row>
    <row r="52" spans="2:12" ht="15.75" hidden="1">
      <c r="H52" s="8"/>
      <c r="I52" s="8"/>
      <c r="J52" s="8"/>
      <c r="K52" s="8"/>
      <c r="L52" s="8"/>
    </row>
    <row r="53" spans="2:12" ht="15.75" hidden="1">
      <c r="H53" s="8"/>
      <c r="I53" s="8"/>
      <c r="J53" s="8"/>
      <c r="K53" s="8"/>
      <c r="L53" s="8"/>
    </row>
    <row r="54" spans="2:12" ht="15.75" hidden="1">
      <c r="H54" s="8"/>
      <c r="I54" s="8"/>
      <c r="J54" s="8"/>
      <c r="K54" s="8"/>
      <c r="L54" s="8"/>
    </row>
    <row r="55" spans="2:12" ht="15.75" hidden="1">
      <c r="H55" s="8"/>
      <c r="I55" s="8"/>
      <c r="J55" s="8"/>
      <c r="K55" s="8"/>
      <c r="L55" s="8"/>
    </row>
    <row r="56" spans="2:12" ht="15.75" hidden="1">
      <c r="H56" s="8"/>
      <c r="I56" s="8"/>
      <c r="J56" s="8"/>
      <c r="K56" s="8"/>
      <c r="L56" s="8"/>
    </row>
    <row r="57" spans="2:12" ht="15.75" hidden="1">
      <c r="H57" s="8"/>
      <c r="I57" s="8"/>
      <c r="J57" s="8"/>
      <c r="K57" s="8"/>
      <c r="L57" s="8"/>
    </row>
    <row r="58" spans="2:12" ht="15.75" hidden="1">
      <c r="H58" s="8"/>
      <c r="I58" s="8"/>
      <c r="J58" s="8"/>
      <c r="K58" s="8"/>
      <c r="L58" s="8"/>
    </row>
    <row r="59" spans="2:12" ht="15.75" hidden="1">
      <c r="B59" s="8"/>
      <c r="C59" s="8"/>
      <c r="D59" s="8"/>
      <c r="E59" s="8"/>
      <c r="F59" s="8"/>
      <c r="G59" s="8"/>
      <c r="H59" s="8"/>
      <c r="I59" s="8"/>
      <c r="J59" s="8"/>
      <c r="K59" s="8"/>
      <c r="L59" s="8"/>
    </row>
  </sheetData>
  <sheetProtection formatCells="0" formatColumns="0" formatRows="0"/>
  <mergeCells count="1">
    <mergeCell ref="C30:G30"/>
  </mergeCells>
  <phoneticPr fontId="58" type="noConversion"/>
  <printOptions horizontalCentered="1" verticalCentered="1"/>
  <pageMargins left="0.5" right="0.5" top="1" bottom="1" header="0.5" footer="0.5"/>
  <pageSetup scale="72" orientation="portrait" blackAndWhite="1" r:id="rId1"/>
  <headerFooter alignWithMargins="0">
    <oddFooter>&amp;L&amp;A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st00_6_Instruction">
    <tabColor theme="0" tint="-0.34998626667073579"/>
  </sheetPr>
  <dimension ref="A1:EF113"/>
  <sheetViews>
    <sheetView zoomScale="85" zoomScaleNormal="85" workbookViewId="0"/>
  </sheetViews>
  <sheetFormatPr defaultColWidth="9.5" defaultRowHeight="15.75"/>
  <cols>
    <col min="1" max="1" width="4.5" style="8" customWidth="1"/>
    <col min="2" max="8" width="9.5" style="8"/>
    <col min="9" max="9" width="16.5" style="8" bestFit="1" customWidth="1"/>
    <col min="10" max="10" width="9.5" style="8"/>
    <col min="11" max="11" width="17.33203125" style="8" bestFit="1" customWidth="1"/>
    <col min="12" max="16384" width="9.5" style="8"/>
  </cols>
  <sheetData>
    <row r="1" spans="1:136" s="11" customFormat="1" ht="27" thickTop="1">
      <c r="A1" s="61" t="s">
        <v>723</v>
      </c>
      <c r="B1" s="59"/>
      <c r="C1" s="59"/>
      <c r="D1" s="59"/>
      <c r="E1" s="59"/>
      <c r="F1" s="59"/>
      <c r="G1" s="59"/>
      <c r="H1" s="59"/>
      <c r="I1" s="59"/>
      <c r="J1" s="59"/>
      <c r="K1" s="59"/>
      <c r="L1" s="59"/>
      <c r="M1" s="59"/>
      <c r="N1" s="59"/>
      <c r="O1" s="59"/>
      <c r="P1" s="59"/>
      <c r="Q1" s="59"/>
      <c r="R1" s="59"/>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c r="DW1" s="630"/>
      <c r="DX1" s="630"/>
      <c r="DY1" s="630"/>
      <c r="DZ1" s="630"/>
      <c r="EA1" s="630"/>
      <c r="EB1" s="630"/>
      <c r="EC1" s="630"/>
      <c r="ED1" s="630"/>
      <c r="EE1" s="630"/>
      <c r="EF1" s="630"/>
    </row>
    <row r="2" spans="1:136" s="11" customFormat="1" ht="21">
      <c r="A2" s="663" t="str">
        <f>IF(rng01_ProjectName="","[Project Name]", rng01_ProjectName)</f>
        <v>[Project Name]</v>
      </c>
      <c r="B2" s="664"/>
      <c r="C2" s="664"/>
      <c r="D2" s="665"/>
      <c r="E2" s="664"/>
      <c r="F2" s="664"/>
      <c r="G2" s="664"/>
      <c r="H2" s="664"/>
      <c r="I2" s="664"/>
      <c r="J2" s="666" t="s">
        <v>245</v>
      </c>
      <c r="K2" s="667">
        <f>tbl00ModelProgress[[#Totals],[Date of Progress /
Last Edit]]</f>
        <v>0</v>
      </c>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row>
    <row r="3" spans="1:136" ht="16.5" thickBot="1"/>
    <row r="4" spans="1:136" ht="21.75" thickBot="1">
      <c r="B4" s="473" t="s">
        <v>724</v>
      </c>
      <c r="C4" s="20"/>
      <c r="D4" s="21"/>
      <c r="E4" s="474"/>
      <c r="F4" s="475"/>
      <c r="G4" s="475"/>
      <c r="H4" s="475"/>
      <c r="I4" s="475"/>
      <c r="J4" s="475"/>
      <c r="K4" s="475"/>
      <c r="L4" s="475"/>
      <c r="M4" s="475"/>
      <c r="N4" s="475"/>
      <c r="O4" s="475"/>
      <c r="P4" s="475"/>
      <c r="Q4" s="475"/>
      <c r="R4" s="475"/>
      <c r="S4" s="475"/>
      <c r="T4" s="475"/>
      <c r="U4" s="475"/>
      <c r="V4" s="616"/>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row>
    <row r="6" spans="1:136">
      <c r="C6" s="151" t="s">
        <v>725</v>
      </c>
    </row>
    <row r="7" spans="1:136">
      <c r="C7" s="183"/>
      <c r="D7" s="182" t="s">
        <v>726</v>
      </c>
      <c r="E7" s="182"/>
      <c r="F7" s="182"/>
      <c r="G7" s="182"/>
      <c r="H7" s="182"/>
      <c r="I7" s="182"/>
      <c r="J7" s="182"/>
      <c r="K7" s="182"/>
      <c r="L7" s="182"/>
      <c r="M7" s="182"/>
      <c r="N7" s="182"/>
      <c r="O7" s="182"/>
      <c r="P7" s="182"/>
      <c r="Q7" s="182"/>
      <c r="R7" s="182"/>
      <c r="S7" s="182"/>
      <c r="T7" s="182"/>
      <c r="U7" s="182"/>
      <c r="V7" s="182"/>
    </row>
    <row r="8" spans="1:136">
      <c r="D8" s="8" t="s">
        <v>727</v>
      </c>
    </row>
    <row r="9" spans="1:136">
      <c r="E9" s="8" t="s">
        <v>728</v>
      </c>
    </row>
    <row r="10" spans="1:136">
      <c r="E10" s="8" t="s">
        <v>729</v>
      </c>
    </row>
    <row r="11" spans="1:136">
      <c r="D11" s="8" t="s">
        <v>730</v>
      </c>
    </row>
    <row r="12" spans="1:136">
      <c r="D12" s="8" t="s">
        <v>731</v>
      </c>
    </row>
    <row r="13" spans="1:136" ht="32.25" customHeight="1">
      <c r="E13" s="2130" t="s">
        <v>732</v>
      </c>
      <c r="F13" s="2131"/>
      <c r="G13" s="2131"/>
      <c r="H13" s="2131"/>
      <c r="I13" s="2131"/>
      <c r="J13" s="2131"/>
      <c r="K13" s="2131"/>
      <c r="L13" s="2131"/>
      <c r="M13" s="2131"/>
      <c r="N13" s="2131"/>
      <c r="O13" s="2131"/>
      <c r="P13" s="2131"/>
      <c r="Q13" s="2131"/>
      <c r="R13" s="2131"/>
      <c r="S13" s="2131"/>
      <c r="T13" s="2131"/>
      <c r="U13" s="2131"/>
      <c r="V13" s="2131"/>
    </row>
    <row r="14" spans="1:136">
      <c r="D14" s="8" t="s">
        <v>733</v>
      </c>
    </row>
    <row r="15" spans="1:136" ht="32.25" customHeight="1">
      <c r="E15" s="2130" t="s">
        <v>734</v>
      </c>
      <c r="F15" s="2131"/>
      <c r="G15" s="2131"/>
      <c r="H15" s="2131"/>
      <c r="I15" s="2131"/>
      <c r="J15" s="2131"/>
      <c r="K15" s="2131"/>
      <c r="L15" s="2131"/>
      <c r="M15" s="2131"/>
      <c r="N15" s="2131"/>
      <c r="O15" s="2131"/>
      <c r="P15" s="2131"/>
      <c r="Q15" s="2131"/>
      <c r="R15" s="2131"/>
      <c r="S15" s="2131"/>
      <c r="T15" s="2131"/>
      <c r="U15" s="2131"/>
      <c r="V15" s="2131"/>
    </row>
    <row r="16" spans="1:136">
      <c r="D16" s="8" t="s">
        <v>735</v>
      </c>
    </row>
    <row r="17" spans="3:22">
      <c r="E17" s="8" t="s">
        <v>736</v>
      </c>
    </row>
    <row r="18" spans="3:22">
      <c r="E18" s="8" t="s">
        <v>737</v>
      </c>
    </row>
    <row r="19" spans="3:22">
      <c r="D19" s="8" t="s">
        <v>738</v>
      </c>
    </row>
    <row r="20" spans="3:22">
      <c r="D20" s="8" t="s">
        <v>739</v>
      </c>
    </row>
    <row r="21" spans="3:22">
      <c r="D21" s="8" t="s">
        <v>740</v>
      </c>
    </row>
    <row r="23" spans="3:22">
      <c r="C23" s="151" t="s">
        <v>741</v>
      </c>
    </row>
    <row r="24" spans="3:22">
      <c r="C24" s="183"/>
      <c r="D24" s="182" t="s">
        <v>742</v>
      </c>
      <c r="E24" s="182"/>
      <c r="F24" s="182"/>
      <c r="G24" s="182"/>
      <c r="H24" s="182"/>
      <c r="I24" s="182"/>
      <c r="J24" s="182"/>
      <c r="K24" s="182"/>
      <c r="L24" s="182"/>
      <c r="M24" s="182"/>
      <c r="N24" s="182"/>
      <c r="O24" s="182"/>
      <c r="P24" s="182"/>
      <c r="Q24" s="182"/>
      <c r="R24" s="182"/>
      <c r="S24" s="182"/>
      <c r="T24" s="182"/>
      <c r="U24" s="182"/>
      <c r="V24" s="182"/>
    </row>
    <row r="25" spans="3:22">
      <c r="D25" s="8" t="s">
        <v>743</v>
      </c>
    </row>
    <row r="26" spans="3:22">
      <c r="D26" s="8" t="s">
        <v>744</v>
      </c>
    </row>
    <row r="28" spans="3:22">
      <c r="C28" s="1157" t="s">
        <v>745</v>
      </c>
      <c r="D28" s="296"/>
      <c r="E28" s="296"/>
      <c r="F28" s="296"/>
      <c r="G28" s="296"/>
      <c r="H28" s="296"/>
      <c r="I28" s="296"/>
      <c r="J28" s="296"/>
      <c r="K28" s="296"/>
      <c r="L28" s="296"/>
      <c r="M28" s="296"/>
      <c r="N28" s="296"/>
      <c r="O28" s="296"/>
      <c r="P28" s="296"/>
      <c r="Q28" s="296"/>
      <c r="R28" s="296"/>
      <c r="S28" s="296"/>
      <c r="T28" s="296"/>
      <c r="U28" s="296"/>
      <c r="V28" s="296"/>
    </row>
    <row r="29" spans="3:22">
      <c r="D29" s="8" t="s">
        <v>746</v>
      </c>
    </row>
    <row r="30" spans="3:22">
      <c r="D30" s="8" t="s">
        <v>747</v>
      </c>
    </row>
    <row r="31" spans="3:22">
      <c r="E31" s="8" t="s">
        <v>748</v>
      </c>
    </row>
    <row r="32" spans="3:22">
      <c r="E32" s="8" t="s">
        <v>749</v>
      </c>
    </row>
    <row r="33" spans="3:22">
      <c r="E33" s="8" t="s">
        <v>750</v>
      </c>
    </row>
    <row r="34" spans="3:22">
      <c r="D34" s="8" t="s">
        <v>751</v>
      </c>
    </row>
    <row r="35" spans="3:22" ht="32.25" customHeight="1">
      <c r="E35" s="2130" t="s">
        <v>752</v>
      </c>
      <c r="F35" s="2131"/>
      <c r="G35" s="2131"/>
      <c r="H35" s="2131"/>
      <c r="I35" s="2131"/>
      <c r="J35" s="2131"/>
      <c r="K35" s="2131"/>
      <c r="L35" s="2131"/>
      <c r="M35" s="2131"/>
      <c r="N35" s="2131"/>
      <c r="O35" s="2131"/>
      <c r="P35" s="2131"/>
      <c r="Q35" s="2131"/>
      <c r="R35" s="2131"/>
      <c r="S35" s="2131"/>
      <c r="T35" s="2131"/>
      <c r="U35" s="2131"/>
      <c r="V35" s="2131"/>
    </row>
    <row r="36" spans="3:22">
      <c r="E36" s="8" t="s">
        <v>753</v>
      </c>
    </row>
    <row r="38" spans="3:22">
      <c r="C38" s="1157" t="s">
        <v>754</v>
      </c>
      <c r="D38" s="296"/>
      <c r="E38" s="296"/>
      <c r="F38" s="296"/>
      <c r="G38" s="296"/>
      <c r="H38" s="296"/>
      <c r="I38" s="296"/>
      <c r="J38" s="296"/>
      <c r="K38" s="296"/>
      <c r="L38" s="296"/>
      <c r="M38" s="296"/>
      <c r="N38" s="296"/>
      <c r="O38" s="296"/>
      <c r="P38" s="296"/>
      <c r="Q38" s="296"/>
      <c r="R38" s="296"/>
      <c r="S38" s="296"/>
      <c r="T38" s="296"/>
      <c r="U38" s="296"/>
      <c r="V38" s="296"/>
    </row>
    <row r="39" spans="3:22">
      <c r="D39" s="8" t="s">
        <v>755</v>
      </c>
    </row>
    <row r="40" spans="3:22">
      <c r="D40" s="8" t="s">
        <v>756</v>
      </c>
    </row>
    <row r="42" spans="3:22">
      <c r="C42" s="1157" t="s">
        <v>757</v>
      </c>
      <c r="D42" s="296"/>
      <c r="E42" s="296"/>
      <c r="F42" s="296"/>
      <c r="G42" s="296"/>
      <c r="H42" s="296"/>
      <c r="I42" s="296"/>
      <c r="J42" s="296"/>
      <c r="K42" s="296"/>
      <c r="L42" s="296"/>
      <c r="M42" s="296"/>
      <c r="N42" s="296"/>
      <c r="O42" s="296"/>
      <c r="P42" s="296"/>
      <c r="Q42" s="296"/>
      <c r="R42" s="296"/>
      <c r="S42" s="296"/>
      <c r="T42" s="296"/>
      <c r="U42" s="296"/>
      <c r="V42" s="296"/>
    </row>
    <row r="43" spans="3:22">
      <c r="D43" s="8" t="s">
        <v>758</v>
      </c>
    </row>
    <row r="44" spans="3:22">
      <c r="D44" s="8" t="s">
        <v>759</v>
      </c>
    </row>
    <row r="45" spans="3:22" ht="32.25" customHeight="1">
      <c r="D45" s="2130" t="s">
        <v>760</v>
      </c>
      <c r="E45" s="2131"/>
      <c r="F45" s="2131"/>
      <c r="G45" s="2131"/>
      <c r="H45" s="2131"/>
      <c r="I45" s="2131"/>
      <c r="J45" s="2131"/>
      <c r="K45" s="2131"/>
      <c r="L45" s="2131"/>
      <c r="M45" s="2131"/>
      <c r="N45" s="2131"/>
      <c r="O45" s="2131"/>
      <c r="P45" s="2131"/>
      <c r="Q45" s="2131"/>
      <c r="R45" s="2131"/>
      <c r="S45" s="2131"/>
      <c r="T45" s="2131"/>
      <c r="U45" s="2131"/>
      <c r="V45" s="2131"/>
    </row>
    <row r="46" spans="3:22">
      <c r="D46" s="8" t="s">
        <v>761</v>
      </c>
    </row>
    <row r="48" spans="3:22">
      <c r="C48" s="1157" t="s">
        <v>762</v>
      </c>
      <c r="D48" s="296"/>
      <c r="E48" s="296"/>
      <c r="F48" s="296"/>
      <c r="G48" s="296"/>
      <c r="H48" s="296"/>
      <c r="I48" s="296"/>
      <c r="J48" s="296"/>
      <c r="K48" s="296"/>
      <c r="L48" s="296"/>
      <c r="M48" s="296"/>
      <c r="N48" s="296"/>
      <c r="O48" s="296"/>
      <c r="P48" s="296"/>
      <c r="Q48" s="296"/>
      <c r="R48" s="296"/>
      <c r="S48" s="296"/>
      <c r="T48" s="296"/>
      <c r="U48" s="296"/>
      <c r="V48" s="296"/>
    </row>
    <row r="49" spans="3:22">
      <c r="D49" s="8" t="s">
        <v>763</v>
      </c>
    </row>
    <row r="50" spans="3:22">
      <c r="D50" s="8" t="s">
        <v>764</v>
      </c>
    </row>
    <row r="51" spans="3:22">
      <c r="D51" s="8" t="s">
        <v>765</v>
      </c>
    </row>
    <row r="52" spans="3:22">
      <c r="D52" s="8" t="s">
        <v>766</v>
      </c>
    </row>
    <row r="54" spans="3:22">
      <c r="C54" s="1157" t="s">
        <v>2566</v>
      </c>
      <c r="D54" s="296"/>
      <c r="E54" s="296"/>
      <c r="F54" s="296"/>
      <c r="G54" s="296"/>
      <c r="H54" s="296"/>
      <c r="I54" s="296"/>
      <c r="J54" s="296"/>
      <c r="K54" s="296"/>
      <c r="L54" s="296"/>
      <c r="M54" s="296"/>
      <c r="N54" s="296"/>
      <c r="O54" s="296"/>
      <c r="P54" s="296"/>
      <c r="Q54" s="296"/>
      <c r="R54" s="296"/>
      <c r="S54" s="296"/>
      <c r="T54" s="296"/>
      <c r="U54" s="296"/>
      <c r="V54" s="296"/>
    </row>
    <row r="55" spans="3:22" ht="32.25" customHeight="1">
      <c r="D55" s="2132" t="s">
        <v>2569</v>
      </c>
      <c r="E55" s="2133"/>
      <c r="F55" s="2133"/>
      <c r="G55" s="2133"/>
      <c r="H55" s="2133"/>
      <c r="I55" s="2133"/>
      <c r="J55" s="2133"/>
      <c r="K55" s="2133"/>
      <c r="L55" s="2133"/>
      <c r="M55" s="2133"/>
      <c r="N55" s="2133"/>
      <c r="O55" s="2133"/>
      <c r="P55" s="2133"/>
      <c r="Q55" s="2133"/>
      <c r="R55" s="2133"/>
      <c r="S55" s="2133"/>
      <c r="T55" s="2133"/>
      <c r="U55" s="2133"/>
      <c r="V55" s="2133"/>
    </row>
    <row r="56" spans="3:22">
      <c r="D56" s="8" t="s">
        <v>2567</v>
      </c>
    </row>
    <row r="58" spans="3:22">
      <c r="C58" s="1157" t="s">
        <v>2568</v>
      </c>
      <c r="D58" s="296"/>
      <c r="E58" s="296"/>
      <c r="F58" s="296"/>
      <c r="G58" s="296"/>
      <c r="H58" s="296"/>
      <c r="I58" s="296"/>
      <c r="J58" s="296"/>
      <c r="K58" s="296"/>
      <c r="L58" s="296"/>
      <c r="M58" s="296"/>
      <c r="N58" s="296"/>
      <c r="O58" s="296"/>
      <c r="P58" s="296"/>
      <c r="Q58" s="296"/>
      <c r="R58" s="296"/>
      <c r="S58" s="296"/>
      <c r="T58" s="296"/>
      <c r="U58" s="296"/>
      <c r="V58" s="296"/>
    </row>
    <row r="59" spans="3:22">
      <c r="C59" s="151"/>
      <c r="D59" s="8" t="s">
        <v>2570</v>
      </c>
    </row>
    <row r="60" spans="3:22">
      <c r="C60" s="151"/>
      <c r="D60" s="8" t="s">
        <v>2571</v>
      </c>
    </row>
    <row r="61" spans="3:22">
      <c r="C61" s="151"/>
    </row>
    <row r="62" spans="3:22">
      <c r="C62" s="1157" t="s">
        <v>2572</v>
      </c>
      <c r="D62" s="296"/>
      <c r="E62" s="296"/>
      <c r="F62" s="296"/>
      <c r="G62" s="296"/>
      <c r="H62" s="296"/>
      <c r="I62" s="296"/>
      <c r="J62" s="296"/>
      <c r="K62" s="296"/>
      <c r="L62" s="296"/>
      <c r="M62" s="296"/>
      <c r="N62" s="296"/>
      <c r="O62" s="296"/>
      <c r="P62" s="296"/>
      <c r="Q62" s="296"/>
      <c r="R62" s="296"/>
      <c r="S62" s="296"/>
      <c r="T62" s="296"/>
      <c r="U62" s="296"/>
      <c r="V62" s="296"/>
    </row>
    <row r="63" spans="3:22">
      <c r="C63" s="151"/>
      <c r="D63" s="8" t="s">
        <v>2573</v>
      </c>
    </row>
    <row r="64" spans="3:22">
      <c r="C64" s="151"/>
      <c r="D64" s="8" t="s">
        <v>2574</v>
      </c>
    </row>
    <row r="65" spans="3:22">
      <c r="C65" s="151"/>
      <c r="E65" s="8" t="s">
        <v>2576</v>
      </c>
    </row>
    <row r="66" spans="3:22">
      <c r="C66" s="151"/>
      <c r="E66" s="8" t="s">
        <v>2577</v>
      </c>
    </row>
    <row r="67" spans="3:22">
      <c r="C67" s="151"/>
      <c r="D67" s="8" t="s">
        <v>2578</v>
      </c>
    </row>
    <row r="68" spans="3:22">
      <c r="C68" s="151"/>
      <c r="E68" s="8" t="s">
        <v>2579</v>
      </c>
    </row>
    <row r="69" spans="3:22">
      <c r="C69" s="151"/>
      <c r="E69" s="8" t="s">
        <v>2580</v>
      </c>
    </row>
    <row r="70" spans="3:22">
      <c r="C70" s="151"/>
      <c r="E70" s="8" t="s">
        <v>2575</v>
      </c>
    </row>
    <row r="72" spans="3:22">
      <c r="C72" s="1157" t="s">
        <v>767</v>
      </c>
      <c r="D72" s="296"/>
      <c r="E72" s="296"/>
      <c r="F72" s="296"/>
      <c r="G72" s="296"/>
      <c r="H72" s="296"/>
      <c r="I72" s="296"/>
      <c r="J72" s="296"/>
      <c r="K72" s="296"/>
      <c r="L72" s="296"/>
      <c r="M72" s="296"/>
      <c r="N72" s="296"/>
      <c r="O72" s="296"/>
      <c r="P72" s="296"/>
      <c r="Q72" s="296"/>
      <c r="R72" s="296"/>
      <c r="S72" s="296"/>
      <c r="T72" s="296"/>
      <c r="U72" s="296"/>
      <c r="V72" s="296"/>
    </row>
    <row r="73" spans="3:22">
      <c r="D73" s="8" t="s">
        <v>768</v>
      </c>
    </row>
    <row r="75" spans="3:22">
      <c r="C75" s="1157" t="s">
        <v>769</v>
      </c>
      <c r="D75" s="296"/>
      <c r="E75" s="296"/>
      <c r="F75" s="296"/>
      <c r="G75" s="296"/>
      <c r="H75" s="296"/>
      <c r="I75" s="296"/>
      <c r="J75" s="296"/>
      <c r="K75" s="296"/>
      <c r="L75" s="296"/>
      <c r="M75" s="296"/>
      <c r="N75" s="296"/>
      <c r="O75" s="296"/>
      <c r="P75" s="296"/>
      <c r="Q75" s="296"/>
      <c r="R75" s="296"/>
      <c r="S75" s="296"/>
      <c r="T75" s="296"/>
      <c r="U75" s="296"/>
      <c r="V75" s="296"/>
    </row>
    <row r="76" spans="3:22">
      <c r="D76" s="8" t="s">
        <v>770</v>
      </c>
    </row>
    <row r="77" spans="3:22">
      <c r="D77" s="8" t="s">
        <v>771</v>
      </c>
    </row>
    <row r="78" spans="3:22">
      <c r="E78" s="8" t="s">
        <v>772</v>
      </c>
    </row>
    <row r="80" spans="3:22">
      <c r="C80" s="1157" t="s">
        <v>773</v>
      </c>
      <c r="D80" s="296"/>
      <c r="E80" s="296"/>
      <c r="F80" s="296"/>
      <c r="G80" s="296"/>
      <c r="H80" s="296"/>
      <c r="I80" s="296"/>
      <c r="J80" s="296"/>
      <c r="K80" s="296"/>
      <c r="L80" s="296"/>
      <c r="M80" s="296"/>
      <c r="N80" s="296"/>
      <c r="O80" s="296"/>
      <c r="P80" s="296"/>
      <c r="Q80" s="296"/>
      <c r="R80" s="296"/>
      <c r="S80" s="296"/>
      <c r="T80" s="296"/>
      <c r="U80" s="296"/>
      <c r="V80" s="296"/>
    </row>
    <row r="81" spans="2:22">
      <c r="D81" s="8" t="s">
        <v>774</v>
      </c>
    </row>
    <row r="82" spans="2:22">
      <c r="D82" s="8" t="s">
        <v>775</v>
      </c>
    </row>
    <row r="84" spans="2:22">
      <c r="C84" s="1157" t="s">
        <v>776</v>
      </c>
      <c r="D84" s="296"/>
      <c r="E84" s="296"/>
      <c r="F84" s="296"/>
      <c r="G84" s="296"/>
      <c r="H84" s="296"/>
      <c r="I84" s="296"/>
      <c r="J84" s="296"/>
      <c r="K84" s="296"/>
      <c r="L84" s="296"/>
      <c r="M84" s="296"/>
      <c r="N84" s="296"/>
      <c r="O84" s="296"/>
      <c r="P84" s="296"/>
      <c r="Q84" s="296"/>
      <c r="R84" s="296"/>
      <c r="S84" s="296"/>
      <c r="T84" s="296"/>
      <c r="U84" s="296"/>
      <c r="V84" s="296"/>
    </row>
    <row r="85" spans="2:22">
      <c r="D85" s="8" t="s">
        <v>777</v>
      </c>
    </row>
    <row r="87" spans="2:22">
      <c r="C87" s="1157" t="s">
        <v>778</v>
      </c>
      <c r="D87" s="296"/>
      <c r="E87" s="296"/>
      <c r="F87" s="296"/>
      <c r="G87" s="296"/>
      <c r="H87" s="296"/>
      <c r="I87" s="296"/>
      <c r="J87" s="296"/>
      <c r="K87" s="296"/>
      <c r="L87" s="296"/>
      <c r="M87" s="296"/>
      <c r="N87" s="296"/>
      <c r="O87" s="296"/>
      <c r="P87" s="296"/>
      <c r="Q87" s="296"/>
      <c r="R87" s="296"/>
      <c r="S87" s="296"/>
      <c r="T87" s="296"/>
      <c r="U87" s="296"/>
      <c r="V87" s="296"/>
    </row>
    <row r="88" spans="2:22">
      <c r="D88" s="8" t="s">
        <v>779</v>
      </c>
    </row>
    <row r="89" spans="2:22">
      <c r="E89" s="8" t="s">
        <v>780</v>
      </c>
    </row>
    <row r="90" spans="2:22">
      <c r="E90" s="8" t="s">
        <v>781</v>
      </c>
    </row>
    <row r="92" spans="2:22">
      <c r="C92" s="1157" t="s">
        <v>782</v>
      </c>
      <c r="D92" s="296"/>
      <c r="E92" s="296"/>
      <c r="F92" s="296"/>
      <c r="G92" s="296"/>
      <c r="H92" s="296"/>
      <c r="I92" s="296"/>
      <c r="J92" s="296"/>
      <c r="K92" s="296"/>
      <c r="L92" s="296"/>
      <c r="M92" s="296"/>
      <c r="N92" s="296"/>
      <c r="O92" s="296"/>
      <c r="P92" s="296"/>
      <c r="Q92" s="296"/>
      <c r="R92" s="296"/>
      <c r="S92" s="296"/>
      <c r="T92" s="296"/>
      <c r="U92" s="296"/>
      <c r="V92" s="296"/>
    </row>
    <row r="93" spans="2:22">
      <c r="D93" s="8" t="s">
        <v>783</v>
      </c>
    </row>
    <row r="94" spans="2:22" ht="16.5" thickBot="1"/>
    <row r="95" spans="2:22" ht="21.75" thickBot="1">
      <c r="B95" s="473" t="s">
        <v>784</v>
      </c>
      <c r="C95" s="20"/>
      <c r="D95" s="21"/>
      <c r="E95" s="474"/>
      <c r="F95" s="475"/>
      <c r="G95" s="475"/>
      <c r="H95" s="475"/>
      <c r="I95" s="475"/>
      <c r="J95" s="475"/>
      <c r="K95" s="475"/>
      <c r="L95" s="475"/>
      <c r="M95" s="475"/>
      <c r="N95" s="475"/>
      <c r="O95" s="475"/>
      <c r="P95" s="475"/>
      <c r="Q95" s="475"/>
      <c r="R95" s="475"/>
      <c r="S95" s="475"/>
      <c r="T95" s="475"/>
      <c r="U95" s="475"/>
      <c r="V95" s="616"/>
    </row>
    <row r="97" spans="3:22">
      <c r="C97" s="1157" t="s">
        <v>785</v>
      </c>
      <c r="D97" s="296"/>
      <c r="E97" s="296"/>
      <c r="F97" s="296"/>
      <c r="G97" s="296"/>
      <c r="H97" s="296"/>
      <c r="I97" s="296"/>
      <c r="J97" s="296"/>
      <c r="K97" s="296"/>
      <c r="L97" s="296"/>
      <c r="M97" s="296"/>
      <c r="N97" s="296"/>
      <c r="O97" s="296"/>
      <c r="P97" s="296"/>
      <c r="Q97" s="296"/>
      <c r="R97" s="296"/>
      <c r="S97" s="296"/>
      <c r="T97" s="296"/>
      <c r="U97" s="296"/>
      <c r="V97" s="296"/>
    </row>
    <row r="98" spans="3:22">
      <c r="D98" s="8" t="s">
        <v>786</v>
      </c>
    </row>
    <row r="99" spans="3:22">
      <c r="D99" s="8" t="s">
        <v>787</v>
      </c>
    </row>
    <row r="101" spans="3:22">
      <c r="C101" s="1157" t="s">
        <v>778</v>
      </c>
      <c r="D101" s="296"/>
      <c r="E101" s="296"/>
      <c r="F101" s="296"/>
      <c r="G101" s="296"/>
      <c r="H101" s="296"/>
      <c r="I101" s="296"/>
      <c r="J101" s="296"/>
      <c r="K101" s="296"/>
      <c r="L101" s="296"/>
      <c r="M101" s="296"/>
      <c r="N101" s="296"/>
      <c r="O101" s="296"/>
      <c r="P101" s="296"/>
      <c r="Q101" s="296"/>
      <c r="R101" s="296"/>
      <c r="S101" s="296"/>
      <c r="T101" s="296"/>
      <c r="U101" s="296"/>
      <c r="V101" s="296"/>
    </row>
    <row r="102" spans="3:22">
      <c r="D102" s="8" t="s">
        <v>788</v>
      </c>
    </row>
    <row r="103" spans="3:22">
      <c r="D103" s="8" t="s">
        <v>789</v>
      </c>
    </row>
    <row r="104" spans="3:22">
      <c r="D104" s="8" t="s">
        <v>790</v>
      </c>
    </row>
    <row r="106" spans="3:22">
      <c r="C106" s="1157" t="s">
        <v>782</v>
      </c>
      <c r="D106" s="296"/>
      <c r="E106" s="296"/>
      <c r="F106" s="296"/>
      <c r="G106" s="296"/>
      <c r="H106" s="296"/>
      <c r="I106" s="296"/>
      <c r="J106" s="296"/>
      <c r="K106" s="296"/>
      <c r="L106" s="296"/>
      <c r="M106" s="296"/>
      <c r="N106" s="296"/>
      <c r="O106" s="296"/>
      <c r="P106" s="296"/>
      <c r="Q106" s="296"/>
      <c r="R106" s="296"/>
      <c r="S106" s="296"/>
      <c r="T106" s="296"/>
      <c r="U106" s="296"/>
      <c r="V106" s="296"/>
    </row>
    <row r="107" spans="3:22">
      <c r="D107" s="8" t="s">
        <v>791</v>
      </c>
    </row>
    <row r="109" spans="3:22">
      <c r="C109" s="1157" t="s">
        <v>792</v>
      </c>
      <c r="D109" s="296"/>
      <c r="E109" s="296"/>
      <c r="F109" s="296"/>
      <c r="G109" s="296"/>
      <c r="H109" s="296"/>
      <c r="I109" s="296"/>
      <c r="J109" s="296"/>
      <c r="K109" s="296"/>
      <c r="L109" s="296"/>
      <c r="M109" s="296"/>
      <c r="N109" s="296"/>
      <c r="O109" s="296"/>
      <c r="P109" s="296"/>
      <c r="Q109" s="296"/>
      <c r="R109" s="296"/>
      <c r="S109" s="296"/>
      <c r="T109" s="296"/>
      <c r="U109" s="296"/>
      <c r="V109" s="296"/>
    </row>
    <row r="110" spans="3:22">
      <c r="D110" s="8" t="s">
        <v>793</v>
      </c>
    </row>
    <row r="112" spans="3:22">
      <c r="C112" s="1157" t="s">
        <v>794</v>
      </c>
      <c r="D112" s="296"/>
      <c r="E112" s="296"/>
      <c r="F112" s="296"/>
      <c r="G112" s="296"/>
      <c r="H112" s="296"/>
      <c r="I112" s="296"/>
      <c r="J112" s="296"/>
      <c r="K112" s="296"/>
      <c r="L112" s="296"/>
      <c r="M112" s="296"/>
      <c r="N112" s="296"/>
      <c r="O112" s="296"/>
      <c r="P112" s="296"/>
      <c r="Q112" s="296"/>
      <c r="R112" s="296"/>
      <c r="S112" s="296"/>
      <c r="T112" s="296"/>
      <c r="U112" s="296"/>
      <c r="V112" s="296"/>
    </row>
    <row r="113" spans="4:4">
      <c r="D113" s="8" t="s">
        <v>795</v>
      </c>
    </row>
  </sheetData>
  <sheetProtection algorithmName="SHA-512" hashValue="/39kaDjo/tAXVQKQFdX7nkaSkWhHP3noUXDxCAniar9q5zqzcPO16IJQIX7s1x2O2W/2t0eNcxFdvqY7eGtNRg==" saltValue="BR8J60TAzDjN28z/ljbkEg==" spinCount="100000" sheet="1" objects="1" scenarios="1" formatCells="0" formatColumns="0" formatRows="0"/>
  <mergeCells count="5">
    <mergeCell ref="E13:V13"/>
    <mergeCell ref="E15:V15"/>
    <mergeCell ref="E35:V35"/>
    <mergeCell ref="D45:V45"/>
    <mergeCell ref="D55:V5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st00_7_Instruction_RIH">
    <tabColor theme="0" tint="-0.34998626667073579"/>
  </sheetPr>
  <dimension ref="A1:EF62"/>
  <sheetViews>
    <sheetView zoomScale="85" zoomScaleNormal="85" workbookViewId="0"/>
  </sheetViews>
  <sheetFormatPr defaultColWidth="9.5" defaultRowHeight="15.75"/>
  <cols>
    <col min="1" max="1" width="4.5" style="8" customWidth="1"/>
    <col min="2" max="5" width="9.5" style="8"/>
    <col min="6" max="6" width="10.5" style="8" customWidth="1"/>
    <col min="7" max="7" width="15.5" style="8" bestFit="1" customWidth="1"/>
    <col min="8" max="8" width="9.5" style="8"/>
    <col min="9" max="9" width="16.5" style="8" bestFit="1" customWidth="1"/>
    <col min="10" max="10" width="9.5" style="8"/>
    <col min="11" max="11" width="17.33203125" style="8" bestFit="1" customWidth="1"/>
    <col min="12" max="16384" width="9.5" style="8"/>
  </cols>
  <sheetData>
    <row r="1" spans="1:136" s="11" customFormat="1" ht="27" thickTop="1">
      <c r="A1" s="61" t="s">
        <v>796</v>
      </c>
      <c r="B1" s="59"/>
      <c r="C1" s="59"/>
      <c r="D1" s="59"/>
      <c r="E1" s="59"/>
      <c r="F1" s="59"/>
      <c r="G1" s="59"/>
      <c r="H1" s="59"/>
      <c r="I1" s="59"/>
      <c r="J1" s="59"/>
      <c r="K1" s="59"/>
      <c r="L1" s="59"/>
      <c r="M1" s="59"/>
      <c r="N1" s="59"/>
      <c r="O1" s="59"/>
      <c r="P1" s="59"/>
      <c r="Q1" s="59"/>
      <c r="R1" s="59"/>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0"/>
      <c r="DB1" s="630"/>
      <c r="DC1" s="630"/>
      <c r="DD1" s="630"/>
      <c r="DE1" s="630"/>
      <c r="DF1" s="630"/>
      <c r="DG1" s="630"/>
      <c r="DH1" s="630"/>
      <c r="DI1" s="630"/>
      <c r="DJ1" s="630"/>
      <c r="DK1" s="630"/>
      <c r="DL1" s="630"/>
      <c r="DM1" s="630"/>
      <c r="DN1" s="630"/>
      <c r="DO1" s="630"/>
      <c r="DP1" s="630"/>
      <c r="DQ1" s="630"/>
      <c r="DR1" s="630"/>
      <c r="DS1" s="630"/>
      <c r="DT1" s="630"/>
      <c r="DU1" s="630"/>
      <c r="DV1" s="630"/>
      <c r="DW1" s="630"/>
      <c r="DX1" s="630"/>
      <c r="DY1" s="630"/>
      <c r="DZ1" s="630"/>
      <c r="EA1" s="630"/>
      <c r="EB1" s="630"/>
      <c r="EC1" s="630"/>
      <c r="ED1" s="630"/>
      <c r="EE1" s="630"/>
      <c r="EF1" s="630"/>
    </row>
    <row r="2" spans="1:136" s="11" customFormat="1" ht="21">
      <c r="A2" s="663" t="str">
        <f>IF(rng01_ProjectName="","[Project Name]", rng01_ProjectName)</f>
        <v>[Project Name]</v>
      </c>
      <c r="B2" s="664"/>
      <c r="C2" s="664"/>
      <c r="D2" s="665"/>
      <c r="E2" s="664"/>
      <c r="F2" s="664"/>
      <c r="G2" s="664"/>
      <c r="H2" s="664"/>
      <c r="I2" s="664"/>
      <c r="J2" s="666" t="s">
        <v>245</v>
      </c>
      <c r="K2" s="667">
        <f>tbl00ModelProgress[[#Totals],[Date of Progress /
Last Edit]]</f>
        <v>0</v>
      </c>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row>
    <row r="3" spans="1:136" ht="16.5" thickBot="1"/>
    <row r="4" spans="1:136" ht="21.75" thickBot="1">
      <c r="B4" s="473" t="s">
        <v>797</v>
      </c>
      <c r="C4" s="20"/>
      <c r="D4" s="21"/>
      <c r="E4" s="474"/>
      <c r="F4" s="475"/>
      <c r="G4" s="475"/>
      <c r="H4" s="475"/>
      <c r="I4" s="475"/>
      <c r="J4" s="475"/>
      <c r="K4" s="475"/>
      <c r="L4" s="475"/>
      <c r="M4" s="475"/>
      <c r="N4" s="475"/>
      <c r="O4" s="475"/>
      <c r="P4" s="475"/>
      <c r="Q4" s="475"/>
      <c r="R4" s="475"/>
      <c r="S4" s="475"/>
      <c r="T4" s="475"/>
      <c r="U4" s="475"/>
      <c r="V4" s="616"/>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row>
    <row r="6" spans="1:136">
      <c r="C6" s="1157" t="s">
        <v>798</v>
      </c>
      <c r="D6" s="296"/>
      <c r="E6" s="296"/>
      <c r="F6" s="296"/>
      <c r="G6" s="296"/>
      <c r="H6" s="296"/>
      <c r="I6" s="296"/>
      <c r="J6" s="296"/>
      <c r="K6" s="296"/>
      <c r="L6" s="296"/>
      <c r="M6" s="296"/>
      <c r="N6" s="296"/>
      <c r="O6" s="296"/>
      <c r="P6" s="296"/>
      <c r="Q6" s="296"/>
      <c r="R6" s="296"/>
      <c r="S6" s="296"/>
      <c r="T6" s="296"/>
      <c r="U6" s="296"/>
      <c r="V6" s="296"/>
    </row>
    <row r="7" spans="1:136">
      <c r="D7" s="8" t="s">
        <v>799</v>
      </c>
    </row>
    <row r="9" spans="1:136">
      <c r="C9" s="1157" t="s">
        <v>800</v>
      </c>
      <c r="D9" s="296"/>
      <c r="E9" s="296"/>
      <c r="F9" s="296"/>
      <c r="G9" s="296"/>
      <c r="H9" s="296"/>
      <c r="I9" s="296"/>
      <c r="J9" s="296"/>
      <c r="K9" s="296"/>
      <c r="L9" s="296"/>
      <c r="M9" s="296"/>
      <c r="N9" s="296"/>
      <c r="O9" s="296"/>
      <c r="P9" s="296"/>
      <c r="Q9" s="296"/>
      <c r="R9" s="296"/>
      <c r="S9" s="296"/>
      <c r="T9" s="296"/>
      <c r="U9" s="296"/>
      <c r="V9" s="296"/>
    </row>
    <row r="10" spans="1:136">
      <c r="D10" s="8" t="s">
        <v>801</v>
      </c>
    </row>
    <row r="12" spans="1:136">
      <c r="C12" s="1157" t="s">
        <v>802</v>
      </c>
      <c r="D12" s="296"/>
      <c r="E12" s="296"/>
      <c r="F12" s="296"/>
      <c r="G12" s="296"/>
      <c r="H12" s="296"/>
      <c r="I12" s="296"/>
      <c r="J12" s="296"/>
      <c r="K12" s="296"/>
      <c r="L12" s="296"/>
      <c r="M12" s="296"/>
      <c r="N12" s="296"/>
      <c r="O12" s="296"/>
      <c r="P12" s="296"/>
      <c r="Q12" s="296"/>
      <c r="R12" s="296"/>
      <c r="S12" s="296"/>
      <c r="T12" s="296"/>
      <c r="U12" s="296"/>
      <c r="V12" s="296"/>
    </row>
    <row r="13" spans="1:136">
      <c r="D13" s="8" t="s">
        <v>803</v>
      </c>
    </row>
    <row r="14" spans="1:136">
      <c r="E14" s="8" t="s">
        <v>804</v>
      </c>
    </row>
    <row r="15" spans="1:136">
      <c r="E15" s="8" t="s">
        <v>805</v>
      </c>
    </row>
    <row r="16" spans="1:136">
      <c r="E16" s="8" t="s">
        <v>806</v>
      </c>
    </row>
    <row r="17" spans="2:22">
      <c r="D17" s="8" t="s">
        <v>807</v>
      </c>
    </row>
    <row r="18" spans="2:22">
      <c r="E18" s="8" t="s">
        <v>808</v>
      </c>
    </row>
    <row r="19" spans="2:22">
      <c r="E19" s="8" t="s">
        <v>809</v>
      </c>
    </row>
    <row r="21" spans="2:22">
      <c r="C21" s="151" t="s">
        <v>810</v>
      </c>
    </row>
    <row r="22" spans="2:22">
      <c r="C22" s="183"/>
      <c r="D22" s="182" t="s">
        <v>811</v>
      </c>
      <c r="E22" s="182"/>
      <c r="F22" s="182"/>
      <c r="G22" s="182"/>
      <c r="H22" s="182"/>
      <c r="I22" s="182"/>
      <c r="J22" s="182"/>
      <c r="K22" s="182"/>
      <c r="L22" s="182"/>
      <c r="M22" s="182"/>
      <c r="N22" s="182"/>
      <c r="O22" s="182"/>
      <c r="P22" s="182"/>
      <c r="Q22" s="182"/>
      <c r="R22" s="182"/>
      <c r="S22" s="182"/>
      <c r="T22" s="182"/>
      <c r="U22" s="182"/>
      <c r="V22" s="182"/>
    </row>
    <row r="23" spans="2:22">
      <c r="E23" s="8" t="s">
        <v>812</v>
      </c>
    </row>
    <row r="24" spans="2:22">
      <c r="E24" s="8" t="s">
        <v>813</v>
      </c>
    </row>
    <row r="25" spans="2:22">
      <c r="E25" s="8" t="s">
        <v>814</v>
      </c>
    </row>
    <row r="26" spans="2:22">
      <c r="D26" s="8" t="s">
        <v>815</v>
      </c>
    </row>
    <row r="27" spans="2:22" ht="16.5" thickBot="1"/>
    <row r="28" spans="2:22" ht="21.75" thickBot="1">
      <c r="B28" s="473" t="s">
        <v>816</v>
      </c>
      <c r="C28" s="20"/>
      <c r="D28" s="21"/>
      <c r="E28" s="474"/>
      <c r="F28" s="475"/>
      <c r="G28" s="475"/>
      <c r="H28" s="475"/>
      <c r="I28" s="475"/>
      <c r="J28" s="475"/>
      <c r="K28" s="475"/>
      <c r="L28" s="475"/>
      <c r="M28" s="475"/>
      <c r="N28" s="475"/>
      <c r="O28" s="475"/>
      <c r="P28" s="475"/>
      <c r="Q28" s="475"/>
      <c r="R28" s="475"/>
      <c r="S28" s="475"/>
      <c r="T28" s="475"/>
      <c r="U28" s="475"/>
      <c r="V28" s="616"/>
    </row>
    <row r="30" spans="2:22">
      <c r="C30" s="1157" t="s">
        <v>798</v>
      </c>
      <c r="D30" s="296"/>
      <c r="E30" s="296"/>
      <c r="F30" s="296"/>
      <c r="G30" s="296"/>
      <c r="H30" s="296"/>
      <c r="I30" s="296"/>
      <c r="J30" s="296"/>
      <c r="K30" s="296"/>
      <c r="L30" s="296"/>
      <c r="M30" s="296"/>
      <c r="N30" s="296"/>
      <c r="O30" s="296"/>
      <c r="P30" s="296"/>
      <c r="Q30" s="296"/>
      <c r="R30" s="296"/>
      <c r="S30" s="296"/>
      <c r="T30" s="296"/>
      <c r="U30" s="296"/>
      <c r="V30" s="296"/>
    </row>
    <row r="31" spans="2:22">
      <c r="D31" s="8" t="s">
        <v>817</v>
      </c>
    </row>
    <row r="32" spans="2:22">
      <c r="D32" s="8" t="s">
        <v>818</v>
      </c>
    </row>
    <row r="33" spans="2:22">
      <c r="E33" s="8" t="s">
        <v>819</v>
      </c>
    </row>
    <row r="34" spans="2:22">
      <c r="D34" s="8" t="s">
        <v>820</v>
      </c>
    </row>
    <row r="35" spans="2:22">
      <c r="E35" s="8" t="s">
        <v>629</v>
      </c>
      <c r="F35" s="8" t="s">
        <v>821</v>
      </c>
      <c r="G35" s="8" t="s">
        <v>822</v>
      </c>
      <c r="H35" s="8" t="s">
        <v>98</v>
      </c>
      <c r="I35" s="8" t="s">
        <v>823</v>
      </c>
      <c r="J35" s="8" t="s">
        <v>99</v>
      </c>
      <c r="K35" s="8" t="s">
        <v>100</v>
      </c>
    </row>
    <row r="36" spans="2:22">
      <c r="E36" s="8">
        <v>1</v>
      </c>
      <c r="F36" s="8">
        <v>101</v>
      </c>
      <c r="G36" s="8">
        <v>1</v>
      </c>
      <c r="H36" s="8" t="s">
        <v>824</v>
      </c>
      <c r="I36" s="8" t="s">
        <v>824</v>
      </c>
      <c r="J36" s="8" t="s">
        <v>824</v>
      </c>
      <c r="K36" s="8" t="s">
        <v>824</v>
      </c>
    </row>
    <row r="37" spans="2:22">
      <c r="E37" s="8">
        <v>2</v>
      </c>
      <c r="F37" s="8">
        <v>101</v>
      </c>
      <c r="G37" s="8">
        <v>2</v>
      </c>
      <c r="H37" s="8" t="s">
        <v>824</v>
      </c>
      <c r="I37" s="8" t="s">
        <v>824</v>
      </c>
      <c r="J37" s="8" t="s">
        <v>824</v>
      </c>
      <c r="K37" s="8" t="s">
        <v>824</v>
      </c>
    </row>
    <row r="38" spans="2:22">
      <c r="E38" s="8">
        <v>3</v>
      </c>
      <c r="F38" s="8">
        <v>102</v>
      </c>
      <c r="G38" s="8">
        <v>1</v>
      </c>
      <c r="H38" s="8" t="s">
        <v>824</v>
      </c>
      <c r="I38" s="8" t="s">
        <v>824</v>
      </c>
      <c r="J38" s="8" t="s">
        <v>824</v>
      </c>
      <c r="K38" s="8" t="s">
        <v>824</v>
      </c>
    </row>
    <row r="39" spans="2:22">
      <c r="E39" s="8" t="s">
        <v>825</v>
      </c>
    </row>
    <row r="40" spans="2:22" ht="16.5" thickBot="1"/>
    <row r="41" spans="2:22" ht="21.75" thickBot="1">
      <c r="B41" s="473" t="s">
        <v>826</v>
      </c>
      <c r="C41" s="20"/>
      <c r="D41" s="21"/>
      <c r="E41" s="474"/>
      <c r="F41" s="475"/>
      <c r="G41" s="475"/>
      <c r="H41" s="475"/>
      <c r="I41" s="475"/>
      <c r="J41" s="475"/>
      <c r="K41" s="475"/>
      <c r="L41" s="475"/>
      <c r="M41" s="475"/>
      <c r="N41" s="475"/>
      <c r="O41" s="475"/>
      <c r="P41" s="475"/>
      <c r="Q41" s="475"/>
      <c r="R41" s="475"/>
      <c r="S41" s="475"/>
      <c r="T41" s="475"/>
      <c r="U41" s="475"/>
      <c r="V41" s="616"/>
    </row>
    <row r="43" spans="2:22">
      <c r="C43" s="1157" t="s">
        <v>798</v>
      </c>
      <c r="D43" s="296"/>
      <c r="E43" s="296"/>
      <c r="F43" s="296"/>
      <c r="G43" s="296"/>
      <c r="H43" s="296"/>
      <c r="I43" s="296"/>
      <c r="J43" s="296"/>
      <c r="K43" s="296"/>
      <c r="L43" s="296"/>
      <c r="M43" s="296"/>
      <c r="N43" s="296"/>
      <c r="O43" s="296"/>
      <c r="P43" s="296"/>
      <c r="Q43" s="296"/>
      <c r="R43" s="296"/>
      <c r="S43" s="296"/>
      <c r="T43" s="296"/>
      <c r="U43" s="296"/>
      <c r="V43" s="296"/>
    </row>
    <row r="44" spans="2:22">
      <c r="D44" s="8" t="s">
        <v>827</v>
      </c>
    </row>
    <row r="45" spans="2:22">
      <c r="E45" s="8" t="s">
        <v>828</v>
      </c>
    </row>
    <row r="47" spans="2:22">
      <c r="C47" s="1157" t="s">
        <v>800</v>
      </c>
      <c r="D47" s="296"/>
      <c r="E47" s="296"/>
      <c r="F47" s="296"/>
      <c r="G47" s="296"/>
      <c r="H47" s="296"/>
      <c r="I47" s="296"/>
      <c r="J47" s="296"/>
      <c r="K47" s="296"/>
      <c r="L47" s="296"/>
      <c r="M47" s="296"/>
      <c r="N47" s="296"/>
      <c r="O47" s="296"/>
      <c r="P47" s="296"/>
      <c r="Q47" s="296"/>
      <c r="R47" s="296"/>
      <c r="S47" s="296"/>
      <c r="T47" s="296"/>
      <c r="U47" s="296"/>
      <c r="V47" s="296"/>
    </row>
    <row r="48" spans="2:22">
      <c r="D48" s="8" t="s">
        <v>829</v>
      </c>
    </row>
    <row r="49" spans="3:22">
      <c r="E49" s="8" t="s">
        <v>830</v>
      </c>
    </row>
    <row r="50" spans="3:22">
      <c r="E50" s="8" t="s">
        <v>831</v>
      </c>
    </row>
    <row r="52" spans="3:22">
      <c r="C52" s="1157" t="s">
        <v>832</v>
      </c>
      <c r="D52" s="296"/>
      <c r="E52" s="296"/>
      <c r="F52" s="296"/>
      <c r="G52" s="296"/>
      <c r="H52" s="296"/>
      <c r="I52" s="296"/>
      <c r="J52" s="296"/>
      <c r="K52" s="296"/>
      <c r="L52" s="296"/>
      <c r="M52" s="296"/>
      <c r="N52" s="296"/>
      <c r="O52" s="296"/>
      <c r="P52" s="296"/>
      <c r="Q52" s="296"/>
      <c r="R52" s="296"/>
      <c r="S52" s="296"/>
      <c r="T52" s="296"/>
      <c r="U52" s="296"/>
      <c r="V52" s="296"/>
    </row>
    <row r="53" spans="3:22">
      <c r="D53" s="8" t="s">
        <v>833</v>
      </c>
    </row>
    <row r="54" spans="3:22">
      <c r="D54" s="8" t="s">
        <v>834</v>
      </c>
    </row>
    <row r="56" spans="3:22">
      <c r="C56" s="151" t="s">
        <v>810</v>
      </c>
    </row>
    <row r="57" spans="3:22">
      <c r="C57" s="183"/>
      <c r="D57" s="182" t="s">
        <v>835</v>
      </c>
      <c r="E57" s="182"/>
      <c r="F57" s="182"/>
      <c r="G57" s="182"/>
      <c r="H57" s="182"/>
      <c r="I57" s="182"/>
      <c r="J57" s="182"/>
      <c r="K57" s="182"/>
      <c r="L57" s="182"/>
      <c r="M57" s="182"/>
      <c r="N57" s="182"/>
      <c r="O57" s="182"/>
      <c r="P57" s="182"/>
      <c r="Q57" s="182"/>
      <c r="R57" s="182"/>
      <c r="S57" s="182"/>
      <c r="T57" s="182"/>
      <c r="U57" s="182"/>
      <c r="V57" s="182"/>
    </row>
    <row r="58" spans="3:22">
      <c r="E58" s="8" t="s">
        <v>836</v>
      </c>
    </row>
    <row r="59" spans="3:22">
      <c r="E59" s="8" t="s">
        <v>837</v>
      </c>
    </row>
    <row r="61" spans="3:22">
      <c r="C61" s="151" t="s">
        <v>838</v>
      </c>
    </row>
    <row r="62" spans="3:22">
      <c r="C62" s="183"/>
      <c r="D62" s="182" t="s">
        <v>839</v>
      </c>
      <c r="E62" s="182"/>
      <c r="F62" s="182"/>
      <c r="G62" s="182"/>
      <c r="H62" s="182"/>
      <c r="I62" s="182"/>
      <c r="J62" s="182"/>
      <c r="K62" s="182"/>
      <c r="L62" s="182"/>
      <c r="M62" s="182"/>
      <c r="N62" s="182"/>
      <c r="O62" s="182"/>
      <c r="P62" s="182"/>
      <c r="Q62" s="182"/>
      <c r="R62" s="182"/>
      <c r="S62" s="182"/>
      <c r="T62" s="182"/>
      <c r="U62" s="182"/>
      <c r="V62" s="182"/>
    </row>
  </sheetData>
  <sheetProtection algorithmName="SHA-512" hashValue="VAaPV9qdLcT5hOt6CtLe/jMdpWwS8lRc5CE78SE4pY/btJtAvnD4p+AE5eQOP0eGqq46bpq+kInFGc8IOpuNIw==" saltValue="Cca7t/C/6lbUSMqMm552mA==" spinCount="100000" sheet="1" formatCells="0" formatColumns="0" formatRow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0BB9E-7E25-462F-ABF7-C63325FF866D}">
  <sheetPr codeName="wst00_SDDropdowns">
    <tabColor theme="0" tint="-0.34998626667073579"/>
  </sheetPr>
  <dimension ref="C1:BC66"/>
  <sheetViews>
    <sheetView zoomScale="85" zoomScaleNormal="85" workbookViewId="0"/>
  </sheetViews>
  <sheetFormatPr defaultRowHeight="12.75"/>
  <cols>
    <col min="10" max="10" width="38.33203125" bestFit="1" customWidth="1"/>
    <col min="16" max="16" width="13.5" customWidth="1"/>
    <col min="22" max="22" width="11.83203125" customWidth="1"/>
    <col min="24" max="24" width="14.5" customWidth="1"/>
    <col min="26" max="26" width="52.5" bestFit="1" customWidth="1"/>
    <col min="28" max="28" width="16.1640625" customWidth="1"/>
    <col min="50" max="50" width="45" bestFit="1" customWidth="1"/>
    <col min="84" max="84" width="50.1640625" bestFit="1" customWidth="1"/>
  </cols>
  <sheetData>
    <row r="1" spans="3:55">
      <c r="C1" t="s">
        <v>592</v>
      </c>
      <c r="G1" t="s">
        <v>114</v>
      </c>
    </row>
    <row r="2" spans="3:55">
      <c r="H2" s="1650" t="s">
        <v>2482</v>
      </c>
      <c r="I2">
        <v>1</v>
      </c>
      <c r="J2" s="1650" t="s">
        <v>156</v>
      </c>
      <c r="K2">
        <v>1</v>
      </c>
      <c r="L2" s="1650" t="s">
        <v>166</v>
      </c>
      <c r="M2">
        <v>12</v>
      </c>
      <c r="N2" s="1650" t="s">
        <v>166</v>
      </c>
      <c r="O2">
        <v>4</v>
      </c>
      <c r="P2" s="1650" t="s">
        <v>166</v>
      </c>
      <c r="Q2">
        <v>5</v>
      </c>
      <c r="R2" s="1650" t="s">
        <v>241</v>
      </c>
      <c r="S2">
        <v>9</v>
      </c>
      <c r="T2" s="1650" t="s">
        <v>595</v>
      </c>
      <c r="U2">
        <v>5</v>
      </c>
      <c r="V2" s="1650" t="s">
        <v>593</v>
      </c>
      <c r="W2">
        <v>1</v>
      </c>
      <c r="X2" s="1650" t="s">
        <v>217</v>
      </c>
      <c r="Y2">
        <v>5</v>
      </c>
      <c r="Z2" s="1650" t="s">
        <v>2548</v>
      </c>
      <c r="AA2">
        <v>1</v>
      </c>
      <c r="AB2" s="1650" t="s">
        <v>2445</v>
      </c>
      <c r="AC2">
        <v>1</v>
      </c>
      <c r="AD2" s="1650" t="s">
        <v>2300</v>
      </c>
      <c r="AE2">
        <v>13</v>
      </c>
      <c r="AF2" s="1650" t="s">
        <v>2395</v>
      </c>
      <c r="AG2">
        <v>1</v>
      </c>
      <c r="AH2" s="1650" t="s">
        <v>2583</v>
      </c>
      <c r="AI2">
        <v>62</v>
      </c>
      <c r="AJ2" s="1650" t="s">
        <v>154</v>
      </c>
      <c r="AK2">
        <v>1</v>
      </c>
      <c r="AL2" s="1650" t="s">
        <v>146</v>
      </c>
      <c r="AM2">
        <v>1</v>
      </c>
      <c r="AN2" s="1650" t="s">
        <v>2279</v>
      </c>
      <c r="AO2">
        <v>1</v>
      </c>
      <c r="AP2" s="1650" t="s">
        <v>595</v>
      </c>
      <c r="AQ2">
        <v>1</v>
      </c>
      <c r="AR2" s="1650" t="s">
        <v>2285</v>
      </c>
      <c r="AS2">
        <v>3</v>
      </c>
      <c r="AT2" s="1650" t="s">
        <v>2263</v>
      </c>
      <c r="AU2">
        <v>3</v>
      </c>
      <c r="AV2" s="1650" t="s">
        <v>2235</v>
      </c>
      <c r="AW2">
        <v>6</v>
      </c>
      <c r="AX2" s="1650" t="s">
        <v>594</v>
      </c>
      <c r="AY2">
        <v>1</v>
      </c>
      <c r="AZ2" s="1650" t="s">
        <v>2555</v>
      </c>
      <c r="BA2">
        <v>27</v>
      </c>
      <c r="BB2" s="1650" t="s">
        <v>351</v>
      </c>
      <c r="BC2">
        <v>9</v>
      </c>
    </row>
    <row r="3" spans="3:55">
      <c r="H3" s="1650" t="s">
        <v>2483</v>
      </c>
      <c r="I3">
        <v>2</v>
      </c>
      <c r="J3" s="1650" t="s">
        <v>204</v>
      </c>
      <c r="K3">
        <v>3</v>
      </c>
      <c r="L3" s="1650" t="s">
        <v>175</v>
      </c>
      <c r="M3">
        <v>11</v>
      </c>
      <c r="N3" s="1650" t="s">
        <v>190</v>
      </c>
      <c r="O3">
        <v>5</v>
      </c>
      <c r="P3" s="1650" t="s">
        <v>96</v>
      </c>
      <c r="Q3">
        <v>4</v>
      </c>
      <c r="R3" s="1650" t="s">
        <v>242</v>
      </c>
      <c r="S3">
        <v>10</v>
      </c>
      <c r="T3" s="1650" t="s">
        <v>141</v>
      </c>
      <c r="U3">
        <v>38</v>
      </c>
      <c r="V3" s="1650" t="s">
        <v>596</v>
      </c>
      <c r="W3">
        <v>2</v>
      </c>
      <c r="X3" s="1650" t="s">
        <v>205</v>
      </c>
      <c r="Y3">
        <v>4</v>
      </c>
      <c r="Z3" s="1650" t="s">
        <v>2549</v>
      </c>
      <c r="AA3">
        <v>2</v>
      </c>
      <c r="AB3" s="1650" t="s">
        <v>2446</v>
      </c>
      <c r="AC3">
        <v>2</v>
      </c>
      <c r="AD3" s="1650" t="s">
        <v>2301</v>
      </c>
      <c r="AE3">
        <v>19</v>
      </c>
      <c r="AF3" s="1650" t="s">
        <v>2281</v>
      </c>
      <c r="AG3">
        <v>2</v>
      </c>
      <c r="AH3" s="1650" t="s">
        <v>2315</v>
      </c>
      <c r="AI3">
        <v>1</v>
      </c>
      <c r="AJ3" s="1650" t="s">
        <v>222</v>
      </c>
      <c r="AK3">
        <v>5</v>
      </c>
      <c r="AL3" s="1650" t="s">
        <v>173</v>
      </c>
      <c r="AM3">
        <v>2</v>
      </c>
      <c r="AN3" s="1650" t="s">
        <v>2280</v>
      </c>
      <c r="AO3">
        <v>2</v>
      </c>
      <c r="AP3" s="1650" t="s">
        <v>141</v>
      </c>
      <c r="AQ3">
        <v>2</v>
      </c>
      <c r="AR3" s="1650" t="s">
        <v>2286</v>
      </c>
      <c r="AS3">
        <v>4</v>
      </c>
      <c r="AT3" s="1650" t="s">
        <v>137</v>
      </c>
      <c r="AU3">
        <v>1</v>
      </c>
      <c r="AV3" s="1650" t="s">
        <v>232</v>
      </c>
      <c r="AW3">
        <v>19</v>
      </c>
      <c r="AX3" s="1650" t="s">
        <v>598</v>
      </c>
      <c r="AY3">
        <v>2</v>
      </c>
      <c r="AZ3" s="1650" t="s">
        <v>597</v>
      </c>
      <c r="BA3">
        <v>-1</v>
      </c>
      <c r="BB3" s="1650" t="s">
        <v>225</v>
      </c>
      <c r="BC3">
        <v>10</v>
      </c>
    </row>
    <row r="4" spans="3:55">
      <c r="H4" s="1650" t="s">
        <v>2484</v>
      </c>
      <c r="I4">
        <v>3</v>
      </c>
      <c r="J4" s="1650" t="s">
        <v>183</v>
      </c>
      <c r="K4">
        <v>2</v>
      </c>
      <c r="L4" s="1650" t="s">
        <v>240</v>
      </c>
      <c r="M4">
        <v>7</v>
      </c>
      <c r="N4" s="1650" t="s">
        <v>175</v>
      </c>
      <c r="O4">
        <v>1</v>
      </c>
      <c r="P4" s="1650" t="s">
        <v>175</v>
      </c>
      <c r="Q4">
        <v>1</v>
      </c>
      <c r="R4" s="1650" t="s">
        <v>142</v>
      </c>
      <c r="S4">
        <v>1</v>
      </c>
      <c r="T4" s="1650" t="s">
        <v>601</v>
      </c>
      <c r="U4">
        <v>6</v>
      </c>
      <c r="V4" s="1650" t="s">
        <v>599</v>
      </c>
      <c r="W4">
        <v>3</v>
      </c>
      <c r="X4" s="1650" t="s">
        <v>133</v>
      </c>
      <c r="Y4">
        <v>1</v>
      </c>
      <c r="Z4" s="1650" t="s">
        <v>2550</v>
      </c>
      <c r="AA4">
        <v>3</v>
      </c>
      <c r="AD4" s="1650" t="s">
        <v>2302</v>
      </c>
      <c r="AE4">
        <v>17</v>
      </c>
      <c r="AF4" s="1650" t="s">
        <v>2283</v>
      </c>
      <c r="AG4">
        <v>3</v>
      </c>
      <c r="AH4" s="1650" t="s">
        <v>2324</v>
      </c>
      <c r="AI4">
        <v>26</v>
      </c>
      <c r="AJ4" s="1650" t="s">
        <v>231</v>
      </c>
      <c r="AK4">
        <v>6</v>
      </c>
      <c r="AL4" s="1650" t="s">
        <v>2259</v>
      </c>
      <c r="AM4">
        <v>3</v>
      </c>
      <c r="AN4" s="1650" t="s">
        <v>2281</v>
      </c>
      <c r="AO4">
        <v>3</v>
      </c>
      <c r="AP4" s="1650" t="s">
        <v>601</v>
      </c>
      <c r="AQ4">
        <v>3</v>
      </c>
      <c r="AR4" s="1650" t="s">
        <v>2287</v>
      </c>
      <c r="AS4">
        <v>5</v>
      </c>
      <c r="AT4" s="1650" t="s">
        <v>2264</v>
      </c>
      <c r="AU4">
        <v>2</v>
      </c>
      <c r="AV4" s="1650" t="s">
        <v>215</v>
      </c>
      <c r="AW4">
        <v>4</v>
      </c>
      <c r="AZ4" s="1650" t="s">
        <v>600</v>
      </c>
      <c r="BA4">
        <v>6</v>
      </c>
    </row>
    <row r="5" spans="3:55">
      <c r="H5" s="1650" t="s">
        <v>2485</v>
      </c>
      <c r="I5">
        <v>4</v>
      </c>
      <c r="J5" s="1650" t="s">
        <v>216</v>
      </c>
      <c r="K5">
        <v>4</v>
      </c>
      <c r="L5" s="1650" t="s">
        <v>2299</v>
      </c>
      <c r="M5">
        <v>4</v>
      </c>
      <c r="N5" s="1650" t="s">
        <v>139</v>
      </c>
      <c r="O5">
        <v>2</v>
      </c>
      <c r="P5" s="1650" t="s">
        <v>139</v>
      </c>
      <c r="Q5">
        <v>2</v>
      </c>
      <c r="R5" s="1650" t="s">
        <v>169</v>
      </c>
      <c r="S5">
        <v>2</v>
      </c>
      <c r="T5" s="1650" t="s">
        <v>603</v>
      </c>
      <c r="U5">
        <v>7</v>
      </c>
      <c r="V5" s="1650" t="s">
        <v>602</v>
      </c>
      <c r="W5">
        <v>4</v>
      </c>
      <c r="X5" s="1650" t="s">
        <v>187</v>
      </c>
      <c r="Y5">
        <v>3</v>
      </c>
      <c r="Z5" s="1650" t="s">
        <v>2551</v>
      </c>
      <c r="AA5">
        <v>4</v>
      </c>
      <c r="AD5" s="1650" t="s">
        <v>182</v>
      </c>
      <c r="AE5">
        <v>15</v>
      </c>
      <c r="AF5" s="1650" t="s">
        <v>2396</v>
      </c>
      <c r="AG5">
        <v>4</v>
      </c>
      <c r="AH5" s="1650" t="s">
        <v>2316</v>
      </c>
      <c r="AI5">
        <v>2</v>
      </c>
      <c r="AJ5" s="1650" t="s">
        <v>181</v>
      </c>
      <c r="AK5">
        <v>2</v>
      </c>
      <c r="AL5" s="1650" t="s">
        <v>2260</v>
      </c>
      <c r="AM5">
        <v>4</v>
      </c>
      <c r="AP5" s="1650" t="s">
        <v>603</v>
      </c>
      <c r="AQ5">
        <v>4</v>
      </c>
      <c r="AR5" s="1650" t="s">
        <v>2288</v>
      </c>
      <c r="AS5">
        <v>6</v>
      </c>
      <c r="AT5" s="1650" t="s">
        <v>164</v>
      </c>
      <c r="AU5">
        <v>4</v>
      </c>
      <c r="AV5" s="1650" t="s">
        <v>182</v>
      </c>
      <c r="AW5">
        <v>2</v>
      </c>
      <c r="AZ5" s="1650" t="s">
        <v>605</v>
      </c>
      <c r="BA5">
        <v>8</v>
      </c>
    </row>
    <row r="6" spans="3:55">
      <c r="H6" s="1650" t="s">
        <v>2486</v>
      </c>
      <c r="I6">
        <v>5</v>
      </c>
      <c r="J6" s="1650" t="s">
        <v>224</v>
      </c>
      <c r="K6">
        <v>5</v>
      </c>
      <c r="L6" s="1650" t="s">
        <v>230</v>
      </c>
      <c r="M6">
        <v>5</v>
      </c>
      <c r="N6" s="1650" t="s">
        <v>96</v>
      </c>
      <c r="O6">
        <v>3</v>
      </c>
      <c r="P6" s="1650" t="s">
        <v>190</v>
      </c>
      <c r="Q6">
        <v>3</v>
      </c>
      <c r="R6" s="1650" t="s">
        <v>192</v>
      </c>
      <c r="S6">
        <v>3</v>
      </c>
      <c r="T6" s="1650" t="s">
        <v>606</v>
      </c>
      <c r="U6">
        <v>8</v>
      </c>
      <c r="V6" s="1650" t="s">
        <v>604</v>
      </c>
      <c r="W6">
        <v>5</v>
      </c>
      <c r="X6" s="1650" t="s">
        <v>160</v>
      </c>
      <c r="Y6">
        <v>2</v>
      </c>
      <c r="Z6" s="1650" t="s">
        <v>2552</v>
      </c>
      <c r="AA6">
        <v>5</v>
      </c>
      <c r="AD6" s="1650" t="s">
        <v>146</v>
      </c>
      <c r="AE6">
        <v>7</v>
      </c>
      <c r="AF6" s="1650" t="s">
        <v>2397</v>
      </c>
      <c r="AG6">
        <v>5</v>
      </c>
      <c r="AH6" s="1650" t="s">
        <v>2317</v>
      </c>
      <c r="AI6">
        <v>3</v>
      </c>
      <c r="AJ6" s="1650" t="s">
        <v>202</v>
      </c>
      <c r="AK6">
        <v>3</v>
      </c>
      <c r="AL6" s="1650" t="s">
        <v>2261</v>
      </c>
      <c r="AM6">
        <v>5</v>
      </c>
      <c r="AP6" s="1650" t="s">
        <v>606</v>
      </c>
      <c r="AQ6">
        <v>5</v>
      </c>
      <c r="AR6" s="1650" t="s">
        <v>2289</v>
      </c>
      <c r="AS6">
        <v>7</v>
      </c>
      <c r="AV6" s="1650" t="s">
        <v>2460</v>
      </c>
      <c r="AW6">
        <v>20</v>
      </c>
      <c r="AZ6" s="1650" t="s">
        <v>1447</v>
      </c>
      <c r="BA6">
        <v>30</v>
      </c>
    </row>
    <row r="7" spans="3:55">
      <c r="H7" s="1650" t="s">
        <v>2487</v>
      </c>
      <c r="I7">
        <v>6</v>
      </c>
      <c r="J7" s="1650" t="s">
        <v>233</v>
      </c>
      <c r="K7">
        <v>6</v>
      </c>
      <c r="L7" s="1650" t="s">
        <v>2284</v>
      </c>
      <c r="M7">
        <v>6</v>
      </c>
      <c r="R7" s="1650" t="s">
        <v>209</v>
      </c>
      <c r="S7">
        <v>4</v>
      </c>
      <c r="T7" s="1650" t="s">
        <v>609</v>
      </c>
      <c r="U7">
        <v>9</v>
      </c>
      <c r="V7" s="1650" t="s">
        <v>607</v>
      </c>
      <c r="W7">
        <v>6</v>
      </c>
      <c r="X7" s="1650" t="s">
        <v>226</v>
      </c>
      <c r="Y7">
        <v>6</v>
      </c>
      <c r="AD7" s="1650" t="s">
        <v>195</v>
      </c>
      <c r="AE7">
        <v>11</v>
      </c>
      <c r="AF7" s="1650" t="s">
        <v>2398</v>
      </c>
      <c r="AG7">
        <v>6</v>
      </c>
      <c r="AH7" s="1650" t="s">
        <v>2325</v>
      </c>
      <c r="AI7">
        <v>30</v>
      </c>
      <c r="AJ7" s="1650" t="s">
        <v>214</v>
      </c>
      <c r="AK7">
        <v>4</v>
      </c>
      <c r="AL7" s="1650" t="s">
        <v>195</v>
      </c>
      <c r="AM7">
        <v>6</v>
      </c>
      <c r="AP7" s="1650" t="s">
        <v>609</v>
      </c>
      <c r="AQ7">
        <v>6</v>
      </c>
      <c r="AR7" s="1650" t="s">
        <v>595</v>
      </c>
      <c r="AS7">
        <v>2</v>
      </c>
      <c r="AV7" s="1650" t="s">
        <v>195</v>
      </c>
      <c r="AW7">
        <v>17</v>
      </c>
      <c r="AZ7" s="1650" t="s">
        <v>1022</v>
      </c>
      <c r="BA7">
        <v>33</v>
      </c>
    </row>
    <row r="8" spans="3:55">
      <c r="H8" s="1650" t="s">
        <v>2488</v>
      </c>
      <c r="I8">
        <v>7</v>
      </c>
      <c r="L8" s="1650" t="s">
        <v>152</v>
      </c>
      <c r="M8">
        <v>1</v>
      </c>
      <c r="R8" s="1650" t="s">
        <v>219</v>
      </c>
      <c r="S8">
        <v>5</v>
      </c>
      <c r="T8" s="1650" t="s">
        <v>612</v>
      </c>
      <c r="U8">
        <v>10</v>
      </c>
      <c r="V8" s="1650" t="s">
        <v>610</v>
      </c>
      <c r="W8">
        <v>7</v>
      </c>
      <c r="X8" s="1650" t="s">
        <v>96</v>
      </c>
      <c r="Y8">
        <v>7</v>
      </c>
      <c r="AD8" s="1650" t="s">
        <v>2303</v>
      </c>
      <c r="AE8">
        <v>3</v>
      </c>
      <c r="AF8" s="1650" t="s">
        <v>2399</v>
      </c>
      <c r="AG8">
        <v>7</v>
      </c>
      <c r="AH8" s="1650" t="s">
        <v>2296</v>
      </c>
      <c r="AI8">
        <v>23</v>
      </c>
      <c r="AL8" s="1650" t="s">
        <v>2262</v>
      </c>
      <c r="AM8">
        <v>7</v>
      </c>
      <c r="AP8" s="1650" t="s">
        <v>612</v>
      </c>
      <c r="AQ8">
        <v>7</v>
      </c>
      <c r="AR8" s="1650" t="s">
        <v>141</v>
      </c>
      <c r="AS8">
        <v>1</v>
      </c>
      <c r="AV8" s="1650" t="s">
        <v>96</v>
      </c>
      <c r="AW8">
        <v>11</v>
      </c>
      <c r="AZ8" s="1650" t="s">
        <v>1018</v>
      </c>
      <c r="BA8">
        <v>29</v>
      </c>
    </row>
    <row r="9" spans="3:55">
      <c r="H9" s="1650" t="s">
        <v>2489</v>
      </c>
      <c r="I9">
        <v>8</v>
      </c>
      <c r="L9" s="1650" t="s">
        <v>212</v>
      </c>
      <c r="M9">
        <v>3</v>
      </c>
      <c r="R9" s="1650" t="s">
        <v>228</v>
      </c>
      <c r="S9">
        <v>6</v>
      </c>
      <c r="T9" s="1650" t="s">
        <v>615</v>
      </c>
      <c r="U9">
        <v>11</v>
      </c>
      <c r="V9" s="1650" t="s">
        <v>613</v>
      </c>
      <c r="W9">
        <v>8</v>
      </c>
      <c r="AD9" s="1650" t="s">
        <v>2304</v>
      </c>
      <c r="AE9">
        <v>2</v>
      </c>
      <c r="AF9" s="1650" t="s">
        <v>2400</v>
      </c>
      <c r="AG9">
        <v>8</v>
      </c>
      <c r="AH9" s="1650" t="s">
        <v>94</v>
      </c>
      <c r="AI9">
        <v>32</v>
      </c>
      <c r="AP9" s="1650" t="s">
        <v>615</v>
      </c>
      <c r="AQ9">
        <v>8</v>
      </c>
      <c r="AV9" s="1650" t="s">
        <v>203</v>
      </c>
      <c r="AW9">
        <v>3</v>
      </c>
      <c r="AZ9" s="1650" t="s">
        <v>608</v>
      </c>
      <c r="BA9">
        <v>9</v>
      </c>
    </row>
    <row r="10" spans="3:55">
      <c r="H10" s="1650" t="s">
        <v>2490</v>
      </c>
      <c r="I10">
        <v>9</v>
      </c>
      <c r="L10" s="1650" t="s">
        <v>139</v>
      </c>
      <c r="M10">
        <v>9</v>
      </c>
      <c r="R10" s="1650" t="s">
        <v>235</v>
      </c>
      <c r="S10">
        <v>7</v>
      </c>
      <c r="T10" s="1650" t="s">
        <v>617</v>
      </c>
      <c r="U10">
        <v>12</v>
      </c>
      <c r="V10" s="1650" t="s">
        <v>616</v>
      </c>
      <c r="W10">
        <v>9</v>
      </c>
      <c r="AD10" s="1650" t="s">
        <v>2430</v>
      </c>
      <c r="AE10">
        <v>20</v>
      </c>
      <c r="AF10" s="1650" t="s">
        <v>2401</v>
      </c>
      <c r="AG10">
        <v>9</v>
      </c>
      <c r="AH10" s="1650" t="s">
        <v>89</v>
      </c>
      <c r="AI10">
        <v>4</v>
      </c>
      <c r="AP10" s="1650" t="s">
        <v>617</v>
      </c>
      <c r="AQ10">
        <v>9</v>
      </c>
      <c r="AV10" s="1650" t="s">
        <v>2234</v>
      </c>
      <c r="AW10">
        <v>5</v>
      </c>
      <c r="AZ10" s="1650" t="s">
        <v>611</v>
      </c>
      <c r="BA10">
        <v>24</v>
      </c>
    </row>
    <row r="11" spans="3:55">
      <c r="H11" s="1650" t="s">
        <v>2491</v>
      </c>
      <c r="I11">
        <v>10</v>
      </c>
      <c r="L11" s="1650" t="s">
        <v>190</v>
      </c>
      <c r="M11">
        <v>10</v>
      </c>
      <c r="R11" s="1650" t="s">
        <v>239</v>
      </c>
      <c r="S11">
        <v>8</v>
      </c>
      <c r="T11" s="1650" t="s">
        <v>620</v>
      </c>
      <c r="U11">
        <v>13</v>
      </c>
      <c r="V11" s="1650" t="s">
        <v>618</v>
      </c>
      <c r="W11">
        <v>10</v>
      </c>
      <c r="AD11" s="1650" t="s">
        <v>186</v>
      </c>
      <c r="AE11">
        <v>1</v>
      </c>
      <c r="AF11" s="1650" t="s">
        <v>2402</v>
      </c>
      <c r="AG11">
        <v>10</v>
      </c>
      <c r="AH11" s="1650" t="s">
        <v>88</v>
      </c>
      <c r="AI11">
        <v>5</v>
      </c>
      <c r="AP11" s="1650" t="s">
        <v>620</v>
      </c>
      <c r="AQ11">
        <v>10</v>
      </c>
      <c r="AV11" s="1650" t="s">
        <v>2233</v>
      </c>
      <c r="AW11">
        <v>1</v>
      </c>
      <c r="AZ11" s="1650" t="s">
        <v>614</v>
      </c>
      <c r="BA11">
        <v>23</v>
      </c>
    </row>
    <row r="12" spans="3:55">
      <c r="H12" s="1650" t="s">
        <v>2492</v>
      </c>
      <c r="I12">
        <v>11</v>
      </c>
      <c r="L12" s="1650" t="s">
        <v>96</v>
      </c>
      <c r="M12">
        <v>8</v>
      </c>
      <c r="R12" s="1650" t="s">
        <v>243</v>
      </c>
      <c r="S12">
        <v>11</v>
      </c>
      <c r="T12" s="1650" t="s">
        <v>623</v>
      </c>
      <c r="U12">
        <v>34</v>
      </c>
      <c r="V12" s="1650" t="s">
        <v>621</v>
      </c>
      <c r="W12">
        <v>11</v>
      </c>
      <c r="AD12" s="1650" t="s">
        <v>2305</v>
      </c>
      <c r="AE12">
        <v>5</v>
      </c>
      <c r="AH12" s="1650" t="s">
        <v>2455</v>
      </c>
      <c r="AI12">
        <v>56</v>
      </c>
      <c r="AP12" s="1650" t="s">
        <v>623</v>
      </c>
      <c r="AQ12">
        <v>11</v>
      </c>
      <c r="AV12" s="1650" t="s">
        <v>155</v>
      </c>
      <c r="AW12">
        <v>18</v>
      </c>
      <c r="AZ12" s="1650" t="s">
        <v>619</v>
      </c>
      <c r="BA12">
        <v>11</v>
      </c>
    </row>
    <row r="13" spans="3:55">
      <c r="H13" s="1650" t="s">
        <v>2493</v>
      </c>
      <c r="I13">
        <v>12</v>
      </c>
      <c r="L13" s="1650" t="s">
        <v>200</v>
      </c>
      <c r="M13">
        <v>2</v>
      </c>
      <c r="T13" s="1650" t="s">
        <v>625</v>
      </c>
      <c r="U13">
        <v>36</v>
      </c>
      <c r="V13" s="1650" t="s">
        <v>624</v>
      </c>
      <c r="W13">
        <v>12</v>
      </c>
      <c r="AD13" s="1650" t="s">
        <v>2306</v>
      </c>
      <c r="AE13">
        <v>4</v>
      </c>
      <c r="AH13" s="1650" t="s">
        <v>91</v>
      </c>
      <c r="AI13">
        <v>17</v>
      </c>
      <c r="AP13" s="1650" t="s">
        <v>625</v>
      </c>
      <c r="AQ13">
        <v>12</v>
      </c>
      <c r="AZ13" s="1650" t="s">
        <v>1020</v>
      </c>
      <c r="BA13">
        <v>34</v>
      </c>
    </row>
    <row r="14" spans="3:55">
      <c r="H14" s="1650" t="s">
        <v>2494</v>
      </c>
      <c r="I14">
        <v>13</v>
      </c>
      <c r="T14" s="1650" t="s">
        <v>628</v>
      </c>
      <c r="U14">
        <v>14</v>
      </c>
      <c r="V14" s="1650" t="s">
        <v>626</v>
      </c>
      <c r="W14">
        <v>13</v>
      </c>
      <c r="AD14" s="1650" t="s">
        <v>1963</v>
      </c>
      <c r="AE14">
        <v>8</v>
      </c>
      <c r="AH14" s="1650" t="s">
        <v>2294</v>
      </c>
      <c r="AI14">
        <v>27</v>
      </c>
      <c r="AP14" s="1650" t="s">
        <v>628</v>
      </c>
      <c r="AQ14">
        <v>13</v>
      </c>
      <c r="AZ14" s="1650" t="s">
        <v>1021</v>
      </c>
      <c r="BA14">
        <v>32</v>
      </c>
    </row>
    <row r="15" spans="3:55">
      <c r="H15" s="1650" t="s">
        <v>2495</v>
      </c>
      <c r="I15">
        <v>14</v>
      </c>
      <c r="T15" s="1650" t="s">
        <v>630</v>
      </c>
      <c r="U15">
        <v>15</v>
      </c>
      <c r="V15" s="1650" t="s">
        <v>629</v>
      </c>
      <c r="W15">
        <v>14</v>
      </c>
      <c r="AD15" s="1650" t="s">
        <v>173</v>
      </c>
      <c r="AE15">
        <v>12</v>
      </c>
      <c r="AH15" s="1650" t="s">
        <v>2318</v>
      </c>
      <c r="AI15">
        <v>6</v>
      </c>
      <c r="AP15" s="1650" t="s">
        <v>630</v>
      </c>
      <c r="AQ15">
        <v>14</v>
      </c>
      <c r="AZ15" s="1650" t="s">
        <v>2556</v>
      </c>
      <c r="BA15">
        <v>10</v>
      </c>
    </row>
    <row r="16" spans="3:55">
      <c r="H16" s="1650" t="s">
        <v>2496</v>
      </c>
      <c r="I16">
        <v>15</v>
      </c>
      <c r="T16" s="1650" t="s">
        <v>633</v>
      </c>
      <c r="U16">
        <v>16</v>
      </c>
      <c r="V16" s="1650" t="s">
        <v>631</v>
      </c>
      <c r="W16">
        <v>15</v>
      </c>
      <c r="AD16" s="1650" t="s">
        <v>132</v>
      </c>
      <c r="AE16">
        <v>6</v>
      </c>
      <c r="AH16" s="1650" t="s">
        <v>2408</v>
      </c>
      <c r="AI16">
        <v>48</v>
      </c>
      <c r="AP16" s="1650" t="s">
        <v>633</v>
      </c>
      <c r="AQ16">
        <v>15</v>
      </c>
      <c r="AZ16" s="1650" t="s">
        <v>2557</v>
      </c>
      <c r="BA16">
        <v>7</v>
      </c>
    </row>
    <row r="17" spans="8:53">
      <c r="H17" s="1650" t="s">
        <v>2497</v>
      </c>
      <c r="I17">
        <v>16</v>
      </c>
      <c r="T17" s="1650" t="s">
        <v>636</v>
      </c>
      <c r="U17">
        <v>17</v>
      </c>
      <c r="V17" s="1650" t="s">
        <v>634</v>
      </c>
      <c r="W17">
        <v>16</v>
      </c>
      <c r="AD17" s="1650" t="s">
        <v>2307</v>
      </c>
      <c r="AE17">
        <v>10</v>
      </c>
      <c r="AH17" s="1650" t="s">
        <v>2403</v>
      </c>
      <c r="AI17">
        <v>38</v>
      </c>
      <c r="AP17" s="1650" t="s">
        <v>636</v>
      </c>
      <c r="AQ17">
        <v>16</v>
      </c>
      <c r="AZ17" s="1650" t="s">
        <v>622</v>
      </c>
      <c r="BA17">
        <v>3</v>
      </c>
    </row>
    <row r="18" spans="8:53">
      <c r="H18" s="1650" t="s">
        <v>2498</v>
      </c>
      <c r="I18">
        <v>17</v>
      </c>
      <c r="T18" s="1650" t="s">
        <v>639</v>
      </c>
      <c r="U18">
        <v>18</v>
      </c>
      <c r="V18" s="1650" t="s">
        <v>637</v>
      </c>
      <c r="W18">
        <v>17</v>
      </c>
      <c r="AD18" s="1650" t="s">
        <v>2308</v>
      </c>
      <c r="AE18">
        <v>9</v>
      </c>
      <c r="AH18" s="1650" t="s">
        <v>2411</v>
      </c>
      <c r="AI18">
        <v>54</v>
      </c>
      <c r="AP18" s="1650" t="s">
        <v>639</v>
      </c>
      <c r="AQ18">
        <v>17</v>
      </c>
      <c r="AZ18" s="1650" t="s">
        <v>96</v>
      </c>
      <c r="BA18">
        <v>15</v>
      </c>
    </row>
    <row r="19" spans="8:53">
      <c r="H19" s="1650" t="s">
        <v>2499</v>
      </c>
      <c r="I19">
        <v>18</v>
      </c>
      <c r="T19" s="1650" t="s">
        <v>642</v>
      </c>
      <c r="U19">
        <v>37</v>
      </c>
      <c r="V19" s="1650" t="s">
        <v>640</v>
      </c>
      <c r="W19">
        <v>18</v>
      </c>
      <c r="AD19" s="1650" t="s">
        <v>203</v>
      </c>
      <c r="AE19">
        <v>16</v>
      </c>
      <c r="AH19" s="1650" t="s">
        <v>1228</v>
      </c>
      <c r="AI19">
        <v>39</v>
      </c>
      <c r="AP19" s="1650" t="s">
        <v>642</v>
      </c>
      <c r="AQ19">
        <v>18</v>
      </c>
      <c r="AZ19" s="1650" t="s">
        <v>2558</v>
      </c>
      <c r="BA19">
        <v>35</v>
      </c>
    </row>
    <row r="20" spans="8:53">
      <c r="H20" s="1650" t="s">
        <v>2500</v>
      </c>
      <c r="I20">
        <v>19</v>
      </c>
      <c r="T20" s="1650" t="s">
        <v>645</v>
      </c>
      <c r="U20">
        <v>19</v>
      </c>
      <c r="V20" s="1650" t="s">
        <v>643</v>
      </c>
      <c r="W20">
        <v>19</v>
      </c>
      <c r="AD20" s="1650" t="s">
        <v>2309</v>
      </c>
      <c r="AE20">
        <v>18</v>
      </c>
      <c r="AH20" s="1650" t="s">
        <v>2424</v>
      </c>
      <c r="AI20">
        <v>55</v>
      </c>
      <c r="AP20" s="1650" t="s">
        <v>645</v>
      </c>
      <c r="AQ20">
        <v>19</v>
      </c>
      <c r="AZ20" s="1650" t="s">
        <v>2559</v>
      </c>
      <c r="BA20">
        <v>36</v>
      </c>
    </row>
    <row r="21" spans="8:53">
      <c r="H21" s="1650" t="s">
        <v>2501</v>
      </c>
      <c r="I21">
        <v>20</v>
      </c>
      <c r="T21" s="1650" t="s">
        <v>648</v>
      </c>
      <c r="U21">
        <v>20</v>
      </c>
      <c r="V21" s="1650" t="s">
        <v>646</v>
      </c>
      <c r="W21">
        <v>20</v>
      </c>
      <c r="AD21" s="1650" t="s">
        <v>155</v>
      </c>
      <c r="AE21">
        <v>14</v>
      </c>
      <c r="AH21" s="1650" t="s">
        <v>90</v>
      </c>
      <c r="AI21">
        <v>18</v>
      </c>
      <c r="AP21" s="1650" t="s">
        <v>648</v>
      </c>
      <c r="AQ21">
        <v>20</v>
      </c>
      <c r="AZ21" s="1650" t="s">
        <v>627</v>
      </c>
      <c r="BA21">
        <v>25</v>
      </c>
    </row>
    <row r="22" spans="8:53">
      <c r="H22" s="1650" t="s">
        <v>2502</v>
      </c>
      <c r="I22">
        <v>21</v>
      </c>
      <c r="T22" s="1650" t="s">
        <v>651</v>
      </c>
      <c r="U22">
        <v>21</v>
      </c>
      <c r="V22" s="1650" t="s">
        <v>649</v>
      </c>
      <c r="W22">
        <v>21</v>
      </c>
      <c r="AH22" s="1650" t="s">
        <v>1230</v>
      </c>
      <c r="AI22">
        <v>40</v>
      </c>
      <c r="AP22" s="1650" t="s">
        <v>651</v>
      </c>
      <c r="AQ22">
        <v>21</v>
      </c>
      <c r="AZ22" s="1650" t="s">
        <v>1517</v>
      </c>
      <c r="BA22">
        <v>31</v>
      </c>
    </row>
    <row r="23" spans="8:53">
      <c r="H23" s="1650" t="s">
        <v>2503</v>
      </c>
      <c r="I23">
        <v>22</v>
      </c>
      <c r="T23" s="1650" t="s">
        <v>654</v>
      </c>
      <c r="U23">
        <v>22</v>
      </c>
      <c r="V23" s="1650" t="s">
        <v>652</v>
      </c>
      <c r="W23">
        <v>22</v>
      </c>
      <c r="AH23" s="1650" t="s">
        <v>2553</v>
      </c>
      <c r="AI23">
        <v>58</v>
      </c>
      <c r="AP23" s="1650" t="s">
        <v>654</v>
      </c>
      <c r="AQ23">
        <v>22</v>
      </c>
      <c r="AZ23" s="1650" t="s">
        <v>2560</v>
      </c>
      <c r="BA23">
        <v>19</v>
      </c>
    </row>
    <row r="24" spans="8:53">
      <c r="H24" s="1650" t="s">
        <v>2504</v>
      </c>
      <c r="I24">
        <v>23</v>
      </c>
      <c r="T24" s="1650" t="s">
        <v>657</v>
      </c>
      <c r="U24">
        <v>35</v>
      </c>
      <c r="V24" s="1650" t="s">
        <v>655</v>
      </c>
      <c r="W24">
        <v>23</v>
      </c>
      <c r="AH24" s="1650" t="s">
        <v>2283</v>
      </c>
      <c r="AI24">
        <v>7</v>
      </c>
      <c r="AP24" s="1650" t="s">
        <v>657</v>
      </c>
      <c r="AQ24">
        <v>23</v>
      </c>
      <c r="AZ24" s="1650" t="s">
        <v>2561</v>
      </c>
      <c r="BA24">
        <v>38</v>
      </c>
    </row>
    <row r="25" spans="8:53">
      <c r="H25" s="1650" t="s">
        <v>2505</v>
      </c>
      <c r="I25">
        <v>24</v>
      </c>
      <c r="T25" s="1650" t="s">
        <v>660</v>
      </c>
      <c r="U25">
        <v>23</v>
      </c>
      <c r="V25" s="1650" t="s">
        <v>658</v>
      </c>
      <c r="W25">
        <v>24</v>
      </c>
      <c r="AH25" s="1650" t="s">
        <v>2295</v>
      </c>
      <c r="AI25">
        <v>8</v>
      </c>
      <c r="AP25" s="1650" t="s">
        <v>660</v>
      </c>
      <c r="AQ25">
        <v>24</v>
      </c>
      <c r="AZ25" s="1650" t="s">
        <v>632</v>
      </c>
      <c r="BA25">
        <v>26</v>
      </c>
    </row>
    <row r="26" spans="8:53">
      <c r="H26" s="1650" t="s">
        <v>2506</v>
      </c>
      <c r="I26">
        <v>25</v>
      </c>
      <c r="T26" s="1650" t="s">
        <v>663</v>
      </c>
      <c r="U26">
        <v>33</v>
      </c>
      <c r="V26" s="1650" t="s">
        <v>661</v>
      </c>
      <c r="W26">
        <v>25</v>
      </c>
      <c r="AH26" s="1650" t="s">
        <v>2584</v>
      </c>
      <c r="AI26">
        <v>63</v>
      </c>
      <c r="AP26" s="1650" t="s">
        <v>663</v>
      </c>
      <c r="AQ26">
        <v>25</v>
      </c>
      <c r="AZ26" s="1650" t="s">
        <v>635</v>
      </c>
      <c r="BA26">
        <v>22</v>
      </c>
    </row>
    <row r="27" spans="8:53">
      <c r="H27" s="1650" t="s">
        <v>2507</v>
      </c>
      <c r="I27">
        <v>26</v>
      </c>
      <c r="T27" s="1650" t="s">
        <v>666</v>
      </c>
      <c r="U27">
        <v>24</v>
      </c>
      <c r="V27" s="1650" t="s">
        <v>664</v>
      </c>
      <c r="W27">
        <v>26</v>
      </c>
      <c r="AH27" s="1650" t="s">
        <v>2585</v>
      </c>
      <c r="AI27">
        <v>61</v>
      </c>
      <c r="AP27" s="1650" t="s">
        <v>666</v>
      </c>
      <c r="AQ27">
        <v>26</v>
      </c>
      <c r="AZ27" s="1650" t="s">
        <v>638</v>
      </c>
      <c r="BA27">
        <v>21</v>
      </c>
    </row>
    <row r="28" spans="8:53">
      <c r="H28" s="1650" t="s">
        <v>2508</v>
      </c>
      <c r="I28">
        <v>27</v>
      </c>
      <c r="T28" s="1650" t="s">
        <v>668</v>
      </c>
      <c r="U28">
        <v>25</v>
      </c>
      <c r="V28" s="1650" t="s">
        <v>667</v>
      </c>
      <c r="W28">
        <v>27</v>
      </c>
      <c r="AH28" s="1650" t="s">
        <v>2586</v>
      </c>
      <c r="AI28">
        <v>64</v>
      </c>
      <c r="AP28" s="1650" t="s">
        <v>668</v>
      </c>
      <c r="AQ28">
        <v>27</v>
      </c>
      <c r="AZ28" s="1650" t="s">
        <v>2562</v>
      </c>
      <c r="BA28">
        <v>28</v>
      </c>
    </row>
    <row r="29" spans="8:53">
      <c r="H29" s="1650" t="s">
        <v>2509</v>
      </c>
      <c r="I29">
        <v>30</v>
      </c>
      <c r="T29" s="1650" t="s">
        <v>670</v>
      </c>
      <c r="U29">
        <v>26</v>
      </c>
      <c r="V29" s="1650" t="s">
        <v>669</v>
      </c>
      <c r="W29">
        <v>28</v>
      </c>
      <c r="AH29" s="1650" t="s">
        <v>2292</v>
      </c>
      <c r="AI29">
        <v>9</v>
      </c>
      <c r="AP29" s="1650" t="s">
        <v>670</v>
      </c>
      <c r="AQ29">
        <v>28</v>
      </c>
      <c r="AZ29" s="1650" t="s">
        <v>2563</v>
      </c>
      <c r="BA29">
        <v>37</v>
      </c>
    </row>
    <row r="30" spans="8:53">
      <c r="H30" s="1650" t="s">
        <v>2510</v>
      </c>
      <c r="I30">
        <v>31</v>
      </c>
      <c r="T30" s="1650" t="s">
        <v>672</v>
      </c>
      <c r="U30">
        <v>27</v>
      </c>
      <c r="V30" s="1650" t="s">
        <v>671</v>
      </c>
      <c r="W30">
        <v>29</v>
      </c>
      <c r="AH30" s="1650" t="s">
        <v>84</v>
      </c>
      <c r="AI30">
        <v>10</v>
      </c>
      <c r="AP30" s="1650" t="s">
        <v>672</v>
      </c>
      <c r="AQ30">
        <v>29</v>
      </c>
      <c r="AZ30" s="1650" t="s">
        <v>641</v>
      </c>
      <c r="BA30">
        <v>1</v>
      </c>
    </row>
    <row r="31" spans="8:53">
      <c r="H31" s="1650" t="s">
        <v>2511</v>
      </c>
      <c r="I31">
        <v>32</v>
      </c>
      <c r="T31" s="1650" t="s">
        <v>674</v>
      </c>
      <c r="U31">
        <v>29</v>
      </c>
      <c r="V31" s="1650" t="s">
        <v>673</v>
      </c>
      <c r="W31">
        <v>30</v>
      </c>
      <c r="AH31" s="1650" t="s">
        <v>2414</v>
      </c>
      <c r="AI31">
        <v>51</v>
      </c>
      <c r="AP31" s="1650" t="s">
        <v>674</v>
      </c>
      <c r="AQ31">
        <v>30</v>
      </c>
      <c r="AZ31" s="1650" t="s">
        <v>644</v>
      </c>
      <c r="BA31">
        <v>14</v>
      </c>
    </row>
    <row r="32" spans="8:53">
      <c r="H32" s="1650" t="s">
        <v>2512</v>
      </c>
      <c r="I32">
        <v>33</v>
      </c>
      <c r="T32" s="1650" t="s">
        <v>676</v>
      </c>
      <c r="U32">
        <v>28</v>
      </c>
      <c r="V32" s="1650" t="s">
        <v>675</v>
      </c>
      <c r="W32">
        <v>31</v>
      </c>
      <c r="AH32" s="1650" t="s">
        <v>95</v>
      </c>
      <c r="AI32">
        <v>19</v>
      </c>
      <c r="AP32" s="1650" t="s">
        <v>676</v>
      </c>
      <c r="AQ32">
        <v>31</v>
      </c>
      <c r="AZ32" s="1650" t="s">
        <v>647</v>
      </c>
      <c r="BA32">
        <v>16</v>
      </c>
    </row>
    <row r="33" spans="8:53">
      <c r="H33" s="1650" t="s">
        <v>2513</v>
      </c>
      <c r="I33">
        <v>34</v>
      </c>
      <c r="T33" s="1650" t="s">
        <v>678</v>
      </c>
      <c r="U33">
        <v>39</v>
      </c>
      <c r="V33" s="1650" t="s">
        <v>677</v>
      </c>
      <c r="W33">
        <v>32</v>
      </c>
      <c r="AH33" s="1650" t="s">
        <v>63</v>
      </c>
      <c r="AI33">
        <v>41</v>
      </c>
      <c r="AP33" s="1650" t="s">
        <v>678</v>
      </c>
      <c r="AQ33">
        <v>32</v>
      </c>
      <c r="AZ33" s="1650" t="s">
        <v>650</v>
      </c>
      <c r="BA33">
        <v>4</v>
      </c>
    </row>
    <row r="34" spans="8:53">
      <c r="H34" s="1650" t="s">
        <v>2514</v>
      </c>
      <c r="I34">
        <v>35</v>
      </c>
      <c r="V34" s="1650" t="s">
        <v>679</v>
      </c>
      <c r="W34">
        <v>33</v>
      </c>
      <c r="AH34" s="1650" t="s">
        <v>2293</v>
      </c>
      <c r="AI34">
        <v>24</v>
      </c>
      <c r="AZ34" s="1650" t="s">
        <v>653</v>
      </c>
      <c r="BA34">
        <v>5</v>
      </c>
    </row>
    <row r="35" spans="8:53">
      <c r="H35" s="1650" t="s">
        <v>2515</v>
      </c>
      <c r="I35">
        <v>36</v>
      </c>
      <c r="V35" s="1650" t="s">
        <v>680</v>
      </c>
      <c r="W35">
        <v>34</v>
      </c>
      <c r="AH35" s="1650" t="s">
        <v>2326</v>
      </c>
      <c r="AI35">
        <v>31</v>
      </c>
      <c r="AZ35" s="1650" t="s">
        <v>656</v>
      </c>
      <c r="BA35">
        <v>12</v>
      </c>
    </row>
    <row r="36" spans="8:53">
      <c r="H36" s="1650" t="s">
        <v>2516</v>
      </c>
      <c r="I36">
        <v>37</v>
      </c>
      <c r="V36" s="1650" t="s">
        <v>681</v>
      </c>
      <c r="W36">
        <v>35</v>
      </c>
      <c r="AH36" s="1650" t="s">
        <v>161</v>
      </c>
      <c r="AI36">
        <v>25</v>
      </c>
      <c r="AZ36" s="1650" t="s">
        <v>659</v>
      </c>
      <c r="BA36">
        <v>13</v>
      </c>
    </row>
    <row r="37" spans="8:53">
      <c r="H37" s="1650" t="s">
        <v>2517</v>
      </c>
      <c r="I37">
        <v>38</v>
      </c>
      <c r="V37" s="1650" t="s">
        <v>682</v>
      </c>
      <c r="W37">
        <v>36</v>
      </c>
      <c r="AH37" s="1650" t="s">
        <v>96</v>
      </c>
      <c r="AI37">
        <v>22</v>
      </c>
      <c r="AZ37" s="1650" t="s">
        <v>662</v>
      </c>
      <c r="BA37">
        <v>2</v>
      </c>
    </row>
    <row r="38" spans="8:53">
      <c r="H38" s="1650" t="s">
        <v>2518</v>
      </c>
      <c r="I38">
        <v>39</v>
      </c>
      <c r="V38" s="1650" t="s">
        <v>683</v>
      </c>
      <c r="W38">
        <v>37</v>
      </c>
      <c r="AH38" s="1650" t="s">
        <v>2378</v>
      </c>
      <c r="AI38">
        <v>42</v>
      </c>
      <c r="AZ38" s="1650" t="s">
        <v>665</v>
      </c>
      <c r="BA38">
        <v>18</v>
      </c>
    </row>
    <row r="39" spans="8:53">
      <c r="H39" s="1650" t="s">
        <v>2519</v>
      </c>
      <c r="I39">
        <v>40</v>
      </c>
      <c r="V39" s="1650" t="s">
        <v>684</v>
      </c>
      <c r="W39">
        <v>38</v>
      </c>
      <c r="AH39" s="1650" t="s">
        <v>2379</v>
      </c>
      <c r="AI39">
        <v>43</v>
      </c>
    </row>
    <row r="40" spans="8:53">
      <c r="H40" s="1650" t="s">
        <v>2520</v>
      </c>
      <c r="I40">
        <v>41</v>
      </c>
      <c r="V40" s="1650" t="s">
        <v>685</v>
      </c>
      <c r="W40">
        <v>39</v>
      </c>
      <c r="AH40" s="1650" t="s">
        <v>2380</v>
      </c>
      <c r="AI40">
        <v>44</v>
      </c>
    </row>
    <row r="41" spans="8:53">
      <c r="H41" s="1650" t="s">
        <v>2521</v>
      </c>
      <c r="I41">
        <v>42</v>
      </c>
      <c r="V41" s="1650" t="s">
        <v>686</v>
      </c>
      <c r="W41">
        <v>40</v>
      </c>
      <c r="AH41" s="1650" t="s">
        <v>2381</v>
      </c>
      <c r="AI41">
        <v>45</v>
      </c>
    </row>
    <row r="42" spans="8:53">
      <c r="H42" s="1650" t="s">
        <v>2522</v>
      </c>
      <c r="I42">
        <v>43</v>
      </c>
      <c r="V42" s="1650" t="s">
        <v>687</v>
      </c>
      <c r="W42">
        <v>41</v>
      </c>
      <c r="AH42" s="1650" t="s">
        <v>2382</v>
      </c>
      <c r="AI42">
        <v>46</v>
      </c>
    </row>
    <row r="43" spans="8:53">
      <c r="H43" s="1650" t="s">
        <v>2523</v>
      </c>
      <c r="I43">
        <v>44</v>
      </c>
      <c r="V43" s="1650" t="s">
        <v>688</v>
      </c>
      <c r="W43">
        <v>42</v>
      </c>
      <c r="AH43" s="1650" t="s">
        <v>2319</v>
      </c>
      <c r="AI43">
        <v>11</v>
      </c>
    </row>
    <row r="44" spans="8:53">
      <c r="H44" s="1650" t="s">
        <v>2524</v>
      </c>
      <c r="I44">
        <v>45</v>
      </c>
      <c r="V44" s="1650" t="s">
        <v>689</v>
      </c>
      <c r="W44">
        <v>43</v>
      </c>
      <c r="AH44" s="1650" t="s">
        <v>2409</v>
      </c>
      <c r="AI44">
        <v>49</v>
      </c>
    </row>
    <row r="45" spans="8:53">
      <c r="V45" s="1650" t="s">
        <v>690</v>
      </c>
      <c r="W45">
        <v>44</v>
      </c>
      <c r="AH45" s="1650" t="s">
        <v>86</v>
      </c>
      <c r="AI45">
        <v>12</v>
      </c>
    </row>
    <row r="46" spans="8:53">
      <c r="V46" s="1650" t="s">
        <v>691</v>
      </c>
      <c r="W46">
        <v>45</v>
      </c>
      <c r="AH46" s="1650" t="s">
        <v>87</v>
      </c>
      <c r="AI46">
        <v>13</v>
      </c>
    </row>
    <row r="47" spans="8:53">
      <c r="V47" s="1650" t="s">
        <v>692</v>
      </c>
      <c r="W47">
        <v>46</v>
      </c>
      <c r="AH47" s="1650" t="s">
        <v>2413</v>
      </c>
      <c r="AI47">
        <v>53</v>
      </c>
    </row>
    <row r="48" spans="8:53">
      <c r="V48" s="1650" t="s">
        <v>693</v>
      </c>
      <c r="W48">
        <v>47</v>
      </c>
      <c r="AH48" s="1650" t="s">
        <v>2327</v>
      </c>
      <c r="AI48">
        <v>37</v>
      </c>
    </row>
    <row r="49" spans="22:35">
      <c r="V49" s="1650" t="s">
        <v>694</v>
      </c>
      <c r="W49">
        <v>48</v>
      </c>
      <c r="AH49" s="1650" t="s">
        <v>2456</v>
      </c>
      <c r="AI49">
        <v>36</v>
      </c>
    </row>
    <row r="50" spans="22:35">
      <c r="V50" s="1650" t="s">
        <v>695</v>
      </c>
      <c r="W50">
        <v>49</v>
      </c>
      <c r="AH50" s="1650" t="s">
        <v>2581</v>
      </c>
      <c r="AI50">
        <v>60</v>
      </c>
    </row>
    <row r="51" spans="22:35">
      <c r="V51" s="1650" t="s">
        <v>696</v>
      </c>
      <c r="W51">
        <v>50</v>
      </c>
      <c r="AH51" s="1650" t="s">
        <v>1224</v>
      </c>
      <c r="AI51">
        <v>33</v>
      </c>
    </row>
    <row r="52" spans="22:35">
      <c r="V52" s="1650" t="s">
        <v>697</v>
      </c>
      <c r="W52">
        <v>51</v>
      </c>
      <c r="AH52" s="1650" t="s">
        <v>82</v>
      </c>
      <c r="AI52">
        <v>35</v>
      </c>
    </row>
    <row r="53" spans="22:35">
      <c r="AH53" s="1650" t="s">
        <v>83</v>
      </c>
      <c r="AI53">
        <v>34</v>
      </c>
    </row>
    <row r="54" spans="22:35">
      <c r="AH54" s="1650" t="s">
        <v>2323</v>
      </c>
      <c r="AI54">
        <v>20</v>
      </c>
    </row>
    <row r="55" spans="22:35">
      <c r="AH55" s="1650" t="s">
        <v>92</v>
      </c>
      <c r="AI55">
        <v>21</v>
      </c>
    </row>
    <row r="56" spans="22:35">
      <c r="AH56" s="1650" t="s">
        <v>93</v>
      </c>
      <c r="AI56">
        <v>29</v>
      </c>
    </row>
    <row r="57" spans="22:35">
      <c r="AH57" s="1650" t="s">
        <v>2320</v>
      </c>
      <c r="AI57">
        <v>14</v>
      </c>
    </row>
    <row r="58" spans="22:35">
      <c r="AH58" s="1650" t="s">
        <v>1231</v>
      </c>
      <c r="AI58">
        <v>47</v>
      </c>
    </row>
    <row r="59" spans="22:35">
      <c r="AH59" s="1650" t="s">
        <v>2459</v>
      </c>
      <c r="AI59">
        <v>57</v>
      </c>
    </row>
    <row r="60" spans="22:35">
      <c r="AH60" s="1650" t="s">
        <v>2321</v>
      </c>
      <c r="AI60">
        <v>15</v>
      </c>
    </row>
    <row r="61" spans="22:35">
      <c r="AH61" s="1650" t="s">
        <v>2410</v>
      </c>
      <c r="AI61">
        <v>50</v>
      </c>
    </row>
    <row r="62" spans="22:35">
      <c r="AH62" s="1650" t="s">
        <v>85</v>
      </c>
      <c r="AI62">
        <v>28</v>
      </c>
    </row>
    <row r="63" spans="22:35">
      <c r="AH63" s="1650" t="s">
        <v>2412</v>
      </c>
      <c r="AI63">
        <v>52</v>
      </c>
    </row>
    <row r="64" spans="22:35">
      <c r="AH64" s="1650" t="s">
        <v>2554</v>
      </c>
      <c r="AI64">
        <v>59</v>
      </c>
    </row>
    <row r="65" spans="34:35">
      <c r="AH65" s="1650" t="s">
        <v>2322</v>
      </c>
      <c r="AI65">
        <v>16</v>
      </c>
    </row>
    <row r="66" spans="34:35">
      <c r="AH66" s="1650" t="s">
        <v>2587</v>
      </c>
      <c r="AI66">
        <v>65</v>
      </c>
    </row>
  </sheetData>
  <sheetProtection formatCells="0" formatColumns="0" formatRow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728d1e70-746d-4ad9-97e6-bebcb207151e"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3A3C5588FDFE6428F1526EE1AE57E10" ma:contentTypeVersion="16" ma:contentTypeDescription="Create a new document." ma:contentTypeScope="" ma:versionID="5a5f591dbbb950d2dc1cd68c22d72956">
  <xsd:schema xmlns:xsd="http://www.w3.org/2001/XMLSchema" xmlns:xs="http://www.w3.org/2001/XMLSchema" xmlns:p="http://schemas.microsoft.com/office/2006/metadata/properties" xmlns:ns3="728d1e70-746d-4ad9-97e6-bebcb207151e" xmlns:ns4="060b25af-4dde-4fa3-846b-04d13dcda78b" targetNamespace="http://schemas.microsoft.com/office/2006/metadata/properties" ma:root="true" ma:fieldsID="546519a1e3b7b64ef38ff22b88dc32db" ns3:_="" ns4:_="">
    <xsd:import namespace="728d1e70-746d-4ad9-97e6-bebcb207151e"/>
    <xsd:import namespace="060b25af-4dde-4fa3-846b-04d13dcda78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d1e70-746d-4ad9-97e6-bebcb20715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60b25af-4dde-4fa3-846b-04d13dcda78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A7C9B3-A281-4BD8-A3A9-42FE5E746105}">
  <ds:schemaRefs>
    <ds:schemaRef ds:uri="http://schemas.microsoft.com/sharepoint/v3/contenttype/forms"/>
  </ds:schemaRefs>
</ds:datastoreItem>
</file>

<file path=customXml/itemProps2.xml><?xml version="1.0" encoding="utf-8"?>
<ds:datastoreItem xmlns:ds="http://schemas.openxmlformats.org/officeDocument/2006/customXml" ds:itemID="{AC8AB39D-0ED3-428A-8F00-6053CC621CA5}">
  <ds:schemaRefs>
    <ds:schemaRef ds:uri="http://purl.org/dc/terms/"/>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infopath/2007/PartnerControls"/>
    <ds:schemaRef ds:uri="060b25af-4dde-4fa3-846b-04d13dcda78b"/>
    <ds:schemaRef ds:uri="728d1e70-746d-4ad9-97e6-bebcb207151e"/>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2476ECF-9EE2-4AB1-B18F-2EBBFAB5C30A}">
  <ds:schemaRefs>
    <ds:schemaRef ds:uri="http://schemas.microsoft.com/office/2006/metadata/longProperties"/>
  </ds:schemaRefs>
</ds:datastoreItem>
</file>

<file path=customXml/itemProps4.xml><?xml version="1.0" encoding="utf-8"?>
<ds:datastoreItem xmlns:ds="http://schemas.openxmlformats.org/officeDocument/2006/customXml" ds:itemID="{51C81E77-804B-4D27-908F-5E5E86399E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d1e70-746d-4ad9-97e6-bebcb207151e"/>
    <ds:schemaRef ds:uri="060b25af-4dde-4fa3-846b-04d13dcda7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3266</vt:i4>
      </vt:variant>
    </vt:vector>
  </HeadingPairs>
  <TitlesOfParts>
    <vt:vector size="3267" baseType="lpstr">
      <vt:lpstr>00_0_LogIn</vt:lpstr>
      <vt:lpstr>_811_1BR_30</vt:lpstr>
      <vt:lpstr>_811_2BR_30</vt:lpstr>
      <vt:lpstr>_811_3BR_30</vt:lpstr>
      <vt:lpstr>_811_4BR_30</vt:lpstr>
      <vt:lpstr>_811_5BR_30</vt:lpstr>
      <vt:lpstr>_811_EFF_30</vt:lpstr>
      <vt:lpstr>_811_SRO_30</vt:lpstr>
      <vt:lpstr>_811_Undefined_30</vt:lpstr>
      <vt:lpstr>_811Program_Award</vt:lpstr>
      <vt:lpstr>_811SPAddress</vt:lpstr>
      <vt:lpstr>_811SPCityStateZip</vt:lpstr>
      <vt:lpstr>_811SPCompanyName</vt:lpstr>
      <vt:lpstr>_811SPContactEmail</vt:lpstr>
      <vt:lpstr>_811SPContactName</vt:lpstr>
      <vt:lpstr>_811SPContactPhone</vt:lpstr>
      <vt:lpstr>_811Total_811_30__Units</vt:lpstr>
      <vt:lpstr>_811Total_811_Units</vt:lpstr>
      <vt:lpstr>AcquisitionTrigger</vt:lpstr>
      <vt:lpstr>AffMkt</vt:lpstr>
      <vt:lpstr>Amenities</vt:lpstr>
      <vt:lpstr>AmenitiesTwo</vt:lpstr>
      <vt:lpstr>AMI</vt:lpstr>
      <vt:lpstr>City</vt:lpstr>
      <vt:lpstr>FourPercentTrigger</vt:lpstr>
      <vt:lpstr>HPFELI_1BR_30</vt:lpstr>
      <vt:lpstr>HPFELI_2BR_30</vt:lpstr>
      <vt:lpstr>HPFELI_3BR_30</vt:lpstr>
      <vt:lpstr>HPFELI_4BR_30</vt:lpstr>
      <vt:lpstr>HPFELI_5BR_30</vt:lpstr>
      <vt:lpstr>HPFELI_EFF_30</vt:lpstr>
      <vt:lpstr>HPFELI_Program_Award</vt:lpstr>
      <vt:lpstr>HPFELI_SRO_30</vt:lpstr>
      <vt:lpstr>HPFELI30</vt:lpstr>
      <vt:lpstr>LkUp_Proj_Amen</vt:lpstr>
      <vt:lpstr>MAP_DealStageStatus</vt:lpstr>
      <vt:lpstr>MSA</vt:lpstr>
      <vt:lpstr>NinePercentTrigger</vt:lpstr>
      <vt:lpstr>Number_of_Units</vt:lpstr>
      <vt:lpstr>NumberofBedrooms</vt:lpstr>
      <vt:lpstr>Other_1</vt:lpstr>
      <vt:lpstr>Other_2</vt:lpstr>
      <vt:lpstr>Other_3</vt:lpstr>
      <vt:lpstr>Other_4</vt:lpstr>
      <vt:lpstr>Other_5</vt:lpstr>
      <vt:lpstr>Other_6</vt:lpstr>
      <vt:lpstr>Other_7</vt:lpstr>
      <vt:lpstr>Other_Fees</vt:lpstr>
      <vt:lpstr>OtherPSH_Program_Type</vt:lpstr>
      <vt:lpstr>OtherPSHEmail</vt:lpstr>
      <vt:lpstr>OtherPSHProgram_Award</vt:lpstr>
      <vt:lpstr>OtherPSHSPAddress</vt:lpstr>
      <vt:lpstr>OtherPSHSPCityStateZip</vt:lpstr>
      <vt:lpstr>OtherPSHSPCompanyName</vt:lpstr>
      <vt:lpstr>OtherPSHSPContactName</vt:lpstr>
      <vt:lpstr>OtherPSHSPPhone</vt:lpstr>
      <vt:lpstr>'00_1_Model Progress'!Print_Area</vt:lpstr>
      <vt:lpstr>'00_4_Reference Tables'!Print_Area</vt:lpstr>
      <vt:lpstr>'00_5_LIHTC Data'!Print_Area</vt:lpstr>
      <vt:lpstr>'01_1_General Data'!Print_Area</vt:lpstr>
      <vt:lpstr>'02_1_INCOME'!Print_Area</vt:lpstr>
      <vt:lpstr>'02_2_EXPENSE'!Print_Area</vt:lpstr>
      <vt:lpstr>'02_3_SOURCES'!Print_Area</vt:lpstr>
      <vt:lpstr>'02_4_USES'!Print_Area</vt:lpstr>
      <vt:lpstr>'02_5_LIHTC Proceeds'!Print_Area</vt:lpstr>
      <vt:lpstr>'03_1_Construction Cost'!Print_Area</vt:lpstr>
      <vt:lpstr>'03_2_Construction Cashflow'!Print_Area</vt:lpstr>
      <vt:lpstr>'03_4_NH-Assisted Living Data'!Print_Area</vt:lpstr>
      <vt:lpstr>'06_1_Summary Printout'!Print_Area</vt:lpstr>
      <vt:lpstr>'06_2_Credit Committee'!Print_Area</vt:lpstr>
      <vt:lpstr>'06_3_UWChecklist'!Print_Area</vt:lpstr>
      <vt:lpstr>'06_5_Subsidy Layer'!Print_Area</vt:lpstr>
      <vt:lpstr>'06_6_S&amp;U'!Print_Area</vt:lpstr>
      <vt:lpstr>'06_7_SLR'!Print_Area</vt:lpstr>
      <vt:lpstr>'07_1_HOME_Standard'!Print_Area</vt:lpstr>
      <vt:lpstr>'00_2_Master Data Field List'!Print_Titles</vt:lpstr>
      <vt:lpstr>'02_1_INCOME'!Print_Titles</vt:lpstr>
      <vt:lpstr>'02_2_EXPENSE'!Print_Titles</vt:lpstr>
      <vt:lpstr>'02_4_USES'!Print_Titles</vt:lpstr>
      <vt:lpstr>'03_2_Construction Cashflow'!Print_Titles</vt:lpstr>
      <vt:lpstr>'03_4_NH-Assisted Living Data'!Print_Titles</vt:lpstr>
      <vt:lpstr>'04_1_Pro Forma'!Print_Titles</vt:lpstr>
      <vt:lpstr>'06_2_Credit Committee'!Print_Titles</vt:lpstr>
      <vt:lpstr>ProjAmen</vt:lpstr>
      <vt:lpstr>ProjectBasedSubsidy</vt:lpstr>
      <vt:lpstr>PSH_1BR_100</vt:lpstr>
      <vt:lpstr>PSH_1BR_120</vt:lpstr>
      <vt:lpstr>PSH_1BR_20</vt:lpstr>
      <vt:lpstr>PSH_1BR_30</vt:lpstr>
      <vt:lpstr>PSH_1BR_40</vt:lpstr>
      <vt:lpstr>PSH_1BR_50</vt:lpstr>
      <vt:lpstr>PSH_1BR_60</vt:lpstr>
      <vt:lpstr>PSH_1BR_70</vt:lpstr>
      <vt:lpstr>PSH_1BR_80</vt:lpstr>
      <vt:lpstr>PSH_1BR_MKT</vt:lpstr>
      <vt:lpstr>PSH_1BR_SUM</vt:lpstr>
      <vt:lpstr>PSH_2BR_100</vt:lpstr>
      <vt:lpstr>PSH_2BR_120</vt:lpstr>
      <vt:lpstr>PSH_2BR_20</vt:lpstr>
      <vt:lpstr>PSH_2BR_30</vt:lpstr>
      <vt:lpstr>PSH_2BR_40</vt:lpstr>
      <vt:lpstr>PSH_2BR_50</vt:lpstr>
      <vt:lpstr>PSH_2BR_60</vt:lpstr>
      <vt:lpstr>PSH_2BR_70</vt:lpstr>
      <vt:lpstr>PSH_2BR_80</vt:lpstr>
      <vt:lpstr>PSH_2BR_MKT</vt:lpstr>
      <vt:lpstr>PSH_2BR_SUM</vt:lpstr>
      <vt:lpstr>PSH_3BR_100</vt:lpstr>
      <vt:lpstr>PSH_3BR_120</vt:lpstr>
      <vt:lpstr>PSH_3BR_20</vt:lpstr>
      <vt:lpstr>PSH_3BR_30</vt:lpstr>
      <vt:lpstr>PSH_3BR_40</vt:lpstr>
      <vt:lpstr>PSH_3BR_50</vt:lpstr>
      <vt:lpstr>PSH_3BR_60</vt:lpstr>
      <vt:lpstr>PSH_3BR_70</vt:lpstr>
      <vt:lpstr>PSH_3BR_80</vt:lpstr>
      <vt:lpstr>PSH_3BR_MKT</vt:lpstr>
      <vt:lpstr>PSH_3BR_SUM</vt:lpstr>
      <vt:lpstr>PSH_4BR_100</vt:lpstr>
      <vt:lpstr>PSH_4BR_120</vt:lpstr>
      <vt:lpstr>PSH_4BR_20</vt:lpstr>
      <vt:lpstr>PSH_4BR_30</vt:lpstr>
      <vt:lpstr>PSH_4BR_40</vt:lpstr>
      <vt:lpstr>PSH_4BR_50</vt:lpstr>
      <vt:lpstr>PSH_4BR_60</vt:lpstr>
      <vt:lpstr>PSH_4BR_70</vt:lpstr>
      <vt:lpstr>PSH_4BR_80</vt:lpstr>
      <vt:lpstr>PSH_4BR_MKT</vt:lpstr>
      <vt:lpstr>PSH_4BR_SUM</vt:lpstr>
      <vt:lpstr>PSH_5BR_100</vt:lpstr>
      <vt:lpstr>PSH_5BR_120</vt:lpstr>
      <vt:lpstr>PSH_5BR_20</vt:lpstr>
      <vt:lpstr>PSH_5BR_30</vt:lpstr>
      <vt:lpstr>PSH_5BR_40</vt:lpstr>
      <vt:lpstr>PSH_5BR_50</vt:lpstr>
      <vt:lpstr>PSH_5BR_60</vt:lpstr>
      <vt:lpstr>PSH_5BR_70</vt:lpstr>
      <vt:lpstr>PSH_5BR_80</vt:lpstr>
      <vt:lpstr>PSH_5BR_MKT</vt:lpstr>
      <vt:lpstr>PSH_5BR_SUM</vt:lpstr>
      <vt:lpstr>PSH_EFF_100</vt:lpstr>
      <vt:lpstr>PSH_EFF_120</vt:lpstr>
      <vt:lpstr>PSH_EFF_20</vt:lpstr>
      <vt:lpstr>PSH_EFF_30</vt:lpstr>
      <vt:lpstr>PSH_EFF_40</vt:lpstr>
      <vt:lpstr>PSH_EFF_50</vt:lpstr>
      <vt:lpstr>PSH_EFF_60</vt:lpstr>
      <vt:lpstr>PSH_EFF_70</vt:lpstr>
      <vt:lpstr>PSH_EFF_80</vt:lpstr>
      <vt:lpstr>PSH_EFF_MKT</vt:lpstr>
      <vt:lpstr>PSH_EFF_SUM</vt:lpstr>
      <vt:lpstr>PSH_Program_Type</vt:lpstr>
      <vt:lpstr>PSH_SRO_100</vt:lpstr>
      <vt:lpstr>PSH_SRO_120</vt:lpstr>
      <vt:lpstr>PSH_SRO_20</vt:lpstr>
      <vt:lpstr>PSH_SRO_30</vt:lpstr>
      <vt:lpstr>PSH_SRO_40</vt:lpstr>
      <vt:lpstr>PSH_SRO_50</vt:lpstr>
      <vt:lpstr>PSH_SRO_60</vt:lpstr>
      <vt:lpstr>PSH_SRO_70</vt:lpstr>
      <vt:lpstr>PSH_SRO_80</vt:lpstr>
      <vt:lpstr>PSH_SRO_MKT</vt:lpstr>
      <vt:lpstr>PSH_SRO_SUM</vt:lpstr>
      <vt:lpstr>PSH_Undefined_100</vt:lpstr>
      <vt:lpstr>PSH_Undefined_120</vt:lpstr>
      <vt:lpstr>PSH_Undefined_20</vt:lpstr>
      <vt:lpstr>PSH_Undefined_30</vt:lpstr>
      <vt:lpstr>PSH_Undefined_40</vt:lpstr>
      <vt:lpstr>PSH_Undefined_50</vt:lpstr>
      <vt:lpstr>PSH_Undefined_60</vt:lpstr>
      <vt:lpstr>PSH_Undefined_70</vt:lpstr>
      <vt:lpstr>PSH_Undefined_80</vt:lpstr>
      <vt:lpstr>PSH_Undefined_MKT</vt:lpstr>
      <vt:lpstr>PSH_Undefined_SUM</vt:lpstr>
      <vt:lpstr>RIHELI_1BR_30</vt:lpstr>
      <vt:lpstr>RIHELI_2BR_30</vt:lpstr>
      <vt:lpstr>RIHELI_3BR_30</vt:lpstr>
      <vt:lpstr>RIHELI_4BR_30</vt:lpstr>
      <vt:lpstr>RIHELI_5BR_30</vt:lpstr>
      <vt:lpstr>RIHELI_EFF_30</vt:lpstr>
      <vt:lpstr>RIHELI_Program_Award</vt:lpstr>
      <vt:lpstr>RIHELI_SRO_30</vt:lpstr>
      <vt:lpstr>'00_0_LogIn'!rng_Password</vt:lpstr>
      <vt:lpstr>rng00_Area_Header</vt:lpstr>
      <vt:lpstr>rng00_DropdownList</vt:lpstr>
      <vt:lpstr>rng00_SaveFileDescription</vt:lpstr>
      <vt:lpstr>rng00_SaveFileLocation</vt:lpstr>
      <vt:lpstr>rng00_SaveFileName</vt:lpstr>
      <vt:lpstr>rng01_AccessibleUnits</vt:lpstr>
      <vt:lpstr>rng01_AdaptableUnits</vt:lpstr>
      <vt:lpstr>rng01_Address1</vt:lpstr>
      <vt:lpstr>rng01_Address10</vt:lpstr>
      <vt:lpstr>rng01_Address11</vt:lpstr>
      <vt:lpstr>rng01_Address12</vt:lpstr>
      <vt:lpstr>rng01_Address13</vt:lpstr>
      <vt:lpstr>rng01_Address14</vt:lpstr>
      <vt:lpstr>rng01_Address15</vt:lpstr>
      <vt:lpstr>rng01_Address16</vt:lpstr>
      <vt:lpstr>rng01_Address17</vt:lpstr>
      <vt:lpstr>rng01_Address18</vt:lpstr>
      <vt:lpstr>rng01_Address19</vt:lpstr>
      <vt:lpstr>rng01_Address2</vt:lpstr>
      <vt:lpstr>rng01_Address20</vt:lpstr>
      <vt:lpstr>rng01_Address21</vt:lpstr>
      <vt:lpstr>rng01_Address22</vt:lpstr>
      <vt:lpstr>rng01_Address23</vt:lpstr>
      <vt:lpstr>rng01_Address24</vt:lpstr>
      <vt:lpstr>rng01_Address25</vt:lpstr>
      <vt:lpstr>rng01_Address26</vt:lpstr>
      <vt:lpstr>rng01_Address27</vt:lpstr>
      <vt:lpstr>rng01_Address28</vt:lpstr>
      <vt:lpstr>rng01_Address29</vt:lpstr>
      <vt:lpstr>rng01_Address3</vt:lpstr>
      <vt:lpstr>rng01_Address30</vt:lpstr>
      <vt:lpstr>rng01_Address31</vt:lpstr>
      <vt:lpstr>rng01_Address32</vt:lpstr>
      <vt:lpstr>rng01_Address33</vt:lpstr>
      <vt:lpstr>rng01_Address34</vt:lpstr>
      <vt:lpstr>rng01_Address35</vt:lpstr>
      <vt:lpstr>rng01_Address36</vt:lpstr>
      <vt:lpstr>rng01_Address37</vt:lpstr>
      <vt:lpstr>rng01_Address38</vt:lpstr>
      <vt:lpstr>rng01_Address39</vt:lpstr>
      <vt:lpstr>rng01_Address4</vt:lpstr>
      <vt:lpstr>rng01_Address40</vt:lpstr>
      <vt:lpstr>rng01_Address41</vt:lpstr>
      <vt:lpstr>rng01_Address42</vt:lpstr>
      <vt:lpstr>rng01_Address43</vt:lpstr>
      <vt:lpstr>rng01_Address44</vt:lpstr>
      <vt:lpstr>rng01_Address45</vt:lpstr>
      <vt:lpstr>rng01_Address46</vt:lpstr>
      <vt:lpstr>rng01_Address47</vt:lpstr>
      <vt:lpstr>rng01_Address48</vt:lpstr>
      <vt:lpstr>rng01_Address49</vt:lpstr>
      <vt:lpstr>rng01_Address5</vt:lpstr>
      <vt:lpstr>rng01_Address50</vt:lpstr>
      <vt:lpstr>rng01_Address51</vt:lpstr>
      <vt:lpstr>rng01_Address52</vt:lpstr>
      <vt:lpstr>rng01_Address53</vt:lpstr>
      <vt:lpstr>rng01_Address54</vt:lpstr>
      <vt:lpstr>rng01_Address55</vt:lpstr>
      <vt:lpstr>rng01_Address56</vt:lpstr>
      <vt:lpstr>rng01_Address57</vt:lpstr>
      <vt:lpstr>rng01_Address58</vt:lpstr>
      <vt:lpstr>rng01_Address59</vt:lpstr>
      <vt:lpstr>rng01_Address6</vt:lpstr>
      <vt:lpstr>rng01_Address60</vt:lpstr>
      <vt:lpstr>rng01_Address61</vt:lpstr>
      <vt:lpstr>rng01_Address62</vt:lpstr>
      <vt:lpstr>rng01_Address63</vt:lpstr>
      <vt:lpstr>rng01_Address64</vt:lpstr>
      <vt:lpstr>rng01_Address65</vt:lpstr>
      <vt:lpstr>rng01_Address66</vt:lpstr>
      <vt:lpstr>rng01_Address67</vt:lpstr>
      <vt:lpstr>rng01_Address68</vt:lpstr>
      <vt:lpstr>rng01_Address69</vt:lpstr>
      <vt:lpstr>rng01_Address7</vt:lpstr>
      <vt:lpstr>rng01_Address70</vt:lpstr>
      <vt:lpstr>rng01_Address71</vt:lpstr>
      <vt:lpstr>rng01_Address72</vt:lpstr>
      <vt:lpstr>rng01_Address73</vt:lpstr>
      <vt:lpstr>rng01_Address74</vt:lpstr>
      <vt:lpstr>rng01_Address75</vt:lpstr>
      <vt:lpstr>rng01_Address76</vt:lpstr>
      <vt:lpstr>rng01_Address77</vt:lpstr>
      <vt:lpstr>rng01_Address78</vt:lpstr>
      <vt:lpstr>rng01_Address79</vt:lpstr>
      <vt:lpstr>rng01_Address8</vt:lpstr>
      <vt:lpstr>rng01_Address80</vt:lpstr>
      <vt:lpstr>rng01_Address9</vt:lpstr>
      <vt:lpstr>rng01_Amen_AC_Units</vt:lpstr>
      <vt:lpstr>rng01_Amen_Cab_Hkup</vt:lpstr>
      <vt:lpstr>rng01_Amen_Disposal</vt:lpstr>
      <vt:lpstr>rng01_Amen_DW</vt:lpstr>
      <vt:lpstr>rng01_Amen_Kit_Exhaust</vt:lpstr>
      <vt:lpstr>rng01_Amen_Lndry_Hkup</vt:lpstr>
      <vt:lpstr>rng01_Amen_Lndry_InUnit</vt:lpstr>
      <vt:lpstr>rng01_Amen_Other1</vt:lpstr>
      <vt:lpstr>rng01_Amen_Other2</vt:lpstr>
      <vt:lpstr>rng01_Amen_OtherDesc1</vt:lpstr>
      <vt:lpstr>rng01_Amen_OtherDesc2</vt:lpstr>
      <vt:lpstr>rng01_Amen_Security_Video_System</vt:lpstr>
      <vt:lpstr>rng01_Annual_Tax_Credit_Amount</vt:lpstr>
      <vt:lpstr>rng01_Architect</vt:lpstr>
      <vt:lpstr>rng01_Architect_Address</vt:lpstr>
      <vt:lpstr>rng01_Architect_Cell</vt:lpstr>
      <vt:lpstr>rng01_Architect_City</vt:lpstr>
      <vt:lpstr>rng01_Architect_Email</vt:lpstr>
      <vt:lpstr>rng01_Architect_Fax</vt:lpstr>
      <vt:lpstr>rng01_Architect_Name</vt:lpstr>
      <vt:lpstr>rng01_Architect_Phone</vt:lpstr>
      <vt:lpstr>rng01_Architect_State</vt:lpstr>
      <vt:lpstr>rng01_Area_BuildingDetail</vt:lpstr>
      <vt:lpstr>rng01_AsIsAppraised1</vt:lpstr>
      <vt:lpstr>rng01_AsIsAppraised10</vt:lpstr>
      <vt:lpstr>rng01_AsIsAppraised11</vt:lpstr>
      <vt:lpstr>rng01_AsIsAppraised12</vt:lpstr>
      <vt:lpstr>rng01_AsIsAppraised13</vt:lpstr>
      <vt:lpstr>rng01_AsIsAppraised14</vt:lpstr>
      <vt:lpstr>rng01_AsIsAppraised15</vt:lpstr>
      <vt:lpstr>rng01_AsIsAppraised16</vt:lpstr>
      <vt:lpstr>rng01_AsIsAppraised17</vt:lpstr>
      <vt:lpstr>rng01_AsIsAppraised18</vt:lpstr>
      <vt:lpstr>rng01_AsIsAppraised19</vt:lpstr>
      <vt:lpstr>rng01_AsIsAppraised2</vt:lpstr>
      <vt:lpstr>rng01_AsIsAppraised20</vt:lpstr>
      <vt:lpstr>rng01_AsIsAppraised21</vt:lpstr>
      <vt:lpstr>rng01_AsIsAppraised22</vt:lpstr>
      <vt:lpstr>rng01_AsIsAppraised23</vt:lpstr>
      <vt:lpstr>rng01_AsIsAppraised24</vt:lpstr>
      <vt:lpstr>rng01_AsIsAppraised25</vt:lpstr>
      <vt:lpstr>rng01_AsIsAppraised26</vt:lpstr>
      <vt:lpstr>rng01_AsIsAppraised27</vt:lpstr>
      <vt:lpstr>rng01_AsIsAppraised28</vt:lpstr>
      <vt:lpstr>rng01_AsIsAppraised29</vt:lpstr>
      <vt:lpstr>rng01_AsIsAppraised3</vt:lpstr>
      <vt:lpstr>rng01_AsIsAppraised30</vt:lpstr>
      <vt:lpstr>rng01_AsIsAppraised31</vt:lpstr>
      <vt:lpstr>rng01_AsIsAppraised32</vt:lpstr>
      <vt:lpstr>rng01_AsIsAppraised33</vt:lpstr>
      <vt:lpstr>rng01_AsIsAppraised34</vt:lpstr>
      <vt:lpstr>rng01_AsIsAppraised35</vt:lpstr>
      <vt:lpstr>rng01_AsIsAppraised36</vt:lpstr>
      <vt:lpstr>rng01_AsIsAppraised37</vt:lpstr>
      <vt:lpstr>rng01_AsIsAppraised38</vt:lpstr>
      <vt:lpstr>rng01_AsIsAppraised39</vt:lpstr>
      <vt:lpstr>rng01_AsIsAppraised4</vt:lpstr>
      <vt:lpstr>rng01_AsIsAppraised40</vt:lpstr>
      <vt:lpstr>rng01_AsIsAppraised41</vt:lpstr>
      <vt:lpstr>rng01_AsIsAppraised42</vt:lpstr>
      <vt:lpstr>rng01_AsIsAppraised43</vt:lpstr>
      <vt:lpstr>rng01_AsIsAppraised44</vt:lpstr>
      <vt:lpstr>rng01_AsIsAppraised45</vt:lpstr>
      <vt:lpstr>rng01_AsIsAppraised46</vt:lpstr>
      <vt:lpstr>rng01_AsIsAppraised47</vt:lpstr>
      <vt:lpstr>rng01_AsIsAppraised48</vt:lpstr>
      <vt:lpstr>rng01_AsIsAppraised49</vt:lpstr>
      <vt:lpstr>rng01_AsIsAppraised5</vt:lpstr>
      <vt:lpstr>rng01_AsIsAppraised50</vt:lpstr>
      <vt:lpstr>rng01_AsIsAppraised51</vt:lpstr>
      <vt:lpstr>rng01_AsIsAppraised52</vt:lpstr>
      <vt:lpstr>rng01_AsIsAppraised53</vt:lpstr>
      <vt:lpstr>rng01_AsIsAppraised54</vt:lpstr>
      <vt:lpstr>rng01_AsIsAppraised55</vt:lpstr>
      <vt:lpstr>rng01_AsIsAppraised56</vt:lpstr>
      <vt:lpstr>rng01_AsIsAppraised57</vt:lpstr>
      <vt:lpstr>rng01_AsIsAppraised58</vt:lpstr>
      <vt:lpstr>rng01_AsIsAppraised59</vt:lpstr>
      <vt:lpstr>rng01_AsIsAppraised6</vt:lpstr>
      <vt:lpstr>rng01_AsIsAppraised60</vt:lpstr>
      <vt:lpstr>rng01_AsIsAppraised61</vt:lpstr>
      <vt:lpstr>rng01_AsIsAppraised62</vt:lpstr>
      <vt:lpstr>rng01_AsIsAppraised63</vt:lpstr>
      <vt:lpstr>rng01_AsIsAppraised64</vt:lpstr>
      <vt:lpstr>rng01_AsIsAppraised65</vt:lpstr>
      <vt:lpstr>rng01_AsIsAppraised66</vt:lpstr>
      <vt:lpstr>rng01_AsIsAppraised67</vt:lpstr>
      <vt:lpstr>rng01_AsIsAppraised68</vt:lpstr>
      <vt:lpstr>rng01_AsIsAppraised69</vt:lpstr>
      <vt:lpstr>rng01_AsIsAppraised7</vt:lpstr>
      <vt:lpstr>rng01_AsIsAppraised70</vt:lpstr>
      <vt:lpstr>rng01_AsIsAppraised71</vt:lpstr>
      <vt:lpstr>rng01_AsIsAppraised72</vt:lpstr>
      <vt:lpstr>rng01_AsIsAppraised73</vt:lpstr>
      <vt:lpstr>rng01_AsIsAppraised74</vt:lpstr>
      <vt:lpstr>rng01_AsIsAppraised75</vt:lpstr>
      <vt:lpstr>rng01_AsIsAppraised76</vt:lpstr>
      <vt:lpstr>rng01_AsIsAppraised77</vt:lpstr>
      <vt:lpstr>rng01_AsIsAppraised78</vt:lpstr>
      <vt:lpstr>rng01_AsIsAppraised79</vt:lpstr>
      <vt:lpstr>rng01_AsIsAppraised8</vt:lpstr>
      <vt:lpstr>rng01_AsIsAppraised80</vt:lpstr>
      <vt:lpstr>rng01_AsIsAppraised9</vt:lpstr>
      <vt:lpstr>rng01_AssistedLiving_Rate</vt:lpstr>
      <vt:lpstr>rng01_AssistedLiving_Vacancy</vt:lpstr>
      <vt:lpstr>rng01_Borrower_Address</vt:lpstr>
      <vt:lpstr>rng01_Borrower_City</vt:lpstr>
      <vt:lpstr>rng01_Borrower_Maj_Prin_1</vt:lpstr>
      <vt:lpstr>rng01_Borrower_Maj_Prin_2</vt:lpstr>
      <vt:lpstr>rng01_Borrower_Maj_Prin_3</vt:lpstr>
      <vt:lpstr>rng01_Borrower_Maj_Prin_4</vt:lpstr>
      <vt:lpstr>rng01_Borrower_Name</vt:lpstr>
      <vt:lpstr>rng01_Borrower_State</vt:lpstr>
      <vt:lpstr>rng01_Borrower_Tele_Num</vt:lpstr>
      <vt:lpstr>rng01_Borrower_Zip</vt:lpstr>
      <vt:lpstr>rng01_Borrowing_Entity</vt:lpstr>
      <vt:lpstr>rng01_Brownfield_Site</vt:lpstr>
      <vt:lpstr>rng01_BuildingList</vt:lpstr>
      <vt:lpstr>rng01_CensusTract</vt:lpstr>
      <vt:lpstr>rng01_CensusTract1</vt:lpstr>
      <vt:lpstr>rng01_CensusTract10</vt:lpstr>
      <vt:lpstr>rng01_CensusTract11</vt:lpstr>
      <vt:lpstr>rng01_CensusTract12</vt:lpstr>
      <vt:lpstr>rng01_CensusTract13</vt:lpstr>
      <vt:lpstr>rng01_CensusTract14</vt:lpstr>
      <vt:lpstr>rng01_CensusTract15</vt:lpstr>
      <vt:lpstr>rng01_CensusTract16</vt:lpstr>
      <vt:lpstr>rng01_CensusTract17</vt:lpstr>
      <vt:lpstr>rng01_CensusTract18</vt:lpstr>
      <vt:lpstr>rng01_CensusTract19</vt:lpstr>
      <vt:lpstr>rng01_CensusTract2</vt:lpstr>
      <vt:lpstr>rng01_CensusTract20</vt:lpstr>
      <vt:lpstr>rng01_CensusTract21</vt:lpstr>
      <vt:lpstr>rng01_CensusTract22</vt:lpstr>
      <vt:lpstr>rng01_CensusTract23</vt:lpstr>
      <vt:lpstr>rng01_CensusTract24</vt:lpstr>
      <vt:lpstr>rng01_CensusTract25</vt:lpstr>
      <vt:lpstr>rng01_CensusTract26</vt:lpstr>
      <vt:lpstr>rng01_CensusTract27</vt:lpstr>
      <vt:lpstr>rng01_CensusTract28</vt:lpstr>
      <vt:lpstr>rng01_CensusTract29</vt:lpstr>
      <vt:lpstr>rng01_CensusTract3</vt:lpstr>
      <vt:lpstr>rng01_CensusTract30</vt:lpstr>
      <vt:lpstr>rng01_CensusTract31</vt:lpstr>
      <vt:lpstr>rng01_CensusTract32</vt:lpstr>
      <vt:lpstr>rng01_CensusTract33</vt:lpstr>
      <vt:lpstr>rng01_CensusTract34</vt:lpstr>
      <vt:lpstr>rng01_CensusTract35</vt:lpstr>
      <vt:lpstr>rng01_CensusTract36</vt:lpstr>
      <vt:lpstr>rng01_CensusTract37</vt:lpstr>
      <vt:lpstr>rng01_CensusTract38</vt:lpstr>
      <vt:lpstr>rng01_CensusTract39</vt:lpstr>
      <vt:lpstr>rng01_CensusTract4</vt:lpstr>
      <vt:lpstr>rng01_CensusTract40</vt:lpstr>
      <vt:lpstr>rng01_CensusTract41</vt:lpstr>
      <vt:lpstr>rng01_CensusTract42</vt:lpstr>
      <vt:lpstr>rng01_CensusTract43</vt:lpstr>
      <vt:lpstr>rng01_CensusTract44</vt:lpstr>
      <vt:lpstr>rng01_CensusTract45</vt:lpstr>
      <vt:lpstr>rng01_CensusTract46</vt:lpstr>
      <vt:lpstr>rng01_CensusTract47</vt:lpstr>
      <vt:lpstr>rng01_CensusTract48</vt:lpstr>
      <vt:lpstr>rng01_CensusTract49</vt:lpstr>
      <vt:lpstr>rng01_CensusTract5</vt:lpstr>
      <vt:lpstr>rng01_CensusTract50</vt:lpstr>
      <vt:lpstr>rng01_CensusTract51</vt:lpstr>
      <vt:lpstr>rng01_CensusTract52</vt:lpstr>
      <vt:lpstr>rng01_CensusTract53</vt:lpstr>
      <vt:lpstr>rng01_CensusTract54</vt:lpstr>
      <vt:lpstr>rng01_CensusTract55</vt:lpstr>
      <vt:lpstr>rng01_CensusTract56</vt:lpstr>
      <vt:lpstr>rng01_CensusTract57</vt:lpstr>
      <vt:lpstr>rng01_CensusTract58</vt:lpstr>
      <vt:lpstr>rng01_CensusTract59</vt:lpstr>
      <vt:lpstr>rng01_CensusTract6</vt:lpstr>
      <vt:lpstr>rng01_CensusTract60</vt:lpstr>
      <vt:lpstr>rng01_CensusTract61</vt:lpstr>
      <vt:lpstr>rng01_CensusTract62</vt:lpstr>
      <vt:lpstr>rng01_CensusTract63</vt:lpstr>
      <vt:lpstr>rng01_CensusTract64</vt:lpstr>
      <vt:lpstr>rng01_CensusTract65</vt:lpstr>
      <vt:lpstr>rng01_CensusTract66</vt:lpstr>
      <vt:lpstr>rng01_CensusTract67</vt:lpstr>
      <vt:lpstr>rng01_CensusTract68</vt:lpstr>
      <vt:lpstr>rng01_CensusTract69</vt:lpstr>
      <vt:lpstr>rng01_CensusTract7</vt:lpstr>
      <vt:lpstr>rng01_CensusTract70</vt:lpstr>
      <vt:lpstr>rng01_CensusTract71</vt:lpstr>
      <vt:lpstr>rng01_CensusTract72</vt:lpstr>
      <vt:lpstr>rng01_CensusTract73</vt:lpstr>
      <vt:lpstr>rng01_CensusTract74</vt:lpstr>
      <vt:lpstr>rng01_CensusTract75</vt:lpstr>
      <vt:lpstr>rng01_CensusTract76</vt:lpstr>
      <vt:lpstr>rng01_CensusTract77</vt:lpstr>
      <vt:lpstr>rng01_CensusTract78</vt:lpstr>
      <vt:lpstr>rng01_CensusTract79</vt:lpstr>
      <vt:lpstr>rng01_CensusTract8</vt:lpstr>
      <vt:lpstr>rng01_CensusTract80</vt:lpstr>
      <vt:lpstr>rng01_CensusTract9</vt:lpstr>
      <vt:lpstr>rng01_City1</vt:lpstr>
      <vt:lpstr>rng01_City10</vt:lpstr>
      <vt:lpstr>rng01_City11</vt:lpstr>
      <vt:lpstr>rng01_City12</vt:lpstr>
      <vt:lpstr>rng01_City13</vt:lpstr>
      <vt:lpstr>rng01_City14</vt:lpstr>
      <vt:lpstr>rng01_City15</vt:lpstr>
      <vt:lpstr>rng01_City16</vt:lpstr>
      <vt:lpstr>rng01_City17</vt:lpstr>
      <vt:lpstr>rng01_City18</vt:lpstr>
      <vt:lpstr>rng01_City19</vt:lpstr>
      <vt:lpstr>rng01_City2</vt:lpstr>
      <vt:lpstr>rng01_City20</vt:lpstr>
      <vt:lpstr>rng01_City21</vt:lpstr>
      <vt:lpstr>rng01_City22</vt:lpstr>
      <vt:lpstr>rng01_City23</vt:lpstr>
      <vt:lpstr>rng01_City24</vt:lpstr>
      <vt:lpstr>rng01_City25</vt:lpstr>
      <vt:lpstr>rng01_City26</vt:lpstr>
      <vt:lpstr>rng01_City27</vt:lpstr>
      <vt:lpstr>rng01_City28</vt:lpstr>
      <vt:lpstr>rng01_City29</vt:lpstr>
      <vt:lpstr>rng01_City3</vt:lpstr>
      <vt:lpstr>rng01_City30</vt:lpstr>
      <vt:lpstr>rng01_City31</vt:lpstr>
      <vt:lpstr>rng01_City32</vt:lpstr>
      <vt:lpstr>rng01_City33</vt:lpstr>
      <vt:lpstr>rng01_City34</vt:lpstr>
      <vt:lpstr>rng01_City35</vt:lpstr>
      <vt:lpstr>rng01_City36</vt:lpstr>
      <vt:lpstr>rng01_City37</vt:lpstr>
      <vt:lpstr>rng01_City38</vt:lpstr>
      <vt:lpstr>rng01_City39</vt:lpstr>
      <vt:lpstr>rng01_City4</vt:lpstr>
      <vt:lpstr>rng01_City40</vt:lpstr>
      <vt:lpstr>rng01_City41</vt:lpstr>
      <vt:lpstr>rng01_City42</vt:lpstr>
      <vt:lpstr>rng01_City43</vt:lpstr>
      <vt:lpstr>rng01_City44</vt:lpstr>
      <vt:lpstr>rng01_City45</vt:lpstr>
      <vt:lpstr>rng01_City46</vt:lpstr>
      <vt:lpstr>rng01_City47</vt:lpstr>
      <vt:lpstr>rng01_City48</vt:lpstr>
      <vt:lpstr>rng01_City49</vt:lpstr>
      <vt:lpstr>rng01_City5</vt:lpstr>
      <vt:lpstr>rng01_City50</vt:lpstr>
      <vt:lpstr>rng01_City51</vt:lpstr>
      <vt:lpstr>rng01_City52</vt:lpstr>
      <vt:lpstr>rng01_City53</vt:lpstr>
      <vt:lpstr>rng01_City54</vt:lpstr>
      <vt:lpstr>rng01_City55</vt:lpstr>
      <vt:lpstr>rng01_City56</vt:lpstr>
      <vt:lpstr>rng01_City57</vt:lpstr>
      <vt:lpstr>rng01_City58</vt:lpstr>
      <vt:lpstr>rng01_City59</vt:lpstr>
      <vt:lpstr>rng01_City6</vt:lpstr>
      <vt:lpstr>rng01_City60</vt:lpstr>
      <vt:lpstr>rng01_City61</vt:lpstr>
      <vt:lpstr>rng01_City62</vt:lpstr>
      <vt:lpstr>rng01_City63</vt:lpstr>
      <vt:lpstr>rng01_City64</vt:lpstr>
      <vt:lpstr>rng01_City65</vt:lpstr>
      <vt:lpstr>rng01_City66</vt:lpstr>
      <vt:lpstr>rng01_City67</vt:lpstr>
      <vt:lpstr>rng01_City68</vt:lpstr>
      <vt:lpstr>rng01_City69</vt:lpstr>
      <vt:lpstr>rng01_City7</vt:lpstr>
      <vt:lpstr>rng01_City70</vt:lpstr>
      <vt:lpstr>rng01_City71</vt:lpstr>
      <vt:lpstr>rng01_City72</vt:lpstr>
      <vt:lpstr>rng01_City73</vt:lpstr>
      <vt:lpstr>rng01_City74</vt:lpstr>
      <vt:lpstr>rng01_City75</vt:lpstr>
      <vt:lpstr>rng01_City76</vt:lpstr>
      <vt:lpstr>rng01_City77</vt:lpstr>
      <vt:lpstr>rng01_City78</vt:lpstr>
      <vt:lpstr>rng01_City79</vt:lpstr>
      <vt:lpstr>rng01_City8</vt:lpstr>
      <vt:lpstr>rng01_City80</vt:lpstr>
      <vt:lpstr>rng01_City9</vt:lpstr>
      <vt:lpstr>rng01_ClosingDate</vt:lpstr>
      <vt:lpstr>rng01_Co_Developer</vt:lpstr>
      <vt:lpstr>rng01_Co_Developer_Address</vt:lpstr>
      <vt:lpstr>rng01_Co_Developer_Cell</vt:lpstr>
      <vt:lpstr>rng01_Co_Developer_City</vt:lpstr>
      <vt:lpstr>rng01_Co_Developer_Email</vt:lpstr>
      <vt:lpstr>rng01_Co_Developer_Fax</vt:lpstr>
      <vt:lpstr>rng01_Co_Developer_Name</vt:lpstr>
      <vt:lpstr>rng01_Co_Developer_Phone</vt:lpstr>
      <vt:lpstr>rng01_Co_Developer_State</vt:lpstr>
      <vt:lpstr>rng01_Commercial_Building_Type</vt:lpstr>
      <vt:lpstr>rng01_Commercial_Ext_Finish</vt:lpstr>
      <vt:lpstr>rng01_Commercial_GSF</vt:lpstr>
      <vt:lpstr>rng01_Commercial_No_Buildings</vt:lpstr>
      <vt:lpstr>rng01_Commercial_No_Stoires</vt:lpstr>
      <vt:lpstr>rng01_Commercial_No_Struct_Sys</vt:lpstr>
      <vt:lpstr>rng01_Community_Building_Type</vt:lpstr>
      <vt:lpstr>rng01_Community_Ext_Finish</vt:lpstr>
      <vt:lpstr>rng01_Community_GSF</vt:lpstr>
      <vt:lpstr>rng01_Community_No_Buildings</vt:lpstr>
      <vt:lpstr>rng01_Community_No_Stoires</vt:lpstr>
      <vt:lpstr>rng01_Community_No_Struct_Sys</vt:lpstr>
      <vt:lpstr>rng01_ConstructionLoan</vt:lpstr>
      <vt:lpstr>rng01_ConstructionLoanInterest</vt:lpstr>
      <vt:lpstr>rng01_ConstructionLoanLender</vt:lpstr>
      <vt:lpstr>rng01_ConstructionType</vt:lpstr>
      <vt:lpstr>rng01_Consultant1</vt:lpstr>
      <vt:lpstr>rng01_Consultant1_Address</vt:lpstr>
      <vt:lpstr>rng01_Consultant1_Cell</vt:lpstr>
      <vt:lpstr>rng01_Consultant1_City</vt:lpstr>
      <vt:lpstr>rng01_Consultant1_Email</vt:lpstr>
      <vt:lpstr>rng01_Consultant1_Fax</vt:lpstr>
      <vt:lpstr>rng01_Consultant1_Name</vt:lpstr>
      <vt:lpstr>rng01_Consultant1_Phone</vt:lpstr>
      <vt:lpstr>rng01_Consultant1_State</vt:lpstr>
      <vt:lpstr>rng01_Consultant2</vt:lpstr>
      <vt:lpstr>rng01_Consultant2_Address</vt:lpstr>
      <vt:lpstr>rng01_Consultant2_Cell</vt:lpstr>
      <vt:lpstr>rng01_Consultant2_City</vt:lpstr>
      <vt:lpstr>rng01_Consultant2_Email</vt:lpstr>
      <vt:lpstr>rng01_Consultant2_Fax</vt:lpstr>
      <vt:lpstr>rng01_Consultant2_Name</vt:lpstr>
      <vt:lpstr>rng01_Consultant2_Phone</vt:lpstr>
      <vt:lpstr>rng01_Consultant2_State</vt:lpstr>
      <vt:lpstr>rng01_Contractor</vt:lpstr>
      <vt:lpstr>rng01_Contractor_Address</vt:lpstr>
      <vt:lpstr>rng01_Contractor_Cell</vt:lpstr>
      <vt:lpstr>rng01_Contractor_City</vt:lpstr>
      <vt:lpstr>rng01_Contractor_Email</vt:lpstr>
      <vt:lpstr>rng01_Contractor_Fax</vt:lpstr>
      <vt:lpstr>rng01_Contractor_Name</vt:lpstr>
      <vt:lpstr>rng01_Contractor_Phone</vt:lpstr>
      <vt:lpstr>rng01_Contractor_State</vt:lpstr>
      <vt:lpstr>rng01_CreditType</vt:lpstr>
      <vt:lpstr>rng01_Date_Acquired</vt:lpstr>
      <vt:lpstr>rng01_Date_LeaseUp</vt:lpstr>
      <vt:lpstr>rng01_DealStageStatus</vt:lpstr>
      <vt:lpstr>rng01_Developer</vt:lpstr>
      <vt:lpstr>rng01_Developer_Address</vt:lpstr>
      <vt:lpstr>rng01_Developer_Cell</vt:lpstr>
      <vt:lpstr>rng01_Developer_City</vt:lpstr>
      <vt:lpstr>rng01_Developer_Email</vt:lpstr>
      <vt:lpstr>rng01_Developer_Fax</vt:lpstr>
      <vt:lpstr>rng01_Developer_Name</vt:lpstr>
      <vt:lpstr>rng01_Developer_Phone</vt:lpstr>
      <vt:lpstr>rng01_Developer_State</vt:lpstr>
      <vt:lpstr>rng01_DevelopmentType</vt:lpstr>
      <vt:lpstr>rng01_DSCR</vt:lpstr>
      <vt:lpstr>rng01_FinancingType</vt:lpstr>
      <vt:lpstr>rng01_FirstLeaseUpYear_Affordable</vt:lpstr>
      <vt:lpstr>rng01_FirstLeaseUpYear_Market</vt:lpstr>
      <vt:lpstr>rng01_FirstYearProforma</vt:lpstr>
      <vt:lpstr>rng01_Gr_Sq_Ft_Comcl</vt:lpstr>
      <vt:lpstr>rng01_Gr_Sq_Ft_Community</vt:lpstr>
      <vt:lpstr>rng01_Gr_Sq_Ft_Res</vt:lpstr>
      <vt:lpstr>rng01_Gr_Sq_Ft_Unfinished</vt:lpstr>
      <vt:lpstr>rng01_Ground_Lease_Fee_Other</vt:lpstr>
      <vt:lpstr>rng01_Header_Absorption</vt:lpstr>
      <vt:lpstr>rng01_Header_Acquisition</vt:lpstr>
      <vt:lpstr>rng01_Header_BuildingDetail</vt:lpstr>
      <vt:lpstr>rng01_Header_DeveloperInfo</vt:lpstr>
      <vt:lpstr>rng01_Header_EquityPayIn</vt:lpstr>
      <vt:lpstr>rng01_Header_GenInfo</vt:lpstr>
      <vt:lpstr>rng01_Header_TrendAssump</vt:lpstr>
      <vt:lpstr>rng01_Historic_Credit</vt:lpstr>
      <vt:lpstr>rng01_Legal</vt:lpstr>
      <vt:lpstr>rng01_Legal_Address</vt:lpstr>
      <vt:lpstr>rng01_Legal_Cell</vt:lpstr>
      <vt:lpstr>rng01_Legal_City</vt:lpstr>
      <vt:lpstr>rng01_Legal_Email</vt:lpstr>
      <vt:lpstr>rng01_Legal_Fax</vt:lpstr>
      <vt:lpstr>rng01_Legal_Name</vt:lpstr>
      <vt:lpstr>rng01_Legal_Phone</vt:lpstr>
      <vt:lpstr>rng01_Legal_State</vt:lpstr>
      <vt:lpstr>rng01_LIHTC_Legal</vt:lpstr>
      <vt:lpstr>rng01_LIHTC_Legal_Address</vt:lpstr>
      <vt:lpstr>rng01_LIHTC_Legal_Cell</vt:lpstr>
      <vt:lpstr>rng01_LIHTC_Legal_City</vt:lpstr>
      <vt:lpstr>rng01_LIHTC_Legal_Email</vt:lpstr>
      <vt:lpstr>rng01_LIHTC_Legal_Fax</vt:lpstr>
      <vt:lpstr>rng01_LIHTC_Legal_Name</vt:lpstr>
      <vt:lpstr>rng01_LIHTC_Legal_Phone</vt:lpstr>
      <vt:lpstr>rng01_LIHTC_Legal_State</vt:lpstr>
      <vt:lpstr>rng01_ManagementFee</vt:lpstr>
      <vt:lpstr>rng01_Manager</vt:lpstr>
      <vt:lpstr>rng01_Manager_Address</vt:lpstr>
      <vt:lpstr>rng01_Manager_Cell</vt:lpstr>
      <vt:lpstr>rng01_Manager_City</vt:lpstr>
      <vt:lpstr>rng01_Manager_Email</vt:lpstr>
      <vt:lpstr>rng01_Manager_Fax</vt:lpstr>
      <vt:lpstr>rng01_Manager_Name</vt:lpstr>
      <vt:lpstr>rng01_Manager_Phone</vt:lpstr>
      <vt:lpstr>rng01_Manager_State</vt:lpstr>
      <vt:lpstr>rng01_Milestones_Closing_EquityPayIn</vt:lpstr>
      <vt:lpstr>rng01_Milestones_ConstructionBegins</vt:lpstr>
      <vt:lpstr>rng01_Milestones_ConstructionBegins_EquityPayIn</vt:lpstr>
      <vt:lpstr>rng01_Milestones_ConstructionCompletion</vt:lpstr>
      <vt:lpstr>rng01_Milestones_ConstructionCompletion_EquityPayIn</vt:lpstr>
      <vt:lpstr>rng01_Milestones_LeaseUpStart_EquityPayIn</vt:lpstr>
      <vt:lpstr>rng01_Milestones_Other1</vt:lpstr>
      <vt:lpstr>rng01_Milestones_Other1_EquityPayIn</vt:lpstr>
      <vt:lpstr>rng01_Milestones_Other2</vt:lpstr>
      <vt:lpstr>rng01_Milestones_Other2_EquityPayIn</vt:lpstr>
      <vt:lpstr>rng01_Milestones_Other3</vt:lpstr>
      <vt:lpstr>rng01_Milestones_Other3_EquityPayIn</vt:lpstr>
      <vt:lpstr>rng01_Milestones_Other4</vt:lpstr>
      <vt:lpstr>rng01_Milestones_Other4_EquityPayIn</vt:lpstr>
      <vt:lpstr>rng01_Milestones_Other5</vt:lpstr>
      <vt:lpstr>rng01_Milestones_Other5_EquityPayIn</vt:lpstr>
      <vt:lpstr>rng01_Milestones_Other6</vt:lpstr>
      <vt:lpstr>rng01_Milestones_Other6_EquityPayIn</vt:lpstr>
      <vt:lpstr>rng01_Milestones_Other7</vt:lpstr>
      <vt:lpstr>rng01_Milestones_Other7_EquityPayIn</vt:lpstr>
      <vt:lpstr>rng01_Milestones_Other8</vt:lpstr>
      <vt:lpstr>rng01_Milestones_Other8_EquityPayIn</vt:lpstr>
      <vt:lpstr>rng01_Milestones_RentalAchievement</vt:lpstr>
      <vt:lpstr>rng01_Milestones_RentalAchievement_EquityPayIn</vt:lpstr>
      <vt:lpstr>rng01_Milestones_Stabilization</vt:lpstr>
      <vt:lpstr>rng01_Milestones_Stabilization_EquityPayIn</vt:lpstr>
      <vt:lpstr>rng01_Mod_Rev_Date</vt:lpstr>
      <vt:lpstr>rng01_Mod_Ver_Num</vt:lpstr>
      <vt:lpstr>rng01_Mort_Prog_Type</vt:lpstr>
      <vt:lpstr>rng01_MortgageInsurangePremium</vt:lpstr>
      <vt:lpstr>rng01_NonProfit</vt:lpstr>
      <vt:lpstr>rng01_NRSF_Commercial</vt:lpstr>
      <vt:lpstr>rng01_NRSF_Commercial_Percent</vt:lpstr>
      <vt:lpstr>rng01_NRSF_Res</vt:lpstr>
      <vt:lpstr>rng01_NRSF_Res_Percent</vt:lpstr>
      <vt:lpstr>rng01_Num_Elevators</vt:lpstr>
      <vt:lpstr>rng01_Num_ParkingSpaces</vt:lpstr>
      <vt:lpstr>rng01_NumberOfBuildings</vt:lpstr>
      <vt:lpstr>rng01_NumOfBuildings</vt:lpstr>
      <vt:lpstr>rng01_OpExRate</vt:lpstr>
      <vt:lpstr>rng01_Other_Assistance</vt:lpstr>
      <vt:lpstr>rng01_Other_Assistance_Type</vt:lpstr>
      <vt:lpstr>rng01_Other_Building_Type</vt:lpstr>
      <vt:lpstr>rng01_Other_Ext_Finish</vt:lpstr>
      <vt:lpstr>rng01_Other_GSF</vt:lpstr>
      <vt:lpstr>rng01_Other_No_Buildings</vt:lpstr>
      <vt:lpstr>rng01_Other_No_Stoires</vt:lpstr>
      <vt:lpstr>rng01_Other_No_Struct_Sys</vt:lpstr>
      <vt:lpstr>rng01_ProgramType</vt:lpstr>
      <vt:lpstr>rng01_Proj_Amen1</vt:lpstr>
      <vt:lpstr>rng01_Proj_Amen1_Comments</vt:lpstr>
      <vt:lpstr>rng01_Proj_Amen2</vt:lpstr>
      <vt:lpstr>rng01_Proj_Amen2_Comments</vt:lpstr>
      <vt:lpstr>rng01_Proj_Amen3</vt:lpstr>
      <vt:lpstr>rng01_Proj_Amen3_Comments</vt:lpstr>
      <vt:lpstr>rng01_Proj_Amen4</vt:lpstr>
      <vt:lpstr>rng01_Proj_Amen4_Comments</vt:lpstr>
      <vt:lpstr>rng01_Proj_Amen5</vt:lpstr>
      <vt:lpstr>rng01_Proj_Amen5_Comments</vt:lpstr>
      <vt:lpstr>rng01_Proj_Amen6</vt:lpstr>
      <vt:lpstr>rng01_Proj_Amen6_Comments</vt:lpstr>
      <vt:lpstr>rng01_Proj_Amen7</vt:lpstr>
      <vt:lpstr>rng01_Proj_Amen7_Comments</vt:lpstr>
      <vt:lpstr>rng01_Proj_Amen8</vt:lpstr>
      <vt:lpstr>rng01_Proj_Amen8_Comments</vt:lpstr>
      <vt:lpstr>'02 _7_Operating Subsidy'!rng01_ProjectCurrModProgressDate</vt:lpstr>
      <vt:lpstr>'02 _8_PSH Units'!rng01_ProjectCurrModProgressDate</vt:lpstr>
      <vt:lpstr>rng01_ProjectCurrModProgressDate</vt:lpstr>
      <vt:lpstr>rng01_ProjectID</vt:lpstr>
      <vt:lpstr>rng01_ProjectName</vt:lpstr>
      <vt:lpstr>rng01_ProjectType</vt:lpstr>
      <vt:lpstr>rng01_PropertyType</vt:lpstr>
      <vt:lpstr>rng01_Public_Sewer</vt:lpstr>
      <vt:lpstr>rng01_Public_Water</vt:lpstr>
      <vt:lpstr>rng01_QCTDDA1</vt:lpstr>
      <vt:lpstr>rng01_QCTDDA10</vt:lpstr>
      <vt:lpstr>rng01_QCTDDA11</vt:lpstr>
      <vt:lpstr>rng01_QCTDDA12</vt:lpstr>
      <vt:lpstr>rng01_QCTDDA13</vt:lpstr>
      <vt:lpstr>rng01_QCTDDA14</vt:lpstr>
      <vt:lpstr>rng01_QCTDDA15</vt:lpstr>
      <vt:lpstr>rng01_QCTDDA16</vt:lpstr>
      <vt:lpstr>rng01_QCTDDA17</vt:lpstr>
      <vt:lpstr>rng01_QCTDDA18</vt:lpstr>
      <vt:lpstr>rng01_QCTDDA19</vt:lpstr>
      <vt:lpstr>rng01_QCTDDA2</vt:lpstr>
      <vt:lpstr>rng01_QCTDDA20</vt:lpstr>
      <vt:lpstr>rng01_QCTDDA21</vt:lpstr>
      <vt:lpstr>rng01_QCTDDA22</vt:lpstr>
      <vt:lpstr>rng01_QCTDDA23</vt:lpstr>
      <vt:lpstr>rng01_QCTDDA24</vt:lpstr>
      <vt:lpstr>rng01_QCTDDA25</vt:lpstr>
      <vt:lpstr>rng01_QCTDDA26</vt:lpstr>
      <vt:lpstr>rng01_QCTDDA27</vt:lpstr>
      <vt:lpstr>rng01_QCTDDA28</vt:lpstr>
      <vt:lpstr>rng01_QCTDDA29</vt:lpstr>
      <vt:lpstr>rng01_QCTDDA3</vt:lpstr>
      <vt:lpstr>rng01_QCTDDA30</vt:lpstr>
      <vt:lpstr>rng01_QCTDDA31</vt:lpstr>
      <vt:lpstr>rng01_QCTDDA32</vt:lpstr>
      <vt:lpstr>rng01_QCTDDA33</vt:lpstr>
      <vt:lpstr>rng01_QCTDDA34</vt:lpstr>
      <vt:lpstr>rng01_QCTDDA35</vt:lpstr>
      <vt:lpstr>rng01_QCTDDA36</vt:lpstr>
      <vt:lpstr>rng01_QCTDDA37</vt:lpstr>
      <vt:lpstr>rng01_QCTDDA38</vt:lpstr>
      <vt:lpstr>rng01_QCTDDA39</vt:lpstr>
      <vt:lpstr>rng01_QCTDDA4</vt:lpstr>
      <vt:lpstr>rng01_QCTDDA40</vt:lpstr>
      <vt:lpstr>rng01_QCTDDA41</vt:lpstr>
      <vt:lpstr>rng01_QCTDDA42</vt:lpstr>
      <vt:lpstr>rng01_QCTDDA43</vt:lpstr>
      <vt:lpstr>rng01_QCTDDA44</vt:lpstr>
      <vt:lpstr>rng01_QCTDDA45</vt:lpstr>
      <vt:lpstr>rng01_QCTDDA46</vt:lpstr>
      <vt:lpstr>rng01_QCTDDA47</vt:lpstr>
      <vt:lpstr>rng01_QCTDDA48</vt:lpstr>
      <vt:lpstr>rng01_QCTDDA49</vt:lpstr>
      <vt:lpstr>rng01_QCTDDA5</vt:lpstr>
      <vt:lpstr>rng01_QCTDDA50</vt:lpstr>
      <vt:lpstr>rng01_QCTDDA51</vt:lpstr>
      <vt:lpstr>rng01_QCTDDA52</vt:lpstr>
      <vt:lpstr>rng01_QCTDDA53</vt:lpstr>
      <vt:lpstr>rng01_QCTDDA54</vt:lpstr>
      <vt:lpstr>rng01_QCTDDA55</vt:lpstr>
      <vt:lpstr>rng01_QCTDDA56</vt:lpstr>
      <vt:lpstr>rng01_QCTDDA57</vt:lpstr>
      <vt:lpstr>rng01_QCTDDA58</vt:lpstr>
      <vt:lpstr>rng01_QCTDDA59</vt:lpstr>
      <vt:lpstr>rng01_QCTDDA6</vt:lpstr>
      <vt:lpstr>rng01_QCTDDA60</vt:lpstr>
      <vt:lpstr>rng01_QCTDDA61</vt:lpstr>
      <vt:lpstr>rng01_QCTDDA62</vt:lpstr>
      <vt:lpstr>rng01_QCTDDA63</vt:lpstr>
      <vt:lpstr>rng01_QCTDDA64</vt:lpstr>
      <vt:lpstr>rng01_QCTDDA65</vt:lpstr>
      <vt:lpstr>rng01_QCTDDA66</vt:lpstr>
      <vt:lpstr>rng01_QCTDDA67</vt:lpstr>
      <vt:lpstr>rng01_QCTDDA68</vt:lpstr>
      <vt:lpstr>rng01_QCTDDA69</vt:lpstr>
      <vt:lpstr>rng01_QCTDDA7</vt:lpstr>
      <vt:lpstr>rng01_QCTDDA70</vt:lpstr>
      <vt:lpstr>rng01_QCTDDA71</vt:lpstr>
      <vt:lpstr>rng01_QCTDDA72</vt:lpstr>
      <vt:lpstr>rng01_QCTDDA73</vt:lpstr>
      <vt:lpstr>rng01_QCTDDA74</vt:lpstr>
      <vt:lpstr>rng01_QCTDDA75</vt:lpstr>
      <vt:lpstr>rng01_QCTDDA76</vt:lpstr>
      <vt:lpstr>rng01_QCTDDA77</vt:lpstr>
      <vt:lpstr>rng01_QCTDDA78</vt:lpstr>
      <vt:lpstr>rng01_QCTDDA79</vt:lpstr>
      <vt:lpstr>rng01_QCTDDA8</vt:lpstr>
      <vt:lpstr>rng01_QCTDDA80</vt:lpstr>
      <vt:lpstr>rng01_QCTDDA9</vt:lpstr>
      <vt:lpstr>rng01_RentalIncomeRate</vt:lpstr>
      <vt:lpstr>rng01_Res1_Building_Type</vt:lpstr>
      <vt:lpstr>rng01_Res1_Ext_Finish</vt:lpstr>
      <vt:lpstr>rng01_Res1_GSF</vt:lpstr>
      <vt:lpstr>rng01_Res1_No_Buildings</vt:lpstr>
      <vt:lpstr>rng01_Res1_No_Stoires</vt:lpstr>
      <vt:lpstr>rng01_Res1_No_Struct_Sys</vt:lpstr>
      <vt:lpstr>rng01_Res2_Building_Type</vt:lpstr>
      <vt:lpstr>rng01_Res2_Ext_Finish</vt:lpstr>
      <vt:lpstr>rng01_Res2_GSF</vt:lpstr>
      <vt:lpstr>rng01_Res2_No_Buildings</vt:lpstr>
      <vt:lpstr>rng01_Res2_No_Stoires</vt:lpstr>
      <vt:lpstr>rng01_Res2_No_Struct_Sys</vt:lpstr>
      <vt:lpstr>rng01_ReserveInterest</vt:lpstr>
      <vt:lpstr>rng01_RIH_Mort_Int_Rate</vt:lpstr>
      <vt:lpstr>rng01_RIH_Mort_Term_Ys</vt:lpstr>
      <vt:lpstr>rng01_RIH_Mortgage</vt:lpstr>
      <vt:lpstr>rng01_RIH_Underwriter</vt:lpstr>
      <vt:lpstr>rng01_Risk_Sharing</vt:lpstr>
      <vt:lpstr>rng01_SalesPrice1</vt:lpstr>
      <vt:lpstr>rng01_SalesPrice10</vt:lpstr>
      <vt:lpstr>rng01_SalesPrice11</vt:lpstr>
      <vt:lpstr>rng01_SalesPrice12</vt:lpstr>
      <vt:lpstr>rng01_SalesPrice13</vt:lpstr>
      <vt:lpstr>rng01_SalesPrice14</vt:lpstr>
      <vt:lpstr>rng01_SalesPrice15</vt:lpstr>
      <vt:lpstr>rng01_SalesPrice16</vt:lpstr>
      <vt:lpstr>rng01_SalesPrice17</vt:lpstr>
      <vt:lpstr>rng01_SalesPrice18</vt:lpstr>
      <vt:lpstr>rng01_SalesPrice19</vt:lpstr>
      <vt:lpstr>rng01_SalesPrice2</vt:lpstr>
      <vt:lpstr>rng01_SalesPrice20</vt:lpstr>
      <vt:lpstr>rng01_SalesPrice21</vt:lpstr>
      <vt:lpstr>rng01_SalesPrice22</vt:lpstr>
      <vt:lpstr>rng01_SalesPrice23</vt:lpstr>
      <vt:lpstr>rng01_SalesPrice24</vt:lpstr>
      <vt:lpstr>rng01_SalesPrice25</vt:lpstr>
      <vt:lpstr>rng01_SalesPrice26</vt:lpstr>
      <vt:lpstr>rng01_SalesPrice27</vt:lpstr>
      <vt:lpstr>rng01_SalesPrice28</vt:lpstr>
      <vt:lpstr>rng01_SalesPrice29</vt:lpstr>
      <vt:lpstr>rng01_SalesPrice3</vt:lpstr>
      <vt:lpstr>rng01_SalesPrice30</vt:lpstr>
      <vt:lpstr>rng01_SalesPrice31</vt:lpstr>
      <vt:lpstr>rng01_SalesPrice32</vt:lpstr>
      <vt:lpstr>rng01_SalesPrice33</vt:lpstr>
      <vt:lpstr>rng01_SalesPrice34</vt:lpstr>
      <vt:lpstr>rng01_SalesPrice35</vt:lpstr>
      <vt:lpstr>rng01_SalesPrice36</vt:lpstr>
      <vt:lpstr>rng01_SalesPrice37</vt:lpstr>
      <vt:lpstr>rng01_SalesPrice38</vt:lpstr>
      <vt:lpstr>rng01_SalesPrice39</vt:lpstr>
      <vt:lpstr>rng01_SalesPrice4</vt:lpstr>
      <vt:lpstr>rng01_SalesPrice40</vt:lpstr>
      <vt:lpstr>rng01_SalesPrice41</vt:lpstr>
      <vt:lpstr>rng01_SalesPrice42</vt:lpstr>
      <vt:lpstr>rng01_SalesPrice43</vt:lpstr>
      <vt:lpstr>rng01_SalesPrice44</vt:lpstr>
      <vt:lpstr>rng01_SalesPrice45</vt:lpstr>
      <vt:lpstr>rng01_SalesPrice46</vt:lpstr>
      <vt:lpstr>rng01_SalesPrice47</vt:lpstr>
      <vt:lpstr>rng01_SalesPrice48</vt:lpstr>
      <vt:lpstr>rng01_SalesPrice49</vt:lpstr>
      <vt:lpstr>rng01_SalesPrice5</vt:lpstr>
      <vt:lpstr>rng01_SalesPrice50</vt:lpstr>
      <vt:lpstr>rng01_SalesPrice51</vt:lpstr>
      <vt:lpstr>rng01_SalesPrice52</vt:lpstr>
      <vt:lpstr>rng01_SalesPrice53</vt:lpstr>
      <vt:lpstr>rng01_SalesPrice54</vt:lpstr>
      <vt:lpstr>rng01_SalesPrice55</vt:lpstr>
      <vt:lpstr>rng01_SalesPrice56</vt:lpstr>
      <vt:lpstr>rng01_SalesPrice57</vt:lpstr>
      <vt:lpstr>rng01_SalesPrice58</vt:lpstr>
      <vt:lpstr>rng01_SalesPrice59</vt:lpstr>
      <vt:lpstr>rng01_SalesPrice6</vt:lpstr>
      <vt:lpstr>rng01_SalesPrice60</vt:lpstr>
      <vt:lpstr>rng01_SalesPrice61</vt:lpstr>
      <vt:lpstr>rng01_SalesPrice62</vt:lpstr>
      <vt:lpstr>rng01_SalesPrice63</vt:lpstr>
      <vt:lpstr>rng01_SalesPrice64</vt:lpstr>
      <vt:lpstr>rng01_SalesPrice65</vt:lpstr>
      <vt:lpstr>rng01_SalesPrice66</vt:lpstr>
      <vt:lpstr>rng01_SalesPrice67</vt:lpstr>
      <vt:lpstr>rng01_SalesPrice68</vt:lpstr>
      <vt:lpstr>rng01_SalesPrice69</vt:lpstr>
      <vt:lpstr>rng01_SalesPrice7</vt:lpstr>
      <vt:lpstr>rng01_SalesPrice70</vt:lpstr>
      <vt:lpstr>rng01_SalesPrice71</vt:lpstr>
      <vt:lpstr>rng01_SalesPrice72</vt:lpstr>
      <vt:lpstr>rng01_SalesPrice73</vt:lpstr>
      <vt:lpstr>rng01_SalesPrice74</vt:lpstr>
      <vt:lpstr>rng01_SalesPrice75</vt:lpstr>
      <vt:lpstr>rng01_SalesPrice76</vt:lpstr>
      <vt:lpstr>rng01_SalesPrice77</vt:lpstr>
      <vt:lpstr>rng01_SalesPrice78</vt:lpstr>
      <vt:lpstr>rng01_SalesPrice79</vt:lpstr>
      <vt:lpstr>rng01_SalesPrice8</vt:lpstr>
      <vt:lpstr>rng01_SalesPrice80</vt:lpstr>
      <vt:lpstr>rng01_SalesPrice9</vt:lpstr>
      <vt:lpstr>rng01_Section_8</vt:lpstr>
      <vt:lpstr>rng01_SetAside</vt:lpstr>
      <vt:lpstr>rng01_Single_Asset_Entity</vt:lpstr>
      <vt:lpstr>rng01_Sprinklers</vt:lpstr>
      <vt:lpstr>rng01_State</vt:lpstr>
      <vt:lpstr>rng01_Syndicator</vt:lpstr>
      <vt:lpstr>rng01_Syndicator_Address</vt:lpstr>
      <vt:lpstr>rng01_Syndicator_Cell</vt:lpstr>
      <vt:lpstr>rng01_Syndicator_City</vt:lpstr>
      <vt:lpstr>rng01_Syndicator_Email</vt:lpstr>
      <vt:lpstr>rng01_Syndicator_Fax</vt:lpstr>
      <vt:lpstr>rng01_Syndicator_Name</vt:lpstr>
      <vt:lpstr>rng01_Syndicator_Phone</vt:lpstr>
      <vt:lpstr>rng01_Syndicator_State</vt:lpstr>
      <vt:lpstr>rng01_TenancyType</vt:lpstr>
      <vt:lpstr>rng01_TenantStatus</vt:lpstr>
      <vt:lpstr>rng01_TLA_sf</vt:lpstr>
      <vt:lpstr>rng01_Total_Gr_Sq_Ft</vt:lpstr>
      <vt:lpstr>rng01_Total_NRSF</vt:lpstr>
      <vt:lpstr>rng01_TrendingAssumption</vt:lpstr>
      <vt:lpstr>rng01_Util_CableTV_Enegry_Type</vt:lpstr>
      <vt:lpstr>rng01_Util_CableTV_HeatingSys</vt:lpstr>
      <vt:lpstr>rng01_Util_Cent_AC_Energy_Type</vt:lpstr>
      <vt:lpstr>rng01_Util_Cent_AC_HeatingSys</vt:lpstr>
      <vt:lpstr>rng01_Util_Cooking_Energy_Type</vt:lpstr>
      <vt:lpstr>rng01_Util_Cooking_HeatingSys</vt:lpstr>
      <vt:lpstr>rng01_Util_Electricity_Energy_Type</vt:lpstr>
      <vt:lpstr>rng01_Util_Electricity_HeatingSys</vt:lpstr>
      <vt:lpstr>rng01_Util_Heat_Energy_Type</vt:lpstr>
      <vt:lpstr>rng01_Util_Heat_HeatingSys</vt:lpstr>
      <vt:lpstr>rng01_Util_Hot_Water_Energy_Type</vt:lpstr>
      <vt:lpstr>rng01_Util_Hot_Water_HeatingSys</vt:lpstr>
      <vt:lpstr>rng01_Util_Included_CableTV</vt:lpstr>
      <vt:lpstr>rng01_Util_Included_Cent_AC</vt:lpstr>
      <vt:lpstr>rng01_Util_Included_Cooking</vt:lpstr>
      <vt:lpstr>rng01_Util_Included_Electricity</vt:lpstr>
      <vt:lpstr>rng01_Util_Included_Heat</vt:lpstr>
      <vt:lpstr>rng01_Util_Included_Hot_Water</vt:lpstr>
      <vt:lpstr>rng01_Util_Included_Sewer</vt:lpstr>
      <vt:lpstr>rng01_Util_Included_Water</vt:lpstr>
      <vt:lpstr>rng01_Util_Provided_CableTV</vt:lpstr>
      <vt:lpstr>rng01_Util_Provided_Cent_AC</vt:lpstr>
      <vt:lpstr>rng01_Util_Provided_Cooking</vt:lpstr>
      <vt:lpstr>rng01_Util_Provided_Electricity</vt:lpstr>
      <vt:lpstr>rng01_Util_Provided_Heat</vt:lpstr>
      <vt:lpstr>rng01_Util_Provided_Hot_Water</vt:lpstr>
      <vt:lpstr>rng01_Util_Provided_Sewer</vt:lpstr>
      <vt:lpstr>rng01_Util_Provided_Water</vt:lpstr>
      <vt:lpstr>rng01_Util_Sewer_Energy_Type</vt:lpstr>
      <vt:lpstr>rng01_Util_Sewer_HeatingSys</vt:lpstr>
      <vt:lpstr>rng01_Util_Water_Energy_Type</vt:lpstr>
      <vt:lpstr>rng01_Util_Water_HeatingSys</vt:lpstr>
      <vt:lpstr>rng01_Yr_Built</vt:lpstr>
      <vt:lpstr>rng01_Zip1</vt:lpstr>
      <vt:lpstr>rng01_Zip10</vt:lpstr>
      <vt:lpstr>rng01_Zip11</vt:lpstr>
      <vt:lpstr>rng01_Zip12</vt:lpstr>
      <vt:lpstr>rng01_Zip13</vt:lpstr>
      <vt:lpstr>rng01_Zip14</vt:lpstr>
      <vt:lpstr>rng01_Zip15</vt:lpstr>
      <vt:lpstr>rng01_Zip16</vt:lpstr>
      <vt:lpstr>rng01_Zip17</vt:lpstr>
      <vt:lpstr>rng01_Zip18</vt:lpstr>
      <vt:lpstr>rng01_Zip19</vt:lpstr>
      <vt:lpstr>rng01_Zip2</vt:lpstr>
      <vt:lpstr>rng01_Zip20</vt:lpstr>
      <vt:lpstr>rng01_Zip21</vt:lpstr>
      <vt:lpstr>rng01_Zip22</vt:lpstr>
      <vt:lpstr>rng01_Zip23</vt:lpstr>
      <vt:lpstr>rng01_Zip24</vt:lpstr>
      <vt:lpstr>rng01_Zip25</vt:lpstr>
      <vt:lpstr>rng01_Zip26</vt:lpstr>
      <vt:lpstr>rng01_Zip27</vt:lpstr>
      <vt:lpstr>rng01_Zip28</vt:lpstr>
      <vt:lpstr>rng01_Zip29</vt:lpstr>
      <vt:lpstr>rng01_Zip3</vt:lpstr>
      <vt:lpstr>rng01_Zip30</vt:lpstr>
      <vt:lpstr>rng01_Zip31</vt:lpstr>
      <vt:lpstr>rng01_Zip32</vt:lpstr>
      <vt:lpstr>rng01_Zip33</vt:lpstr>
      <vt:lpstr>rng01_Zip34</vt:lpstr>
      <vt:lpstr>rng01_Zip35</vt:lpstr>
      <vt:lpstr>rng01_Zip36</vt:lpstr>
      <vt:lpstr>rng01_Zip37</vt:lpstr>
      <vt:lpstr>rng01_Zip38</vt:lpstr>
      <vt:lpstr>rng01_Zip39</vt:lpstr>
      <vt:lpstr>rng01_Zip4</vt:lpstr>
      <vt:lpstr>rng01_Zip40</vt:lpstr>
      <vt:lpstr>rng01_Zip41</vt:lpstr>
      <vt:lpstr>rng01_Zip42</vt:lpstr>
      <vt:lpstr>rng01_Zip43</vt:lpstr>
      <vt:lpstr>rng01_Zip44</vt:lpstr>
      <vt:lpstr>rng01_Zip45</vt:lpstr>
      <vt:lpstr>rng01_Zip46</vt:lpstr>
      <vt:lpstr>rng01_Zip47</vt:lpstr>
      <vt:lpstr>rng01_Zip48</vt:lpstr>
      <vt:lpstr>rng01_Zip49</vt:lpstr>
      <vt:lpstr>rng01_Zip5</vt:lpstr>
      <vt:lpstr>rng01_Zip50</vt:lpstr>
      <vt:lpstr>rng01_Zip51</vt:lpstr>
      <vt:lpstr>rng01_Zip52</vt:lpstr>
      <vt:lpstr>rng01_Zip53</vt:lpstr>
      <vt:lpstr>rng01_Zip54</vt:lpstr>
      <vt:lpstr>rng01_Zip55</vt:lpstr>
      <vt:lpstr>rng01_Zip56</vt:lpstr>
      <vt:lpstr>rng01_Zip57</vt:lpstr>
      <vt:lpstr>rng01_Zip58</vt:lpstr>
      <vt:lpstr>rng01_Zip59</vt:lpstr>
      <vt:lpstr>rng01_Zip6</vt:lpstr>
      <vt:lpstr>rng01_Zip60</vt:lpstr>
      <vt:lpstr>rng01_Zip61</vt:lpstr>
      <vt:lpstr>rng01_Zip62</vt:lpstr>
      <vt:lpstr>rng01_Zip63</vt:lpstr>
      <vt:lpstr>rng01_Zip64</vt:lpstr>
      <vt:lpstr>rng01_Zip65</vt:lpstr>
      <vt:lpstr>rng01_Zip66</vt:lpstr>
      <vt:lpstr>rng01_Zip67</vt:lpstr>
      <vt:lpstr>rng01_Zip68</vt:lpstr>
      <vt:lpstr>rng01_Zip69</vt:lpstr>
      <vt:lpstr>rng01_Zip7</vt:lpstr>
      <vt:lpstr>rng01_Zip70</vt:lpstr>
      <vt:lpstr>rng01_Zip71</vt:lpstr>
      <vt:lpstr>rng01_Zip72</vt:lpstr>
      <vt:lpstr>rng01_Zip73</vt:lpstr>
      <vt:lpstr>rng01_Zip74</vt:lpstr>
      <vt:lpstr>rng01_Zip75</vt:lpstr>
      <vt:lpstr>rng01_Zip76</vt:lpstr>
      <vt:lpstr>rng01_Zip77</vt:lpstr>
      <vt:lpstr>rng01_Zip78</vt:lpstr>
      <vt:lpstr>rng01_Zip79</vt:lpstr>
      <vt:lpstr>rng01_Zip8</vt:lpstr>
      <vt:lpstr>rng01_Zip80</vt:lpstr>
      <vt:lpstr>rng01_Zip9</vt:lpstr>
      <vt:lpstr>rng01_Zoning_Status</vt:lpstr>
      <vt:lpstr>rng02_4_Uses_TotalDevCosts</vt:lpstr>
      <vt:lpstr>rng02_AssistedLiving</vt:lpstr>
      <vt:lpstr>rng02_Comm_Income_Type1</vt:lpstr>
      <vt:lpstr>rng02_Comm_Income_Type1_NoOfUnits</vt:lpstr>
      <vt:lpstr>rng02_Comm_Income_Type1_NRSFperUnit</vt:lpstr>
      <vt:lpstr>rng02_Comm_Income_Type1_RentsperUnit</vt:lpstr>
      <vt:lpstr>rng02_Comm_Income_Type1_YearlyRent</vt:lpstr>
      <vt:lpstr>rng02_Comm_Income_Type10</vt:lpstr>
      <vt:lpstr>rng02_Comm_Income_Type10_NoOfUnits</vt:lpstr>
      <vt:lpstr>rng02_Comm_Income_Type10_NRSFperUnit</vt:lpstr>
      <vt:lpstr>rng02_Comm_Income_Type10_RentperUnits</vt:lpstr>
      <vt:lpstr>rng02_Comm_Income_Type10_YearlyRent</vt:lpstr>
      <vt:lpstr>rng02_Comm_Income_Type11</vt:lpstr>
      <vt:lpstr>rng02_Comm_Income_Type11_NoOfUnits</vt:lpstr>
      <vt:lpstr>rng02_Comm_Income_Type11_NRSFperUnit</vt:lpstr>
      <vt:lpstr>rng02_Comm_Income_Type11_RentperUnits</vt:lpstr>
      <vt:lpstr>rng02_Comm_Income_Type11_YearlyRent</vt:lpstr>
      <vt:lpstr>rng02_Comm_Income_Type12</vt:lpstr>
      <vt:lpstr>rng02_Comm_Income_Type12_NoOfUnits</vt:lpstr>
      <vt:lpstr>rng02_Comm_Income_Type12_NRSFperUnit</vt:lpstr>
      <vt:lpstr>rng02_Comm_Income_Type12_RentperUnits</vt:lpstr>
      <vt:lpstr>rng02_Comm_Income_Type12_YearlyRent</vt:lpstr>
      <vt:lpstr>rng02_Comm_Income_Type2</vt:lpstr>
      <vt:lpstr>rng02_Comm_Income_Type2_NoOfUnits</vt:lpstr>
      <vt:lpstr>rng02_Comm_Income_Type2_NRSFperUnit</vt:lpstr>
      <vt:lpstr>rng02_Comm_Income_Type2_RentsperUnit</vt:lpstr>
      <vt:lpstr>rng02_Comm_Income_Type2_YearlyRent</vt:lpstr>
      <vt:lpstr>rng02_Comm_Income_Type3</vt:lpstr>
      <vt:lpstr>rng02_Comm_Income_Type3_NoOfUnits</vt:lpstr>
      <vt:lpstr>rng02_Comm_Income_Type3_NRSFperUnit</vt:lpstr>
      <vt:lpstr>rng02_Comm_Income_Type3_RentsperUnits</vt:lpstr>
      <vt:lpstr>rng02_Comm_Income_Type3_YearlyRent</vt:lpstr>
      <vt:lpstr>rng02_Comm_Income_Type4</vt:lpstr>
      <vt:lpstr>rng02_Comm_Income_Type4_NoOfUnits</vt:lpstr>
      <vt:lpstr>rng02_Comm_Income_Type4_NRSFperUnit</vt:lpstr>
      <vt:lpstr>rng02_Comm_Income_Type4_RentperUnits</vt:lpstr>
      <vt:lpstr>rng02_Comm_Income_Type4_YearlyRent</vt:lpstr>
      <vt:lpstr>rng02_Comm_Income_Type5</vt:lpstr>
      <vt:lpstr>rng02_Comm_Income_Type5_NoOfUnits</vt:lpstr>
      <vt:lpstr>rng02_Comm_Income_Type5_NRSFperUnit</vt:lpstr>
      <vt:lpstr>rng02_Comm_Income_Type5_RentperUnits</vt:lpstr>
      <vt:lpstr>rng02_Comm_Income_Type5_YearlyRent</vt:lpstr>
      <vt:lpstr>rng02_Comm_Income_Type6</vt:lpstr>
      <vt:lpstr>rng02_Comm_Income_Type6_NoOfUnits</vt:lpstr>
      <vt:lpstr>rng02_Comm_Income_Type6_NRSFperUnit</vt:lpstr>
      <vt:lpstr>rng02_Comm_Income_Type6_RentperUnits</vt:lpstr>
      <vt:lpstr>rng02_Comm_Income_Type6_YearlyRent</vt:lpstr>
      <vt:lpstr>rng02_Comm_Income_Type7</vt:lpstr>
      <vt:lpstr>rng02_Comm_Income_Type7_NoOfUnits</vt:lpstr>
      <vt:lpstr>rng02_Comm_Income_Type7_NRSFperUnit</vt:lpstr>
      <vt:lpstr>rng02_Comm_Income_Type7_RentperUnits</vt:lpstr>
      <vt:lpstr>rng02_Comm_Income_Type7_YearlyRent</vt:lpstr>
      <vt:lpstr>rng02_Comm_Income_Type8</vt:lpstr>
      <vt:lpstr>rng02_Comm_Income_Type8_NoOfUnits</vt:lpstr>
      <vt:lpstr>rng02_Comm_Income_Type8_NRSFperUnit</vt:lpstr>
      <vt:lpstr>rng02_Comm_Income_Type8_RentperUnits</vt:lpstr>
      <vt:lpstr>rng02_Comm_Income_Type8_YearlyRent</vt:lpstr>
      <vt:lpstr>rng02_Comm_Income_Type9</vt:lpstr>
      <vt:lpstr>rng02_Comm_Income_Type9_NoOfUnits</vt:lpstr>
      <vt:lpstr>rng02_Comm_Income_Type9_NRSFperUnit</vt:lpstr>
      <vt:lpstr>rng02_Comm_Income_Type9_RentperUnit</vt:lpstr>
      <vt:lpstr>rng02_Comm_Income_Type9_YearlyRent</vt:lpstr>
      <vt:lpstr>rng02_Eligible</vt:lpstr>
      <vt:lpstr>rng02_Expense_DebtServiceFirstMortgageDebtSrvc</vt:lpstr>
      <vt:lpstr>rng02_Expense_DebtServiceFirstMortgageInPremium</vt:lpstr>
      <vt:lpstr>rng02_Expense_DebtServiceFirtMortgageDSCR</vt:lpstr>
      <vt:lpstr>rng02_Expense_DebtServiceOtherDebtSrvc</vt:lpstr>
      <vt:lpstr>rng02_Expense_DebtServiceSecondMortgageDebtSrvc</vt:lpstr>
      <vt:lpstr>rng02_Expense_IncTable_EffGrossIncome</vt:lpstr>
      <vt:lpstr>rng02_Expense_IncTable_OtherRev</vt:lpstr>
      <vt:lpstr>rng02_Expense_IncTable_RentRev</vt:lpstr>
      <vt:lpstr>rng02_Expense_IncTable_StoresCommRev</vt:lpstr>
      <vt:lpstr>rng02_Expense_IncTable_TotNHAstLivElderCare</vt:lpstr>
      <vt:lpstr>rng02_Expense_IncTable_Vacancies</vt:lpstr>
      <vt:lpstr>rng02_Expense_NetOperatingIncome</vt:lpstr>
      <vt:lpstr>rng02_Expense_OpEx_AccntngFees</vt:lpstr>
      <vt:lpstr>rng02_Expense_OpEx_AdminRentFreeUnit</vt:lpstr>
      <vt:lpstr>rng02_Expense_OpEx_Advertising</vt:lpstr>
      <vt:lpstr>rng02_Expense_OpEx_AuditExpense</vt:lpstr>
      <vt:lpstr>rng02_Expense_OpEx_BadDebts</vt:lpstr>
      <vt:lpstr>rng02_Expense_OpEx_ConSultFees</vt:lpstr>
      <vt:lpstr>rng02_Expense_OpEx_ConvMeetings</vt:lpstr>
      <vt:lpstr>rng02_Expense_OpEx_LegalExpense</vt:lpstr>
      <vt:lpstr>rng02_Expense_OpEx_MgmntFee</vt:lpstr>
      <vt:lpstr>rng02_Expense_OpEx_MiscAdminExpenses</vt:lpstr>
      <vt:lpstr>rng02_Expense_OpEx_MngrsSalary</vt:lpstr>
      <vt:lpstr>rng02_Expense_OpEx_OffExpense</vt:lpstr>
      <vt:lpstr>rng02_Expense_OpEx_OfficeEquipLease</vt:lpstr>
      <vt:lpstr>rng02_Expense_OpEx_OfficeSal</vt:lpstr>
      <vt:lpstr>rng02_Expense_OpEx_OffModelApptmntRent</vt:lpstr>
      <vt:lpstr>rng02_Expense_OpEx_Postage</vt:lpstr>
      <vt:lpstr>rng02_Expense_OpEx_RentExpense</vt:lpstr>
      <vt:lpstr>rng02_Expense_OpEx_TCMonitoring</vt:lpstr>
      <vt:lpstr>rng02_Expense_OpEx_TeleAnswSrvc</vt:lpstr>
      <vt:lpstr>rng02_Expense_OpEx_TotAdminExpenses</vt:lpstr>
      <vt:lpstr>rng02_Expense_OpMaintExpenses_ApplianceReplacement</vt:lpstr>
      <vt:lpstr>rng02_Expense_OpMaintExpenses_Contracts</vt:lpstr>
      <vt:lpstr>rng02_Expense_OpMaintExpenses_DecoratingPR</vt:lpstr>
      <vt:lpstr>rng02_Expense_OpMaintExpenses_DecoratingSupplies</vt:lpstr>
      <vt:lpstr>rng02_Expense_OpMaintExpenses_ElectricalMaint</vt:lpstr>
      <vt:lpstr>rng02_Expense_OpMaintExpenses_ElevatorMaint</vt:lpstr>
      <vt:lpstr>rng02_Expense_OpMaintExpenses_GroundsContracts</vt:lpstr>
      <vt:lpstr>rng02_Expense_OpMaintExpenses_GroundsPayroll</vt:lpstr>
      <vt:lpstr>rng02_Expense_OpMaintExpenses_GroundsSupplies</vt:lpstr>
      <vt:lpstr>rng02_Expense_OpMaintExpenses_HVACMaint</vt:lpstr>
      <vt:lpstr>rng02_Expense_OpMaintExpenses_MaintRentFreeUnit</vt:lpstr>
      <vt:lpstr>rng02_Expense_OpMaintExpenses_MiscOpsMaintExpenses</vt:lpstr>
      <vt:lpstr>rng02_Expense_OpMaintExpenses_Payroll</vt:lpstr>
      <vt:lpstr>rng02_Expense_OpMaintExpenses_PlumbingMaint</vt:lpstr>
      <vt:lpstr>rng02_Expense_OpMaintExpenses_PlumbingPayroll</vt:lpstr>
      <vt:lpstr>rng02_Expense_OpMaintExpenses_REAC</vt:lpstr>
      <vt:lpstr>rng02_Expense_OpMaintExpenses_RepairsContracts</vt:lpstr>
      <vt:lpstr>rng02_Expense_OpMaintExpenses_RepairsPayroll</vt:lpstr>
      <vt:lpstr>rng02_Expense_OpMaintExpenses_RepairsSupplies</vt:lpstr>
      <vt:lpstr>rng02_Expense_OpMaintExpenses_SecurityPayrollContract</vt:lpstr>
      <vt:lpstr>rng02_Expense_OpMaintExpenses_SnowRemoval</vt:lpstr>
      <vt:lpstr>rng02_Expense_OpMaintExpenses_Supplies</vt:lpstr>
      <vt:lpstr>rng02_Expense_OpMaintExpenses_TerminatingContract</vt:lpstr>
      <vt:lpstr>rng02_Expense_OpMaintExpenses_TerminatingSupplies</vt:lpstr>
      <vt:lpstr>rng02_Expense_OpMaintExpenses_TotalOpsMaintExpenses</vt:lpstr>
      <vt:lpstr>rng02_Expense_OpMaintExpenses_TrashRemoval</vt:lpstr>
      <vt:lpstr>rng02_Expense_OpMaintExpenses_VehicleEquipOpsRepairs</vt:lpstr>
      <vt:lpstr>rng02_Expense_ReplacementReserves</vt:lpstr>
      <vt:lpstr>rng02_Expense_TaxesInsurance_FidelityBondInsurance</vt:lpstr>
      <vt:lpstr>rng02_Expense_TaxesInsurance_HealthInsOtherEmpBenefits</vt:lpstr>
      <vt:lpstr>rng02_Expense_TaxesInsurance_Misc</vt:lpstr>
      <vt:lpstr>rng02_Expense_TaxesInsurance_MiscTaxesLicensesPermits</vt:lpstr>
      <vt:lpstr>rng02_Expense_TaxesInsurance_OtherIns</vt:lpstr>
      <vt:lpstr>rng02_Expense_TaxesInsurance_PayrollTaxes</vt:lpstr>
      <vt:lpstr>rng02_Expense_TaxesInsurance_PropertyLiabilityInsurance</vt:lpstr>
      <vt:lpstr>rng02_Expense_TaxesInsurance_RETaxes</vt:lpstr>
      <vt:lpstr>rng02_Expense_TaxesInsurance_TotTaxesInsurance</vt:lpstr>
      <vt:lpstr>rng02_Expense_TaxesInsurance_WorkComp</vt:lpstr>
      <vt:lpstr>rng02_Expense_TotalMortgageDebtSrvc</vt:lpstr>
      <vt:lpstr>rng02_Expense_TotalNetOperatingExpenses</vt:lpstr>
      <vt:lpstr>rng02_Expense_UtilExpense_CableTVInternet</vt:lpstr>
      <vt:lpstr>rng02_Expense_UtilExpense_Electricity</vt:lpstr>
      <vt:lpstr>rng02_Expense_UtilExpense_FuelOilCoal</vt:lpstr>
      <vt:lpstr>rng02_Expense_UtilExpense_Gas</vt:lpstr>
      <vt:lpstr>rng02_Expense_UtilExpense_Sewer</vt:lpstr>
      <vt:lpstr>rng02_Expense_UtilExpense_TotUtilExpenses</vt:lpstr>
      <vt:lpstr>rng02_Expense_UtilExpense_Water</vt:lpstr>
      <vt:lpstr>rng02_Header_TabExpenses</vt:lpstr>
      <vt:lpstr>rng02_Header_TabIncome</vt:lpstr>
      <vt:lpstr>rng02_Header_TabSources</vt:lpstr>
      <vt:lpstr>rng02_Header_TabUses</vt:lpstr>
      <vt:lpstr>rng02_HistoricalComparison</vt:lpstr>
      <vt:lpstr>rng02_OtherCredits</vt:lpstr>
      <vt:lpstr>rng02_OtherProjectionsCount</vt:lpstr>
      <vt:lpstr>rng02_Projections_1</vt:lpstr>
      <vt:lpstr>rng02_Projections_10</vt:lpstr>
      <vt:lpstr>rng02_Projections_11</vt:lpstr>
      <vt:lpstr>rng02_Projections_12</vt:lpstr>
      <vt:lpstr>rng02_Projections_2</vt:lpstr>
      <vt:lpstr>rng02_Projections_3</vt:lpstr>
      <vt:lpstr>rng02_Projections_4</vt:lpstr>
      <vt:lpstr>rng02_Projections_5</vt:lpstr>
      <vt:lpstr>rng02_Projections_6</vt:lpstr>
      <vt:lpstr>rng02_Projections_7</vt:lpstr>
      <vt:lpstr>rng02_Projections_8</vt:lpstr>
      <vt:lpstr>rng02_Projections_9</vt:lpstr>
      <vt:lpstr>rng02_Projections_AreaNetIncome_1</vt:lpstr>
      <vt:lpstr>rng02_Projections_AreaNetIncome_10</vt:lpstr>
      <vt:lpstr>rng02_Projections_AreaNetIncome_11</vt:lpstr>
      <vt:lpstr>rng02_Projections_AreaNetIncome_12</vt:lpstr>
      <vt:lpstr>rng02_Projections_AreaNetIncome_2</vt:lpstr>
      <vt:lpstr>rng02_Projections_AreaNetIncome_3</vt:lpstr>
      <vt:lpstr>rng02_Projections_AreaNetIncome_4</vt:lpstr>
      <vt:lpstr>rng02_Projections_AreaNetIncome_5</vt:lpstr>
      <vt:lpstr>rng02_Projections_AreaNetIncome_6</vt:lpstr>
      <vt:lpstr>rng02_Projections_AreaNetIncome_7</vt:lpstr>
      <vt:lpstr>rng02_Projections_AreaNetIncome_8</vt:lpstr>
      <vt:lpstr>rng02_Projections_AreaNetIncome_9</vt:lpstr>
      <vt:lpstr>rng02_Projections_DebtService_1</vt:lpstr>
      <vt:lpstr>rng02_Projections_DebtService_10</vt:lpstr>
      <vt:lpstr>rng02_Projections_DebtService_11</vt:lpstr>
      <vt:lpstr>rng02_Projections_DebtService_12</vt:lpstr>
      <vt:lpstr>rng02_Projections_DebtService_2</vt:lpstr>
      <vt:lpstr>rng02_Projections_DebtService_3</vt:lpstr>
      <vt:lpstr>rng02_Projections_DebtService_4</vt:lpstr>
      <vt:lpstr>rng02_Projections_DebtService_5</vt:lpstr>
      <vt:lpstr>rng02_Projections_DebtService_6</vt:lpstr>
      <vt:lpstr>rng02_Projections_DebtService_7</vt:lpstr>
      <vt:lpstr>rng02_Projections_DebtService_8</vt:lpstr>
      <vt:lpstr>rng02_Projections_DebtService_9</vt:lpstr>
      <vt:lpstr>rng02_Projections_EGI_1</vt:lpstr>
      <vt:lpstr>rng02_Projections_EGI_10</vt:lpstr>
      <vt:lpstr>rng02_Projections_EGI_11</vt:lpstr>
      <vt:lpstr>rng02_Projections_EGI_12</vt:lpstr>
      <vt:lpstr>rng02_Projections_EGI_2</vt:lpstr>
      <vt:lpstr>rng02_Projections_EGI_3</vt:lpstr>
      <vt:lpstr>rng02_Projections_EGI_4</vt:lpstr>
      <vt:lpstr>rng02_Projections_EGI_5</vt:lpstr>
      <vt:lpstr>rng02_Projections_EGI_6</vt:lpstr>
      <vt:lpstr>rng02_Projections_EGI_7</vt:lpstr>
      <vt:lpstr>rng02_Projections_EGI_8</vt:lpstr>
      <vt:lpstr>rng02_Projections_EGI_9</vt:lpstr>
      <vt:lpstr>rng02_Projections_EGIunit_1</vt:lpstr>
      <vt:lpstr>rng02_Projections_EGIunit_10</vt:lpstr>
      <vt:lpstr>rng02_Projections_EGIunit_11</vt:lpstr>
      <vt:lpstr>rng02_Projections_EGIunit_12</vt:lpstr>
      <vt:lpstr>rng02_Projections_EGIunit_2</vt:lpstr>
      <vt:lpstr>rng02_Projections_EGIunit_3</vt:lpstr>
      <vt:lpstr>rng02_Projections_EGIunit_4</vt:lpstr>
      <vt:lpstr>rng02_Projections_EGIunit_5</vt:lpstr>
      <vt:lpstr>rng02_Projections_EGIunit_6</vt:lpstr>
      <vt:lpstr>rng02_Projections_EGIunit_7</vt:lpstr>
      <vt:lpstr>rng02_Projections_EGIunit_8</vt:lpstr>
      <vt:lpstr>rng02_Projections_EGIunit_9</vt:lpstr>
      <vt:lpstr>rng02_Projections_NetIncome_1</vt:lpstr>
      <vt:lpstr>rng02_Projections_NetIncome_10</vt:lpstr>
      <vt:lpstr>rng02_Projections_NetIncome_11</vt:lpstr>
      <vt:lpstr>rng02_Projections_NetIncome_12</vt:lpstr>
      <vt:lpstr>rng02_Projections_NetIncome_2</vt:lpstr>
      <vt:lpstr>rng02_Projections_NetIncome_3</vt:lpstr>
      <vt:lpstr>rng02_Projections_NetIncome_4</vt:lpstr>
      <vt:lpstr>rng02_Projections_NetIncome_5</vt:lpstr>
      <vt:lpstr>rng02_Projections_NetIncome_6</vt:lpstr>
      <vt:lpstr>rng02_Projections_NetIncome_7</vt:lpstr>
      <vt:lpstr>rng02_Projections_NetIncome_8</vt:lpstr>
      <vt:lpstr>rng02_Projections_NetIncome_9</vt:lpstr>
      <vt:lpstr>rng02_Projections_Unit_1</vt:lpstr>
      <vt:lpstr>rng02_Projections_Unit_10</vt:lpstr>
      <vt:lpstr>rng02_Projections_Unit_11</vt:lpstr>
      <vt:lpstr>rng02_Projections_Unit_12</vt:lpstr>
      <vt:lpstr>rng02_Projections_Unit_2</vt:lpstr>
      <vt:lpstr>rng02_Projections_Unit_3</vt:lpstr>
      <vt:lpstr>rng02_Projections_Unit_4</vt:lpstr>
      <vt:lpstr>rng02_Projections_Unit_5</vt:lpstr>
      <vt:lpstr>rng02_Projections_Unit_6</vt:lpstr>
      <vt:lpstr>rng02_Projections_Unit_7</vt:lpstr>
      <vt:lpstr>rng02_Projections_Unit_8</vt:lpstr>
      <vt:lpstr>rng02_Projections_Unit_9</vt:lpstr>
      <vt:lpstr>rng02_Projections_Year_1</vt:lpstr>
      <vt:lpstr>rng02_Projections_Year_10</vt:lpstr>
      <vt:lpstr>rng02_Projections_Year_11</vt:lpstr>
      <vt:lpstr>rng02_Projections_Year_12</vt:lpstr>
      <vt:lpstr>rng02_Projections_Year_2</vt:lpstr>
      <vt:lpstr>rng02_Projections_Year_3</vt:lpstr>
      <vt:lpstr>rng02_Projections_Year_4</vt:lpstr>
      <vt:lpstr>rng02_Projections_Year_5</vt:lpstr>
      <vt:lpstr>rng02_Projections_Year_6</vt:lpstr>
      <vt:lpstr>rng02_Projections_Year_7</vt:lpstr>
      <vt:lpstr>rng02_Projections_Year_8</vt:lpstr>
      <vt:lpstr>rng02_Projections_Year_9</vt:lpstr>
      <vt:lpstr>rng02_Res_Summary_AMI1</vt:lpstr>
      <vt:lpstr>rng02_Res_Summary_AMI10</vt:lpstr>
      <vt:lpstr>rng02_Res_Summary_AMI11</vt:lpstr>
      <vt:lpstr>rng02_Res_Summary_AMI12</vt:lpstr>
      <vt:lpstr>rng02_Res_Summary_AMI13</vt:lpstr>
      <vt:lpstr>rng02_Res_Summary_AMI14</vt:lpstr>
      <vt:lpstr>rng02_Res_Summary_AMI15</vt:lpstr>
      <vt:lpstr>rng02_Res_Summary_AMI16</vt:lpstr>
      <vt:lpstr>rng02_Res_Summary_AMI17</vt:lpstr>
      <vt:lpstr>rng02_Res_Summary_AMI18</vt:lpstr>
      <vt:lpstr>rng02_Res_Summary_AMI19</vt:lpstr>
      <vt:lpstr>rng02_Res_Summary_AMI2</vt:lpstr>
      <vt:lpstr>rng02_Res_Summary_AMI20</vt:lpstr>
      <vt:lpstr>rng02_Res_Summary_AMI21</vt:lpstr>
      <vt:lpstr>rng02_Res_Summary_AMI22</vt:lpstr>
      <vt:lpstr>rng02_Res_Summary_AMI23</vt:lpstr>
      <vt:lpstr>rng02_Res_Summary_AMI24</vt:lpstr>
      <vt:lpstr>rng02_Res_Summary_AMI25</vt:lpstr>
      <vt:lpstr>rng02_Res_Summary_AMI26</vt:lpstr>
      <vt:lpstr>rng02_Res_Summary_AMI27</vt:lpstr>
      <vt:lpstr>rng02_Res_Summary_AMI28</vt:lpstr>
      <vt:lpstr>rng02_Res_Summary_AMI29</vt:lpstr>
      <vt:lpstr>rng02_Res_Summary_AMI3</vt:lpstr>
      <vt:lpstr>rng02_Res_Summary_AMI30</vt:lpstr>
      <vt:lpstr>rng02_Res_Summary_AMI4</vt:lpstr>
      <vt:lpstr>rng02_Res_Summary_AMI5</vt:lpstr>
      <vt:lpstr>rng02_Res_Summary_AMI6</vt:lpstr>
      <vt:lpstr>rng02_Res_Summary_AMI7</vt:lpstr>
      <vt:lpstr>rng02_Res_Summary_AMI8</vt:lpstr>
      <vt:lpstr>rng02_Res_Summary_AMI9</vt:lpstr>
      <vt:lpstr>rng02_Res_Summary_ConstType1</vt:lpstr>
      <vt:lpstr>rng02_Res_Summary_ConstType10</vt:lpstr>
      <vt:lpstr>rng02_Res_Summary_ConstType11</vt:lpstr>
      <vt:lpstr>rng02_Res_Summary_ConstType12</vt:lpstr>
      <vt:lpstr>rng02_Res_Summary_ConstType13</vt:lpstr>
      <vt:lpstr>rng02_Res_Summary_ConstType14</vt:lpstr>
      <vt:lpstr>rng02_Res_Summary_ConstType15</vt:lpstr>
      <vt:lpstr>rng02_Res_Summary_ConstType16</vt:lpstr>
      <vt:lpstr>rng02_Res_Summary_ConstType17</vt:lpstr>
      <vt:lpstr>rng02_Res_Summary_ConstType18</vt:lpstr>
      <vt:lpstr>rng02_Res_Summary_ConstType19</vt:lpstr>
      <vt:lpstr>rng02_Res_Summary_ConstType2</vt:lpstr>
      <vt:lpstr>rng02_Res_Summary_ConstType20</vt:lpstr>
      <vt:lpstr>rng02_Res_Summary_ConstType21</vt:lpstr>
      <vt:lpstr>rng02_Res_Summary_ConstType22</vt:lpstr>
      <vt:lpstr>rng02_Res_Summary_ConstType23</vt:lpstr>
      <vt:lpstr>rng02_Res_Summary_ConstType24</vt:lpstr>
      <vt:lpstr>rng02_Res_Summary_ConstType25</vt:lpstr>
      <vt:lpstr>rng02_Res_Summary_ConstType26</vt:lpstr>
      <vt:lpstr>rng02_Res_Summary_ConstType27</vt:lpstr>
      <vt:lpstr>rng02_Res_Summary_ConstType28</vt:lpstr>
      <vt:lpstr>rng02_Res_Summary_ConstType29</vt:lpstr>
      <vt:lpstr>rng02_Res_Summary_ConstType3</vt:lpstr>
      <vt:lpstr>rng02_Res_Summary_ConstType30</vt:lpstr>
      <vt:lpstr>rng02_Res_Summary_ConstType4</vt:lpstr>
      <vt:lpstr>rng02_Res_Summary_ConstType5</vt:lpstr>
      <vt:lpstr>rng02_Res_Summary_ConstType6</vt:lpstr>
      <vt:lpstr>rng02_Res_Summary_ConstType7</vt:lpstr>
      <vt:lpstr>rng02_Res_Summary_ConstType8</vt:lpstr>
      <vt:lpstr>rng02_Res_Summary_ConstType9</vt:lpstr>
      <vt:lpstr>rng02_Res_Summary_ContractAdmin1</vt:lpstr>
      <vt:lpstr>rng02_Res_Summary_ContractAdmin10</vt:lpstr>
      <vt:lpstr>rng02_Res_Summary_ContractAdmin11</vt:lpstr>
      <vt:lpstr>rng02_Res_Summary_ContractAdmin12</vt:lpstr>
      <vt:lpstr>rng02_Res_Summary_ContractAdmin13</vt:lpstr>
      <vt:lpstr>rng02_Res_Summary_ContractAdmin14</vt:lpstr>
      <vt:lpstr>rng02_Res_Summary_ContractAdmin15</vt:lpstr>
      <vt:lpstr>rng02_Res_Summary_ContractAdmin16</vt:lpstr>
      <vt:lpstr>rng02_Res_Summary_ContractAdmin17</vt:lpstr>
      <vt:lpstr>rng02_Res_Summary_ContractAdmin18</vt:lpstr>
      <vt:lpstr>rng02_Res_Summary_ContractAdmin19</vt:lpstr>
      <vt:lpstr>rng02_Res_Summary_ContractAdmin2</vt:lpstr>
      <vt:lpstr>rng02_Res_Summary_ContractAdmin20</vt:lpstr>
      <vt:lpstr>rng02_Res_Summary_ContractAdmin21</vt:lpstr>
      <vt:lpstr>rng02_Res_Summary_ContractAdmin22</vt:lpstr>
      <vt:lpstr>rng02_Res_Summary_ContractAdmin23</vt:lpstr>
      <vt:lpstr>rng02_Res_Summary_ContractAdmin24</vt:lpstr>
      <vt:lpstr>rng02_Res_Summary_ContractAdmin25</vt:lpstr>
      <vt:lpstr>rng02_Res_Summary_ContractAdmin26</vt:lpstr>
      <vt:lpstr>rng02_Res_Summary_ContractAdmin27</vt:lpstr>
      <vt:lpstr>rng02_Res_Summary_ContractAdmin28</vt:lpstr>
      <vt:lpstr>rng02_Res_Summary_ContractAdmin29</vt:lpstr>
      <vt:lpstr>rng02_Res_Summary_ContractAdmin3</vt:lpstr>
      <vt:lpstr>rng02_Res_Summary_ContractAdmin30</vt:lpstr>
      <vt:lpstr>rng02_Res_Summary_ContractAdmin4</vt:lpstr>
      <vt:lpstr>rng02_Res_Summary_ContractAdmin5</vt:lpstr>
      <vt:lpstr>rng02_Res_Summary_ContractAdmin6</vt:lpstr>
      <vt:lpstr>rng02_Res_Summary_ContractAdmin7</vt:lpstr>
      <vt:lpstr>rng02_Res_Summary_ContractAdmin8</vt:lpstr>
      <vt:lpstr>rng02_Res_Summary_ContractAdmin9</vt:lpstr>
      <vt:lpstr>rng02_Res_Summary_ContractExpiration1</vt:lpstr>
      <vt:lpstr>rng02_Res_Summary_ContractExpiration10</vt:lpstr>
      <vt:lpstr>rng02_Res_Summary_ContractExpiration11</vt:lpstr>
      <vt:lpstr>rng02_Res_Summary_ContractExpiration12</vt:lpstr>
      <vt:lpstr>rng02_Res_Summary_ContractExpiration13</vt:lpstr>
      <vt:lpstr>rng02_Res_Summary_ContractExpiration14</vt:lpstr>
      <vt:lpstr>rng02_Res_Summary_ContractExpiration15</vt:lpstr>
      <vt:lpstr>rng02_Res_Summary_ContractExpiration16</vt:lpstr>
      <vt:lpstr>rng02_Res_Summary_ContractExpiration17</vt:lpstr>
      <vt:lpstr>rng02_Res_Summary_ContractExpiration18</vt:lpstr>
      <vt:lpstr>rng02_Res_Summary_ContractExpiration19</vt:lpstr>
      <vt:lpstr>rng02_Res_Summary_ContractExpiration2</vt:lpstr>
      <vt:lpstr>rng02_Res_Summary_ContractExpiration20</vt:lpstr>
      <vt:lpstr>rng02_Res_Summary_ContractExpiration21</vt:lpstr>
      <vt:lpstr>rng02_Res_Summary_ContractExpiration22</vt:lpstr>
      <vt:lpstr>rng02_Res_Summary_ContractExpiration23</vt:lpstr>
      <vt:lpstr>rng02_Res_Summary_ContractExpiration24</vt:lpstr>
      <vt:lpstr>rng02_Res_Summary_ContractExpiration25</vt:lpstr>
      <vt:lpstr>rng02_Res_Summary_ContractExpiration26</vt:lpstr>
      <vt:lpstr>rng02_Res_Summary_ContractExpiration27</vt:lpstr>
      <vt:lpstr>rng02_Res_Summary_ContractExpiration28</vt:lpstr>
      <vt:lpstr>rng02_Res_Summary_ContractExpiration29</vt:lpstr>
      <vt:lpstr>rng02_Res_Summary_ContractExpiration3</vt:lpstr>
      <vt:lpstr>rng02_Res_Summary_ContractExpiration30</vt:lpstr>
      <vt:lpstr>rng02_Res_Summary_ContractExpiration4</vt:lpstr>
      <vt:lpstr>rng02_Res_Summary_ContractExpiration5</vt:lpstr>
      <vt:lpstr>rng02_Res_Summary_ContractExpiration6</vt:lpstr>
      <vt:lpstr>rng02_Res_Summary_ContractExpiration7</vt:lpstr>
      <vt:lpstr>rng02_Res_Summary_ContractExpiration8</vt:lpstr>
      <vt:lpstr>rng02_Res_Summary_ContractExpiration9</vt:lpstr>
      <vt:lpstr>rng02_Res_Summary_DeedRestricted1</vt:lpstr>
      <vt:lpstr>rng02_Res_Summary_DeedRestricted10</vt:lpstr>
      <vt:lpstr>rng02_Res_Summary_DeedRestricted11</vt:lpstr>
      <vt:lpstr>rng02_Res_Summary_DeedRestricted12</vt:lpstr>
      <vt:lpstr>rng02_Res_Summary_DeedRestricted13</vt:lpstr>
      <vt:lpstr>rng02_Res_Summary_DeedRestricted14</vt:lpstr>
      <vt:lpstr>rng02_Res_Summary_DeedRestricted15</vt:lpstr>
      <vt:lpstr>rng02_Res_Summary_DeedRestricted16</vt:lpstr>
      <vt:lpstr>rng02_Res_Summary_DeedRestricted17</vt:lpstr>
      <vt:lpstr>rng02_Res_Summary_DeedRestricted18</vt:lpstr>
      <vt:lpstr>rng02_Res_Summary_DeedRestricted19</vt:lpstr>
      <vt:lpstr>rng02_Res_Summary_DeedRestricted2</vt:lpstr>
      <vt:lpstr>rng02_Res_Summary_DeedRestricted20</vt:lpstr>
      <vt:lpstr>rng02_Res_Summary_DeedRestricted21</vt:lpstr>
      <vt:lpstr>rng02_Res_Summary_DeedRestricted22</vt:lpstr>
      <vt:lpstr>rng02_Res_Summary_DeedRestricted23</vt:lpstr>
      <vt:lpstr>rng02_Res_Summary_DeedRestricted24</vt:lpstr>
      <vt:lpstr>rng02_Res_Summary_DeedRestricted25</vt:lpstr>
      <vt:lpstr>rng02_Res_Summary_DeedRestricted26</vt:lpstr>
      <vt:lpstr>rng02_Res_Summary_DeedRestricted27</vt:lpstr>
      <vt:lpstr>rng02_Res_Summary_DeedRestricted28</vt:lpstr>
      <vt:lpstr>rng02_Res_Summary_DeedRestricted29</vt:lpstr>
      <vt:lpstr>rng02_Res_Summary_DeedRestricted3</vt:lpstr>
      <vt:lpstr>rng02_Res_Summary_DeedRestricted30</vt:lpstr>
      <vt:lpstr>rng02_Res_Summary_DeedRestricted4</vt:lpstr>
      <vt:lpstr>rng02_Res_Summary_DeedRestricted5</vt:lpstr>
      <vt:lpstr>rng02_Res_Summary_DeedRestricted6</vt:lpstr>
      <vt:lpstr>rng02_Res_Summary_DeedRestricted7</vt:lpstr>
      <vt:lpstr>rng02_Res_Summary_DeedRestricted8</vt:lpstr>
      <vt:lpstr>rng02_Res_Summary_DeedRestricted9</vt:lpstr>
      <vt:lpstr>rng02_Res_Summary_GrossMarketRent1</vt:lpstr>
      <vt:lpstr>rng02_Res_Summary_GrossMarketRent10</vt:lpstr>
      <vt:lpstr>rng02_Res_Summary_GrossMarketRent11</vt:lpstr>
      <vt:lpstr>rng02_Res_Summary_GrossMarketRent12</vt:lpstr>
      <vt:lpstr>rng02_Res_Summary_GrossMarketRent13</vt:lpstr>
      <vt:lpstr>rng02_Res_Summary_GrossMarketRent14</vt:lpstr>
      <vt:lpstr>rng02_Res_Summary_GrossMarketRent15</vt:lpstr>
      <vt:lpstr>rng02_Res_Summary_GrossMarketRent16</vt:lpstr>
      <vt:lpstr>rng02_Res_Summary_GrossMarketRent17</vt:lpstr>
      <vt:lpstr>rng02_Res_Summary_GrossMarketRent18</vt:lpstr>
      <vt:lpstr>rng02_Res_Summary_GrossMarketRent19</vt:lpstr>
      <vt:lpstr>rng02_Res_Summary_GrossMarketRent2</vt:lpstr>
      <vt:lpstr>rng02_Res_Summary_GrossMarketRent20</vt:lpstr>
      <vt:lpstr>rng02_Res_Summary_GrossMarketRent21</vt:lpstr>
      <vt:lpstr>rng02_Res_Summary_GrossMarketRent22</vt:lpstr>
      <vt:lpstr>rng02_Res_Summary_GrossMarketRent23</vt:lpstr>
      <vt:lpstr>rng02_Res_Summary_GrossMarketRent24</vt:lpstr>
      <vt:lpstr>rng02_Res_Summary_GrossMarketRent25</vt:lpstr>
      <vt:lpstr>rng02_Res_Summary_GrossMarketRent26</vt:lpstr>
      <vt:lpstr>rng02_Res_Summary_GrossMarketRent27</vt:lpstr>
      <vt:lpstr>rng02_Res_Summary_GrossMarketRent28</vt:lpstr>
      <vt:lpstr>rng02_Res_Summary_GrossMarketRent29</vt:lpstr>
      <vt:lpstr>rng02_Res_Summary_GrossMarketRent3</vt:lpstr>
      <vt:lpstr>rng02_Res_Summary_GrossMarketRent30</vt:lpstr>
      <vt:lpstr>rng02_Res_Summary_GrossMarketRent4</vt:lpstr>
      <vt:lpstr>rng02_Res_Summary_GrossMarketRent5</vt:lpstr>
      <vt:lpstr>rng02_Res_Summary_GrossMarketRent6</vt:lpstr>
      <vt:lpstr>rng02_Res_Summary_GrossMarketRent7</vt:lpstr>
      <vt:lpstr>rng02_Res_Summary_GrossMarketRent8</vt:lpstr>
      <vt:lpstr>rng02_Res_Summary_GrossMarketRent9</vt:lpstr>
      <vt:lpstr>rng02_Res_Summary_NetMarketRent1</vt:lpstr>
      <vt:lpstr>rng02_Res_Summary_NetMarketRent10</vt:lpstr>
      <vt:lpstr>rng02_Res_Summary_NetMarketRent11</vt:lpstr>
      <vt:lpstr>rng02_Res_Summary_NetMarketRent12</vt:lpstr>
      <vt:lpstr>rng02_Res_Summary_NetMarketRent13</vt:lpstr>
      <vt:lpstr>rng02_Res_Summary_NetMarketRent14</vt:lpstr>
      <vt:lpstr>rng02_Res_Summary_NetMarketRent15</vt:lpstr>
      <vt:lpstr>rng02_Res_Summary_NetMarketRent16</vt:lpstr>
      <vt:lpstr>rng02_Res_Summary_NetMarketRent17</vt:lpstr>
      <vt:lpstr>rng02_Res_Summary_NetMarketRent18</vt:lpstr>
      <vt:lpstr>rng02_Res_Summary_NetMarketRent19</vt:lpstr>
      <vt:lpstr>rng02_Res_Summary_NetMarketRent2</vt:lpstr>
      <vt:lpstr>rng02_Res_Summary_NetMarketRent20</vt:lpstr>
      <vt:lpstr>rng02_Res_Summary_NetMarketRent21</vt:lpstr>
      <vt:lpstr>rng02_Res_Summary_NetMarketRent22</vt:lpstr>
      <vt:lpstr>rng02_Res_Summary_NetMarketRent23</vt:lpstr>
      <vt:lpstr>rng02_Res_Summary_NetMarketRent24</vt:lpstr>
      <vt:lpstr>rng02_Res_Summary_NetMarketRent25</vt:lpstr>
      <vt:lpstr>rng02_Res_Summary_NetMarketRent26</vt:lpstr>
      <vt:lpstr>rng02_Res_Summary_NetMarketRent27</vt:lpstr>
      <vt:lpstr>rng02_Res_Summary_NetMarketRent28</vt:lpstr>
      <vt:lpstr>rng02_Res_Summary_NetMarketRent29</vt:lpstr>
      <vt:lpstr>rng02_Res_Summary_NetMarketRent3</vt:lpstr>
      <vt:lpstr>rng02_Res_Summary_NetMarketRent30</vt:lpstr>
      <vt:lpstr>rng02_Res_Summary_NetMarketRent4</vt:lpstr>
      <vt:lpstr>rng02_Res_Summary_NetMarketRent5</vt:lpstr>
      <vt:lpstr>rng02_Res_Summary_NetMarketRent6</vt:lpstr>
      <vt:lpstr>rng02_Res_Summary_NetMarketRent7</vt:lpstr>
      <vt:lpstr>rng02_Res_Summary_NetMarketRent8</vt:lpstr>
      <vt:lpstr>rng02_Res_Summary_NetMarketRent9</vt:lpstr>
      <vt:lpstr>rng02_Res_Summary_NoBaths1</vt:lpstr>
      <vt:lpstr>rng02_Res_Summary_NoBaths10</vt:lpstr>
      <vt:lpstr>rng02_Res_Summary_NoBaths11</vt:lpstr>
      <vt:lpstr>rng02_Res_Summary_NoBaths12</vt:lpstr>
      <vt:lpstr>rng02_Res_Summary_NoBaths13</vt:lpstr>
      <vt:lpstr>rng02_Res_Summary_NoBaths14</vt:lpstr>
      <vt:lpstr>rng02_Res_Summary_NoBaths15</vt:lpstr>
      <vt:lpstr>rng02_Res_Summary_NoBaths16</vt:lpstr>
      <vt:lpstr>rng02_Res_Summary_NoBaths17</vt:lpstr>
      <vt:lpstr>rng02_Res_Summary_NoBaths18</vt:lpstr>
      <vt:lpstr>rng02_Res_Summary_NoBaths19</vt:lpstr>
      <vt:lpstr>rng02_Res_Summary_NoBaths2</vt:lpstr>
      <vt:lpstr>rng02_Res_Summary_NoBaths20</vt:lpstr>
      <vt:lpstr>rng02_Res_Summary_NoBaths21</vt:lpstr>
      <vt:lpstr>rng02_Res_Summary_NoBaths22</vt:lpstr>
      <vt:lpstr>rng02_Res_Summary_NoBaths23</vt:lpstr>
      <vt:lpstr>rng02_Res_Summary_NoBaths24</vt:lpstr>
      <vt:lpstr>rng02_Res_Summary_NoBaths25</vt:lpstr>
      <vt:lpstr>rng02_Res_Summary_NoBaths26</vt:lpstr>
      <vt:lpstr>rng02_Res_Summary_NoBaths27</vt:lpstr>
      <vt:lpstr>rng02_Res_Summary_NoBaths28</vt:lpstr>
      <vt:lpstr>rng02_Res_Summary_NoBaths29</vt:lpstr>
      <vt:lpstr>rng02_Res_Summary_NoBaths3</vt:lpstr>
      <vt:lpstr>rng02_Res_Summary_NoBaths30</vt:lpstr>
      <vt:lpstr>rng02_Res_Summary_NoBaths4</vt:lpstr>
      <vt:lpstr>rng02_Res_Summary_NoBaths5</vt:lpstr>
      <vt:lpstr>rng02_Res_Summary_NoBaths6</vt:lpstr>
      <vt:lpstr>rng02_Res_Summary_NoBaths7</vt:lpstr>
      <vt:lpstr>rng02_Res_Summary_NoBaths8</vt:lpstr>
      <vt:lpstr>rng02_Res_Summary_NoBaths9</vt:lpstr>
      <vt:lpstr>rng02_Res_Summary_NoBedrooms1</vt:lpstr>
      <vt:lpstr>rng02_Res_Summary_NoBedrooms10</vt:lpstr>
      <vt:lpstr>rng02_Res_Summary_NoBedrooms11</vt:lpstr>
      <vt:lpstr>rng02_Res_Summary_NoBedrooms12</vt:lpstr>
      <vt:lpstr>rng02_Res_Summary_NoBedrooms13</vt:lpstr>
      <vt:lpstr>rng02_Res_Summary_NoBedrooms14</vt:lpstr>
      <vt:lpstr>rng02_Res_Summary_NoBedrooms15</vt:lpstr>
      <vt:lpstr>rng02_Res_Summary_NoBedrooms16</vt:lpstr>
      <vt:lpstr>rng02_Res_Summary_NoBedrooms17</vt:lpstr>
      <vt:lpstr>rng02_Res_Summary_NoBedrooms18</vt:lpstr>
      <vt:lpstr>rng02_Res_Summary_NoBedrooms19</vt:lpstr>
      <vt:lpstr>rng02_Res_Summary_NoBedrooms2</vt:lpstr>
      <vt:lpstr>rng02_Res_Summary_NoBedrooms20</vt:lpstr>
      <vt:lpstr>rng02_Res_Summary_NoBedrooms21</vt:lpstr>
      <vt:lpstr>rng02_Res_Summary_NoBedrooms22</vt:lpstr>
      <vt:lpstr>rng02_Res_Summary_NoBedrooms23</vt:lpstr>
      <vt:lpstr>rng02_Res_Summary_NoBedrooms24</vt:lpstr>
      <vt:lpstr>rng02_Res_Summary_NoBedrooms25</vt:lpstr>
      <vt:lpstr>rng02_Res_Summary_NoBedrooms26</vt:lpstr>
      <vt:lpstr>rng02_Res_Summary_NoBedrooms27</vt:lpstr>
      <vt:lpstr>rng02_Res_Summary_NoBedrooms28</vt:lpstr>
      <vt:lpstr>rng02_Res_Summary_NoBedrooms29</vt:lpstr>
      <vt:lpstr>rng02_Res_Summary_NoBedrooms3</vt:lpstr>
      <vt:lpstr>rng02_Res_Summary_NoBedrooms30</vt:lpstr>
      <vt:lpstr>rng02_Res_Summary_NoBedrooms4</vt:lpstr>
      <vt:lpstr>rng02_Res_Summary_NoBedrooms5</vt:lpstr>
      <vt:lpstr>rng02_Res_Summary_NoBedrooms6</vt:lpstr>
      <vt:lpstr>rng02_Res_Summary_NoBedrooms7</vt:lpstr>
      <vt:lpstr>rng02_Res_Summary_NoBedrooms8</vt:lpstr>
      <vt:lpstr>rng02_Res_Summary_NoBedrooms9</vt:lpstr>
      <vt:lpstr>rng02_Res_Summary_NoUnit1</vt:lpstr>
      <vt:lpstr>rng02_Res_Summary_NoUnit10</vt:lpstr>
      <vt:lpstr>rng02_Res_Summary_NoUnit11</vt:lpstr>
      <vt:lpstr>rng02_Res_Summary_NoUnit12</vt:lpstr>
      <vt:lpstr>rng02_Res_Summary_NoUnit13</vt:lpstr>
      <vt:lpstr>rng02_Res_Summary_NoUnit14</vt:lpstr>
      <vt:lpstr>rng02_Res_Summary_NoUnit15</vt:lpstr>
      <vt:lpstr>rng02_Res_Summary_NoUnit16</vt:lpstr>
      <vt:lpstr>rng02_Res_Summary_NoUnit17</vt:lpstr>
      <vt:lpstr>rng02_Res_Summary_NoUnit18</vt:lpstr>
      <vt:lpstr>rng02_Res_Summary_NoUnit19</vt:lpstr>
      <vt:lpstr>rng02_Res_Summary_NoUnit2</vt:lpstr>
      <vt:lpstr>rng02_Res_Summary_NoUnit20</vt:lpstr>
      <vt:lpstr>rng02_Res_Summary_NoUnit21</vt:lpstr>
      <vt:lpstr>rng02_Res_Summary_NoUnit22</vt:lpstr>
      <vt:lpstr>rng02_Res_Summary_NoUnit23</vt:lpstr>
      <vt:lpstr>rng02_Res_Summary_NoUnit24</vt:lpstr>
      <vt:lpstr>rng02_Res_Summary_NoUnit25</vt:lpstr>
      <vt:lpstr>rng02_Res_Summary_NoUnit26</vt:lpstr>
      <vt:lpstr>rng02_Res_Summary_NoUnit27</vt:lpstr>
      <vt:lpstr>rng02_Res_Summary_NoUnit28</vt:lpstr>
      <vt:lpstr>rng02_Res_Summary_NoUnit29</vt:lpstr>
      <vt:lpstr>rng02_Res_Summary_NoUnit3</vt:lpstr>
      <vt:lpstr>rng02_Res_Summary_NoUnit30</vt:lpstr>
      <vt:lpstr>rng02_Res_Summary_NoUnit4</vt:lpstr>
      <vt:lpstr>rng02_Res_Summary_NoUnit5</vt:lpstr>
      <vt:lpstr>rng02_Res_Summary_NoUnit6</vt:lpstr>
      <vt:lpstr>rng02_Res_Summary_NoUnit7</vt:lpstr>
      <vt:lpstr>rng02_Res_Summary_NoUnit8</vt:lpstr>
      <vt:lpstr>rng02_Res_Summary_NoUnit9</vt:lpstr>
      <vt:lpstr>rng02_Res_Summary_NRSFperUnit1</vt:lpstr>
      <vt:lpstr>rng02_Res_Summary_NRSFperUnit10</vt:lpstr>
      <vt:lpstr>rng02_Res_Summary_NRSFperUnit11</vt:lpstr>
      <vt:lpstr>rng02_Res_Summary_NRSFperUnit12</vt:lpstr>
      <vt:lpstr>rng02_Res_Summary_NRSFperUnit13</vt:lpstr>
      <vt:lpstr>rng02_Res_Summary_NRSFperUnit14</vt:lpstr>
      <vt:lpstr>rng02_Res_Summary_NRSFperUnit15</vt:lpstr>
      <vt:lpstr>rng02_Res_Summary_NRSFperUnit16</vt:lpstr>
      <vt:lpstr>rng02_Res_Summary_NRSFperUnit17</vt:lpstr>
      <vt:lpstr>rng02_Res_Summary_NRSFperUnit18</vt:lpstr>
      <vt:lpstr>rng02_Res_Summary_NRSFperUnit19</vt:lpstr>
      <vt:lpstr>rng02_Res_Summary_NRSFperUnit2</vt:lpstr>
      <vt:lpstr>rng02_Res_Summary_NRSFperUnit20</vt:lpstr>
      <vt:lpstr>rng02_Res_Summary_NRSFperUnit21</vt:lpstr>
      <vt:lpstr>rng02_Res_Summary_NRSFperUnit22</vt:lpstr>
      <vt:lpstr>rng02_Res_Summary_NRSFperUnit23</vt:lpstr>
      <vt:lpstr>rng02_Res_Summary_NRSFperUnit24</vt:lpstr>
      <vt:lpstr>rng02_Res_Summary_NRSFperUnit25</vt:lpstr>
      <vt:lpstr>rng02_Res_Summary_NRSFperUnit26</vt:lpstr>
      <vt:lpstr>rng02_Res_Summary_NRSFperUnit27</vt:lpstr>
      <vt:lpstr>rng02_Res_Summary_NRSFperUnit28</vt:lpstr>
      <vt:lpstr>rng02_Res_Summary_NRSFperUnit29</vt:lpstr>
      <vt:lpstr>rng02_Res_Summary_NRSFperUnit3</vt:lpstr>
      <vt:lpstr>rng02_Res_Summary_NRSFperUnit30</vt:lpstr>
      <vt:lpstr>rng02_Res_Summary_NRSFperUnit4</vt:lpstr>
      <vt:lpstr>rng02_Res_Summary_NRSFperUnit5</vt:lpstr>
      <vt:lpstr>rng02_Res_Summary_NRSFperUnit6</vt:lpstr>
      <vt:lpstr>rng02_Res_Summary_NRSFperUnit7</vt:lpstr>
      <vt:lpstr>rng02_Res_Summary_NRSFperUnit8</vt:lpstr>
      <vt:lpstr>rng02_Res_Summary_NRSFperUnit9</vt:lpstr>
      <vt:lpstr>rng02_Res_Summary_ProjBasedSubsidy1</vt:lpstr>
      <vt:lpstr>rng02_Res_Summary_ProjBasedSubsidy10</vt:lpstr>
      <vt:lpstr>rng02_Res_Summary_ProjBasedSubsidy11</vt:lpstr>
      <vt:lpstr>rng02_Res_Summary_ProjBasedSubsidy12</vt:lpstr>
      <vt:lpstr>rng02_Res_Summary_ProjBasedSubsidy13</vt:lpstr>
      <vt:lpstr>rng02_Res_Summary_ProjBasedSubsidy14</vt:lpstr>
      <vt:lpstr>rng02_Res_Summary_ProjBasedSubsidy15</vt:lpstr>
      <vt:lpstr>rng02_Res_Summary_ProjBasedSubsidy16</vt:lpstr>
      <vt:lpstr>rng02_Res_Summary_ProjBasedSubsidy17</vt:lpstr>
      <vt:lpstr>rng02_Res_Summary_ProjBasedSubsidy18</vt:lpstr>
      <vt:lpstr>rng02_Res_Summary_ProjBasedSubsidy19</vt:lpstr>
      <vt:lpstr>rng02_Res_Summary_ProjBasedSubsidy2</vt:lpstr>
      <vt:lpstr>rng02_Res_Summary_ProjBasedSubsidy20</vt:lpstr>
      <vt:lpstr>rng02_Res_Summary_ProjBasedSubsidy21</vt:lpstr>
      <vt:lpstr>rng02_Res_Summary_ProjBasedSubsidy22</vt:lpstr>
      <vt:lpstr>rng02_Res_Summary_ProjBasedSubsidy23</vt:lpstr>
      <vt:lpstr>rng02_Res_Summary_ProjBasedSubsidy24</vt:lpstr>
      <vt:lpstr>rng02_Res_Summary_ProjBasedSubsidy25</vt:lpstr>
      <vt:lpstr>rng02_Res_Summary_ProjBasedSubsidy26</vt:lpstr>
      <vt:lpstr>rng02_Res_Summary_ProjBasedSubsidy27</vt:lpstr>
      <vt:lpstr>rng02_Res_Summary_ProjBasedSubsidy28</vt:lpstr>
      <vt:lpstr>rng02_Res_Summary_ProjBasedSubsidy29</vt:lpstr>
      <vt:lpstr>rng02_Res_Summary_ProjBasedSubsidy3</vt:lpstr>
      <vt:lpstr>rng02_Res_Summary_ProjBasedSubsidy30</vt:lpstr>
      <vt:lpstr>rng02_Res_Summary_ProjBasedSubsidy4</vt:lpstr>
      <vt:lpstr>rng02_Res_Summary_ProjBasedSubsidy5</vt:lpstr>
      <vt:lpstr>rng02_Res_Summary_ProjBasedSubsidy6</vt:lpstr>
      <vt:lpstr>rng02_Res_Summary_ProjBasedSubsidy7</vt:lpstr>
      <vt:lpstr>rng02_Res_Summary_ProjBasedSubsidy8</vt:lpstr>
      <vt:lpstr>rng02_Res_Summary_ProjBasedSubsidy9</vt:lpstr>
      <vt:lpstr>rng02_Res_Summary_TenPdUtil1</vt:lpstr>
      <vt:lpstr>rng02_Res_Summary_TenPdUtil10</vt:lpstr>
      <vt:lpstr>rng02_Res_Summary_TenPdUtil11</vt:lpstr>
      <vt:lpstr>rng02_Res_Summary_TenPdUtil12</vt:lpstr>
      <vt:lpstr>rng02_Res_Summary_TenPdUtil120</vt:lpstr>
      <vt:lpstr>rng02_Res_Summary_TenPdUtil121</vt:lpstr>
      <vt:lpstr>rng02_Res_Summary_TenPdUtil122</vt:lpstr>
      <vt:lpstr>rng02_Res_Summary_TenPdUtil123</vt:lpstr>
      <vt:lpstr>rng02_Res_Summary_TenPdUtil124</vt:lpstr>
      <vt:lpstr>rng02_Res_Summary_TenPdUtil125</vt:lpstr>
      <vt:lpstr>rng02_Res_Summary_TenPdUtil126</vt:lpstr>
      <vt:lpstr>rng02_Res_Summary_TenPdUtil127</vt:lpstr>
      <vt:lpstr>rng02_Res_Summary_TenPdUtil128</vt:lpstr>
      <vt:lpstr>rng02_Res_Summary_TenPdUtil129</vt:lpstr>
      <vt:lpstr>rng02_Res_Summary_TenPdUtil13</vt:lpstr>
      <vt:lpstr>rng02_Res_Summary_TenPdUtil130</vt:lpstr>
      <vt:lpstr>rng02_Res_Summary_TenPdUtil14</vt:lpstr>
      <vt:lpstr>rng02_Res_Summary_TenPdUtil15</vt:lpstr>
      <vt:lpstr>rng02_Res_Summary_TenPdUtil16</vt:lpstr>
      <vt:lpstr>rng02_Res_Summary_TenPdUtil17</vt:lpstr>
      <vt:lpstr>rng02_Res_Summary_TenPdUtil18</vt:lpstr>
      <vt:lpstr>rng02_Res_Summary_TenPdUtil19</vt:lpstr>
      <vt:lpstr>rng02_Res_Summary_TenPdUtil2</vt:lpstr>
      <vt:lpstr>rng02_Res_Summary_TenPdUtil3</vt:lpstr>
      <vt:lpstr>rng02_Res_Summary_TenPdUtil4</vt:lpstr>
      <vt:lpstr>rng02_Res_Summary_TenPdUtil5</vt:lpstr>
      <vt:lpstr>rng02_Res_Summary_TenPdUtil6</vt:lpstr>
      <vt:lpstr>rng02_Res_Summary_TenPdUtil7</vt:lpstr>
      <vt:lpstr>rng02_Res_Summary_TenPdUtil8</vt:lpstr>
      <vt:lpstr>rng02_Res_Summary_TenPdUtil9</vt:lpstr>
      <vt:lpstr>rng02_Rows</vt:lpstr>
      <vt:lpstr>rng02_Sources_Debt_AmortStartDate1</vt:lpstr>
      <vt:lpstr>rng02_Sources_Debt_AmortStartDate10</vt:lpstr>
      <vt:lpstr>rng02_Sources_Debt_AmortStartDate11</vt:lpstr>
      <vt:lpstr>rng02_Sources_Debt_AmortStartDate12</vt:lpstr>
      <vt:lpstr>rng02_Sources_Debt_AmortStartDate13</vt:lpstr>
      <vt:lpstr>rng02_Sources_Debt_AmortStartDate14</vt:lpstr>
      <vt:lpstr>rng02_Sources_Debt_AmortStartDate2</vt:lpstr>
      <vt:lpstr>rng02_Sources_Debt_AmortStartDate3</vt:lpstr>
      <vt:lpstr>rng02_Sources_Debt_AmortStartDate4</vt:lpstr>
      <vt:lpstr>rng02_Sources_Debt_AmortStartDate5</vt:lpstr>
      <vt:lpstr>rng02_Sources_Debt_AmortStartDate6</vt:lpstr>
      <vt:lpstr>rng02_Sources_Debt_AmortStartDate7</vt:lpstr>
      <vt:lpstr>rng02_Sources_Debt_AmortStartDate8</vt:lpstr>
      <vt:lpstr>rng02_Sources_Debt_AmortStartDate9</vt:lpstr>
      <vt:lpstr>rng02_Sources_Debt_AnDebtServPayment1</vt:lpstr>
      <vt:lpstr>rng02_Sources_Debt_AnDebtServPayment10</vt:lpstr>
      <vt:lpstr>rng02_Sources_Debt_AnDebtServPayment11</vt:lpstr>
      <vt:lpstr>rng02_Sources_Debt_AnDebtServPayment12</vt:lpstr>
      <vt:lpstr>rng02_Sources_Debt_AnDebtServPayment13</vt:lpstr>
      <vt:lpstr>rng02_Sources_Debt_AnDebtServPayment14</vt:lpstr>
      <vt:lpstr>rng02_Sources_Debt_AnDebtServPayment2</vt:lpstr>
      <vt:lpstr>rng02_Sources_Debt_AnDebtServPayment3</vt:lpstr>
      <vt:lpstr>rng02_Sources_Debt_AnDebtServPayment4</vt:lpstr>
      <vt:lpstr>rng02_Sources_Debt_AnDebtServPayment5</vt:lpstr>
      <vt:lpstr>rng02_Sources_Debt_AnDebtServPayment6</vt:lpstr>
      <vt:lpstr>rng02_Sources_Debt_AnDebtServPayment7</vt:lpstr>
      <vt:lpstr>rng02_Sources_Debt_AnDebtServPayment8</vt:lpstr>
      <vt:lpstr>rng02_Sources_Debt_AnDebtServPayment9</vt:lpstr>
      <vt:lpstr>rng02_Sources_Debt_DebtServ_CashFlow1</vt:lpstr>
      <vt:lpstr>rng02_Sources_Debt_DebtServ_CashFlow10</vt:lpstr>
      <vt:lpstr>rng02_Sources_Debt_DebtServ_CashFlow11</vt:lpstr>
      <vt:lpstr>rng02_Sources_Debt_DebtServ_CashFlow12</vt:lpstr>
      <vt:lpstr>rng02_Sources_Debt_DebtServ_CashFlow13</vt:lpstr>
      <vt:lpstr>rng02_Sources_Debt_DebtServ_CashFlow14</vt:lpstr>
      <vt:lpstr>rng02_Sources_Debt_DebtServ_CashFlow2</vt:lpstr>
      <vt:lpstr>rng02_Sources_Debt_DebtServ_CashFlow3</vt:lpstr>
      <vt:lpstr>rng02_Sources_Debt_DebtServ_CashFlow4</vt:lpstr>
      <vt:lpstr>rng02_Sources_Debt_DebtServ_CashFlow5</vt:lpstr>
      <vt:lpstr>rng02_Sources_Debt_DebtServ_CashFlow6</vt:lpstr>
      <vt:lpstr>rng02_Sources_Debt_DebtServ_CashFlow7</vt:lpstr>
      <vt:lpstr>rng02_Sources_Debt_DebtServ_CashFlow8</vt:lpstr>
      <vt:lpstr>rng02_Sources_Debt_DebtServ_CashFlow9</vt:lpstr>
      <vt:lpstr>rng02_Sources_Debt_DebtServ_CoverageRatio1</vt:lpstr>
      <vt:lpstr>rng02_Sources_Debt_DebtServ_CoverageRatio10</vt:lpstr>
      <vt:lpstr>rng02_Sources_Debt_DebtServ_CoverageRatio11</vt:lpstr>
      <vt:lpstr>rng02_Sources_Debt_DebtServ_CoverageRatio12</vt:lpstr>
      <vt:lpstr>rng02_Sources_Debt_DebtServ_CoverageRatio13</vt:lpstr>
      <vt:lpstr>rng02_Sources_Debt_DebtServ_CoverageRatio14</vt:lpstr>
      <vt:lpstr>rng02_Sources_Debt_DebtServ_CoverageRatio2</vt:lpstr>
      <vt:lpstr>rng02_Sources_Debt_DebtServ_CoverageRatio3</vt:lpstr>
      <vt:lpstr>rng02_Sources_Debt_DebtServ_CoverageRatio4</vt:lpstr>
      <vt:lpstr>rng02_Sources_Debt_DebtServ_CoverageRatio5</vt:lpstr>
      <vt:lpstr>rng02_Sources_Debt_DebtServ_CoverageRatio6</vt:lpstr>
      <vt:lpstr>rng02_Sources_Debt_DebtServ_CoverageRatio7</vt:lpstr>
      <vt:lpstr>rng02_Sources_Debt_DebtServ_CoverageRatio8</vt:lpstr>
      <vt:lpstr>rng02_Sources_Debt_DebtServ_CoverageRatio9</vt:lpstr>
      <vt:lpstr>rng02_Sources_Debt_PercCashFlow1</vt:lpstr>
      <vt:lpstr>rng02_Sources_Debt_PercCashFlow10</vt:lpstr>
      <vt:lpstr>rng02_Sources_Debt_PercCashFlow11</vt:lpstr>
      <vt:lpstr>rng02_Sources_Debt_PercCashFlow12</vt:lpstr>
      <vt:lpstr>rng02_Sources_Debt_PercCashFlow13</vt:lpstr>
      <vt:lpstr>rng02_Sources_Debt_PercCashFlow14</vt:lpstr>
      <vt:lpstr>rng02_Sources_Debt_PercCashFlow2</vt:lpstr>
      <vt:lpstr>rng02_Sources_Debt_PercCashFlow3</vt:lpstr>
      <vt:lpstr>rng02_Sources_Debt_PercCashFlow4</vt:lpstr>
      <vt:lpstr>rng02_Sources_Debt_PercCashFlow5</vt:lpstr>
      <vt:lpstr>rng02_Sources_Debt_PercCashFlow6</vt:lpstr>
      <vt:lpstr>rng02_Sources_Debt_PercCashFlow7</vt:lpstr>
      <vt:lpstr>rng02_Sources_Debt_PercCashFlow8</vt:lpstr>
      <vt:lpstr>rng02_Sources_Debt_PercCashFlow9</vt:lpstr>
      <vt:lpstr>rng02_Sources_Debt_Rate1</vt:lpstr>
      <vt:lpstr>rng02_Sources_Debt_Rate10</vt:lpstr>
      <vt:lpstr>rng02_Sources_Debt_Rate11</vt:lpstr>
      <vt:lpstr>rng02_Sources_Debt_Rate12</vt:lpstr>
      <vt:lpstr>rng02_Sources_Debt_Rate13</vt:lpstr>
      <vt:lpstr>rng02_Sources_Debt_Rate14</vt:lpstr>
      <vt:lpstr>rng02_Sources_Debt_Rate2</vt:lpstr>
      <vt:lpstr>rng02_Sources_Debt_Rate3</vt:lpstr>
      <vt:lpstr>rng02_Sources_Debt_Rate4</vt:lpstr>
      <vt:lpstr>rng02_Sources_Debt_Rate5</vt:lpstr>
      <vt:lpstr>rng02_Sources_Debt_Rate6</vt:lpstr>
      <vt:lpstr>rng02_Sources_Debt_Rate7</vt:lpstr>
      <vt:lpstr>rng02_Sources_Debt_Rate8</vt:lpstr>
      <vt:lpstr>rng02_Sources_Debt_Rate9</vt:lpstr>
      <vt:lpstr>rng02_Sources_Debt_Taxable_TaxExempt1</vt:lpstr>
      <vt:lpstr>rng02_Sources_Debt_Taxable_TaxExempt10</vt:lpstr>
      <vt:lpstr>rng02_Sources_Debt_Taxable_TaxExempt11</vt:lpstr>
      <vt:lpstr>rng02_Sources_Debt_Taxable_TaxExempt12</vt:lpstr>
      <vt:lpstr>rng02_Sources_Debt_Taxable_TaxExempt13</vt:lpstr>
      <vt:lpstr>rng02_Sources_Debt_Taxable_TaxExempt14</vt:lpstr>
      <vt:lpstr>rng02_Sources_Debt_Taxable_TaxExempt2</vt:lpstr>
      <vt:lpstr>rng02_Sources_Debt_Taxable_TaxExempt3</vt:lpstr>
      <vt:lpstr>rng02_Sources_Debt_Taxable_TaxExempt4</vt:lpstr>
      <vt:lpstr>rng02_Sources_Debt_Taxable_TaxExempt5</vt:lpstr>
      <vt:lpstr>rng02_Sources_Debt_Taxable_TaxExempt6</vt:lpstr>
      <vt:lpstr>rng02_Sources_Debt_Taxable_TaxExempt7</vt:lpstr>
      <vt:lpstr>rng02_Sources_Debt_Taxable_TaxExempt8</vt:lpstr>
      <vt:lpstr>rng02_Sources_Debt_Taxable_TaxExempt9</vt:lpstr>
      <vt:lpstr>rng02_Sources_Debt_Term1</vt:lpstr>
      <vt:lpstr>rng02_Sources_Debt_Term10</vt:lpstr>
      <vt:lpstr>rng02_Sources_Debt_Term11</vt:lpstr>
      <vt:lpstr>rng02_Sources_Debt_Term12</vt:lpstr>
      <vt:lpstr>rng02_Sources_Debt_Term13</vt:lpstr>
      <vt:lpstr>rng02_Sources_Debt_Term14</vt:lpstr>
      <vt:lpstr>rng02_Sources_Debt_Term2</vt:lpstr>
      <vt:lpstr>rng02_Sources_Debt_Term3</vt:lpstr>
      <vt:lpstr>rng02_Sources_Debt_Term4</vt:lpstr>
      <vt:lpstr>rng02_Sources_Debt_Term5</vt:lpstr>
      <vt:lpstr>rng02_Sources_Debt_Term6</vt:lpstr>
      <vt:lpstr>rng02_Sources_Debt_Term7</vt:lpstr>
      <vt:lpstr>rng02_Sources_Debt_Term8</vt:lpstr>
      <vt:lpstr>rng02_Sources_Debt_Term9</vt:lpstr>
      <vt:lpstr>rng02_Sources_Debt_Total1</vt:lpstr>
      <vt:lpstr>rng02_Sources_Debt_Total10</vt:lpstr>
      <vt:lpstr>rng02_Sources_Debt_Total11</vt:lpstr>
      <vt:lpstr>rng02_Sources_Debt_Total12</vt:lpstr>
      <vt:lpstr>rng02_Sources_Debt_Total13</vt:lpstr>
      <vt:lpstr>rng02_Sources_Debt_Total14</vt:lpstr>
      <vt:lpstr>rng02_Sources_Debt_Total2</vt:lpstr>
      <vt:lpstr>rng02_Sources_Debt_Total3</vt:lpstr>
      <vt:lpstr>rng02_Sources_Debt_Total4</vt:lpstr>
      <vt:lpstr>rng02_Sources_Debt_Total5</vt:lpstr>
      <vt:lpstr>rng02_Sources_Debt_Total6</vt:lpstr>
      <vt:lpstr>rng02_Sources_Debt_Total7</vt:lpstr>
      <vt:lpstr>rng02_Sources_Debt_Total8</vt:lpstr>
      <vt:lpstr>rng02_Sources_Debt_Total9</vt:lpstr>
      <vt:lpstr>rng02_Sources_Debt1</vt:lpstr>
      <vt:lpstr>rng02_Sources_Debt10</vt:lpstr>
      <vt:lpstr>rng02_Sources_Debt11</vt:lpstr>
      <vt:lpstr>rng02_Sources_Debt12</vt:lpstr>
      <vt:lpstr>rng02_Sources_Debt13</vt:lpstr>
      <vt:lpstr>rng02_Sources_Debt14</vt:lpstr>
      <vt:lpstr>rng02_Sources_Debt2</vt:lpstr>
      <vt:lpstr>rng02_Sources_Debt3</vt:lpstr>
      <vt:lpstr>rng02_Sources_Debt4</vt:lpstr>
      <vt:lpstr>rng02_Sources_Debt5</vt:lpstr>
      <vt:lpstr>rng02_Sources_Debt6</vt:lpstr>
      <vt:lpstr>rng02_Sources_Debt7</vt:lpstr>
      <vt:lpstr>rng02_Sources_Debt8</vt:lpstr>
      <vt:lpstr>rng02_Sources_Debt9</vt:lpstr>
      <vt:lpstr>rng02_Sources_Equity_GenPartCap_Tot</vt:lpstr>
      <vt:lpstr>rng02_Sources_Equity_LIHTCProceeds_Tot</vt:lpstr>
      <vt:lpstr>rng02_Sources_Equity_Other_Tot</vt:lpstr>
      <vt:lpstr>rng02_Sources_Equity_StateHistTCProceeds_Tot</vt:lpstr>
      <vt:lpstr>rng02_Sources_Equity_Total_Equity</vt:lpstr>
      <vt:lpstr>rng02_Sources_Equiy_FedHistTaxCredProceeds_Tot</vt:lpstr>
      <vt:lpstr>rng02_Sources_TotalSources</vt:lpstr>
      <vt:lpstr>rng02_Sources_TotalTaxExemptSources</vt:lpstr>
      <vt:lpstr>rng02_Sources_TotalUses</vt:lpstr>
      <vt:lpstr>rng02_Summary_Res_Config_CurrContractRent_1BR</vt:lpstr>
      <vt:lpstr>rng02_Summary_Res_Config_CurrContractRent_2BR</vt:lpstr>
      <vt:lpstr>rng02_Summary_Res_Config_CurrContractRent_3BR</vt:lpstr>
      <vt:lpstr>rng02_Summary_Res_Config_CurrContractRent_4BR</vt:lpstr>
      <vt:lpstr>rng02_Summary_Res_Config_CurrContractRent_5BR</vt:lpstr>
      <vt:lpstr>rng02_Summary_Res_Config_CurrContractRent_EFF</vt:lpstr>
      <vt:lpstr>rng02_Summary_Res_Config_CurrContractRent_SRO</vt:lpstr>
      <vt:lpstr>rng02_Summary_Res_Config_NoMktUnit1BR</vt:lpstr>
      <vt:lpstr>rng02_Summary_Res_Config_NoMktUnit2BR</vt:lpstr>
      <vt:lpstr>rng02_Summary_Res_Config_NoMktUnit3BR</vt:lpstr>
      <vt:lpstr>rng02_Summary_Res_Config_NoMktUnit4BR</vt:lpstr>
      <vt:lpstr>rng02_Summary_Res_Config_NoMktUnit5BR</vt:lpstr>
      <vt:lpstr>rng02_Summary_Res_Config_NoMktUnitEFF</vt:lpstr>
      <vt:lpstr>rng02_Summary_Res_Config_NoMktUnitSRO</vt:lpstr>
      <vt:lpstr>rng02_Summary_Res_Config_NoUnit_Total</vt:lpstr>
      <vt:lpstr>rng02_Summary_Res_Config_NoUnit1BR</vt:lpstr>
      <vt:lpstr>rng02_Summary_Res_Config_NoUnit2BR</vt:lpstr>
      <vt:lpstr>rng02_Summary_Res_Config_NoUnit3BR</vt:lpstr>
      <vt:lpstr>rng02_Summary_Res_Config_NoUnit4BR</vt:lpstr>
      <vt:lpstr>rng02_Summary_Res_Config_NoUnit5BR</vt:lpstr>
      <vt:lpstr>rng02_Summary_Res_Config_NoUnitsEfficiency</vt:lpstr>
      <vt:lpstr>rng02_Summary_Res_Config_NoUnitSRO</vt:lpstr>
      <vt:lpstr>rng02_Summary_Res_Config_NRSFLIHTC_1BR</vt:lpstr>
      <vt:lpstr>rng02_Summary_Res_Config_NRSFLIHTC_2BR</vt:lpstr>
      <vt:lpstr>rng02_Summary_Res_Config_NRSFLIHTC_3BR</vt:lpstr>
      <vt:lpstr>rng02_Summary_Res_Config_NRSFLIHTC_4BR</vt:lpstr>
      <vt:lpstr>rng02_Summary_Res_Config_NRSFLIHTC_5BR</vt:lpstr>
      <vt:lpstr>rng02_Summary_Res_Config_NRSFLIHTC_EFF</vt:lpstr>
      <vt:lpstr>rng02_Summary_Res_Config_NRSFLIHTC_SRO</vt:lpstr>
      <vt:lpstr>rng02_Summary_Res_Config_NRSFLIHTC_TOTAL</vt:lpstr>
      <vt:lpstr>rng02_Summary_Res_Config_NRSFMkt_1BR</vt:lpstr>
      <vt:lpstr>rng02_Summary_Res_Config_NRSFMkt_2BR</vt:lpstr>
      <vt:lpstr>rng02_Summary_Res_Config_NRSFMkt_3BR</vt:lpstr>
      <vt:lpstr>rng02_Summary_Res_Config_NRSFMkt_4BR</vt:lpstr>
      <vt:lpstr>rng02_Summary_Res_Config_NRSFMkt_5BR</vt:lpstr>
      <vt:lpstr>rng02_Summary_Res_Config_NRSFMkt_EFF</vt:lpstr>
      <vt:lpstr>rng02_Summary_Res_Config_NRSFMkt_SRO</vt:lpstr>
      <vt:lpstr>rng02_Summary_Res_Config_NRSFMkt_TOTAL</vt:lpstr>
      <vt:lpstr>rng02_Summary_Res_Config_NRSFPerUnit1BR</vt:lpstr>
      <vt:lpstr>rng02_Summary_Res_Config_NRSFPerUnit2BR</vt:lpstr>
      <vt:lpstr>rng02_Summary_Res_Config_NRSFPerUnit3BR</vt:lpstr>
      <vt:lpstr>rng02_Summary_Res_Config_NRSFPerUnit4BR</vt:lpstr>
      <vt:lpstr>rng02_Summary_Res_Config_NRSFPerUnit5BR</vt:lpstr>
      <vt:lpstr>rng02_Summary_Res_Config_NRSFPerUnitEFF</vt:lpstr>
      <vt:lpstr>rng02_Summary_Res_Config_NRSFPerUnitSRO</vt:lpstr>
      <vt:lpstr>rng02_Summary_Res_Config_PropRentMkt_1BR</vt:lpstr>
      <vt:lpstr>rng02_Summary_Res_Config_PropRentMkt_2BR</vt:lpstr>
      <vt:lpstr>rng02_Summary_Res_Config_PropRentMkt_3BR</vt:lpstr>
      <vt:lpstr>rng02_Summary_Res_Config_PropRentMkt_4BR</vt:lpstr>
      <vt:lpstr>rng02_Summary_Res_Config_PropRentMkt_5BR</vt:lpstr>
      <vt:lpstr>rng02_Summary_Res_Config_PropRentMkt_EFF</vt:lpstr>
      <vt:lpstr>rng02_Summary_Res_Config_PropRentMkt_SRO</vt:lpstr>
      <vt:lpstr>rng02_Summary_Res_Config_PropRentMkt_TOTAL</vt:lpstr>
      <vt:lpstr>rng02_Summary_Res_Config_RIHPropRent_1BR</vt:lpstr>
      <vt:lpstr>rng02_Summary_Res_Config_RIHPropRent_2BR</vt:lpstr>
      <vt:lpstr>rng02_Summary_Res_Config_RIHPropRent_3BR</vt:lpstr>
      <vt:lpstr>rng02_Summary_Res_Config_RIHPropRent_4BR</vt:lpstr>
      <vt:lpstr>rng02_Summary_Res_Config_RIHPropRent_5BR</vt:lpstr>
      <vt:lpstr>rng02_Summary_Res_Config_RIHPropRent_EFF</vt:lpstr>
      <vt:lpstr>rng02_Summary_Res_Config_RIHPropRent_SRO</vt:lpstr>
      <vt:lpstr>rng02_Summary_Res_Config_RIHPropRent_TOTAL</vt:lpstr>
      <vt:lpstr>rng02_TotalUnit</vt:lpstr>
      <vt:lpstr>rng02_TotalUnit_New</vt:lpstr>
      <vt:lpstr>rng02_TotalUnit_Rehab</vt:lpstr>
      <vt:lpstr>rng02_TotalUnits_LIHTC</vt:lpstr>
      <vt:lpstr>rng02_TotalUnits_Market</vt:lpstr>
      <vt:lpstr>rng02_UnitMix</vt:lpstr>
      <vt:lpstr>rng02_Uses_DevRehabCosts_ACQCosts_Demo</vt:lpstr>
      <vt:lpstr>rng02_Uses_DevRehabCosts_ACQCosts_ExistingStructures</vt:lpstr>
      <vt:lpstr>rng02_Uses_DevRehabCosts_ACQCosts_LandCost</vt:lpstr>
      <vt:lpstr>rng02_Uses_DevRehabCosts_ACQCosts_OffSiteImp</vt:lpstr>
      <vt:lpstr>rng02_Uses_DevRehabCosts_ACQCosts_Other1</vt:lpstr>
      <vt:lpstr>rng02_Uses_DevRehabCosts_ACQCosts_Other2</vt:lpstr>
      <vt:lpstr>rng02_Uses_DevRehabCosts_ACQCosts_Other3</vt:lpstr>
      <vt:lpstr>rng02_Uses_DevRehabCosts_ACQCosts_TotalAcq</vt:lpstr>
      <vt:lpstr>rng02_Uses_DevRehabCosts_ConstRehabCosts_BondPrem</vt:lpstr>
      <vt:lpstr>rng02_Uses_DevRehabCosts_ConstRehabCosts_BuildersGenOverhead</vt:lpstr>
      <vt:lpstr>rng02_Uses_DevRehabCosts_ConstRehabCosts_BuildersProfit</vt:lpstr>
      <vt:lpstr>rng02_Uses_DevRehabCosts_ConstRehabCosts_Buildings</vt:lpstr>
      <vt:lpstr>rng02_Uses_DevRehabCosts_ConstRehabCosts_ConstructContigency</vt:lpstr>
      <vt:lpstr>rng02_Uses_DevRehabCosts_ConstRehabCosts_ExtraConditions</vt:lpstr>
      <vt:lpstr>rng02_Uses_DevRehabCosts_ConstRehabCosts_GenReq</vt:lpstr>
      <vt:lpstr>rng02_Uses_DevRehabCosts_ConstRehabCosts_OtherFees</vt:lpstr>
      <vt:lpstr>rng02_Uses_DevRehabCosts_ConstRehabCosts_SiteWork</vt:lpstr>
      <vt:lpstr>rng02_Uses_DevRehabCosts_ConstRehabCosts_TotalConstRehab</vt:lpstr>
      <vt:lpstr>rng02_Uses_DevRehabCosts_ConstRehabCosts_TotalHardCosts</vt:lpstr>
      <vt:lpstr>rng02_Uses_DevRehabCosts_DevFee_BaseDevFee</vt:lpstr>
      <vt:lpstr>rng02_Uses_DevRehabCosts_DevFee_EligIncDevFee</vt:lpstr>
      <vt:lpstr>rng02_Uses_DevRehabCosts_DevFee_TotDevFee</vt:lpstr>
      <vt:lpstr>rng02_Uses_DevRehabCosts_Financing_ConstructLoanInt</vt:lpstr>
      <vt:lpstr>rng02_Uses_DevRehabCosts_Financing_ConstructLoanOrigFee</vt:lpstr>
      <vt:lpstr>rng02_Uses_DevRehabCosts_Financing_CostofIns</vt:lpstr>
      <vt:lpstr>rng02_Uses_DevRehabCosts_Financing_CostofIss</vt:lpstr>
      <vt:lpstr>rng02_Uses_DevRehabCosts_Financing_Other1</vt:lpstr>
      <vt:lpstr>rng02_Uses_DevRehabCosts_Financing_Other2</vt:lpstr>
      <vt:lpstr>rng02_Uses_DevRehabCosts_Financing_Other3</vt:lpstr>
      <vt:lpstr>rng02_Uses_DevRehabCosts_Financing_Other4</vt:lpstr>
      <vt:lpstr>rng02_Uses_DevRehabCosts_Financing_OtherLenderOrigFee</vt:lpstr>
      <vt:lpstr>rng02_Uses_DevRehabCosts_Financing_RIHOrigFee</vt:lpstr>
      <vt:lpstr>rng02_Uses_DevRehabCosts_Financing_RiskSharingPrem</vt:lpstr>
      <vt:lpstr>rng02_Uses_DevRehabCosts_Financing_TaxDurConstruct</vt:lpstr>
      <vt:lpstr>rng02_Uses_DevRehabCosts_Financing_TCAFee</vt:lpstr>
      <vt:lpstr>rng02_Uses_DevRehabCosts_Financing_TotFinCosts</vt:lpstr>
      <vt:lpstr>rng02_Uses_DevRehabCosts_Reserves_1YrInsEscrow</vt:lpstr>
      <vt:lpstr>rng02_Uses_DevRehabCosts_Reserves_1YrPropTaxEscrow</vt:lpstr>
      <vt:lpstr>rng02_Uses_DevRehabCosts_Reserves_LeaseUpReserve</vt:lpstr>
      <vt:lpstr>rng02_Uses_DevRehabCosts_Reserves_OperatingReserve</vt:lpstr>
      <vt:lpstr>rng02_Uses_DevRehabCosts_Reserves_Other1</vt:lpstr>
      <vt:lpstr>rng02_Uses_DevRehabCosts_Reserves_ReplacementReserve</vt:lpstr>
      <vt:lpstr>rng02_Uses_DevRehabCosts_Reserves_TotReserves</vt:lpstr>
      <vt:lpstr>rng02_Uses_DevRehabCosts_SoftCosts_Appraisal</vt:lpstr>
      <vt:lpstr>rng02_Uses_DevRehabCosts_SoftCosts_ArchFeeDesign</vt:lpstr>
      <vt:lpstr>rng02_Uses_DevRehabCosts_SoftCosts_ArchFeeSup</vt:lpstr>
      <vt:lpstr>rng02_Uses_DevRehabCosts_SoftCosts_BuildersRiskIns</vt:lpstr>
      <vt:lpstr>rng02_Uses_DevRehabCosts_SoftCosts_CapNeedsAssess</vt:lpstr>
      <vt:lpstr>rng02_Uses_DevRehabCosts_SoftCosts_ClerkofWorks</vt:lpstr>
      <vt:lpstr>rng02_Uses_DevRehabCosts_SoftCosts_CostCert</vt:lpstr>
      <vt:lpstr>rng02_Uses_DevRehabCosts_SoftCosts_CreditRpt</vt:lpstr>
      <vt:lpstr>rng02_Uses_DevRehabCosts_SoftCosts_Environmental</vt:lpstr>
      <vt:lpstr>rng02_Uses_DevRehabCosts_SoftCosts_FireCodeCompRpt</vt:lpstr>
      <vt:lpstr>rng02_Uses_DevRehabCosts_SoftCosts_FurnFixEquip</vt:lpstr>
      <vt:lpstr>rng02_Uses_DevRehabCosts_SoftCosts_LIHTCAccounting</vt:lpstr>
      <vt:lpstr>rng02_Uses_DevRehabCosts_SoftCosts_MktngLeaseUp</vt:lpstr>
      <vt:lpstr>rng02_Uses_DevRehabCosts_SoftCosts_MktStdy</vt:lpstr>
      <vt:lpstr>rng02_Uses_DevRehabCosts_SoftCosts_Other1</vt:lpstr>
      <vt:lpstr>rng02_Uses_DevRehabCosts_SoftCosts_Other2</vt:lpstr>
      <vt:lpstr>rng02_Uses_DevRehabCosts_SoftCosts_Other3</vt:lpstr>
      <vt:lpstr>rng02_Uses_DevRehabCosts_SoftCosts_Other4</vt:lpstr>
      <vt:lpstr>rng02_Uses_DevRehabCosts_SoftCosts_OwnerLegalFees</vt:lpstr>
      <vt:lpstr>rng02_Uses_DevRehabCosts_SoftCosts_Relocation</vt:lpstr>
      <vt:lpstr>rng02_Uses_DevRehabCosts_SoftCosts_RETaxFeeSetUp</vt:lpstr>
      <vt:lpstr>rng02_Uses_DevRehabCosts_SoftCosts_RIHLegalFees</vt:lpstr>
      <vt:lpstr>rng02_Uses_DevRehabCosts_SoftCosts_SCContigency</vt:lpstr>
      <vt:lpstr>rng02_Uses_DevRehabCosts_SoftCosts_SewerWaterUtilHkUps</vt:lpstr>
      <vt:lpstr>rng02_Uses_DevRehabCosts_SoftCosts_StructEngReports</vt:lpstr>
      <vt:lpstr>rng02_Uses_DevRehabCosts_SoftCosts_Survey</vt:lpstr>
      <vt:lpstr>rng02_Uses_DevRehabCosts_SoftCosts_SyndicatorLegal</vt:lpstr>
      <vt:lpstr>rng02_Uses_DevRehabCosts_SoftCosts_TitleRecording</vt:lpstr>
      <vt:lpstr>rng02_Uses_DevRehabCosts_SoftCosts_TotalSC</vt:lpstr>
      <vt:lpstr>rng02_Uses_DevRehabCosts_SubtotalConstructionCosts</vt:lpstr>
      <vt:lpstr>rng02_Uses_DevRehabCosts_TotDevCosts</vt:lpstr>
      <vt:lpstr>rng02_Utilities_Table_1_1BedUnit</vt:lpstr>
      <vt:lpstr>rng02_Utilities_Table_1_2BedUnit</vt:lpstr>
      <vt:lpstr>rng02_Utilities_Table_1_3BedUnit</vt:lpstr>
      <vt:lpstr>rng02_Utilities_Table_1_4BedUnit</vt:lpstr>
      <vt:lpstr>rng02_Utilities_Table_1_5BedUnit</vt:lpstr>
      <vt:lpstr>rng02_Utilities_Table_10_1BedUnit</vt:lpstr>
      <vt:lpstr>rng02_Utilities_Table_10_2BedUnit</vt:lpstr>
      <vt:lpstr>rng02_Utilities_Table_10_3BedUnit</vt:lpstr>
      <vt:lpstr>rng02_Utilities_Table_10_4BedUnit</vt:lpstr>
      <vt:lpstr>rng02_Utilities_Table_10_5BedUnit</vt:lpstr>
      <vt:lpstr>rng02_Utilities_Table_11_1BedUnit</vt:lpstr>
      <vt:lpstr>rng02_Utilities_Table_11_2BedUnit</vt:lpstr>
      <vt:lpstr>rng02_Utilities_Table_11_3BedUnit</vt:lpstr>
      <vt:lpstr>rng02_Utilities_Table_11_4BedUnit</vt:lpstr>
      <vt:lpstr>rng02_Utilities_Table_11_5BedUnit</vt:lpstr>
      <vt:lpstr>rng02_Utilities_Table_2_1BedUnit</vt:lpstr>
      <vt:lpstr>rng02_Utilities_Table_2_2BedUnit</vt:lpstr>
      <vt:lpstr>rng02_Utilities_Table_2_3BedUnit</vt:lpstr>
      <vt:lpstr>rng02_Utilities_Table_2_4BedUnit</vt:lpstr>
      <vt:lpstr>rng02_Utilities_Table_2_5BedUnit</vt:lpstr>
      <vt:lpstr>rng02_Utilities_Table_3_1BedUnit</vt:lpstr>
      <vt:lpstr>rng02_Utilities_Table_3_2BedUnit</vt:lpstr>
      <vt:lpstr>rng02_Utilities_Table_3_3BedUnit</vt:lpstr>
      <vt:lpstr>rng02_Utilities_Table_3_4BedUnit</vt:lpstr>
      <vt:lpstr>rng02_Utilities_Table_3_5BedUnit</vt:lpstr>
      <vt:lpstr>rng02_Utilities_Table_4_1BedUnit</vt:lpstr>
      <vt:lpstr>rng02_Utilities_Table_4_2BedUnit</vt:lpstr>
      <vt:lpstr>rng02_Utilities_Table_4_3BedUnit</vt:lpstr>
      <vt:lpstr>rng02_Utilities_Table_4_4BedUnit</vt:lpstr>
      <vt:lpstr>rng02_Utilities_Table_4_5BedUnit</vt:lpstr>
      <vt:lpstr>rng02_Utilities_Table_5_1BedUnit</vt:lpstr>
      <vt:lpstr>rng02_Utilities_Table_5_2BedUnit</vt:lpstr>
      <vt:lpstr>rng02_Utilities_Table_5_3BedUnit</vt:lpstr>
      <vt:lpstr>rng02_Utilities_Table_5_4BedUnit</vt:lpstr>
      <vt:lpstr>rng02_Utilities_Table_5_5BedUnit</vt:lpstr>
      <vt:lpstr>rng02_Utilities_Table_6_1BedUnit</vt:lpstr>
      <vt:lpstr>rng02_Utilities_Table_6_2BedUnit</vt:lpstr>
      <vt:lpstr>rng02_Utilities_Table_6_3BedUnit</vt:lpstr>
      <vt:lpstr>rng02_Utilities_Table_6_4BedUnit</vt:lpstr>
      <vt:lpstr>rng02_Utilities_Table_6_5BedUnit</vt:lpstr>
      <vt:lpstr>rng02_Utilities_Table_7_1BedUnit</vt:lpstr>
      <vt:lpstr>rng02_Utilities_Table_7_2BedUnit</vt:lpstr>
      <vt:lpstr>rng02_Utilities_Table_7_3BedUnit</vt:lpstr>
      <vt:lpstr>rng02_Utilities_Table_7_4BedUnit</vt:lpstr>
      <vt:lpstr>rng02_Utilities_Table_7_5BedUnit</vt:lpstr>
      <vt:lpstr>rng02_Utilities_Table_8_1BedUnit</vt:lpstr>
      <vt:lpstr>rng02_Utilities_Table_8_2BedUnit</vt:lpstr>
      <vt:lpstr>rng02_Utilities_Table_8_3BedUnit</vt:lpstr>
      <vt:lpstr>rng02_Utilities_Table_8_4BedUnit</vt:lpstr>
      <vt:lpstr>rng02_Utilities_Table_8_5BedUnit</vt:lpstr>
      <vt:lpstr>rng02_Utilities_Table_9_1BedUnit</vt:lpstr>
      <vt:lpstr>rng02_Utilities_Table_9_2BedUnit</vt:lpstr>
      <vt:lpstr>rng02_Utilities_Table_9_3BedUnit</vt:lpstr>
      <vt:lpstr>rng02_Utilities_Table_9_4BedUnit</vt:lpstr>
      <vt:lpstr>rng02_Utilities_Table_9_5BedUnit</vt:lpstr>
      <vt:lpstr>rng02_Utilities_Table_DataYear1</vt:lpstr>
      <vt:lpstr>rng02_Utilities_Table_DataYear10</vt:lpstr>
      <vt:lpstr>rng02_Utilities_Table_DataYear11</vt:lpstr>
      <vt:lpstr>rng02_Utilities_Table_DataYear2</vt:lpstr>
      <vt:lpstr>rng02_Utilities_Table_DataYear3</vt:lpstr>
      <vt:lpstr>rng02_Utilities_Table_DataYear4</vt:lpstr>
      <vt:lpstr>rng02_Utilities_Table_DataYear5</vt:lpstr>
      <vt:lpstr>rng02_Utilities_Table_DataYear6</vt:lpstr>
      <vt:lpstr>rng02_Utilities_Table_DataYear7</vt:lpstr>
      <vt:lpstr>rng02_Utilities_Table_DataYear8</vt:lpstr>
      <vt:lpstr>rng02_Utilities_Table_DataYear9</vt:lpstr>
      <vt:lpstr>rng02_Utilities_Table_EFF1</vt:lpstr>
      <vt:lpstr>rng02_Utilities_Table_EFF10</vt:lpstr>
      <vt:lpstr>rng02_Utilities_Table_EFF11</vt:lpstr>
      <vt:lpstr>rng02_Utilities_Table_EFF2</vt:lpstr>
      <vt:lpstr>rng02_Utilities_Table_EFF3</vt:lpstr>
      <vt:lpstr>rng02_Utilities_Table_EFF4</vt:lpstr>
      <vt:lpstr>rng02_Utilities_Table_EFF5</vt:lpstr>
      <vt:lpstr>rng02_Utilities_Table_EFF6</vt:lpstr>
      <vt:lpstr>rng02_Utilities_Table_EFF7</vt:lpstr>
      <vt:lpstr>rng02_Utilities_Table_EFF8</vt:lpstr>
      <vt:lpstr>rng02_Utilities_Table_EFF9</vt:lpstr>
      <vt:lpstr>rng02_Utilities_Table_SRO1</vt:lpstr>
      <vt:lpstr>rng02_Utilities_Table_SRO10</vt:lpstr>
      <vt:lpstr>rng02_Utilities_Table_SRO11</vt:lpstr>
      <vt:lpstr>rng02_Utilities_Table_SRO2</vt:lpstr>
      <vt:lpstr>rng02_Utilities_Table_SRO3</vt:lpstr>
      <vt:lpstr>rng02_Utilities_Table_SRO4</vt:lpstr>
      <vt:lpstr>rng02_Utilities_Table_SRO5</vt:lpstr>
      <vt:lpstr>rng02_Utilities_Table_SRO6</vt:lpstr>
      <vt:lpstr>rng02_Utilities_Table_SRO7</vt:lpstr>
      <vt:lpstr>rng02_Utilities_Table_SRO8</vt:lpstr>
      <vt:lpstr>rng02_Utilities_Table_SRO9</vt:lpstr>
      <vt:lpstr>rng02_Utilities_Table_TenantPaid1</vt:lpstr>
      <vt:lpstr>rng02_Utilities_Table_TenantPaid10</vt:lpstr>
      <vt:lpstr>rng02_Utilities_Table_TenantPaid11</vt:lpstr>
      <vt:lpstr>rng02_Utilities_Table_TenantPaid2</vt:lpstr>
      <vt:lpstr>rng02_Utilities_Table_TenantPaid3</vt:lpstr>
      <vt:lpstr>rng02_Utilities_Table_TenantPaid4</vt:lpstr>
      <vt:lpstr>rng02_Utilities_Table_TenantPaid5</vt:lpstr>
      <vt:lpstr>rng02_Utilities_Table_TenantPaid6</vt:lpstr>
      <vt:lpstr>rng02_Utilities_Table_TenantPaid7</vt:lpstr>
      <vt:lpstr>rng02_Utilities_Table_TenantPaid8</vt:lpstr>
      <vt:lpstr>rng02_Utilities_Table_TenantPaid9</vt:lpstr>
      <vt:lpstr>rng02_Utilities_Table_UtilType1</vt:lpstr>
      <vt:lpstr>rng02_Utilities_Table_UtilType10</vt:lpstr>
      <vt:lpstr>rng02_Utilities_Table_UtilType11</vt:lpstr>
      <vt:lpstr>rng02_Utilities_Table_UtilType2</vt:lpstr>
      <vt:lpstr>rng02_Utilities_Table_UtilType3</vt:lpstr>
      <vt:lpstr>rng02_Utilities_Table_UtilType4</vt:lpstr>
      <vt:lpstr>rng02_Utilities_Table_UtilType5</vt:lpstr>
      <vt:lpstr>rng02_Utilities_Table_UtilType6</vt:lpstr>
      <vt:lpstr>rng02_Utilities_Table_UtilType7</vt:lpstr>
      <vt:lpstr>rng02_Utilities_Table_UtilType8</vt:lpstr>
      <vt:lpstr>rng02_Utilities_Table_UtilType9</vt:lpstr>
      <vt:lpstr>rng03_TaxCreditPercentage</vt:lpstr>
      <vt:lpstr>rng04_AssistedLiving_Proforma</vt:lpstr>
      <vt:lpstr>rng05_Area_ConstructionMonth</vt:lpstr>
      <vt:lpstr>rng05_ConstructionBudget</vt:lpstr>
      <vt:lpstr>rng05_ConstructionPeriod</vt:lpstr>
      <vt:lpstr>rng05_Proceeds_Acq_TotalCreditSyndicatedProceeds</vt:lpstr>
      <vt:lpstr>rng05_Proceeds_AdjustedProjectCosts</vt:lpstr>
      <vt:lpstr>rng05_Proceeds_TotalEligibleUses</vt:lpstr>
      <vt:lpstr>rng06_Area_LTVitems</vt:lpstr>
      <vt:lpstr>rng06_CriteriaCatg</vt:lpstr>
      <vt:lpstr>rng06_SourcesUses</vt:lpstr>
      <vt:lpstr>rng06_SourcesUsesFirm</vt:lpstr>
      <vt:lpstr>rng06_SU_Preliminary</vt:lpstr>
      <vt:lpstr>rng06_UnitType</vt:lpstr>
      <vt:lpstr>rng06_UnitType2</vt:lpstr>
      <vt:lpstr>Mapping!SD_133_S_1</vt:lpstr>
      <vt:lpstr>Mapping!SD_161x1_120_S_1</vt:lpstr>
      <vt:lpstr>Mapping!SD_161x1_122_S_1</vt:lpstr>
      <vt:lpstr>Mapping!SD_161x1_123_S_1</vt:lpstr>
      <vt:lpstr>Mapping!SD_161x1_124_S_0</vt:lpstr>
      <vt:lpstr>Mapping!SD_161x1_125_S_0</vt:lpstr>
      <vt:lpstr>Mapping!SD_161x1_127_S_0</vt:lpstr>
      <vt:lpstr>Mapping!SD_161x1_128_S_0</vt:lpstr>
      <vt:lpstr>Mapping!SD_161x1_129_S_0</vt:lpstr>
      <vt:lpstr>Mapping!SD_161x1_130_S_0</vt:lpstr>
      <vt:lpstr>Mapping!SD_161x1_131_S_0</vt:lpstr>
      <vt:lpstr>Mapping!SD_161x1_132_S_0</vt:lpstr>
      <vt:lpstr>Mapping!SD_161x1_133_S_0</vt:lpstr>
      <vt:lpstr>Mapping!SD_161x1_136_S_0</vt:lpstr>
      <vt:lpstr>Mapping!SD_161x1_140_S_0</vt:lpstr>
      <vt:lpstr>Mapping!SD_161x1_141_S_0</vt:lpstr>
      <vt:lpstr>Mapping!SD_161x1_142_S_0</vt:lpstr>
      <vt:lpstr>Mapping!SD_161x1_148_S_0</vt:lpstr>
      <vt:lpstr>Mapping!SD_161x1_154_S_0</vt:lpstr>
      <vt:lpstr>Mapping!SD_161x1_155_S_0</vt:lpstr>
      <vt:lpstr>Mapping!SD_161x1_156_S_0</vt:lpstr>
      <vt:lpstr>Mapping!SD_161x1_157_S_0</vt:lpstr>
      <vt:lpstr>Mapping!SD_161x1_158_S_0</vt:lpstr>
      <vt:lpstr>Mapping!SD_161x1_159_S_0</vt:lpstr>
      <vt:lpstr>Mapping!SD_161x1_160_S_0</vt:lpstr>
      <vt:lpstr>Mapping!SD_161x1_161_S_0</vt:lpstr>
      <vt:lpstr>Mapping!SD_161x1_162_S_0</vt:lpstr>
      <vt:lpstr>Mapping!SD_161x1_163_S_0</vt:lpstr>
      <vt:lpstr>Mapping!SD_161x1_17_S_0</vt:lpstr>
      <vt:lpstr>Mapping!SD_161x1_19_S_0</vt:lpstr>
      <vt:lpstr>Mapping!SD_161x1_21_S_0</vt:lpstr>
      <vt:lpstr>Mapping!SD_161x1_26_S_0</vt:lpstr>
      <vt:lpstr>Mapping!SD_161x1_2935x1_2951x1_109_S_1</vt:lpstr>
      <vt:lpstr>Mapping!SD_161x1_2935x1_2951x1_52_S_0</vt:lpstr>
      <vt:lpstr>Mapping!SD_161x1_2935x1_2951x1_91_S_1</vt:lpstr>
      <vt:lpstr>Mapping!SD_161x1_2935x1_2951x10_109_S_1</vt:lpstr>
      <vt:lpstr>Mapping!SD_161x1_2935x1_2951x10_52_S_0</vt:lpstr>
      <vt:lpstr>Mapping!SD_161x1_2935x1_2951x10_91_S_1</vt:lpstr>
      <vt:lpstr>Mapping!SD_161x1_2935x1_2951x11_109_S_1</vt:lpstr>
      <vt:lpstr>Mapping!SD_161x1_2935x1_2951x11_52_S_0</vt:lpstr>
      <vt:lpstr>Mapping!SD_161x1_2935x1_2951x11_91_S_1</vt:lpstr>
      <vt:lpstr>Mapping!SD_161x1_2935x1_2951x12_109_S_1</vt:lpstr>
      <vt:lpstr>Mapping!SD_161x1_2935x1_2951x12_52_S_0</vt:lpstr>
      <vt:lpstr>Mapping!SD_161x1_2935x1_2951x12_91_S_1</vt:lpstr>
      <vt:lpstr>Mapping!SD_161x1_2935x1_2951x13_109_S_1</vt:lpstr>
      <vt:lpstr>Mapping!SD_161x1_2935x1_2951x13_52_S_0</vt:lpstr>
      <vt:lpstr>Mapping!SD_161x1_2935x1_2951x13_91_S_1</vt:lpstr>
      <vt:lpstr>Mapping!SD_161x1_2935x1_2951x14_109_S_1</vt:lpstr>
      <vt:lpstr>Mapping!SD_161x1_2935x1_2951x14_52_S_0</vt:lpstr>
      <vt:lpstr>Mapping!SD_161x1_2935x1_2951x14_91_S_1</vt:lpstr>
      <vt:lpstr>Mapping!SD_161x1_2935x1_2951x15_109_S_1</vt:lpstr>
      <vt:lpstr>Mapping!SD_161x1_2935x1_2951x15_52_S_0</vt:lpstr>
      <vt:lpstr>Mapping!SD_161x1_2935x1_2951x15_91_S_1</vt:lpstr>
      <vt:lpstr>Mapping!SD_161x1_2935x1_2951x16_109_S_1</vt:lpstr>
      <vt:lpstr>Mapping!SD_161x1_2935x1_2951x16_52_S_0</vt:lpstr>
      <vt:lpstr>Mapping!SD_161x1_2935x1_2951x16_91_S_1</vt:lpstr>
      <vt:lpstr>Mapping!SD_161x1_2935x1_2951x17_109_S_1</vt:lpstr>
      <vt:lpstr>Mapping!SD_161x1_2935x1_2951x17_52_S_0</vt:lpstr>
      <vt:lpstr>Mapping!SD_161x1_2935x1_2951x17_91_S_1</vt:lpstr>
      <vt:lpstr>Mapping!SD_161x1_2935x1_2951x18_109_S_1</vt:lpstr>
      <vt:lpstr>Mapping!SD_161x1_2935x1_2951x18_52_S_0</vt:lpstr>
      <vt:lpstr>Mapping!SD_161x1_2935x1_2951x18_91_S_1</vt:lpstr>
      <vt:lpstr>Mapping!SD_161x1_2935x1_2951x19_109_S_1</vt:lpstr>
      <vt:lpstr>Mapping!SD_161x1_2935x1_2951x19_52_S_0</vt:lpstr>
      <vt:lpstr>Mapping!SD_161x1_2935x1_2951x19_91_S_1</vt:lpstr>
      <vt:lpstr>Mapping!SD_161x1_2935x1_2951x2_109_S_1</vt:lpstr>
      <vt:lpstr>Mapping!SD_161x1_2935x1_2951x2_52_S_0</vt:lpstr>
      <vt:lpstr>Mapping!SD_161x1_2935x1_2951x2_91_S_1</vt:lpstr>
      <vt:lpstr>Mapping!SD_161x1_2935x1_2951x20_109_S_1</vt:lpstr>
      <vt:lpstr>Mapping!SD_161x1_2935x1_2951x20_52_S_0</vt:lpstr>
      <vt:lpstr>Mapping!SD_161x1_2935x1_2951x20_91_S_1</vt:lpstr>
      <vt:lpstr>Mapping!SD_161x1_2935x1_2951x21_109_S_1</vt:lpstr>
      <vt:lpstr>Mapping!SD_161x1_2935x1_2951x21_52_S_0</vt:lpstr>
      <vt:lpstr>Mapping!SD_161x1_2935x1_2951x21_91_S_1</vt:lpstr>
      <vt:lpstr>Mapping!SD_161x1_2935x1_2951x22_109_S_1</vt:lpstr>
      <vt:lpstr>Mapping!SD_161x1_2935x1_2951x22_52_S_0</vt:lpstr>
      <vt:lpstr>Mapping!SD_161x1_2935x1_2951x22_91_S_1</vt:lpstr>
      <vt:lpstr>Mapping!SD_161x1_2935x1_2951x23_109_S_1</vt:lpstr>
      <vt:lpstr>Mapping!SD_161x1_2935x1_2951x23_52_S_0</vt:lpstr>
      <vt:lpstr>Mapping!SD_161x1_2935x1_2951x23_91_S_1</vt:lpstr>
      <vt:lpstr>Mapping!SD_161x1_2935x1_2951x24_109_S_1</vt:lpstr>
      <vt:lpstr>Mapping!SD_161x1_2935x1_2951x24_52_S_0</vt:lpstr>
      <vt:lpstr>Mapping!SD_161x1_2935x1_2951x24_91_S_1</vt:lpstr>
      <vt:lpstr>Mapping!SD_161x1_2935x1_2951x25_109_S_1</vt:lpstr>
      <vt:lpstr>Mapping!SD_161x1_2935x1_2951x25_52_S_0</vt:lpstr>
      <vt:lpstr>Mapping!SD_161x1_2935x1_2951x25_91_S_1</vt:lpstr>
      <vt:lpstr>Mapping!SD_161x1_2935x1_2951x26_109_S_1</vt:lpstr>
      <vt:lpstr>Mapping!SD_161x1_2935x1_2951x26_52_S_0</vt:lpstr>
      <vt:lpstr>Mapping!SD_161x1_2935x1_2951x26_91_S_1</vt:lpstr>
      <vt:lpstr>Mapping!SD_161x1_2935x1_2951x27_109_S_1</vt:lpstr>
      <vt:lpstr>Mapping!SD_161x1_2935x1_2951x27_52_S_0</vt:lpstr>
      <vt:lpstr>Mapping!SD_161x1_2935x1_2951x27_91_S_1</vt:lpstr>
      <vt:lpstr>Mapping!SD_161x1_2935x1_2951x28_109_S_1</vt:lpstr>
      <vt:lpstr>Mapping!SD_161x1_2935x1_2951x28_52_S_0</vt:lpstr>
      <vt:lpstr>Mapping!SD_161x1_2935x1_2951x28_91_S_1</vt:lpstr>
      <vt:lpstr>Mapping!SD_161x1_2935x1_2951x29_109_S_1</vt:lpstr>
      <vt:lpstr>Mapping!SD_161x1_2935x1_2951x29_52_S_0</vt:lpstr>
      <vt:lpstr>Mapping!SD_161x1_2935x1_2951x29_91_S_1</vt:lpstr>
      <vt:lpstr>Mapping!SD_161x1_2935x1_2951x3_109_S_1</vt:lpstr>
      <vt:lpstr>Mapping!SD_161x1_2935x1_2951x3_52_S_0</vt:lpstr>
      <vt:lpstr>Mapping!SD_161x1_2935x1_2951x3_91_S_1</vt:lpstr>
      <vt:lpstr>Mapping!SD_161x1_2935x1_2951x30_109_S_1</vt:lpstr>
      <vt:lpstr>Mapping!SD_161x1_2935x1_2951x30_52_S_0</vt:lpstr>
      <vt:lpstr>Mapping!SD_161x1_2935x1_2951x30_91_S_1</vt:lpstr>
      <vt:lpstr>Mapping!SD_161x1_2935x1_2951x4_109_S_1</vt:lpstr>
      <vt:lpstr>Mapping!SD_161x1_2935x1_2951x4_52_S_0</vt:lpstr>
      <vt:lpstr>Mapping!SD_161x1_2935x1_2951x4_91_S_1</vt:lpstr>
      <vt:lpstr>Mapping!SD_161x1_2935x1_2951x5_109_S_1</vt:lpstr>
      <vt:lpstr>Mapping!SD_161x1_2935x1_2951x5_52_S_0</vt:lpstr>
      <vt:lpstr>Mapping!SD_161x1_2935x1_2951x5_91_S_1</vt:lpstr>
      <vt:lpstr>Mapping!SD_161x1_2935x1_2951x6_109_S_1</vt:lpstr>
      <vt:lpstr>Mapping!SD_161x1_2935x1_2951x6_52_S_0</vt:lpstr>
      <vt:lpstr>Mapping!SD_161x1_2935x1_2951x6_91_S_1</vt:lpstr>
      <vt:lpstr>Mapping!SD_161x1_2935x1_2951x7_109_S_1</vt:lpstr>
      <vt:lpstr>Mapping!SD_161x1_2935x1_2951x7_52_S_0</vt:lpstr>
      <vt:lpstr>Mapping!SD_161x1_2935x1_2951x7_91_S_1</vt:lpstr>
      <vt:lpstr>Mapping!SD_161x1_2935x1_2951x8_109_S_1</vt:lpstr>
      <vt:lpstr>Mapping!SD_161x1_2935x1_2951x8_52_S_0</vt:lpstr>
      <vt:lpstr>Mapping!SD_161x1_2935x1_2951x8_91_S_1</vt:lpstr>
      <vt:lpstr>Mapping!SD_161x1_2935x1_2951x9_109_S_1</vt:lpstr>
      <vt:lpstr>Mapping!SD_161x1_2935x1_2951x9_52_S_0</vt:lpstr>
      <vt:lpstr>Mapping!SD_161x1_2935x1_2951x9_91_S_1</vt:lpstr>
      <vt:lpstr>Mapping!SD_161x1_41_S_0</vt:lpstr>
      <vt:lpstr>Mapping!SD_161x1_48_S_0</vt:lpstr>
      <vt:lpstr>Mapping!SD_161x1_76_S_1</vt:lpstr>
      <vt:lpstr>Mapping!SD_161x1_77_S_1</vt:lpstr>
      <vt:lpstr>Mapping!SD_181_S_1</vt:lpstr>
      <vt:lpstr>Mapping!SD_20_G_0</vt:lpstr>
      <vt:lpstr>Mapping!SD_21_G_0</vt:lpstr>
      <vt:lpstr>Mapping!SD_2357x1_6_S_0</vt:lpstr>
      <vt:lpstr>Mapping!SD_2357x1_7_S_0</vt:lpstr>
      <vt:lpstr>Mapping!SD_2357x10_6_S_0</vt:lpstr>
      <vt:lpstr>Mapping!SD_2357x10_7_S_0</vt:lpstr>
      <vt:lpstr>Mapping!SD_2357x11_6_S_0</vt:lpstr>
      <vt:lpstr>Mapping!SD_2357x11_7_S_0</vt:lpstr>
      <vt:lpstr>Mapping!SD_2357x12_6_S_0</vt:lpstr>
      <vt:lpstr>Mapping!SD_2357x12_7_S_0</vt:lpstr>
      <vt:lpstr>Mapping!SD_2357x13_6_S_0</vt:lpstr>
      <vt:lpstr>Mapping!SD_2357x13_7_S_0</vt:lpstr>
      <vt:lpstr>Mapping!SD_2357x14_6_S_0</vt:lpstr>
      <vt:lpstr>Mapping!SD_2357x14_7_S_0</vt:lpstr>
      <vt:lpstr>Mapping!SD_2357x15_6_S_0</vt:lpstr>
      <vt:lpstr>Mapping!SD_2357x15_7_S_0</vt:lpstr>
      <vt:lpstr>Mapping!SD_2357x16_6_S_0</vt:lpstr>
      <vt:lpstr>Mapping!SD_2357x16_7_S_0</vt:lpstr>
      <vt:lpstr>Mapping!SD_2357x17_6_S_0</vt:lpstr>
      <vt:lpstr>Mapping!SD_2357x17_7_S_0</vt:lpstr>
      <vt:lpstr>Mapping!SD_2357x18_6_S_0</vt:lpstr>
      <vt:lpstr>Mapping!SD_2357x18_7_S_0</vt:lpstr>
      <vt:lpstr>Mapping!SD_2357x19_6_S_0</vt:lpstr>
      <vt:lpstr>Mapping!SD_2357x19_7_S_0</vt:lpstr>
      <vt:lpstr>Mapping!SD_2357x2_6_S_0</vt:lpstr>
      <vt:lpstr>Mapping!SD_2357x2_7_S_0</vt:lpstr>
      <vt:lpstr>Mapping!SD_2357x20_6_S_0</vt:lpstr>
      <vt:lpstr>Mapping!SD_2357x20_7_S_0</vt:lpstr>
      <vt:lpstr>Mapping!SD_2357x21_6_S_0</vt:lpstr>
      <vt:lpstr>Mapping!SD_2357x21_7_S_0</vt:lpstr>
      <vt:lpstr>Mapping!SD_2357x22_6_S_0</vt:lpstr>
      <vt:lpstr>Mapping!SD_2357x22_7_S_0</vt:lpstr>
      <vt:lpstr>Mapping!SD_2357x23_6_S_0</vt:lpstr>
      <vt:lpstr>Mapping!SD_2357x23_7_S_0</vt:lpstr>
      <vt:lpstr>Mapping!SD_2357x24_6_S_0</vt:lpstr>
      <vt:lpstr>Mapping!SD_2357x24_7_S_0</vt:lpstr>
      <vt:lpstr>Mapping!SD_2357x3_6_S_0</vt:lpstr>
      <vt:lpstr>Mapping!SD_2357x3_7_S_0</vt:lpstr>
      <vt:lpstr>Mapping!SD_2357x4_6_S_0</vt:lpstr>
      <vt:lpstr>Mapping!SD_2357x4_7_S_0</vt:lpstr>
      <vt:lpstr>Mapping!SD_2357x5_6_S_0</vt:lpstr>
      <vt:lpstr>Mapping!SD_2357x5_7_S_0</vt:lpstr>
      <vt:lpstr>Mapping!SD_2357x6_6_S_0</vt:lpstr>
      <vt:lpstr>Mapping!SD_2357x6_7_S_0</vt:lpstr>
      <vt:lpstr>Mapping!SD_2357x7_6_S_0</vt:lpstr>
      <vt:lpstr>Mapping!SD_2357x7_7_S_0</vt:lpstr>
      <vt:lpstr>Mapping!SD_2357x8_6_S_0</vt:lpstr>
      <vt:lpstr>Mapping!SD_2357x8_7_S_0</vt:lpstr>
      <vt:lpstr>Mapping!SD_2357x9_6_S_0</vt:lpstr>
      <vt:lpstr>Mapping!SD_2357x9_7_S_0</vt:lpstr>
      <vt:lpstr>Mapping!SD_4270i246x1_147_G_0</vt:lpstr>
      <vt:lpstr>Mapping!SD_4270x1_4371x1_113_S_1</vt:lpstr>
      <vt:lpstr>Mapping!SD_4270x1_4371x1_122_S_1</vt:lpstr>
      <vt:lpstr>Mapping!SD_4270x1_4371x1_129_S_0</vt:lpstr>
      <vt:lpstr>Mapping!SD_4270x1_4371x1_131_S_0</vt:lpstr>
      <vt:lpstr>Mapping!SD_4270x1_4371x1_132_S_0</vt:lpstr>
      <vt:lpstr>Mapping!SD_4270x1_4371x1_134_S_0</vt:lpstr>
      <vt:lpstr>Mapping!SD_4270x1_4371x1_146_S_0</vt:lpstr>
      <vt:lpstr>Mapping!SD_4270x1_4371x1_162_S_0</vt:lpstr>
      <vt:lpstr>Mapping!SD_4270x1_4371x1_187_S_0</vt:lpstr>
      <vt:lpstr>Mapping!SD_4270x1_4371x1_188_S_0</vt:lpstr>
      <vt:lpstr>Mapping!SD_4270x1_4371x1_190_S_0</vt:lpstr>
      <vt:lpstr>Mapping!SD_4270x1_4371x1_191_S_0</vt:lpstr>
      <vt:lpstr>Mapping!SD_4270x1_4371x1_205_S_0</vt:lpstr>
      <vt:lpstr>Mapping!SD_4270x1_4371x1_213_S_0</vt:lpstr>
      <vt:lpstr>Mapping!SD_4270x1_4371x1_223_S_0</vt:lpstr>
      <vt:lpstr>Mapping!SD_4270x1_4371x1_226_S_0</vt:lpstr>
      <vt:lpstr>Mapping!SD_4270x1_4371x1_227_S_0</vt:lpstr>
      <vt:lpstr>Mapping!SD_4270x1_4371x1_228_S_0</vt:lpstr>
      <vt:lpstr>Mapping!SD_4270x1_4371x1_229_S_0</vt:lpstr>
      <vt:lpstr>Mapping!SD_4270x1_4371x1_230_S_0</vt:lpstr>
      <vt:lpstr>Mapping!SD_4270x1_4371x1_231_S_0</vt:lpstr>
      <vt:lpstr>Mapping!SD_4270x1_4371x1_232_S_0</vt:lpstr>
      <vt:lpstr>Mapping!SD_4270x1_4371x1_233_S_0</vt:lpstr>
      <vt:lpstr>Mapping!SD_4270x1_4371x1_234_S_0</vt:lpstr>
      <vt:lpstr>Mapping!SD_4270x1_4371x1_235_S_0</vt:lpstr>
      <vt:lpstr>Mapping!SD_4270x1_4371x1_236_S_0</vt:lpstr>
      <vt:lpstr>Mapping!SD_4270x1_4371x1_237_S_0</vt:lpstr>
      <vt:lpstr>Mapping!SD_4270x1_4371x1_238_S_0</vt:lpstr>
      <vt:lpstr>Mapping!SD_4270x1_4371x1_239_S_0</vt:lpstr>
      <vt:lpstr>Mapping!SD_4270x1_4371x1_240_S_0</vt:lpstr>
      <vt:lpstr>Mapping!SD_4270x1_4371x1_241_S_0</vt:lpstr>
      <vt:lpstr>Mapping!SD_4270x1_4371x1_242_S_0</vt:lpstr>
      <vt:lpstr>Mapping!SD_4270x1_4371x1_243_S_0</vt:lpstr>
      <vt:lpstr>Mapping!SD_4270x1_4371x1_244_S_0</vt:lpstr>
      <vt:lpstr>Mapping!SD_4270x1_4371x1_245_S_0</vt:lpstr>
      <vt:lpstr>Mapping!SD_4270x1_4371x1_246_S_0</vt:lpstr>
      <vt:lpstr>Mapping!SD_4270x1_4371x1_247_S_0</vt:lpstr>
      <vt:lpstr>Mapping!SD_4270x1_4371x1_248_S_0</vt:lpstr>
      <vt:lpstr>Mapping!SD_4270x1_4371x1_249_S_0</vt:lpstr>
      <vt:lpstr>Mapping!SD_4270x1_4371x1_250_S_0</vt:lpstr>
      <vt:lpstr>Mapping!SD_4270x1_4371x1_251_S_0</vt:lpstr>
      <vt:lpstr>Mapping!SD_4270x1_4371x1_252_S_0</vt:lpstr>
      <vt:lpstr>Mapping!SD_4270x1_4371x1_253_S_0</vt:lpstr>
      <vt:lpstr>Mapping!SD_4270x1_4371x1_254_S_0</vt:lpstr>
      <vt:lpstr>Mapping!SD_4270x1_4371x1_255_S_0</vt:lpstr>
      <vt:lpstr>Mapping!SD_4270x1_4371x1_256_S_0</vt:lpstr>
      <vt:lpstr>Mapping!SD_4270x1_4371x1_257_S_0</vt:lpstr>
      <vt:lpstr>Mapping!SD_4270x1_4371x1_259_S_0</vt:lpstr>
      <vt:lpstr>Mapping!SD_4270x1_4371x1_260_S_0</vt:lpstr>
      <vt:lpstr>Mapping!SD_4270x1_4371x1_261_S_0</vt:lpstr>
      <vt:lpstr>Mapping!SD_4270x1_4371x1_262_S_0</vt:lpstr>
      <vt:lpstr>Mapping!SD_4270x1_4371x1_263_S_0</vt:lpstr>
      <vt:lpstr>Mapping!SD_4270x1_4371x1_264_S_0</vt:lpstr>
      <vt:lpstr>Mapping!SD_4270x1_4371x1_265_S_0</vt:lpstr>
      <vt:lpstr>Mapping!SD_4270x1_4371x1_266_S_0</vt:lpstr>
      <vt:lpstr>Mapping!SD_4270x1_4371x1_267_S_0</vt:lpstr>
      <vt:lpstr>Mapping!SD_4270x1_4371x1_268_S_0</vt:lpstr>
      <vt:lpstr>Mapping!SD_4270x1_4371x1_269_S_0</vt:lpstr>
      <vt:lpstr>Mapping!SD_4270x1_4371x1_270_S_0</vt:lpstr>
      <vt:lpstr>Mapping!SD_4270x1_4371x1_271_S_0</vt:lpstr>
      <vt:lpstr>Mapping!SD_4270x1_4371x1_362_S_1</vt:lpstr>
      <vt:lpstr>Mapping!SD_4270x1_4371x1_364_S_0</vt:lpstr>
      <vt:lpstr>Mapping!SD_4270x1_4371x1_368_S_0</vt:lpstr>
      <vt:lpstr>Mapping!SD_4270x1_4371x1_369_S_0</vt:lpstr>
      <vt:lpstr>Mapping!SD_4270x1_4371x1_370_S_1</vt:lpstr>
      <vt:lpstr>Mapping!SD_4270x1_4371x1_371_S_0</vt:lpstr>
      <vt:lpstr>Mapping!SD_4270x1_4371x1_372_S_0</vt:lpstr>
      <vt:lpstr>Mapping!SD_4270x1_4371x1_410_S_0</vt:lpstr>
      <vt:lpstr>Mapping!SD_4270x1_4371x1_411_S_0</vt:lpstr>
      <vt:lpstr>Mapping!SD_4270x1_4371x1_412_S_0</vt:lpstr>
      <vt:lpstr>Mapping!SD_4270x1_4371x1_413_S_0</vt:lpstr>
      <vt:lpstr>Mapping!SD_4270x1_4371x1_414_S_0</vt:lpstr>
      <vt:lpstr>Mapping!SD_4270x1_4371x1_415_S_0</vt:lpstr>
      <vt:lpstr>Mapping!SD_4270x1_4371x1_416_S_0</vt:lpstr>
      <vt:lpstr>Mapping!SD_4270x1_4371x1_417_S_0</vt:lpstr>
      <vt:lpstr>Mapping!SD_4270x1_4371x1_418_S_0</vt:lpstr>
      <vt:lpstr>Mapping!SD_4270x1_4371x1_419_S_0</vt:lpstr>
      <vt:lpstr>Mapping!SD_4270x1_4371x1_420_S_0</vt:lpstr>
      <vt:lpstr>Mapping!SD_4270x1_4371x1_421_S_0</vt:lpstr>
      <vt:lpstr>Mapping!SD_4270x1_4371x1_422_S_0</vt:lpstr>
      <vt:lpstr>Mapping!SD_4270x1_4371x1_423_S_0</vt:lpstr>
      <vt:lpstr>Mapping!SD_4270x1_4371x1_424_S_0</vt:lpstr>
      <vt:lpstr>Mapping!SD_4270x1_4371x1_425_S_0</vt:lpstr>
      <vt:lpstr>Mapping!SD_4270x1_4371x1_426_S_0</vt:lpstr>
      <vt:lpstr>Mapping!SD_4270x1_4371x1_427_S_0</vt:lpstr>
      <vt:lpstr>Mapping!SD_4270x1_4371x1_428_S_0</vt:lpstr>
      <vt:lpstr>Mapping!SD_4270x1_4371x1_429_S_0</vt:lpstr>
      <vt:lpstr>Mapping!SD_4270x1_4371x1_4558x1_10_S_0</vt:lpstr>
      <vt:lpstr>Mapping!SD_4270x1_4371x1_4558x1_7_S_0</vt:lpstr>
      <vt:lpstr>Mapping!SD_4270x1_4371x1_4558x1_9_S_0</vt:lpstr>
      <vt:lpstr>Mapping!SD_4270x1_4371x1_4558x10_10_S_0</vt:lpstr>
      <vt:lpstr>Mapping!SD_4270x1_4371x1_4558x10_7_S_0</vt:lpstr>
      <vt:lpstr>Mapping!SD_4270x1_4371x1_4558x10_9_S_0</vt:lpstr>
      <vt:lpstr>Mapping!SD_4270x1_4371x1_4558x11_10_S_0</vt:lpstr>
      <vt:lpstr>Mapping!SD_4270x1_4371x1_4558x11_7_S_0</vt:lpstr>
      <vt:lpstr>Mapping!SD_4270x1_4371x1_4558x11_9_S_0</vt:lpstr>
      <vt:lpstr>Mapping!SD_4270x1_4371x1_4558x12_10_S_0</vt:lpstr>
      <vt:lpstr>Mapping!SD_4270x1_4371x1_4558x12_7_S_0</vt:lpstr>
      <vt:lpstr>Mapping!SD_4270x1_4371x1_4558x12_9_S_0</vt:lpstr>
      <vt:lpstr>Mapping!SD_4270x1_4371x1_4558x13_10_S_0</vt:lpstr>
      <vt:lpstr>Mapping!SD_4270x1_4371x1_4558x13_7_S_0</vt:lpstr>
      <vt:lpstr>Mapping!SD_4270x1_4371x1_4558x13_9_S_0</vt:lpstr>
      <vt:lpstr>Mapping!SD_4270x1_4371x1_4558x14_10_S_0</vt:lpstr>
      <vt:lpstr>Mapping!SD_4270x1_4371x1_4558x14_7_S_0</vt:lpstr>
      <vt:lpstr>Mapping!SD_4270x1_4371x1_4558x14_9_S_0</vt:lpstr>
      <vt:lpstr>Mapping!SD_4270x1_4371x1_4558x15_10_S_0</vt:lpstr>
      <vt:lpstr>Mapping!SD_4270x1_4371x1_4558x15_7_S_0</vt:lpstr>
      <vt:lpstr>Mapping!SD_4270x1_4371x1_4558x15_9_S_0</vt:lpstr>
      <vt:lpstr>Mapping!SD_4270x1_4371x1_4558x16_10_S_0</vt:lpstr>
      <vt:lpstr>Mapping!SD_4270x1_4371x1_4558x16_7_S_0</vt:lpstr>
      <vt:lpstr>Mapping!SD_4270x1_4371x1_4558x16_9_S_0</vt:lpstr>
      <vt:lpstr>Mapping!SD_4270x1_4371x1_4558x17_10_S_0</vt:lpstr>
      <vt:lpstr>Mapping!SD_4270x1_4371x1_4558x17_7_S_0</vt:lpstr>
      <vt:lpstr>Mapping!SD_4270x1_4371x1_4558x17_9_S_0</vt:lpstr>
      <vt:lpstr>Mapping!SD_4270x1_4371x1_4558x18_10_S_0</vt:lpstr>
      <vt:lpstr>Mapping!SD_4270x1_4371x1_4558x18_7_S_0</vt:lpstr>
      <vt:lpstr>Mapping!SD_4270x1_4371x1_4558x18_9_S_0</vt:lpstr>
      <vt:lpstr>Mapping!SD_4270x1_4371x1_4558x19_10_S_0</vt:lpstr>
      <vt:lpstr>Mapping!SD_4270x1_4371x1_4558x19_7_S_0</vt:lpstr>
      <vt:lpstr>Mapping!SD_4270x1_4371x1_4558x19_9_S_0</vt:lpstr>
      <vt:lpstr>Mapping!SD_4270x1_4371x1_4558x2_10_S_0</vt:lpstr>
      <vt:lpstr>Mapping!SD_4270x1_4371x1_4558x2_7_S_0</vt:lpstr>
      <vt:lpstr>Mapping!SD_4270x1_4371x1_4558x2_9_S_0</vt:lpstr>
      <vt:lpstr>Mapping!SD_4270x1_4371x1_4558x20_10_S_0</vt:lpstr>
      <vt:lpstr>Mapping!SD_4270x1_4371x1_4558x20_7_S_0</vt:lpstr>
      <vt:lpstr>Mapping!SD_4270x1_4371x1_4558x20_9_S_0</vt:lpstr>
      <vt:lpstr>Mapping!SD_4270x1_4371x1_4558x21_10_S_0</vt:lpstr>
      <vt:lpstr>Mapping!SD_4270x1_4371x1_4558x21_7_S_0</vt:lpstr>
      <vt:lpstr>Mapping!SD_4270x1_4371x1_4558x21_9_S_0</vt:lpstr>
      <vt:lpstr>Mapping!SD_4270x1_4371x1_4558x22_10_S_0</vt:lpstr>
      <vt:lpstr>Mapping!SD_4270x1_4371x1_4558x22_7_S_0</vt:lpstr>
      <vt:lpstr>Mapping!SD_4270x1_4371x1_4558x22_9_S_0</vt:lpstr>
      <vt:lpstr>Mapping!SD_4270x1_4371x1_4558x23_10_S_0</vt:lpstr>
      <vt:lpstr>Mapping!SD_4270x1_4371x1_4558x23_7_S_0</vt:lpstr>
      <vt:lpstr>Mapping!SD_4270x1_4371x1_4558x23_9_S_0</vt:lpstr>
      <vt:lpstr>Mapping!SD_4270x1_4371x1_4558x24_10_S_0</vt:lpstr>
      <vt:lpstr>Mapping!SD_4270x1_4371x1_4558x24_7_S_0</vt:lpstr>
      <vt:lpstr>Mapping!SD_4270x1_4371x1_4558x24_9_S_0</vt:lpstr>
      <vt:lpstr>Mapping!SD_4270x1_4371x1_4558x25_10_S_0</vt:lpstr>
      <vt:lpstr>Mapping!SD_4270x1_4371x1_4558x25_7_S_0</vt:lpstr>
      <vt:lpstr>Mapping!SD_4270x1_4371x1_4558x25_9_S_0</vt:lpstr>
      <vt:lpstr>Mapping!SD_4270x1_4371x1_4558x26_10_S_0</vt:lpstr>
      <vt:lpstr>Mapping!SD_4270x1_4371x1_4558x26_7_S_0</vt:lpstr>
      <vt:lpstr>Mapping!SD_4270x1_4371x1_4558x26_9_S_0</vt:lpstr>
      <vt:lpstr>Mapping!SD_4270x1_4371x1_4558x27_10_S_0</vt:lpstr>
      <vt:lpstr>Mapping!SD_4270x1_4371x1_4558x27_7_S_0</vt:lpstr>
      <vt:lpstr>Mapping!SD_4270x1_4371x1_4558x27_9_S_0</vt:lpstr>
      <vt:lpstr>Mapping!SD_4270x1_4371x1_4558x28_10_S_0</vt:lpstr>
      <vt:lpstr>Mapping!SD_4270x1_4371x1_4558x28_7_S_0</vt:lpstr>
      <vt:lpstr>Mapping!SD_4270x1_4371x1_4558x28_9_S_0</vt:lpstr>
      <vt:lpstr>Mapping!SD_4270x1_4371x1_4558x29_10_S_0</vt:lpstr>
      <vt:lpstr>Mapping!SD_4270x1_4371x1_4558x29_7_S_0</vt:lpstr>
      <vt:lpstr>Mapping!SD_4270x1_4371x1_4558x29_9_S_0</vt:lpstr>
      <vt:lpstr>Mapping!SD_4270x1_4371x1_4558x3_10_S_0</vt:lpstr>
      <vt:lpstr>Mapping!SD_4270x1_4371x1_4558x3_7_S_0</vt:lpstr>
      <vt:lpstr>Mapping!SD_4270x1_4371x1_4558x3_9_S_0</vt:lpstr>
      <vt:lpstr>Mapping!SD_4270x1_4371x1_4558x30_10_S_0</vt:lpstr>
      <vt:lpstr>Mapping!SD_4270x1_4371x1_4558x30_7_S_0</vt:lpstr>
      <vt:lpstr>Mapping!SD_4270x1_4371x1_4558x30_9_S_0</vt:lpstr>
      <vt:lpstr>Mapping!SD_4270x1_4371x1_4558x31_10_S_0</vt:lpstr>
      <vt:lpstr>Mapping!SD_4270x1_4371x1_4558x31_7_S_0</vt:lpstr>
      <vt:lpstr>Mapping!SD_4270x1_4371x1_4558x31_9_S_0</vt:lpstr>
      <vt:lpstr>Mapping!SD_4270x1_4371x1_4558x32_10_S_0</vt:lpstr>
      <vt:lpstr>Mapping!SD_4270x1_4371x1_4558x32_7_S_0</vt:lpstr>
      <vt:lpstr>Mapping!SD_4270x1_4371x1_4558x32_9_S_0</vt:lpstr>
      <vt:lpstr>Mapping!SD_4270x1_4371x1_4558x33_10_S_0</vt:lpstr>
      <vt:lpstr>Mapping!SD_4270x1_4371x1_4558x33_7_S_0</vt:lpstr>
      <vt:lpstr>Mapping!SD_4270x1_4371x1_4558x33_9_S_0</vt:lpstr>
      <vt:lpstr>Mapping!SD_4270x1_4371x1_4558x34_10_S_0</vt:lpstr>
      <vt:lpstr>Mapping!SD_4270x1_4371x1_4558x34_7_S_0</vt:lpstr>
      <vt:lpstr>Mapping!SD_4270x1_4371x1_4558x34_9_S_0</vt:lpstr>
      <vt:lpstr>Mapping!SD_4270x1_4371x1_4558x35_10_S_0</vt:lpstr>
      <vt:lpstr>Mapping!SD_4270x1_4371x1_4558x35_7_S_0</vt:lpstr>
      <vt:lpstr>Mapping!SD_4270x1_4371x1_4558x35_9_S_0</vt:lpstr>
      <vt:lpstr>Mapping!SD_4270x1_4371x1_4558x36_10_S_0</vt:lpstr>
      <vt:lpstr>Mapping!SD_4270x1_4371x1_4558x36_7_S_0</vt:lpstr>
      <vt:lpstr>Mapping!SD_4270x1_4371x1_4558x36_9_S_0</vt:lpstr>
      <vt:lpstr>Mapping!SD_4270x1_4371x1_4558x37_10_S_0</vt:lpstr>
      <vt:lpstr>Mapping!SD_4270x1_4371x1_4558x37_7_S_0</vt:lpstr>
      <vt:lpstr>Mapping!SD_4270x1_4371x1_4558x37_9_S_0</vt:lpstr>
      <vt:lpstr>Mapping!SD_4270x1_4371x1_4558x38_10_S_0</vt:lpstr>
      <vt:lpstr>Mapping!SD_4270x1_4371x1_4558x38_7_S_0</vt:lpstr>
      <vt:lpstr>Mapping!SD_4270x1_4371x1_4558x38_9_S_0</vt:lpstr>
      <vt:lpstr>Mapping!SD_4270x1_4371x1_4558x39_10_S_0</vt:lpstr>
      <vt:lpstr>Mapping!SD_4270x1_4371x1_4558x39_7_S_0</vt:lpstr>
      <vt:lpstr>Mapping!SD_4270x1_4371x1_4558x39_9_S_0</vt:lpstr>
      <vt:lpstr>Mapping!SD_4270x1_4371x1_4558x4_10_S_0</vt:lpstr>
      <vt:lpstr>Mapping!SD_4270x1_4371x1_4558x4_7_S_0</vt:lpstr>
      <vt:lpstr>Mapping!SD_4270x1_4371x1_4558x4_9_S_0</vt:lpstr>
      <vt:lpstr>Mapping!SD_4270x1_4371x1_4558x40_10_S_0</vt:lpstr>
      <vt:lpstr>Mapping!SD_4270x1_4371x1_4558x40_7_S_0</vt:lpstr>
      <vt:lpstr>Mapping!SD_4270x1_4371x1_4558x40_9_S_0</vt:lpstr>
      <vt:lpstr>Mapping!SD_4270x1_4371x1_4558x41_10_S_0</vt:lpstr>
      <vt:lpstr>Mapping!SD_4270x1_4371x1_4558x41_7_S_0</vt:lpstr>
      <vt:lpstr>Mapping!SD_4270x1_4371x1_4558x41_9_S_0</vt:lpstr>
      <vt:lpstr>Mapping!SD_4270x1_4371x1_4558x42_10_S_0</vt:lpstr>
      <vt:lpstr>Mapping!SD_4270x1_4371x1_4558x42_7_S_0</vt:lpstr>
      <vt:lpstr>Mapping!SD_4270x1_4371x1_4558x42_9_S_0</vt:lpstr>
      <vt:lpstr>Mapping!SD_4270x1_4371x1_4558x43_10_S_0</vt:lpstr>
      <vt:lpstr>Mapping!SD_4270x1_4371x1_4558x43_7_S_0</vt:lpstr>
      <vt:lpstr>Mapping!SD_4270x1_4371x1_4558x43_9_S_0</vt:lpstr>
      <vt:lpstr>Mapping!SD_4270x1_4371x1_4558x44_10_S_0</vt:lpstr>
      <vt:lpstr>Mapping!SD_4270x1_4371x1_4558x44_7_S_0</vt:lpstr>
      <vt:lpstr>Mapping!SD_4270x1_4371x1_4558x44_9_S_0</vt:lpstr>
      <vt:lpstr>Mapping!SD_4270x1_4371x1_4558x45_10_S_0</vt:lpstr>
      <vt:lpstr>Mapping!SD_4270x1_4371x1_4558x45_7_S_0</vt:lpstr>
      <vt:lpstr>Mapping!SD_4270x1_4371x1_4558x45_9_S_0</vt:lpstr>
      <vt:lpstr>Mapping!SD_4270x1_4371x1_4558x46_10_S_0</vt:lpstr>
      <vt:lpstr>Mapping!SD_4270x1_4371x1_4558x46_7_S_0</vt:lpstr>
      <vt:lpstr>Mapping!SD_4270x1_4371x1_4558x46_9_S_0</vt:lpstr>
      <vt:lpstr>Mapping!SD_4270x1_4371x1_4558x47_10_S_0</vt:lpstr>
      <vt:lpstr>Mapping!SD_4270x1_4371x1_4558x47_7_S_0</vt:lpstr>
      <vt:lpstr>Mapping!SD_4270x1_4371x1_4558x47_9_S_0</vt:lpstr>
      <vt:lpstr>Mapping!SD_4270x1_4371x1_4558x48_10_S_0</vt:lpstr>
      <vt:lpstr>Mapping!SD_4270x1_4371x1_4558x48_7_S_0</vt:lpstr>
      <vt:lpstr>Mapping!SD_4270x1_4371x1_4558x48_9_S_0</vt:lpstr>
      <vt:lpstr>Mapping!SD_4270x1_4371x1_4558x49_10_S_0</vt:lpstr>
      <vt:lpstr>Mapping!SD_4270x1_4371x1_4558x49_7_S_0</vt:lpstr>
      <vt:lpstr>Mapping!SD_4270x1_4371x1_4558x49_9_S_0</vt:lpstr>
      <vt:lpstr>Mapping!SD_4270x1_4371x1_4558x5_10_S_0</vt:lpstr>
      <vt:lpstr>Mapping!SD_4270x1_4371x1_4558x5_7_S_0</vt:lpstr>
      <vt:lpstr>Mapping!SD_4270x1_4371x1_4558x5_9_S_0</vt:lpstr>
      <vt:lpstr>Mapping!SD_4270x1_4371x1_4558x50_10_S_0</vt:lpstr>
      <vt:lpstr>Mapping!SD_4270x1_4371x1_4558x50_7_S_0</vt:lpstr>
      <vt:lpstr>Mapping!SD_4270x1_4371x1_4558x50_9_S_0</vt:lpstr>
      <vt:lpstr>Mapping!SD_4270x1_4371x1_4558x51_10_S_0</vt:lpstr>
      <vt:lpstr>Mapping!SD_4270x1_4371x1_4558x51_7_S_0</vt:lpstr>
      <vt:lpstr>Mapping!SD_4270x1_4371x1_4558x51_9_S_0</vt:lpstr>
      <vt:lpstr>Mapping!SD_4270x1_4371x1_4558x52_10_S_0</vt:lpstr>
      <vt:lpstr>Mapping!SD_4270x1_4371x1_4558x52_7_S_0</vt:lpstr>
      <vt:lpstr>Mapping!SD_4270x1_4371x1_4558x52_9_S_0</vt:lpstr>
      <vt:lpstr>Mapping!SD_4270x1_4371x1_4558x53_10_S_0</vt:lpstr>
      <vt:lpstr>Mapping!SD_4270x1_4371x1_4558x53_7_S_0</vt:lpstr>
      <vt:lpstr>Mapping!SD_4270x1_4371x1_4558x53_9_S_0</vt:lpstr>
      <vt:lpstr>Mapping!SD_4270x1_4371x1_4558x54_10_S_0</vt:lpstr>
      <vt:lpstr>Mapping!SD_4270x1_4371x1_4558x54_7_S_0</vt:lpstr>
      <vt:lpstr>Mapping!SD_4270x1_4371x1_4558x54_9_S_0</vt:lpstr>
      <vt:lpstr>Mapping!SD_4270x1_4371x1_4558x55_10_S_0</vt:lpstr>
      <vt:lpstr>Mapping!SD_4270x1_4371x1_4558x55_7_S_0</vt:lpstr>
      <vt:lpstr>Mapping!SD_4270x1_4371x1_4558x55_9_S_0</vt:lpstr>
      <vt:lpstr>Mapping!SD_4270x1_4371x1_4558x56_10_S_0</vt:lpstr>
      <vt:lpstr>Mapping!SD_4270x1_4371x1_4558x56_7_S_0</vt:lpstr>
      <vt:lpstr>Mapping!SD_4270x1_4371x1_4558x56_9_S_0</vt:lpstr>
      <vt:lpstr>Mapping!SD_4270x1_4371x1_4558x57_10_S_0</vt:lpstr>
      <vt:lpstr>Mapping!SD_4270x1_4371x1_4558x57_7_S_0</vt:lpstr>
      <vt:lpstr>Mapping!SD_4270x1_4371x1_4558x57_9_S_0</vt:lpstr>
      <vt:lpstr>Mapping!SD_4270x1_4371x1_4558x58_10_S_0</vt:lpstr>
      <vt:lpstr>Mapping!SD_4270x1_4371x1_4558x58_7_S_0</vt:lpstr>
      <vt:lpstr>Mapping!SD_4270x1_4371x1_4558x58_9_S_0</vt:lpstr>
      <vt:lpstr>Mapping!SD_4270x1_4371x1_4558x59_10_S_0</vt:lpstr>
      <vt:lpstr>Mapping!SD_4270x1_4371x1_4558x59_7_S_0</vt:lpstr>
      <vt:lpstr>Mapping!SD_4270x1_4371x1_4558x59_9_S_0</vt:lpstr>
      <vt:lpstr>Mapping!SD_4270x1_4371x1_4558x6_10_S_0</vt:lpstr>
      <vt:lpstr>Mapping!SD_4270x1_4371x1_4558x6_7_S_0</vt:lpstr>
      <vt:lpstr>Mapping!SD_4270x1_4371x1_4558x6_9_S_0</vt:lpstr>
      <vt:lpstr>Mapping!SD_4270x1_4371x1_4558x60_10_S_0</vt:lpstr>
      <vt:lpstr>Mapping!SD_4270x1_4371x1_4558x60_7_S_0</vt:lpstr>
      <vt:lpstr>Mapping!SD_4270x1_4371x1_4558x60_9_S_0</vt:lpstr>
      <vt:lpstr>Mapping!SD_4270x1_4371x1_4558x61_10_S_0</vt:lpstr>
      <vt:lpstr>Mapping!SD_4270x1_4371x1_4558x61_7_S_0</vt:lpstr>
      <vt:lpstr>Mapping!SD_4270x1_4371x1_4558x61_9_S_0</vt:lpstr>
      <vt:lpstr>Mapping!SD_4270x1_4371x1_4558x62_10_S_0</vt:lpstr>
      <vt:lpstr>Mapping!SD_4270x1_4371x1_4558x62_7_S_0</vt:lpstr>
      <vt:lpstr>Mapping!SD_4270x1_4371x1_4558x62_9_S_0</vt:lpstr>
      <vt:lpstr>Mapping!SD_4270x1_4371x1_4558x63_10_S_0</vt:lpstr>
      <vt:lpstr>Mapping!SD_4270x1_4371x1_4558x63_7_S_0</vt:lpstr>
      <vt:lpstr>Mapping!SD_4270x1_4371x1_4558x63_9_S_0</vt:lpstr>
      <vt:lpstr>Mapping!SD_4270x1_4371x1_4558x64_10_S_0</vt:lpstr>
      <vt:lpstr>Mapping!SD_4270x1_4371x1_4558x64_7_S_0</vt:lpstr>
      <vt:lpstr>Mapping!SD_4270x1_4371x1_4558x64_9_S_0</vt:lpstr>
      <vt:lpstr>Mapping!SD_4270x1_4371x1_4558x65_10_S_0</vt:lpstr>
      <vt:lpstr>Mapping!SD_4270x1_4371x1_4558x65_7_S_0</vt:lpstr>
      <vt:lpstr>Mapping!SD_4270x1_4371x1_4558x65_9_S_0</vt:lpstr>
      <vt:lpstr>Mapping!SD_4270x1_4371x1_4558x66_10_S_0</vt:lpstr>
      <vt:lpstr>Mapping!SD_4270x1_4371x1_4558x66_7_S_0</vt:lpstr>
      <vt:lpstr>Mapping!SD_4270x1_4371x1_4558x66_9_S_0</vt:lpstr>
      <vt:lpstr>Mapping!SD_4270x1_4371x1_4558x67_10_S_0</vt:lpstr>
      <vt:lpstr>Mapping!SD_4270x1_4371x1_4558x67_7_S_0</vt:lpstr>
      <vt:lpstr>Mapping!SD_4270x1_4371x1_4558x67_9_S_0</vt:lpstr>
      <vt:lpstr>Mapping!SD_4270x1_4371x1_4558x68_10_S_0</vt:lpstr>
      <vt:lpstr>Mapping!SD_4270x1_4371x1_4558x68_7_S_0</vt:lpstr>
      <vt:lpstr>Mapping!SD_4270x1_4371x1_4558x68_9_S_0</vt:lpstr>
      <vt:lpstr>Mapping!SD_4270x1_4371x1_4558x69_10_S_0</vt:lpstr>
      <vt:lpstr>Mapping!SD_4270x1_4371x1_4558x69_7_S_0</vt:lpstr>
      <vt:lpstr>Mapping!SD_4270x1_4371x1_4558x69_9_S_0</vt:lpstr>
      <vt:lpstr>Mapping!SD_4270x1_4371x1_4558x7_10_S_0</vt:lpstr>
      <vt:lpstr>Mapping!SD_4270x1_4371x1_4558x7_7_S_0</vt:lpstr>
      <vt:lpstr>Mapping!SD_4270x1_4371x1_4558x7_9_S_0</vt:lpstr>
      <vt:lpstr>Mapping!SD_4270x1_4371x1_4558x70_10_S_0</vt:lpstr>
      <vt:lpstr>Mapping!SD_4270x1_4371x1_4558x70_7_S_0</vt:lpstr>
      <vt:lpstr>Mapping!SD_4270x1_4371x1_4558x70_9_S_0</vt:lpstr>
      <vt:lpstr>Mapping!SD_4270x1_4371x1_4558x71_10_S_0</vt:lpstr>
      <vt:lpstr>Mapping!SD_4270x1_4371x1_4558x71_7_S_0</vt:lpstr>
      <vt:lpstr>Mapping!SD_4270x1_4371x1_4558x71_9_S_0</vt:lpstr>
      <vt:lpstr>Mapping!SD_4270x1_4371x1_4558x72_10_S_0</vt:lpstr>
      <vt:lpstr>Mapping!SD_4270x1_4371x1_4558x72_7_S_0</vt:lpstr>
      <vt:lpstr>Mapping!SD_4270x1_4371x1_4558x72_9_S_0</vt:lpstr>
      <vt:lpstr>Mapping!SD_4270x1_4371x1_4558x73_10_S_0</vt:lpstr>
      <vt:lpstr>Mapping!SD_4270x1_4371x1_4558x73_7_S_0</vt:lpstr>
      <vt:lpstr>Mapping!SD_4270x1_4371x1_4558x73_9_S_0</vt:lpstr>
      <vt:lpstr>Mapping!SD_4270x1_4371x1_4558x74_10_S_0</vt:lpstr>
      <vt:lpstr>Mapping!SD_4270x1_4371x1_4558x74_7_S_0</vt:lpstr>
      <vt:lpstr>Mapping!SD_4270x1_4371x1_4558x74_9_S_0</vt:lpstr>
      <vt:lpstr>Mapping!SD_4270x1_4371x1_4558x75_10_S_0</vt:lpstr>
      <vt:lpstr>Mapping!SD_4270x1_4371x1_4558x75_7_S_0</vt:lpstr>
      <vt:lpstr>Mapping!SD_4270x1_4371x1_4558x75_9_S_0</vt:lpstr>
      <vt:lpstr>Mapping!SD_4270x1_4371x1_4558x76_10_S_0</vt:lpstr>
      <vt:lpstr>Mapping!SD_4270x1_4371x1_4558x76_7_S_0</vt:lpstr>
      <vt:lpstr>Mapping!SD_4270x1_4371x1_4558x76_9_S_0</vt:lpstr>
      <vt:lpstr>Mapping!SD_4270x1_4371x1_4558x77_10_S_0</vt:lpstr>
      <vt:lpstr>Mapping!SD_4270x1_4371x1_4558x77_7_S_0</vt:lpstr>
      <vt:lpstr>Mapping!SD_4270x1_4371x1_4558x77_9_S_0</vt:lpstr>
      <vt:lpstr>Mapping!SD_4270x1_4371x1_4558x78_10_S_0</vt:lpstr>
      <vt:lpstr>Mapping!SD_4270x1_4371x1_4558x78_7_S_0</vt:lpstr>
      <vt:lpstr>Mapping!SD_4270x1_4371x1_4558x78_9_S_0</vt:lpstr>
      <vt:lpstr>Mapping!SD_4270x1_4371x1_4558x79_10_S_0</vt:lpstr>
      <vt:lpstr>Mapping!SD_4270x1_4371x1_4558x79_7_S_0</vt:lpstr>
      <vt:lpstr>Mapping!SD_4270x1_4371x1_4558x79_9_S_0</vt:lpstr>
      <vt:lpstr>Mapping!SD_4270x1_4371x1_4558x8_10_S_0</vt:lpstr>
      <vt:lpstr>Mapping!SD_4270x1_4371x1_4558x8_7_S_0</vt:lpstr>
      <vt:lpstr>Mapping!SD_4270x1_4371x1_4558x8_9_S_0</vt:lpstr>
      <vt:lpstr>Mapping!SD_4270x1_4371x1_4558x80_10_S_0</vt:lpstr>
      <vt:lpstr>Mapping!SD_4270x1_4371x1_4558x80_7_S_0</vt:lpstr>
      <vt:lpstr>Mapping!SD_4270x1_4371x1_4558x80_9_S_0</vt:lpstr>
      <vt:lpstr>Mapping!SD_4270x1_4371x1_4558x9_10_S_0</vt:lpstr>
      <vt:lpstr>Mapping!SD_4270x1_4371x1_4558x9_7_S_0</vt:lpstr>
      <vt:lpstr>Mapping!SD_4270x1_4371x1_4558x9_9_S_0</vt:lpstr>
      <vt:lpstr>Mapping!SD_4270x1_4371x1_4566x1_10_S_0</vt:lpstr>
      <vt:lpstr>Mapping!SD_4270x1_4371x1_4566x1_11_S_0</vt:lpstr>
      <vt:lpstr>Mapping!SD_4270x1_4371x1_4566x1_13_S_0</vt:lpstr>
      <vt:lpstr>Mapping!SD_4270x1_4371x1_4566x1_4_S_1</vt:lpstr>
      <vt:lpstr>Mapping!SD_4270x1_4371x1_4566x1_6_S_0</vt:lpstr>
      <vt:lpstr>Mapping!SD_4270x1_4371x1_4566x1_9_S_0</vt:lpstr>
      <vt:lpstr>Mapping!SD_4270x1_4371x1_4566x10_10_S_0</vt:lpstr>
      <vt:lpstr>Mapping!SD_4270x1_4371x1_4566x10_11_S_0</vt:lpstr>
      <vt:lpstr>Mapping!SD_4270x1_4371x1_4566x10_13_S_0</vt:lpstr>
      <vt:lpstr>Mapping!SD_4270x1_4371x1_4566x10_4_S_1</vt:lpstr>
      <vt:lpstr>Mapping!SD_4270x1_4371x1_4566x10_6_S_0</vt:lpstr>
      <vt:lpstr>Mapping!SD_4270x1_4371x1_4566x10_9_S_0</vt:lpstr>
      <vt:lpstr>Mapping!SD_4270x1_4371x1_4566x11_10_S_0</vt:lpstr>
      <vt:lpstr>Mapping!SD_4270x1_4371x1_4566x11_11_S_0</vt:lpstr>
      <vt:lpstr>Mapping!SD_4270x1_4371x1_4566x11_13_S_0</vt:lpstr>
      <vt:lpstr>Mapping!SD_4270x1_4371x1_4566x11_4_S_1</vt:lpstr>
      <vt:lpstr>Mapping!SD_4270x1_4371x1_4566x11_6_S_0</vt:lpstr>
      <vt:lpstr>Mapping!SD_4270x1_4371x1_4566x11_9_S_0</vt:lpstr>
      <vt:lpstr>Mapping!SD_4270x1_4371x1_4566x12_10_S_0</vt:lpstr>
      <vt:lpstr>Mapping!SD_4270x1_4371x1_4566x12_11_S_0</vt:lpstr>
      <vt:lpstr>Mapping!SD_4270x1_4371x1_4566x12_13_S_0</vt:lpstr>
      <vt:lpstr>Mapping!SD_4270x1_4371x1_4566x12_4_S_1</vt:lpstr>
      <vt:lpstr>Mapping!SD_4270x1_4371x1_4566x12_6_S_0</vt:lpstr>
      <vt:lpstr>Mapping!SD_4270x1_4371x1_4566x12_9_S_0</vt:lpstr>
      <vt:lpstr>Mapping!SD_4270x1_4371x1_4566x13_10_S_0</vt:lpstr>
      <vt:lpstr>Mapping!SD_4270x1_4371x1_4566x13_11_S_0</vt:lpstr>
      <vt:lpstr>Mapping!SD_4270x1_4371x1_4566x13_13_S_0</vt:lpstr>
      <vt:lpstr>Mapping!SD_4270x1_4371x1_4566x13_4_S_1</vt:lpstr>
      <vt:lpstr>Mapping!SD_4270x1_4371x1_4566x13_6_S_0</vt:lpstr>
      <vt:lpstr>Mapping!SD_4270x1_4371x1_4566x13_9_S_0</vt:lpstr>
      <vt:lpstr>Mapping!SD_4270x1_4371x1_4566x14_10_S_0</vt:lpstr>
      <vt:lpstr>Mapping!SD_4270x1_4371x1_4566x14_11_S_0</vt:lpstr>
      <vt:lpstr>Mapping!SD_4270x1_4371x1_4566x14_13_S_0</vt:lpstr>
      <vt:lpstr>Mapping!SD_4270x1_4371x1_4566x14_4_S_1</vt:lpstr>
      <vt:lpstr>Mapping!SD_4270x1_4371x1_4566x14_6_S_0</vt:lpstr>
      <vt:lpstr>Mapping!SD_4270x1_4371x1_4566x14_9_S_0</vt:lpstr>
      <vt:lpstr>Mapping!SD_4270x1_4371x1_4566x15_10_S_0</vt:lpstr>
      <vt:lpstr>Mapping!SD_4270x1_4371x1_4566x15_11_S_0</vt:lpstr>
      <vt:lpstr>Mapping!SD_4270x1_4371x1_4566x15_13_S_0</vt:lpstr>
      <vt:lpstr>Mapping!SD_4270x1_4371x1_4566x15_4_S_1</vt:lpstr>
      <vt:lpstr>Mapping!SD_4270x1_4371x1_4566x15_6_S_0</vt:lpstr>
      <vt:lpstr>Mapping!SD_4270x1_4371x1_4566x15_9_S_0</vt:lpstr>
      <vt:lpstr>Mapping!SD_4270x1_4371x1_4566x16_10_S_0</vt:lpstr>
      <vt:lpstr>Mapping!SD_4270x1_4371x1_4566x16_11_S_0</vt:lpstr>
      <vt:lpstr>Mapping!SD_4270x1_4371x1_4566x16_13_S_0</vt:lpstr>
      <vt:lpstr>Mapping!SD_4270x1_4371x1_4566x16_4_S_1</vt:lpstr>
      <vt:lpstr>Mapping!SD_4270x1_4371x1_4566x16_6_S_0</vt:lpstr>
      <vt:lpstr>Mapping!SD_4270x1_4371x1_4566x16_9_S_0</vt:lpstr>
      <vt:lpstr>Mapping!SD_4270x1_4371x1_4566x17_10_S_0</vt:lpstr>
      <vt:lpstr>Mapping!SD_4270x1_4371x1_4566x17_11_S_0</vt:lpstr>
      <vt:lpstr>Mapping!SD_4270x1_4371x1_4566x17_13_S_0</vt:lpstr>
      <vt:lpstr>Mapping!SD_4270x1_4371x1_4566x17_4_S_1</vt:lpstr>
      <vt:lpstr>Mapping!SD_4270x1_4371x1_4566x17_6_S_0</vt:lpstr>
      <vt:lpstr>Mapping!SD_4270x1_4371x1_4566x17_9_S_0</vt:lpstr>
      <vt:lpstr>Mapping!SD_4270x1_4371x1_4566x18_10_S_0</vt:lpstr>
      <vt:lpstr>Mapping!SD_4270x1_4371x1_4566x18_11_S_0</vt:lpstr>
      <vt:lpstr>Mapping!SD_4270x1_4371x1_4566x18_13_S_0</vt:lpstr>
      <vt:lpstr>Mapping!SD_4270x1_4371x1_4566x18_4_S_1</vt:lpstr>
      <vt:lpstr>Mapping!SD_4270x1_4371x1_4566x18_6_S_0</vt:lpstr>
      <vt:lpstr>Mapping!SD_4270x1_4371x1_4566x18_9_S_0</vt:lpstr>
      <vt:lpstr>Mapping!SD_4270x1_4371x1_4566x19_10_S_0</vt:lpstr>
      <vt:lpstr>Mapping!SD_4270x1_4371x1_4566x19_11_S_0</vt:lpstr>
      <vt:lpstr>Mapping!SD_4270x1_4371x1_4566x19_13_S_0</vt:lpstr>
      <vt:lpstr>Mapping!SD_4270x1_4371x1_4566x19_4_S_1</vt:lpstr>
      <vt:lpstr>Mapping!SD_4270x1_4371x1_4566x19_6_S_0</vt:lpstr>
      <vt:lpstr>Mapping!SD_4270x1_4371x1_4566x19_9_S_0</vt:lpstr>
      <vt:lpstr>Mapping!SD_4270x1_4371x1_4566x2_10_S_0</vt:lpstr>
      <vt:lpstr>Mapping!SD_4270x1_4371x1_4566x2_11_S_0</vt:lpstr>
      <vt:lpstr>Mapping!SD_4270x1_4371x1_4566x2_13_S_0</vt:lpstr>
      <vt:lpstr>Mapping!SD_4270x1_4371x1_4566x2_4_S_1</vt:lpstr>
      <vt:lpstr>Mapping!SD_4270x1_4371x1_4566x2_6_S_0</vt:lpstr>
      <vt:lpstr>Mapping!SD_4270x1_4371x1_4566x2_9_S_0</vt:lpstr>
      <vt:lpstr>Mapping!SD_4270x1_4371x1_4566x20_10_S_0</vt:lpstr>
      <vt:lpstr>Mapping!SD_4270x1_4371x1_4566x20_11_S_0</vt:lpstr>
      <vt:lpstr>Mapping!SD_4270x1_4371x1_4566x20_13_S_0</vt:lpstr>
      <vt:lpstr>Mapping!SD_4270x1_4371x1_4566x20_4_S_1</vt:lpstr>
      <vt:lpstr>Mapping!SD_4270x1_4371x1_4566x20_6_S_0</vt:lpstr>
      <vt:lpstr>Mapping!SD_4270x1_4371x1_4566x20_9_S_0</vt:lpstr>
      <vt:lpstr>Mapping!SD_4270x1_4371x1_4566x21_10_S_0</vt:lpstr>
      <vt:lpstr>Mapping!SD_4270x1_4371x1_4566x21_11_S_0</vt:lpstr>
      <vt:lpstr>Mapping!SD_4270x1_4371x1_4566x21_13_S_0</vt:lpstr>
      <vt:lpstr>Mapping!SD_4270x1_4371x1_4566x21_4_S_1</vt:lpstr>
      <vt:lpstr>Mapping!SD_4270x1_4371x1_4566x21_6_S_0</vt:lpstr>
      <vt:lpstr>Mapping!SD_4270x1_4371x1_4566x21_9_S_0</vt:lpstr>
      <vt:lpstr>Mapping!SD_4270x1_4371x1_4566x22_10_S_0</vt:lpstr>
      <vt:lpstr>Mapping!SD_4270x1_4371x1_4566x22_11_S_0</vt:lpstr>
      <vt:lpstr>Mapping!SD_4270x1_4371x1_4566x22_13_S_0</vt:lpstr>
      <vt:lpstr>Mapping!SD_4270x1_4371x1_4566x22_4_S_1</vt:lpstr>
      <vt:lpstr>Mapping!SD_4270x1_4371x1_4566x22_6_S_0</vt:lpstr>
      <vt:lpstr>Mapping!SD_4270x1_4371x1_4566x22_9_S_0</vt:lpstr>
      <vt:lpstr>Mapping!SD_4270x1_4371x1_4566x23_10_S_0</vt:lpstr>
      <vt:lpstr>Mapping!SD_4270x1_4371x1_4566x23_11_S_0</vt:lpstr>
      <vt:lpstr>Mapping!SD_4270x1_4371x1_4566x23_13_S_0</vt:lpstr>
      <vt:lpstr>Mapping!SD_4270x1_4371x1_4566x23_4_S_1</vt:lpstr>
      <vt:lpstr>Mapping!SD_4270x1_4371x1_4566x23_6_S_0</vt:lpstr>
      <vt:lpstr>Mapping!SD_4270x1_4371x1_4566x23_9_S_0</vt:lpstr>
      <vt:lpstr>Mapping!SD_4270x1_4371x1_4566x24_10_S_0</vt:lpstr>
      <vt:lpstr>Mapping!SD_4270x1_4371x1_4566x24_11_S_0</vt:lpstr>
      <vt:lpstr>Mapping!SD_4270x1_4371x1_4566x24_13_S_0</vt:lpstr>
      <vt:lpstr>Mapping!SD_4270x1_4371x1_4566x24_4_S_1</vt:lpstr>
      <vt:lpstr>Mapping!SD_4270x1_4371x1_4566x24_6_S_0</vt:lpstr>
      <vt:lpstr>Mapping!SD_4270x1_4371x1_4566x24_9_S_0</vt:lpstr>
      <vt:lpstr>Mapping!SD_4270x1_4371x1_4566x3_10_S_0</vt:lpstr>
      <vt:lpstr>Mapping!SD_4270x1_4371x1_4566x3_11_S_0</vt:lpstr>
      <vt:lpstr>Mapping!SD_4270x1_4371x1_4566x3_13_S_0</vt:lpstr>
      <vt:lpstr>Mapping!SD_4270x1_4371x1_4566x3_4_S_1</vt:lpstr>
      <vt:lpstr>Mapping!SD_4270x1_4371x1_4566x3_6_S_0</vt:lpstr>
      <vt:lpstr>Mapping!SD_4270x1_4371x1_4566x3_9_S_0</vt:lpstr>
      <vt:lpstr>Mapping!SD_4270x1_4371x1_4566x4_10_S_0</vt:lpstr>
      <vt:lpstr>Mapping!SD_4270x1_4371x1_4566x4_11_S_0</vt:lpstr>
      <vt:lpstr>Mapping!SD_4270x1_4371x1_4566x4_13_S_0</vt:lpstr>
      <vt:lpstr>Mapping!SD_4270x1_4371x1_4566x4_4_S_1</vt:lpstr>
      <vt:lpstr>Mapping!SD_4270x1_4371x1_4566x4_6_S_0</vt:lpstr>
      <vt:lpstr>Mapping!SD_4270x1_4371x1_4566x4_9_S_0</vt:lpstr>
      <vt:lpstr>Mapping!SD_4270x1_4371x1_4566x5_10_S_0</vt:lpstr>
      <vt:lpstr>Mapping!SD_4270x1_4371x1_4566x5_11_S_0</vt:lpstr>
      <vt:lpstr>Mapping!SD_4270x1_4371x1_4566x5_13_S_0</vt:lpstr>
      <vt:lpstr>Mapping!SD_4270x1_4371x1_4566x5_4_S_1</vt:lpstr>
      <vt:lpstr>Mapping!SD_4270x1_4371x1_4566x5_6_S_0</vt:lpstr>
      <vt:lpstr>Mapping!SD_4270x1_4371x1_4566x5_9_S_0</vt:lpstr>
      <vt:lpstr>Mapping!SD_4270x1_4371x1_4566x6_10_S_0</vt:lpstr>
      <vt:lpstr>Mapping!SD_4270x1_4371x1_4566x6_11_S_0</vt:lpstr>
      <vt:lpstr>Mapping!SD_4270x1_4371x1_4566x6_13_S_0</vt:lpstr>
      <vt:lpstr>Mapping!SD_4270x1_4371x1_4566x6_4_S_1</vt:lpstr>
      <vt:lpstr>Mapping!SD_4270x1_4371x1_4566x6_6_S_0</vt:lpstr>
      <vt:lpstr>Mapping!SD_4270x1_4371x1_4566x6_9_S_0</vt:lpstr>
      <vt:lpstr>Mapping!SD_4270x1_4371x1_4566x7_10_S_0</vt:lpstr>
      <vt:lpstr>Mapping!SD_4270x1_4371x1_4566x7_11_S_0</vt:lpstr>
      <vt:lpstr>Mapping!SD_4270x1_4371x1_4566x7_13_S_0</vt:lpstr>
      <vt:lpstr>Mapping!SD_4270x1_4371x1_4566x7_4_S_1</vt:lpstr>
      <vt:lpstr>Mapping!SD_4270x1_4371x1_4566x7_6_S_0</vt:lpstr>
      <vt:lpstr>Mapping!SD_4270x1_4371x1_4566x7_9_S_0</vt:lpstr>
      <vt:lpstr>Mapping!SD_4270x1_4371x1_4566x8_10_S_0</vt:lpstr>
      <vt:lpstr>Mapping!SD_4270x1_4371x1_4566x8_11_S_0</vt:lpstr>
      <vt:lpstr>Mapping!SD_4270x1_4371x1_4566x8_13_S_0</vt:lpstr>
      <vt:lpstr>Mapping!SD_4270x1_4371x1_4566x8_4_S_1</vt:lpstr>
      <vt:lpstr>Mapping!SD_4270x1_4371x1_4566x8_6_S_0</vt:lpstr>
      <vt:lpstr>Mapping!SD_4270x1_4371x1_4566x8_9_S_0</vt:lpstr>
      <vt:lpstr>Mapping!SD_4270x1_4371x1_4566x9_10_S_0</vt:lpstr>
      <vt:lpstr>Mapping!SD_4270x1_4371x1_4566x9_11_S_0</vt:lpstr>
      <vt:lpstr>Mapping!SD_4270x1_4371x1_4566x9_13_S_0</vt:lpstr>
      <vt:lpstr>Mapping!SD_4270x1_4371x1_4566x9_4_S_1</vt:lpstr>
      <vt:lpstr>Mapping!SD_4270x1_4371x1_4566x9_6_S_0</vt:lpstr>
      <vt:lpstr>Mapping!SD_4270x1_4371x1_4566x9_9_S_0</vt:lpstr>
      <vt:lpstr>Mapping!SD_4270x1_4371x1_4594x1_10_S_0</vt:lpstr>
      <vt:lpstr>Mapping!SD_4270x1_4371x1_4594x1_11_S_0</vt:lpstr>
      <vt:lpstr>Mapping!SD_4270x1_4371x1_4594x1_13_S_0</vt:lpstr>
      <vt:lpstr>Mapping!SD_4270x1_4371x1_4594x1_16_S_0</vt:lpstr>
      <vt:lpstr>Mapping!SD_4270x1_4371x1_4594x1_17_S_0</vt:lpstr>
      <vt:lpstr>Mapping!SD_4270x1_4371x1_4594x1_18_S_0</vt:lpstr>
      <vt:lpstr>Mapping!SD_4270x1_4371x1_4594x1_19_S_0</vt:lpstr>
      <vt:lpstr>Mapping!SD_4270x1_4371x1_4594x1_20_S_0</vt:lpstr>
      <vt:lpstr>Mapping!SD_4270x1_4371x1_4594x1_22_S_0</vt:lpstr>
      <vt:lpstr>Mapping!SD_4270x1_4371x1_4594x1_23_S_0</vt:lpstr>
      <vt:lpstr>Mapping!SD_4270x1_4371x1_4594x1_24_S_0</vt:lpstr>
      <vt:lpstr>Mapping!SD_4270x1_4371x1_4594x1_25_S_0</vt:lpstr>
      <vt:lpstr>Mapping!SD_4270x1_4371x1_4594x1_28_S_0</vt:lpstr>
      <vt:lpstr>Mapping!SD_4270x1_4371x1_4594x1_29_S_0</vt:lpstr>
      <vt:lpstr>Mapping!SD_4270x1_4371x1_4594x1_30_S_0</vt:lpstr>
      <vt:lpstr>Mapping!SD_4270x1_4371x1_4594x1_31_S_0</vt:lpstr>
      <vt:lpstr>Mapping!SD_4270x1_4371x1_4594x1_32_S_0</vt:lpstr>
      <vt:lpstr>Mapping!SD_4270x1_4371x1_4594x1_33_S_0</vt:lpstr>
      <vt:lpstr>Mapping!SD_4270x1_4371x1_4594x1_35_S_0</vt:lpstr>
      <vt:lpstr>Mapping!SD_4270x1_4371x1_4594x1_38_S_0</vt:lpstr>
      <vt:lpstr>Mapping!SD_4270x1_4371x1_4594x1_39_S_0</vt:lpstr>
      <vt:lpstr>Mapping!SD_4270x1_4371x1_4594x1_40_S_0</vt:lpstr>
      <vt:lpstr>Mapping!SD_4270x1_4371x1_4594x1_41_S_0</vt:lpstr>
      <vt:lpstr>Mapping!SD_4270x1_4371x1_4594x1_42_S_0</vt:lpstr>
      <vt:lpstr>Mapping!SD_4270x1_4371x1_4594x1_43_S_0</vt:lpstr>
      <vt:lpstr>Mapping!SD_4270x1_4371x1_4594x1_44_S_0</vt:lpstr>
      <vt:lpstr>Mapping!SD_4270x1_4371x1_4594x1_45_S_0</vt:lpstr>
      <vt:lpstr>Mapping!SD_4270x1_4371x1_4594x1_46_S_0</vt:lpstr>
      <vt:lpstr>Mapping!SD_4270x1_4371x1_4594x1_6_S_0</vt:lpstr>
      <vt:lpstr>Mapping!SD_4270x1_4371x1_4594x1_61_S_0</vt:lpstr>
      <vt:lpstr>Mapping!SD_4270x1_4371x1_4594x1_62_S_0</vt:lpstr>
      <vt:lpstr>Mapping!SD_4270x1_4371x1_4594x1_63_S_0</vt:lpstr>
      <vt:lpstr>Mapping!SD_4270x1_4371x1_4594x1_64_S_0</vt:lpstr>
      <vt:lpstr>Mapping!SD_4270x1_4371x1_4594x1_65_S_0</vt:lpstr>
      <vt:lpstr>Mapping!SD_4270x1_4371x1_4594x1_66_S_0</vt:lpstr>
      <vt:lpstr>Mapping!SD_4270x1_4371x1_4594x1_67_S_0</vt:lpstr>
      <vt:lpstr>Mapping!SD_4270x1_4371x1_4594x1_68_S_0</vt:lpstr>
      <vt:lpstr>Mapping!SD_4270x1_4371x1_4594x1_69_S_0</vt:lpstr>
      <vt:lpstr>Mapping!SD_4270x1_4371x1_4594x1_7_S_0</vt:lpstr>
      <vt:lpstr>Mapping!SD_4270x1_4371x1_4594x1_70_S_0</vt:lpstr>
      <vt:lpstr>Mapping!SD_4270x1_4371x1_4594x1_71_S_0</vt:lpstr>
      <vt:lpstr>Mapping!SD_4270x1_4371x1_4594x1_72_S_0</vt:lpstr>
      <vt:lpstr>Mapping!SD_4270x1_4371x1_4594x1_73_S_0</vt:lpstr>
      <vt:lpstr>Mapping!SD_4270x1_4371x1_4594x1_74_S_0</vt:lpstr>
      <vt:lpstr>Mapping!SD_4270x1_4371x1_4594x1_75_S_0</vt:lpstr>
      <vt:lpstr>Mapping!SD_4270x1_4371x1_4594x1_76_S_0</vt:lpstr>
      <vt:lpstr>Mapping!SD_4270x1_4371x1_4594x1_77_S_0</vt:lpstr>
      <vt:lpstr>Mapping!SD_4270x1_4371x1_4594x1_78_S_0</vt:lpstr>
      <vt:lpstr>Mapping!SD_4270x1_4371x1_4594x1_79_S_0</vt:lpstr>
      <vt:lpstr>Mapping!SD_4270x1_4371x1_4594x1_80_S_0</vt:lpstr>
      <vt:lpstr>Mapping!SD_4270x1_4371x1_4594x1_89_S_0</vt:lpstr>
      <vt:lpstr>Mapping!SD_4270x1_4371x1_4594x1_90_S_0</vt:lpstr>
      <vt:lpstr>Mapping!SD_4270x1_4371x1_4594x1_91_S_0</vt:lpstr>
      <vt:lpstr>Mapping!SD_4270x1_4371x1_4594x1_92_S_0</vt:lpstr>
      <vt:lpstr>Mapping!SD_4270x1_4371x1_4594x1_93_S_0</vt:lpstr>
      <vt:lpstr>Mapping!SD_4270x1_4371x1_4600x1_10_S_0</vt:lpstr>
      <vt:lpstr>Mapping!SD_4270x1_4371x1_4600x1_11_S_0</vt:lpstr>
      <vt:lpstr>Mapping!SD_4270x1_4371x1_4600x1_13_S_0</vt:lpstr>
      <vt:lpstr>Mapping!SD_4270x1_4371x1_4600x1_16_S_0</vt:lpstr>
      <vt:lpstr>Mapping!SD_4270x1_4371x1_4600x1_17_S_0</vt:lpstr>
      <vt:lpstr>Mapping!SD_4270x1_4371x1_4600x1_18_S_0</vt:lpstr>
      <vt:lpstr>Mapping!SD_4270x1_4371x1_4600x1_19_S_0</vt:lpstr>
      <vt:lpstr>Mapping!SD_4270x1_4371x1_4600x1_20_S_0</vt:lpstr>
      <vt:lpstr>Mapping!SD_4270x1_4371x1_4600x1_22_S_0</vt:lpstr>
      <vt:lpstr>Mapping!SD_4270x1_4371x1_4600x1_23_S_0</vt:lpstr>
      <vt:lpstr>Mapping!SD_4270x1_4371x1_4600x1_24_S_0</vt:lpstr>
      <vt:lpstr>Mapping!SD_4270x1_4371x1_4600x1_25_S_0</vt:lpstr>
      <vt:lpstr>Mapping!SD_4270x1_4371x1_4600x1_28_S_0</vt:lpstr>
      <vt:lpstr>Mapping!SD_4270x1_4371x1_4600x1_29_S_0</vt:lpstr>
      <vt:lpstr>Mapping!SD_4270x1_4371x1_4600x1_30_S_0</vt:lpstr>
      <vt:lpstr>Mapping!SD_4270x1_4371x1_4600x1_31_S_0</vt:lpstr>
      <vt:lpstr>Mapping!SD_4270x1_4371x1_4600x1_32_S_0</vt:lpstr>
      <vt:lpstr>Mapping!SD_4270x1_4371x1_4600x1_33_S_0</vt:lpstr>
      <vt:lpstr>Mapping!SD_4270x1_4371x1_4600x1_35_S_0</vt:lpstr>
      <vt:lpstr>Mapping!SD_4270x1_4371x1_4600x1_38_S_0</vt:lpstr>
      <vt:lpstr>Mapping!SD_4270x1_4371x1_4600x1_39_S_0</vt:lpstr>
      <vt:lpstr>Mapping!SD_4270x1_4371x1_4600x1_40_S_0</vt:lpstr>
      <vt:lpstr>Mapping!SD_4270x1_4371x1_4600x1_41_S_0</vt:lpstr>
      <vt:lpstr>Mapping!SD_4270x1_4371x1_4600x1_42_S_0</vt:lpstr>
      <vt:lpstr>Mapping!SD_4270x1_4371x1_4600x1_43_S_0</vt:lpstr>
      <vt:lpstr>Mapping!SD_4270x1_4371x1_4600x1_44_S_0</vt:lpstr>
      <vt:lpstr>Mapping!SD_4270x1_4371x1_4600x1_45_S_0</vt:lpstr>
      <vt:lpstr>Mapping!SD_4270x1_4371x1_4600x1_46_S_0</vt:lpstr>
      <vt:lpstr>Mapping!SD_4270x1_4371x1_4600x1_6_S_0</vt:lpstr>
      <vt:lpstr>Mapping!SD_4270x1_4371x1_4600x1_61_S_0</vt:lpstr>
      <vt:lpstr>Mapping!SD_4270x1_4371x1_4600x1_62_S_0</vt:lpstr>
      <vt:lpstr>Mapping!SD_4270x1_4371x1_4600x1_63_S_0</vt:lpstr>
      <vt:lpstr>Mapping!SD_4270x1_4371x1_4600x1_64_S_0</vt:lpstr>
      <vt:lpstr>Mapping!SD_4270x1_4371x1_4600x1_65_S_0</vt:lpstr>
      <vt:lpstr>Mapping!SD_4270x1_4371x1_4600x1_66_S_0</vt:lpstr>
      <vt:lpstr>Mapping!SD_4270x1_4371x1_4600x1_67_S_0</vt:lpstr>
      <vt:lpstr>Mapping!SD_4270x1_4371x1_4600x1_68_S_0</vt:lpstr>
      <vt:lpstr>Mapping!SD_4270x1_4371x1_4600x1_69_S_0</vt:lpstr>
      <vt:lpstr>Mapping!SD_4270x1_4371x1_4600x1_7_S_0</vt:lpstr>
      <vt:lpstr>Mapping!SD_4270x1_4371x1_4600x1_70_S_0</vt:lpstr>
      <vt:lpstr>Mapping!SD_4270x1_4371x1_4600x1_71_S_0</vt:lpstr>
      <vt:lpstr>Mapping!SD_4270x1_4371x1_4600x1_72_S_0</vt:lpstr>
      <vt:lpstr>Mapping!SD_4270x1_4371x1_4600x1_73_S_0</vt:lpstr>
      <vt:lpstr>Mapping!SD_4270x1_4371x1_4600x1_74_S_0</vt:lpstr>
      <vt:lpstr>Mapping!SD_4270x1_4371x1_4600x1_75_S_0</vt:lpstr>
      <vt:lpstr>Mapping!SD_4270x1_4371x1_4600x1_76_S_0</vt:lpstr>
      <vt:lpstr>Mapping!SD_4270x1_4371x1_4600x1_77_S_0</vt:lpstr>
      <vt:lpstr>Mapping!SD_4270x1_4371x1_4600x1_78_S_0</vt:lpstr>
      <vt:lpstr>Mapping!SD_4270x1_4371x1_4600x1_79_S_0</vt:lpstr>
      <vt:lpstr>Mapping!SD_4270x1_4371x1_4600x1_80_S_0</vt:lpstr>
      <vt:lpstr>Mapping!SD_4270x1_4371x1_4600x1_89_S_0</vt:lpstr>
      <vt:lpstr>Mapping!SD_4270x1_4371x1_4600x1_90_S_0</vt:lpstr>
      <vt:lpstr>Mapping!SD_4270x1_4371x1_4600x1_91_S_0</vt:lpstr>
      <vt:lpstr>Mapping!SD_4270x1_4371x1_4600x1_92_S_0</vt:lpstr>
      <vt:lpstr>Mapping!SD_4270x1_4371x1_4600x1_93_S_0</vt:lpstr>
      <vt:lpstr>Mapping!SD_4270x1_4371x1_4606x1_5_S_1</vt:lpstr>
      <vt:lpstr>Mapping!SD_4270x1_4371x1_4606x1_7_S_0</vt:lpstr>
      <vt:lpstr>Mapping!SD_4270x1_4371x1_4606x1_8_S_0</vt:lpstr>
      <vt:lpstr>Mapping!SD_4270x1_4371x1_4606x1_9_S_0</vt:lpstr>
      <vt:lpstr>Mapping!SD_4270x1_4371x1_4606x10_5_S_1</vt:lpstr>
      <vt:lpstr>Mapping!SD_4270x1_4371x1_4606x10_7_S_0</vt:lpstr>
      <vt:lpstr>Mapping!SD_4270x1_4371x1_4606x10_8_S_0</vt:lpstr>
      <vt:lpstr>Mapping!SD_4270x1_4371x1_4606x10_9_S_0</vt:lpstr>
      <vt:lpstr>Mapping!SD_4270x1_4371x1_4606x11_5_S_1</vt:lpstr>
      <vt:lpstr>Mapping!SD_4270x1_4371x1_4606x11_7_S_0</vt:lpstr>
      <vt:lpstr>Mapping!SD_4270x1_4371x1_4606x11_8_S_0</vt:lpstr>
      <vt:lpstr>Mapping!SD_4270x1_4371x1_4606x11_9_S_0</vt:lpstr>
      <vt:lpstr>Mapping!SD_4270x1_4371x1_4606x12_5_S_1</vt:lpstr>
      <vt:lpstr>Mapping!SD_4270x1_4371x1_4606x12_7_S_0</vt:lpstr>
      <vt:lpstr>Mapping!SD_4270x1_4371x1_4606x12_8_S_0</vt:lpstr>
      <vt:lpstr>Mapping!SD_4270x1_4371x1_4606x12_9_S_0</vt:lpstr>
      <vt:lpstr>Mapping!SD_4270x1_4371x1_4606x13_5_S_1</vt:lpstr>
      <vt:lpstr>Mapping!SD_4270x1_4371x1_4606x13_7_S_0</vt:lpstr>
      <vt:lpstr>Mapping!SD_4270x1_4371x1_4606x13_8_S_0</vt:lpstr>
      <vt:lpstr>Mapping!SD_4270x1_4371x1_4606x13_9_S_0</vt:lpstr>
      <vt:lpstr>Mapping!SD_4270x1_4371x1_4606x14_5_S_1</vt:lpstr>
      <vt:lpstr>Mapping!SD_4270x1_4371x1_4606x14_7_S_0</vt:lpstr>
      <vt:lpstr>Mapping!SD_4270x1_4371x1_4606x14_8_S_0</vt:lpstr>
      <vt:lpstr>Mapping!SD_4270x1_4371x1_4606x14_9_S_0</vt:lpstr>
      <vt:lpstr>Mapping!SD_4270x1_4371x1_4606x15_5_S_1</vt:lpstr>
      <vt:lpstr>Mapping!SD_4270x1_4371x1_4606x15_7_S_0</vt:lpstr>
      <vt:lpstr>Mapping!SD_4270x1_4371x1_4606x15_8_S_0</vt:lpstr>
      <vt:lpstr>Mapping!SD_4270x1_4371x1_4606x15_9_S_0</vt:lpstr>
      <vt:lpstr>Mapping!SD_4270x1_4371x1_4606x16_5_S_1</vt:lpstr>
      <vt:lpstr>Mapping!SD_4270x1_4371x1_4606x16_7_S_0</vt:lpstr>
      <vt:lpstr>Mapping!SD_4270x1_4371x1_4606x16_8_S_0</vt:lpstr>
      <vt:lpstr>Mapping!SD_4270x1_4371x1_4606x16_9_S_0</vt:lpstr>
      <vt:lpstr>Mapping!SD_4270x1_4371x1_4606x17_5_S_1</vt:lpstr>
      <vt:lpstr>Mapping!SD_4270x1_4371x1_4606x17_7_S_0</vt:lpstr>
      <vt:lpstr>Mapping!SD_4270x1_4371x1_4606x17_8_S_0</vt:lpstr>
      <vt:lpstr>Mapping!SD_4270x1_4371x1_4606x17_9_S_0</vt:lpstr>
      <vt:lpstr>Mapping!SD_4270x1_4371x1_4606x18_5_S_1</vt:lpstr>
      <vt:lpstr>Mapping!SD_4270x1_4371x1_4606x18_7_S_0</vt:lpstr>
      <vt:lpstr>Mapping!SD_4270x1_4371x1_4606x18_8_S_0</vt:lpstr>
      <vt:lpstr>Mapping!SD_4270x1_4371x1_4606x18_9_S_0</vt:lpstr>
      <vt:lpstr>Mapping!SD_4270x1_4371x1_4606x19_5_S_1</vt:lpstr>
      <vt:lpstr>Mapping!SD_4270x1_4371x1_4606x19_7_S_0</vt:lpstr>
      <vt:lpstr>Mapping!SD_4270x1_4371x1_4606x19_8_S_0</vt:lpstr>
      <vt:lpstr>Mapping!SD_4270x1_4371x1_4606x19_9_S_0</vt:lpstr>
      <vt:lpstr>Mapping!SD_4270x1_4371x1_4606x2_5_S_1</vt:lpstr>
      <vt:lpstr>Mapping!SD_4270x1_4371x1_4606x2_7_S_0</vt:lpstr>
      <vt:lpstr>Mapping!SD_4270x1_4371x1_4606x2_8_S_0</vt:lpstr>
      <vt:lpstr>Mapping!SD_4270x1_4371x1_4606x2_9_S_0</vt:lpstr>
      <vt:lpstr>Mapping!SD_4270x1_4371x1_4606x20_5_S_1</vt:lpstr>
      <vt:lpstr>Mapping!SD_4270x1_4371x1_4606x20_7_S_0</vt:lpstr>
      <vt:lpstr>Mapping!SD_4270x1_4371x1_4606x20_8_S_0</vt:lpstr>
      <vt:lpstr>Mapping!SD_4270x1_4371x1_4606x20_9_S_0</vt:lpstr>
      <vt:lpstr>Mapping!SD_4270x1_4371x1_4606x21_5_S_1</vt:lpstr>
      <vt:lpstr>Mapping!SD_4270x1_4371x1_4606x21_7_S_0</vt:lpstr>
      <vt:lpstr>Mapping!SD_4270x1_4371x1_4606x21_8_S_0</vt:lpstr>
      <vt:lpstr>Mapping!SD_4270x1_4371x1_4606x21_9_S_0</vt:lpstr>
      <vt:lpstr>Mapping!SD_4270x1_4371x1_4606x22_5_S_1</vt:lpstr>
      <vt:lpstr>Mapping!SD_4270x1_4371x1_4606x22_7_S_0</vt:lpstr>
      <vt:lpstr>Mapping!SD_4270x1_4371x1_4606x22_8_S_0</vt:lpstr>
      <vt:lpstr>Mapping!SD_4270x1_4371x1_4606x22_9_S_0</vt:lpstr>
      <vt:lpstr>Mapping!SD_4270x1_4371x1_4606x23_5_S_1</vt:lpstr>
      <vt:lpstr>Mapping!SD_4270x1_4371x1_4606x23_7_S_0</vt:lpstr>
      <vt:lpstr>Mapping!SD_4270x1_4371x1_4606x23_8_S_0</vt:lpstr>
      <vt:lpstr>Mapping!SD_4270x1_4371x1_4606x23_9_S_0</vt:lpstr>
      <vt:lpstr>Mapping!SD_4270x1_4371x1_4606x24_5_S_1</vt:lpstr>
      <vt:lpstr>Mapping!SD_4270x1_4371x1_4606x24_7_S_0</vt:lpstr>
      <vt:lpstr>Mapping!SD_4270x1_4371x1_4606x24_8_S_0</vt:lpstr>
      <vt:lpstr>Mapping!SD_4270x1_4371x1_4606x24_9_S_0</vt:lpstr>
      <vt:lpstr>Mapping!SD_4270x1_4371x1_4606x25_5_S_1</vt:lpstr>
      <vt:lpstr>Mapping!SD_4270x1_4371x1_4606x25_7_S_0</vt:lpstr>
      <vt:lpstr>Mapping!SD_4270x1_4371x1_4606x25_8_S_0</vt:lpstr>
      <vt:lpstr>Mapping!SD_4270x1_4371x1_4606x25_9_S_0</vt:lpstr>
      <vt:lpstr>Mapping!SD_4270x1_4371x1_4606x26_5_S_1</vt:lpstr>
      <vt:lpstr>Mapping!SD_4270x1_4371x1_4606x26_7_S_0</vt:lpstr>
      <vt:lpstr>Mapping!SD_4270x1_4371x1_4606x26_8_S_0</vt:lpstr>
      <vt:lpstr>Mapping!SD_4270x1_4371x1_4606x26_9_S_0</vt:lpstr>
      <vt:lpstr>Mapping!SD_4270x1_4371x1_4606x27_5_S_1</vt:lpstr>
      <vt:lpstr>Mapping!SD_4270x1_4371x1_4606x27_7_S_0</vt:lpstr>
      <vt:lpstr>Mapping!SD_4270x1_4371x1_4606x27_8_S_0</vt:lpstr>
      <vt:lpstr>Mapping!SD_4270x1_4371x1_4606x27_9_S_0</vt:lpstr>
      <vt:lpstr>Mapping!SD_4270x1_4371x1_4606x28_5_S_1</vt:lpstr>
      <vt:lpstr>Mapping!SD_4270x1_4371x1_4606x28_7_S_0</vt:lpstr>
      <vt:lpstr>Mapping!SD_4270x1_4371x1_4606x28_8_S_0</vt:lpstr>
      <vt:lpstr>Mapping!SD_4270x1_4371x1_4606x28_9_S_0</vt:lpstr>
      <vt:lpstr>Mapping!SD_4270x1_4371x1_4606x29_5_S_1</vt:lpstr>
      <vt:lpstr>Mapping!SD_4270x1_4371x1_4606x29_7_S_0</vt:lpstr>
      <vt:lpstr>Mapping!SD_4270x1_4371x1_4606x29_8_S_0</vt:lpstr>
      <vt:lpstr>Mapping!SD_4270x1_4371x1_4606x29_9_S_0</vt:lpstr>
      <vt:lpstr>Mapping!SD_4270x1_4371x1_4606x3_5_S_1</vt:lpstr>
      <vt:lpstr>Mapping!SD_4270x1_4371x1_4606x3_7_S_0</vt:lpstr>
      <vt:lpstr>Mapping!SD_4270x1_4371x1_4606x3_8_S_0</vt:lpstr>
      <vt:lpstr>Mapping!SD_4270x1_4371x1_4606x3_9_S_0</vt:lpstr>
      <vt:lpstr>Mapping!SD_4270x1_4371x1_4606x30_5_S_1</vt:lpstr>
      <vt:lpstr>Mapping!SD_4270x1_4371x1_4606x30_7_S_0</vt:lpstr>
      <vt:lpstr>Mapping!SD_4270x1_4371x1_4606x30_8_S_0</vt:lpstr>
      <vt:lpstr>Mapping!SD_4270x1_4371x1_4606x30_9_S_0</vt:lpstr>
      <vt:lpstr>Mapping!SD_4270x1_4371x1_4606x4_5_S_1</vt:lpstr>
      <vt:lpstr>Mapping!SD_4270x1_4371x1_4606x4_7_S_0</vt:lpstr>
      <vt:lpstr>Mapping!SD_4270x1_4371x1_4606x4_8_S_0</vt:lpstr>
      <vt:lpstr>Mapping!SD_4270x1_4371x1_4606x4_9_S_0</vt:lpstr>
      <vt:lpstr>Mapping!SD_4270x1_4371x1_4606x5_5_S_1</vt:lpstr>
      <vt:lpstr>Mapping!SD_4270x1_4371x1_4606x5_7_S_0</vt:lpstr>
      <vt:lpstr>Mapping!SD_4270x1_4371x1_4606x5_8_S_0</vt:lpstr>
      <vt:lpstr>Mapping!SD_4270x1_4371x1_4606x5_9_S_0</vt:lpstr>
      <vt:lpstr>Mapping!SD_4270x1_4371x1_4606x6_5_S_1</vt:lpstr>
      <vt:lpstr>Mapping!SD_4270x1_4371x1_4606x6_7_S_0</vt:lpstr>
      <vt:lpstr>Mapping!SD_4270x1_4371x1_4606x6_8_S_0</vt:lpstr>
      <vt:lpstr>Mapping!SD_4270x1_4371x1_4606x6_9_S_0</vt:lpstr>
      <vt:lpstr>Mapping!SD_4270x1_4371x1_4606x7_5_S_1</vt:lpstr>
      <vt:lpstr>Mapping!SD_4270x1_4371x1_4606x7_7_S_0</vt:lpstr>
      <vt:lpstr>Mapping!SD_4270x1_4371x1_4606x7_8_S_0</vt:lpstr>
      <vt:lpstr>Mapping!SD_4270x1_4371x1_4606x7_9_S_0</vt:lpstr>
      <vt:lpstr>Mapping!SD_4270x1_4371x1_4606x8_5_S_1</vt:lpstr>
      <vt:lpstr>Mapping!SD_4270x1_4371x1_4606x8_7_S_0</vt:lpstr>
      <vt:lpstr>Mapping!SD_4270x1_4371x1_4606x8_8_S_0</vt:lpstr>
      <vt:lpstr>Mapping!SD_4270x1_4371x1_4606x8_9_S_0</vt:lpstr>
      <vt:lpstr>Mapping!SD_4270x1_4371x1_4606x9_5_S_1</vt:lpstr>
      <vt:lpstr>Mapping!SD_4270x1_4371x1_4606x9_7_S_0</vt:lpstr>
      <vt:lpstr>Mapping!SD_4270x1_4371x1_4606x9_8_S_0</vt:lpstr>
      <vt:lpstr>Mapping!SD_4270x1_4371x1_4606x9_9_S_0</vt:lpstr>
      <vt:lpstr>Mapping!SD_4270x1_4371x1_4614x1_6_S_1</vt:lpstr>
      <vt:lpstr>Mapping!SD_4270x1_4371x1_4614x1_7_S_0</vt:lpstr>
      <vt:lpstr>Mapping!SD_4270x1_4371x1_4614x1_8_S_0</vt:lpstr>
      <vt:lpstr>Mapping!SD_4270x1_4371x1_4614x1_9_S_0</vt:lpstr>
      <vt:lpstr>Mapping!SD_4270x1_4371x1_4614x2_6_S_1</vt:lpstr>
      <vt:lpstr>Mapping!SD_4270x1_4371x1_4614x2_7_S_0</vt:lpstr>
      <vt:lpstr>Mapping!SD_4270x1_4371x1_4614x2_8_S_0</vt:lpstr>
      <vt:lpstr>Mapping!SD_4270x1_4371x1_4614x3_6_S_1</vt:lpstr>
      <vt:lpstr>Mapping!SD_4270x1_4371x1_4614x3_7_S_0</vt:lpstr>
      <vt:lpstr>Mapping!SD_4270x1_4371x1_4614x3_8_S_0</vt:lpstr>
      <vt:lpstr>Mapping!SD_4270x1_4371x1_4614x4_6_S_1</vt:lpstr>
      <vt:lpstr>Mapping!SD_4270x1_4371x1_4614x4_7_S_0</vt:lpstr>
      <vt:lpstr>Mapping!SD_4270x1_4371x1_4614x4_8_S_0</vt:lpstr>
      <vt:lpstr>Mapping!SD_4270x1_4371x1_4614x5_6_S_1</vt:lpstr>
      <vt:lpstr>Mapping!SD_4270x1_4371x1_4614x5_7_S_0</vt:lpstr>
      <vt:lpstr>Mapping!SD_4270x1_4371x1_4614x5_8_S_0</vt:lpstr>
      <vt:lpstr>Mapping!SD_4270x1_4371x1_4614x6_6_S_1</vt:lpstr>
      <vt:lpstr>Mapping!SD_4270x1_4371x1_4614x6_7_S_0</vt:lpstr>
      <vt:lpstr>Mapping!SD_4270x1_4371x1_4614x6_8_S_0</vt:lpstr>
      <vt:lpstr>Mapping!SD_4270x1_4371x1_4614x7_6_S_1</vt:lpstr>
      <vt:lpstr>Mapping!SD_4270x1_4371x1_4614x7_7_S_0</vt:lpstr>
      <vt:lpstr>Mapping!SD_4270x1_4371x1_4614x7_8_S_0</vt:lpstr>
      <vt:lpstr>Mapping!SD_4270x1_4371x1_488_S_0</vt:lpstr>
      <vt:lpstr>Mapping!SD_4270x1_4371x1_498_S_0</vt:lpstr>
      <vt:lpstr>Mapping!SD_4270x1_4371x1_500_S_0</vt:lpstr>
      <vt:lpstr>Mapping!SD_4270x1_4371x1_501_S_0</vt:lpstr>
      <vt:lpstr>Mapping!SD_4270x1_4371x1_503_S_0</vt:lpstr>
      <vt:lpstr>Mapping!SD_4270x1_4371x1_505_S_0</vt:lpstr>
      <vt:lpstr>Mapping!SD_4270x1_4371x1_506_S_0</vt:lpstr>
      <vt:lpstr>Mapping!SD_4270x1_4371x1_507_S_0</vt:lpstr>
      <vt:lpstr>Mapping!SD_4270x1_4371x1_508_S_0</vt:lpstr>
      <vt:lpstr>Mapping!SD_4270x1_4371x1_509_S_0</vt:lpstr>
      <vt:lpstr>Mapping!SD_4270x1_4371x1_510_S_0</vt:lpstr>
      <vt:lpstr>Mapping!SD_4270x1_4371x1_511_S_0</vt:lpstr>
      <vt:lpstr>Mapping!SD_4270x1_4371x1_512_S_0</vt:lpstr>
      <vt:lpstr>Mapping!SD_4270x1_4371x1_513_S_0</vt:lpstr>
      <vt:lpstr>Mapping!SD_4270x1_4371x1_514_S_0</vt:lpstr>
      <vt:lpstr>Mapping!SD_4270x1_4371x1_526_S_1</vt:lpstr>
      <vt:lpstr>Mapping!SD_4270x1_4371x1_527_S_1</vt:lpstr>
      <vt:lpstr>Mapping!SD_4270x1_4371x1_531_S_0</vt:lpstr>
      <vt:lpstr>Mapping!SD_4270x1_8066x1_10_S_0</vt:lpstr>
      <vt:lpstr>Mapping!SD_4270x1_8066x1_12_S_1</vt:lpstr>
      <vt:lpstr>Mapping!SD_4270x1_8066x1_13_S_1</vt:lpstr>
      <vt:lpstr>Mapping!SD_4270x1_8066x1_14_S_0</vt:lpstr>
      <vt:lpstr>Mapping!SD_4270x1_8066x1_15_S_0</vt:lpstr>
      <vt:lpstr>Mapping!SD_4270x1_8066x1_19_S_0</vt:lpstr>
      <vt:lpstr>Mapping!SD_4270x1_8066x1_21_S_0</vt:lpstr>
      <vt:lpstr>Mapping!SD_4270x1_8066x1_23_S_0</vt:lpstr>
      <vt:lpstr>Mapping!SD_4270x1_8066x1_25_S_1</vt:lpstr>
      <vt:lpstr>Mapping!SD_4270x1_8066x10_10_S_0</vt:lpstr>
      <vt:lpstr>Mapping!SD_4270x1_8066x10_12_S_1</vt:lpstr>
      <vt:lpstr>Mapping!SD_4270x1_8066x10_13_S_1</vt:lpstr>
      <vt:lpstr>Mapping!SD_4270x1_8066x10_14_S_0</vt:lpstr>
      <vt:lpstr>Mapping!SD_4270x1_8066x10_15_S_0</vt:lpstr>
      <vt:lpstr>Mapping!SD_4270x1_8066x10_19_S_0</vt:lpstr>
      <vt:lpstr>Mapping!SD_4270x1_8066x10_21_S_0</vt:lpstr>
      <vt:lpstr>Mapping!SD_4270x1_8066x10_23_S_0</vt:lpstr>
      <vt:lpstr>Mapping!SD_4270x1_8066x10_25_S_1</vt:lpstr>
      <vt:lpstr>Mapping!SD_4270x1_8066x2_10_S_0</vt:lpstr>
      <vt:lpstr>Mapping!SD_4270x1_8066x2_12_S_1</vt:lpstr>
      <vt:lpstr>Mapping!SD_4270x1_8066x2_13_S_1</vt:lpstr>
      <vt:lpstr>Mapping!SD_4270x1_8066x2_14_S_0</vt:lpstr>
      <vt:lpstr>Mapping!SD_4270x1_8066x2_15_S_0</vt:lpstr>
      <vt:lpstr>Mapping!SD_4270x1_8066x2_19_S_0</vt:lpstr>
      <vt:lpstr>Mapping!SD_4270x1_8066x2_21_S_0</vt:lpstr>
      <vt:lpstr>Mapping!SD_4270x1_8066x2_23_S_0</vt:lpstr>
      <vt:lpstr>Mapping!SD_4270x1_8066x2_25_S_1</vt:lpstr>
      <vt:lpstr>Mapping!SD_4270x1_8066x3_10_S_0</vt:lpstr>
      <vt:lpstr>Mapping!SD_4270x1_8066x3_12_S_1</vt:lpstr>
      <vt:lpstr>Mapping!SD_4270x1_8066x3_13_S_1</vt:lpstr>
      <vt:lpstr>Mapping!SD_4270x1_8066x3_14_S_0</vt:lpstr>
      <vt:lpstr>Mapping!SD_4270x1_8066x3_15_S_0</vt:lpstr>
      <vt:lpstr>Mapping!SD_4270x1_8066x3_19_S_0</vt:lpstr>
      <vt:lpstr>Mapping!SD_4270x1_8066x3_21_S_0</vt:lpstr>
      <vt:lpstr>Mapping!SD_4270x1_8066x3_23_S_0</vt:lpstr>
      <vt:lpstr>Mapping!SD_4270x1_8066x3_25_S_1</vt:lpstr>
      <vt:lpstr>Mapping!SD_4270x1_8066x4_10_S_0</vt:lpstr>
      <vt:lpstr>Mapping!SD_4270x1_8066x4_12_S_1</vt:lpstr>
      <vt:lpstr>Mapping!SD_4270x1_8066x4_13_S_1</vt:lpstr>
      <vt:lpstr>Mapping!SD_4270x1_8066x4_14_S_0</vt:lpstr>
      <vt:lpstr>Mapping!SD_4270x1_8066x4_15_S_0</vt:lpstr>
      <vt:lpstr>Mapping!SD_4270x1_8066x4_19_S_0</vt:lpstr>
      <vt:lpstr>Mapping!SD_4270x1_8066x4_21_S_0</vt:lpstr>
      <vt:lpstr>Mapping!SD_4270x1_8066x4_23_S_0</vt:lpstr>
      <vt:lpstr>Mapping!SD_4270x1_8066x4_25_S_1</vt:lpstr>
      <vt:lpstr>Mapping!SD_4270x1_8066x5_10_S_0</vt:lpstr>
      <vt:lpstr>Mapping!SD_4270x1_8066x5_12_S_1</vt:lpstr>
      <vt:lpstr>Mapping!SD_4270x1_8066x5_13_S_1</vt:lpstr>
      <vt:lpstr>Mapping!SD_4270x1_8066x5_14_S_0</vt:lpstr>
      <vt:lpstr>Mapping!SD_4270x1_8066x5_15_S_0</vt:lpstr>
      <vt:lpstr>Mapping!SD_4270x1_8066x5_19_S_0</vt:lpstr>
      <vt:lpstr>Mapping!SD_4270x1_8066x5_21_S_0</vt:lpstr>
      <vt:lpstr>Mapping!SD_4270x1_8066x5_23_S_0</vt:lpstr>
      <vt:lpstr>Mapping!SD_4270x1_8066x5_25_S_1</vt:lpstr>
      <vt:lpstr>Mapping!SD_4270x1_8066x6_10_S_0</vt:lpstr>
      <vt:lpstr>Mapping!SD_4270x1_8066x6_12_S_1</vt:lpstr>
      <vt:lpstr>Mapping!SD_4270x1_8066x6_13_S_1</vt:lpstr>
      <vt:lpstr>Mapping!SD_4270x1_8066x6_14_S_0</vt:lpstr>
      <vt:lpstr>Mapping!SD_4270x1_8066x6_15_S_0</vt:lpstr>
      <vt:lpstr>Mapping!SD_4270x1_8066x6_19_S_0</vt:lpstr>
      <vt:lpstr>Mapping!SD_4270x1_8066x6_21_S_0</vt:lpstr>
      <vt:lpstr>Mapping!SD_4270x1_8066x6_23_S_0</vt:lpstr>
      <vt:lpstr>Mapping!SD_4270x1_8066x6_25_S_1</vt:lpstr>
      <vt:lpstr>Mapping!SD_4270x1_8066x7_10_S_0</vt:lpstr>
      <vt:lpstr>Mapping!SD_4270x1_8066x7_12_S_1</vt:lpstr>
      <vt:lpstr>Mapping!SD_4270x1_8066x7_13_S_1</vt:lpstr>
      <vt:lpstr>Mapping!SD_4270x1_8066x7_14_S_0</vt:lpstr>
      <vt:lpstr>Mapping!SD_4270x1_8066x7_15_S_0</vt:lpstr>
      <vt:lpstr>Mapping!SD_4270x1_8066x7_19_S_0</vt:lpstr>
      <vt:lpstr>Mapping!SD_4270x1_8066x7_21_S_0</vt:lpstr>
      <vt:lpstr>Mapping!SD_4270x1_8066x7_23_S_0</vt:lpstr>
      <vt:lpstr>Mapping!SD_4270x1_8066x7_25_S_1</vt:lpstr>
      <vt:lpstr>Mapping!SD_4270x1_8066x8_10_S_0</vt:lpstr>
      <vt:lpstr>Mapping!SD_4270x1_8066x8_12_S_1</vt:lpstr>
      <vt:lpstr>Mapping!SD_4270x1_8066x8_13_S_1</vt:lpstr>
      <vt:lpstr>Mapping!SD_4270x1_8066x8_14_S_0</vt:lpstr>
      <vt:lpstr>Mapping!SD_4270x1_8066x8_15_S_0</vt:lpstr>
      <vt:lpstr>Mapping!SD_4270x1_8066x8_19_S_0</vt:lpstr>
      <vt:lpstr>Mapping!SD_4270x1_8066x8_21_S_0</vt:lpstr>
      <vt:lpstr>Mapping!SD_4270x1_8066x8_23_S_0</vt:lpstr>
      <vt:lpstr>Mapping!SD_4270x1_8066x8_25_S_1</vt:lpstr>
      <vt:lpstr>Mapping!SD_4270x1_8066x9_10_S_0</vt:lpstr>
      <vt:lpstr>Mapping!SD_4270x1_8066x9_12_S_1</vt:lpstr>
      <vt:lpstr>Mapping!SD_4270x1_8066x9_13_S_1</vt:lpstr>
      <vt:lpstr>Mapping!SD_4270x1_8066x9_14_S_0</vt:lpstr>
      <vt:lpstr>Mapping!SD_4270x1_8066x9_15_S_0</vt:lpstr>
      <vt:lpstr>Mapping!SD_4270x1_8066x9_19_S_0</vt:lpstr>
      <vt:lpstr>Mapping!SD_4270x1_8066x9_21_S_0</vt:lpstr>
      <vt:lpstr>Mapping!SD_4270x1_8066x9_23_S_0</vt:lpstr>
      <vt:lpstr>Mapping!SD_4270x1_8066x9_25_S_1</vt:lpstr>
      <vt:lpstr>Mapping!SD_8055x1_10_S_0</vt:lpstr>
      <vt:lpstr>Mapping!SD_8055x1_12_S_1</vt:lpstr>
      <vt:lpstr>Mapping!SD_8055x1_13_S_1</vt:lpstr>
      <vt:lpstr>Mapping!SD_8055x1_14_S_0</vt:lpstr>
      <vt:lpstr>Mapping!SD_8055x1_15_S_0</vt:lpstr>
      <vt:lpstr>Mapping!SD_8055x1_19_S_0</vt:lpstr>
      <vt:lpstr>Mapping!SD_8055x1_21_S_0</vt:lpstr>
      <vt:lpstr>Mapping!SD_8055x1_23_S_0</vt:lpstr>
      <vt:lpstr>Mapping!SD_8055x1_24_S_1</vt:lpstr>
      <vt:lpstr>Mapping!SD_8055x10_10_S_0</vt:lpstr>
      <vt:lpstr>Mapping!SD_8055x10_12_S_1</vt:lpstr>
      <vt:lpstr>Mapping!SD_8055x10_13_S_1</vt:lpstr>
      <vt:lpstr>Mapping!SD_8055x10_14_S_0</vt:lpstr>
      <vt:lpstr>Mapping!SD_8055x10_15_S_0</vt:lpstr>
      <vt:lpstr>Mapping!SD_8055x10_19_S_0</vt:lpstr>
      <vt:lpstr>Mapping!SD_8055x10_21_S_0</vt:lpstr>
      <vt:lpstr>Mapping!SD_8055x10_23_S_0</vt:lpstr>
      <vt:lpstr>Mapping!SD_8055x10_24_S_1</vt:lpstr>
      <vt:lpstr>Mapping!SD_8055x2_10_S_0</vt:lpstr>
      <vt:lpstr>Mapping!SD_8055x2_12_S_1</vt:lpstr>
      <vt:lpstr>Mapping!SD_8055x2_13_S_1</vt:lpstr>
      <vt:lpstr>Mapping!SD_8055x2_14_S_0</vt:lpstr>
      <vt:lpstr>Mapping!SD_8055x2_15_S_0</vt:lpstr>
      <vt:lpstr>Mapping!SD_8055x2_19_S_0</vt:lpstr>
      <vt:lpstr>Mapping!SD_8055x2_21_S_0</vt:lpstr>
      <vt:lpstr>Mapping!SD_8055x2_23_S_0</vt:lpstr>
      <vt:lpstr>Mapping!SD_8055x2_24_S_1</vt:lpstr>
      <vt:lpstr>Mapping!SD_8055x3_10_S_0</vt:lpstr>
      <vt:lpstr>Mapping!SD_8055x3_12_S_1</vt:lpstr>
      <vt:lpstr>Mapping!SD_8055x3_13_S_1</vt:lpstr>
      <vt:lpstr>Mapping!SD_8055x3_14_S_0</vt:lpstr>
      <vt:lpstr>Mapping!SD_8055x3_15_S_0</vt:lpstr>
      <vt:lpstr>Mapping!SD_8055x3_19_S_0</vt:lpstr>
      <vt:lpstr>Mapping!SD_8055x3_21_S_0</vt:lpstr>
      <vt:lpstr>Mapping!SD_8055x3_23_S_0</vt:lpstr>
      <vt:lpstr>Mapping!SD_8055x3_24_S_1</vt:lpstr>
      <vt:lpstr>Mapping!SD_8055x4_10_S_0</vt:lpstr>
      <vt:lpstr>Mapping!SD_8055x4_12_S_1</vt:lpstr>
      <vt:lpstr>Mapping!SD_8055x4_13_S_1</vt:lpstr>
      <vt:lpstr>Mapping!SD_8055x4_14_S_0</vt:lpstr>
      <vt:lpstr>Mapping!SD_8055x4_15_S_0</vt:lpstr>
      <vt:lpstr>Mapping!SD_8055x4_19_S_0</vt:lpstr>
      <vt:lpstr>Mapping!SD_8055x4_21_S_0</vt:lpstr>
      <vt:lpstr>Mapping!SD_8055x4_23_S_0</vt:lpstr>
      <vt:lpstr>Mapping!SD_8055x4_24_S_1</vt:lpstr>
      <vt:lpstr>Mapping!SD_8055x5_10_S_0</vt:lpstr>
      <vt:lpstr>Mapping!SD_8055x5_12_S_1</vt:lpstr>
      <vt:lpstr>Mapping!SD_8055x5_13_S_1</vt:lpstr>
      <vt:lpstr>Mapping!SD_8055x5_14_S_0</vt:lpstr>
      <vt:lpstr>Mapping!SD_8055x5_15_S_0</vt:lpstr>
      <vt:lpstr>Mapping!SD_8055x5_19_S_0</vt:lpstr>
      <vt:lpstr>Mapping!SD_8055x5_21_S_0</vt:lpstr>
      <vt:lpstr>Mapping!SD_8055x5_23_S_0</vt:lpstr>
      <vt:lpstr>Mapping!SD_8055x5_24_S_1</vt:lpstr>
      <vt:lpstr>Mapping!SD_8055x6_10_S_0</vt:lpstr>
      <vt:lpstr>Mapping!SD_8055x6_12_S_1</vt:lpstr>
      <vt:lpstr>Mapping!SD_8055x6_13_S_1</vt:lpstr>
      <vt:lpstr>Mapping!SD_8055x6_14_S_0</vt:lpstr>
      <vt:lpstr>Mapping!SD_8055x6_15_S_0</vt:lpstr>
      <vt:lpstr>Mapping!SD_8055x6_19_S_0</vt:lpstr>
      <vt:lpstr>Mapping!SD_8055x6_21_S_0</vt:lpstr>
      <vt:lpstr>Mapping!SD_8055x6_23_S_0</vt:lpstr>
      <vt:lpstr>Mapping!SD_8055x6_24_S_1</vt:lpstr>
      <vt:lpstr>Mapping!SD_8055x7_10_S_0</vt:lpstr>
      <vt:lpstr>Mapping!SD_8055x7_12_S_1</vt:lpstr>
      <vt:lpstr>Mapping!SD_8055x7_13_S_1</vt:lpstr>
      <vt:lpstr>Mapping!SD_8055x7_14_S_0</vt:lpstr>
      <vt:lpstr>Mapping!SD_8055x7_15_S_0</vt:lpstr>
      <vt:lpstr>Mapping!SD_8055x7_19_S_0</vt:lpstr>
      <vt:lpstr>Mapping!SD_8055x7_21_S_0</vt:lpstr>
      <vt:lpstr>Mapping!SD_8055x7_23_S_0</vt:lpstr>
      <vt:lpstr>Mapping!SD_8055x7_24_S_1</vt:lpstr>
      <vt:lpstr>Mapping!SD_8055x8_10_S_0</vt:lpstr>
      <vt:lpstr>Mapping!SD_8055x8_12_S_1</vt:lpstr>
      <vt:lpstr>Mapping!SD_8055x8_13_S_1</vt:lpstr>
      <vt:lpstr>Mapping!SD_8055x8_14_S_0</vt:lpstr>
      <vt:lpstr>Mapping!SD_8055x8_15_S_0</vt:lpstr>
      <vt:lpstr>Mapping!SD_8055x8_19_S_0</vt:lpstr>
      <vt:lpstr>Mapping!SD_8055x8_21_S_0</vt:lpstr>
      <vt:lpstr>Mapping!SD_8055x8_23_S_0</vt:lpstr>
      <vt:lpstr>Mapping!SD_8055x8_24_S_1</vt:lpstr>
      <vt:lpstr>Mapping!SD_8055x9_10_S_0</vt:lpstr>
      <vt:lpstr>Mapping!SD_8055x9_12_S_1</vt:lpstr>
      <vt:lpstr>Mapping!SD_8055x9_13_S_1</vt:lpstr>
      <vt:lpstr>Mapping!SD_8055x9_14_S_0</vt:lpstr>
      <vt:lpstr>Mapping!SD_8055x9_15_S_0</vt:lpstr>
      <vt:lpstr>Mapping!SD_8055x9_19_S_0</vt:lpstr>
      <vt:lpstr>Mapping!SD_8055x9_21_S_0</vt:lpstr>
      <vt:lpstr>Mapping!SD_8055x9_23_S_0</vt:lpstr>
      <vt:lpstr>Mapping!SD_8055x9_24_S_1</vt:lpstr>
      <vt:lpstr>Mapping!SD_81x1_100_S_0</vt:lpstr>
      <vt:lpstr>Mapping!SD_81x1_101_S_0</vt:lpstr>
      <vt:lpstr>Mapping!SD_81x1_102_S_0</vt:lpstr>
      <vt:lpstr>Mapping!SD_81x1_103_S_0</vt:lpstr>
      <vt:lpstr>Mapping!SD_81x1_104_S_0</vt:lpstr>
      <vt:lpstr>Mapping!SD_81x1_105_S_0</vt:lpstr>
      <vt:lpstr>Mapping!SD_81x1_106_S_0</vt:lpstr>
      <vt:lpstr>Mapping!SD_81x1_107_S_0</vt:lpstr>
      <vt:lpstr>Mapping!SD_81x1_108_S_0</vt:lpstr>
      <vt:lpstr>Mapping!SD_81x1_109_S_0</vt:lpstr>
      <vt:lpstr>Mapping!SD_81x1_110_S_0</vt:lpstr>
      <vt:lpstr>Mapping!SD_81x1_111_S_0</vt:lpstr>
      <vt:lpstr>Mapping!SD_81x1_112_S_0</vt:lpstr>
      <vt:lpstr>Mapping!SD_81x1_113_S_0</vt:lpstr>
      <vt:lpstr>Mapping!SD_81x1_114_S_0</vt:lpstr>
      <vt:lpstr>Mapping!SD_81x1_115_S_0</vt:lpstr>
      <vt:lpstr>Mapping!SD_81x1_116_S_0</vt:lpstr>
      <vt:lpstr>Mapping!SD_81x1_117_S_0</vt:lpstr>
      <vt:lpstr>Mapping!SD_81x1_12_S_0</vt:lpstr>
      <vt:lpstr>Mapping!SD_81x1_122_S_0</vt:lpstr>
      <vt:lpstr>Mapping!SD_81x1_123_S_0</vt:lpstr>
      <vt:lpstr>Mapping!SD_81x1_128_S_0</vt:lpstr>
      <vt:lpstr>Mapping!SD_81x1_130_S_0</vt:lpstr>
      <vt:lpstr>Mapping!SD_81x1_132_S_0</vt:lpstr>
      <vt:lpstr>Mapping!SD_81x1_133_S_0</vt:lpstr>
      <vt:lpstr>Mapping!SD_81x1_134_S_0</vt:lpstr>
      <vt:lpstr>Mapping!SD_81x1_135_S_0</vt:lpstr>
      <vt:lpstr>Mapping!SD_81x1_136_S_0</vt:lpstr>
      <vt:lpstr>Mapping!SD_81x1_17_S_0</vt:lpstr>
      <vt:lpstr>Mapping!SD_81x1_170_S_0</vt:lpstr>
      <vt:lpstr>Mapping!SD_81x1_208_S_0</vt:lpstr>
      <vt:lpstr>Mapping!SD_81x1_26_S_0</vt:lpstr>
      <vt:lpstr>Mapping!SD_81x1_31_S_0</vt:lpstr>
      <vt:lpstr>Mapping!SD_81x1_33_S_0</vt:lpstr>
      <vt:lpstr>Mapping!SD_81x1_34_S_0</vt:lpstr>
      <vt:lpstr>Mapping!SD_81x1_35_S_0</vt:lpstr>
      <vt:lpstr>Mapping!SD_81x1_36_S_0</vt:lpstr>
      <vt:lpstr>Mapping!SD_81x1_37_S_0</vt:lpstr>
      <vt:lpstr>Mapping!SD_81x1_38_S_0</vt:lpstr>
      <vt:lpstr>Mapping!SD_81x1_39_S_0</vt:lpstr>
      <vt:lpstr>Mapping!SD_81x1_40_S_0</vt:lpstr>
      <vt:lpstr>Mapping!SD_81x1_43_S_0</vt:lpstr>
      <vt:lpstr>Mapping!SD_81x1_47_S_0</vt:lpstr>
      <vt:lpstr>Mapping!SD_81x1_55_S_0</vt:lpstr>
      <vt:lpstr>Mapping!SD_81x1_57_S_0</vt:lpstr>
      <vt:lpstr>Mapping!SD_81x1_60_S_0</vt:lpstr>
      <vt:lpstr>Mapping!SD_81x1_64_S_0</vt:lpstr>
      <vt:lpstr>Mapping!SD_81x1_66_S_0</vt:lpstr>
      <vt:lpstr>Mapping!SD_81x1_68_S_0</vt:lpstr>
      <vt:lpstr>Mapping!SD_81x1_7_S_0</vt:lpstr>
      <vt:lpstr>Mapping!SD_81x1_71_S_0</vt:lpstr>
      <vt:lpstr>Mapping!SD_81x1_72_S_0</vt:lpstr>
      <vt:lpstr>Mapping!SD_81x1_75_S_0</vt:lpstr>
      <vt:lpstr>Mapping!SD_81x1_76_S_0</vt:lpstr>
      <vt:lpstr>Mapping!SD_81x1_78_S_0</vt:lpstr>
      <vt:lpstr>Mapping!SD_81x1_80_S_0</vt:lpstr>
      <vt:lpstr>Mapping!SD_81x1_84_S_0</vt:lpstr>
      <vt:lpstr>Mapping!SD_81x1_87_S_0</vt:lpstr>
      <vt:lpstr>Mapping!SD_81x1_89_S_0</vt:lpstr>
      <vt:lpstr>Mapping!SD_81x1_90_S_0</vt:lpstr>
      <vt:lpstr>Mapping!SD_81x1_93_S_0</vt:lpstr>
      <vt:lpstr>Mapping!SD_81x1_94_S_0</vt:lpstr>
      <vt:lpstr>Mapping!SD_95_G_0</vt:lpstr>
      <vt:lpstr>TCATrigger</vt:lpstr>
      <vt:lpstr>Total_HPF_ELI_30__Units</vt:lpstr>
      <vt:lpstr>Total_HPF_ELI_Units</vt:lpstr>
      <vt:lpstr>Total_RIH_ELI_30__Units</vt:lpstr>
      <vt:lpstr>Total_RIH_ELI_Units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 Ruona</dc:creator>
  <cp:keywords/>
  <dc:description/>
  <cp:lastModifiedBy>Lenore Coughlin</cp:lastModifiedBy>
  <cp:revision/>
  <cp:lastPrinted>2025-10-09T20:45:10Z</cp:lastPrinted>
  <dcterms:created xsi:type="dcterms:W3CDTF">2001-06-07T21:16:06Z</dcterms:created>
  <dcterms:modified xsi:type="dcterms:W3CDTF">2025-10-22T20:57:57Z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Development</vt:lpwstr>
  </property>
  <property fmtid="{D5CDD505-2E9C-101B-9397-08002B2CF9AE}" pid="3" name="MediaServiceImageTags">
    <vt:lpwstr/>
  </property>
  <property fmtid="{D5CDD505-2E9C-101B-9397-08002B2CF9AE}" pid="4" name="ContentTypeId">
    <vt:lpwstr>0x01010083A3C5588FDFE6428F1526EE1AE57E10</vt:lpwstr>
  </property>
  <property fmtid="{D5CDD505-2E9C-101B-9397-08002B2CF9AE}" pid="5" name="SD_RESERVED_IsProtected">
    <vt:lpwstr>True</vt:lpwstr>
  </property>
  <property fmtid="{D5CDD505-2E9C-101B-9397-08002B2CF9AE}" pid="6" name="SmartDoxTemplateName">
    <vt:lpwstr/>
  </property>
  <property fmtid="{D5CDD505-2E9C-101B-9397-08002B2CF9AE}" pid="7" name="AfterGetVBAMethod">
    <vt:lpwstr/>
  </property>
  <property fmtid="{D5CDD505-2E9C-101B-9397-08002B2CF9AE}" pid="8" name="BeforeGetVBAMethod">
    <vt:lpwstr/>
  </property>
  <property fmtid="{D5CDD505-2E9C-101B-9397-08002B2CF9AE}" pid="9" name="AfterSendVBAMethod">
    <vt:lpwstr/>
  </property>
  <property fmtid="{D5CDD505-2E9C-101B-9397-08002B2CF9AE}" pid="10" name="SD_RESERVED_Protection0«XZDNbsMgEIRfBXHtwX+pezGWLEITq01CgiPnhlCCW0u2qQA3ap++WE1l0suK/WZ2d0RGGaAImodx9bKPmo+nE16ucUivpCr3CEFQ1pQgaPUopzebm6JAMI0hqCn7QzWtEWxEZyTMs5pVdKp5GPKIb9RFdoBq9aalMVng+E1LeTkYN3+2rRpmIXJDKzlILTqwFFbMSuyUcot3G+KzmJMTJVt2BxPOdscDJsyHC35">
    <vt:lpwstr>SD_RESERVED_Protection1«k9+SRv5brCk/xzlJevHiJu4XVnA9gZawvx/9kYd6bTl19S8KLXmnbfovJ4i1fuOXuJHhWuhc+TvhBGqk/pWdOnZmNfS/0l8vZDlaNtyDB708HlOU/§</vt:lpwstr>
  </property>
</Properties>
</file>